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Сотрудник\Desktop\ПРОЕКТ 2017-2019\КР 2017\ПРИКАЗ 399\"/>
    </mc:Choice>
  </mc:AlternateContent>
  <bookViews>
    <workbookView xWindow="0" yWindow="0" windowWidth="18915" windowHeight="11520" tabRatio="916" activeTab="1"/>
  </bookViews>
  <sheets>
    <sheet name="1.перечень МКД" sheetId="1" r:id="rId1"/>
    <sheet name="2.виды ремонта" sheetId="2" r:id="rId2"/>
    <sheet name="." sheetId="5" state="hidden" r:id="rId3"/>
  </sheets>
  <externalReferences>
    <externalReference r:id="rId4"/>
    <externalReference r:id="rId5"/>
  </externalReferences>
  <definedNames>
    <definedName name="__xlnm._FilterDatabase" localSheetId="2">'.'!$A$8:$CP$4234</definedName>
    <definedName name="__xlnm._FilterDatabase" localSheetId="0">'1.перечень МКД'!$A$18:$EY$18</definedName>
    <definedName name="__xlnm._FilterDatabase" localSheetId="1">'2.виды ремонта'!$A$7:$HC$94</definedName>
    <definedName name="__xlnm._FilterDatabase_1">'1.перечень МКД'!$A$18:$EY$18</definedName>
    <definedName name="__xlnm._FilterDatabase_1_1">'2.виды ремонта'!$A$7:$HC$94</definedName>
    <definedName name="__xlnm._FilterDatabase_2">#REF!</definedName>
    <definedName name="__xlnm._FilterDatabase_3">#REF!</definedName>
    <definedName name="__xlnm._FilterDatabase_4">'.'!$A$8:$CP$4234</definedName>
    <definedName name="_xlnm._FilterDatabase" localSheetId="2" hidden="1">'.'!$A$12:$XFC$4662</definedName>
    <definedName name="_xlnm._FilterDatabase" localSheetId="0" hidden="1">'1.перечень МКД'!$18:$359</definedName>
    <definedName name="_xlnm._FilterDatabase" localSheetId="1" hidden="1">'2.виды ремонта'!$A$95:$HB$345</definedName>
    <definedName name="dvMKDG3O01LIST">[1]dvMKDG3O01!$A$1:$A$11</definedName>
    <definedName name="_xlnm.Print_Titles" localSheetId="2">'.'!$4:$8</definedName>
    <definedName name="_xlnm.Print_Titles" localSheetId="0">'1.перечень МКД'!$18:$18</definedName>
    <definedName name="_xlnm.Print_Titles" localSheetId="1">'2.виды ремонта'!$7:$7</definedName>
    <definedName name="_xlnm.Print_Area" localSheetId="2">'.'!$A$1:$R$4666</definedName>
    <definedName name="_xlnm.Print_Area" localSheetId="0">'1.перечень МКД'!$A$1:$T$362</definedName>
    <definedName name="_xlnm.Print_Area" localSheetId="1">'2.виды ремонта'!$A$1:$U$355</definedName>
  </definedNames>
  <calcPr calcId="152511"/>
</workbook>
</file>

<file path=xl/calcChain.xml><?xml version="1.0" encoding="utf-8"?>
<calcChain xmlns="http://schemas.openxmlformats.org/spreadsheetml/2006/main">
  <c r="U15" i="5" l="1"/>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50" i="5"/>
  <c r="U51" i="5"/>
  <c r="U52" i="5"/>
  <c r="U53" i="5"/>
  <c r="U54" i="5"/>
  <c r="U55" i="5"/>
  <c r="U56" i="5"/>
  <c r="U57" i="5"/>
  <c r="U58" i="5"/>
  <c r="U59" i="5"/>
  <c r="U60" i="5"/>
  <c r="U61" i="5"/>
  <c r="U62" i="5"/>
  <c r="U63" i="5"/>
  <c r="U64" i="5"/>
  <c r="U65" i="5"/>
  <c r="U66" i="5"/>
  <c r="U67" i="5"/>
  <c r="U68" i="5"/>
  <c r="U69" i="5"/>
  <c r="U70" i="5"/>
  <c r="U71" i="5"/>
  <c r="U72" i="5"/>
  <c r="U73" i="5"/>
  <c r="U75" i="5"/>
  <c r="U76" i="5"/>
  <c r="U77" i="5"/>
  <c r="U78" i="5"/>
  <c r="U79" i="5"/>
  <c r="U80" i="5"/>
  <c r="U81" i="5"/>
  <c r="U82" i="5"/>
  <c r="U83" i="5"/>
  <c r="U85" i="5"/>
  <c r="U86" i="5"/>
  <c r="U87" i="5"/>
  <c r="U88" i="5"/>
  <c r="U89" i="5"/>
  <c r="U90" i="5"/>
  <c r="U91" i="5"/>
  <c r="U92" i="5"/>
  <c r="U93" i="5"/>
  <c r="U94"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5" i="5"/>
  <c r="U126" i="5"/>
  <c r="U127" i="5"/>
  <c r="U128" i="5"/>
  <c r="U129" i="5"/>
  <c r="U130" i="5"/>
  <c r="U131" i="5"/>
  <c r="U132" i="5"/>
  <c r="U133" i="5"/>
  <c r="U134" i="5"/>
  <c r="U135" i="5"/>
  <c r="U136" i="5"/>
  <c r="U137" i="5"/>
  <c r="U138" i="5"/>
  <c r="U139" i="5"/>
  <c r="U140" i="5"/>
  <c r="U141" i="5"/>
  <c r="U142" i="5"/>
  <c r="U144" i="5"/>
  <c r="U145" i="5"/>
  <c r="U146" i="5"/>
  <c r="U147" i="5"/>
  <c r="U148" i="5"/>
  <c r="U149" i="5"/>
  <c r="U150" i="5"/>
  <c r="U151" i="5"/>
  <c r="U152" i="5"/>
  <c r="U153" i="5"/>
  <c r="U154" i="5"/>
  <c r="U155" i="5"/>
  <c r="U156" i="5"/>
  <c r="U157" i="5"/>
  <c r="U158" i="5"/>
  <c r="U159" i="5"/>
  <c r="U160" i="5"/>
  <c r="U161" i="5"/>
  <c r="U162" i="5"/>
  <c r="U163" i="5"/>
  <c r="U164" i="5"/>
  <c r="U166" i="5"/>
  <c r="U167" i="5"/>
  <c r="U168" i="5"/>
  <c r="U169" i="5"/>
  <c r="U170" i="5"/>
  <c r="U171" i="5"/>
  <c r="U172" i="5"/>
  <c r="U173" i="5"/>
  <c r="U174" i="5"/>
  <c r="U175" i="5"/>
  <c r="U176" i="5"/>
  <c r="U177" i="5"/>
  <c r="U178" i="5"/>
  <c r="U180" i="5"/>
  <c r="U181" i="5"/>
  <c r="U182" i="5"/>
  <c r="U183" i="5"/>
  <c r="U185" i="5"/>
  <c r="U186" i="5"/>
  <c r="U187" i="5"/>
  <c r="U188" i="5"/>
  <c r="U189" i="5"/>
  <c r="U191" i="5"/>
  <c r="U192" i="5"/>
  <c r="U193" i="5"/>
  <c r="U194" i="5"/>
  <c r="U195" i="5"/>
  <c r="U196"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2" i="5"/>
  <c r="U233" i="5"/>
  <c r="U234" i="5"/>
  <c r="U235" i="5"/>
  <c r="U236" i="5"/>
  <c r="U237" i="5"/>
  <c r="U238" i="5"/>
  <c r="U239" i="5"/>
  <c r="U240" i="5"/>
  <c r="U241" i="5"/>
  <c r="U242" i="5"/>
  <c r="U243" i="5"/>
  <c r="U244" i="5"/>
  <c r="U245" i="5"/>
  <c r="U246" i="5"/>
  <c r="U247" i="5"/>
  <c r="U249" i="5"/>
  <c r="U251" i="5"/>
  <c r="U252" i="5"/>
  <c r="U253" i="5"/>
  <c r="U254" i="5"/>
  <c r="U255"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4" i="5"/>
  <c r="U285" i="5"/>
  <c r="U287" i="5"/>
  <c r="U289" i="5"/>
  <c r="U290" i="5"/>
  <c r="U291" i="5"/>
  <c r="U293" i="5"/>
  <c r="U294" i="5"/>
  <c r="U295" i="5"/>
  <c r="U296" i="5"/>
  <c r="U297" i="5"/>
  <c r="U298" i="5"/>
  <c r="U299" i="5"/>
  <c r="U300" i="5"/>
  <c r="U301" i="5"/>
  <c r="U302" i="5"/>
  <c r="U303" i="5"/>
  <c r="U304" i="5"/>
  <c r="U305" i="5"/>
  <c r="U306" i="5"/>
  <c r="U307" i="5"/>
  <c r="U308" i="5"/>
  <c r="U310" i="5"/>
  <c r="U311" i="5"/>
  <c r="U312" i="5"/>
  <c r="U313" i="5"/>
  <c r="U314" i="5"/>
  <c r="U315" i="5"/>
  <c r="U317" i="5"/>
  <c r="U318" i="5"/>
  <c r="U319" i="5"/>
  <c r="U320"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6" i="5"/>
  <c r="U357" i="5"/>
  <c r="U358" i="5"/>
  <c r="U359" i="5"/>
  <c r="U360"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7" i="5"/>
  <c r="U398" i="5"/>
  <c r="U400" i="5"/>
  <c r="U401" i="5"/>
  <c r="U402" i="5"/>
  <c r="U403" i="5"/>
  <c r="U404" i="5"/>
  <c r="U405" i="5"/>
  <c r="U406" i="5"/>
  <c r="U407" i="5"/>
  <c r="U408" i="5"/>
  <c r="U409" i="5"/>
  <c r="U410" i="5"/>
  <c r="U412" i="5"/>
  <c r="U413" i="5"/>
  <c r="U414" i="5"/>
  <c r="U415" i="5"/>
  <c r="U416" i="5"/>
  <c r="U417" i="5"/>
  <c r="U418" i="5"/>
  <c r="U419" i="5"/>
  <c r="U420" i="5"/>
  <c r="U421" i="5"/>
  <c r="U422" i="5"/>
  <c r="U423" i="5"/>
  <c r="U424" i="5"/>
  <c r="U425"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8" i="5"/>
  <c r="U459" i="5"/>
  <c r="U460" i="5"/>
  <c r="U461" i="5"/>
  <c r="U463" i="5"/>
  <c r="U464" i="5"/>
  <c r="U465" i="5"/>
  <c r="U466" i="5"/>
  <c r="U467" i="5"/>
  <c r="U468" i="5"/>
  <c r="U469" i="5"/>
  <c r="U470" i="5"/>
  <c r="U471" i="5"/>
  <c r="U472" i="5"/>
  <c r="U473" i="5"/>
  <c r="U474" i="5"/>
  <c r="U475" i="5"/>
  <c r="U476" i="5"/>
  <c r="U477" i="5"/>
  <c r="U478" i="5"/>
  <c r="U479" i="5"/>
  <c r="U480" i="5"/>
  <c r="U482" i="5"/>
  <c r="U483" i="5"/>
  <c r="U484" i="5"/>
  <c r="U485" i="5"/>
  <c r="U486" i="5"/>
  <c r="U487"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14" i="5"/>
  <c r="M286" i="5" l="1"/>
  <c r="U286" i="5" s="1"/>
  <c r="M283" i="5"/>
  <c r="U283" i="5" s="1"/>
  <c r="M74" i="5"/>
  <c r="U74" i="5" s="1"/>
  <c r="M84" i="5"/>
  <c r="U84" i="5" s="1"/>
  <c r="R2869" i="5" l="1"/>
  <c r="L2814" i="5" l="1"/>
  <c r="R2565" i="5" l="1"/>
  <c r="R2564" i="5"/>
  <c r="R2563" i="5"/>
  <c r="R2078" i="5"/>
  <c r="R2076" i="5"/>
  <c r="R2069" i="5"/>
  <c r="R2067" i="5"/>
  <c r="R2065" i="5"/>
  <c r="R2063" i="5"/>
  <c r="R2061" i="5"/>
  <c r="R2059" i="5"/>
  <c r="R2057" i="5"/>
  <c r="R2054" i="5"/>
  <c r="R2052" i="5"/>
  <c r="R2050" i="5"/>
  <c r="R2048" i="5"/>
  <c r="R2046" i="5"/>
  <c r="R2044" i="5"/>
  <c r="R2042" i="5"/>
  <c r="R2040" i="5"/>
  <c r="R2038" i="5"/>
  <c r="R2035" i="5"/>
  <c r="R2032" i="5"/>
  <c r="R2030" i="5"/>
  <c r="R2028" i="5"/>
  <c r="R2024" i="5"/>
  <c r="Y1962" i="5" l="1"/>
  <c r="Y1963" i="5"/>
  <c r="Y1964" i="5"/>
  <c r="Y1965" i="5"/>
  <c r="Y1966" i="5"/>
  <c r="Y1967" i="5"/>
  <c r="Y1968" i="5"/>
  <c r="Y1969" i="5"/>
  <c r="Y1970" i="5"/>
  <c r="Y1971" i="5"/>
  <c r="Y1972" i="5"/>
  <c r="Y1973" i="5"/>
  <c r="Y1974" i="5"/>
  <c r="Y1975" i="5"/>
  <c r="Y1976" i="5"/>
  <c r="Y1977" i="5"/>
  <c r="Y1978" i="5"/>
  <c r="Y1979" i="5"/>
  <c r="Y1980" i="5"/>
  <c r="Y1981" i="5"/>
  <c r="Y1982" i="5"/>
  <c r="Y1983" i="5"/>
  <c r="Y1984" i="5"/>
  <c r="Y1985" i="5"/>
  <c r="Y1986" i="5"/>
  <c r="Y1987" i="5"/>
  <c r="Y1988" i="5"/>
  <c r="Y1989" i="5"/>
  <c r="Y1990" i="5"/>
  <c r="Y1992" i="5"/>
  <c r="Y1993" i="5"/>
  <c r="Y1994" i="5"/>
  <c r="Y1995" i="5"/>
  <c r="Y1996" i="5"/>
  <c r="Y1997" i="5"/>
  <c r="Y1998" i="5"/>
  <c r="Y1999" i="5"/>
  <c r="Y2000" i="5"/>
  <c r="Y2001" i="5"/>
  <c r="Y2002" i="5"/>
  <c r="Y2003" i="5"/>
  <c r="Y2004" i="5"/>
  <c r="Y2005" i="5"/>
  <c r="Y2006" i="5"/>
  <c r="Y2007" i="5"/>
  <c r="Y2008" i="5"/>
  <c r="Y2009" i="5"/>
  <c r="Y2010" i="5"/>
  <c r="Y2011" i="5"/>
  <c r="Y2012" i="5"/>
  <c r="Y2013" i="5"/>
  <c r="Y2014" i="5"/>
  <c r="Y2015" i="5"/>
  <c r="Y2016" i="5"/>
  <c r="Y2017" i="5"/>
  <c r="Y2018" i="5"/>
  <c r="Y2019" i="5"/>
  <c r="Y2020" i="5"/>
  <c r="Y2021" i="5"/>
  <c r="Y2022" i="5"/>
  <c r="Y2023" i="5"/>
  <c r="Y2024" i="5"/>
  <c r="Y2025" i="5"/>
  <c r="Y2026" i="5"/>
  <c r="Y2027" i="5"/>
  <c r="Y2028" i="5"/>
  <c r="Y2029" i="5"/>
  <c r="Y2030" i="5"/>
  <c r="Y2031" i="5"/>
  <c r="Y2032" i="5"/>
  <c r="Y2033" i="5"/>
  <c r="Y2034" i="5"/>
  <c r="Y2035" i="5"/>
  <c r="Y2036" i="5"/>
  <c r="Y2037" i="5"/>
  <c r="Y2038" i="5"/>
  <c r="Y2039" i="5"/>
  <c r="Y2040" i="5"/>
  <c r="Y2041" i="5"/>
  <c r="Y2042" i="5"/>
  <c r="Y2043" i="5"/>
  <c r="Y2044" i="5"/>
  <c r="Y2045" i="5"/>
  <c r="Y2046" i="5"/>
  <c r="Y2047" i="5"/>
  <c r="Y2048" i="5"/>
  <c r="Y2049" i="5"/>
  <c r="Y2050" i="5"/>
  <c r="Y2051" i="5"/>
  <c r="Y2052" i="5"/>
  <c r="Y2053" i="5"/>
  <c r="Y2054" i="5"/>
  <c r="Y2055" i="5"/>
  <c r="Y2056" i="5"/>
  <c r="Y2057" i="5"/>
  <c r="Y2058" i="5"/>
  <c r="Y2059" i="5"/>
  <c r="Y2060" i="5"/>
  <c r="Y2061" i="5"/>
  <c r="Y2062" i="5"/>
  <c r="Y2063" i="5"/>
  <c r="Y2064" i="5"/>
  <c r="Y2065" i="5"/>
  <c r="Y2066" i="5"/>
  <c r="Y2067" i="5"/>
  <c r="Y2068" i="5"/>
  <c r="Y2069" i="5"/>
  <c r="Y2070" i="5"/>
  <c r="Y2071" i="5"/>
  <c r="Y2072" i="5"/>
  <c r="Y2073" i="5"/>
  <c r="Y2074" i="5"/>
  <c r="Y2075" i="5"/>
  <c r="Y2076" i="5"/>
  <c r="Y2077" i="5"/>
  <c r="Y2078" i="5"/>
  <c r="Y1461" i="5"/>
  <c r="Y1462" i="5"/>
  <c r="Y1463" i="5"/>
  <c r="Y1464" i="5"/>
  <c r="Y1465" i="5"/>
  <c r="Y1466" i="5"/>
  <c r="Y1467" i="5"/>
  <c r="Y1468" i="5"/>
  <c r="Y1469" i="5"/>
  <c r="Y1470" i="5"/>
  <c r="Y1471" i="5"/>
  <c r="Y1472" i="5"/>
  <c r="Y1473" i="5"/>
  <c r="Y1474" i="5"/>
  <c r="Y1475" i="5"/>
  <c r="Y1476" i="5"/>
  <c r="Y1477" i="5"/>
  <c r="Y1478" i="5"/>
  <c r="Y1479" i="5"/>
  <c r="Y1480" i="5"/>
  <c r="Y1481" i="5"/>
  <c r="Y1482" i="5"/>
  <c r="Y1483" i="5"/>
  <c r="Y1484" i="5"/>
  <c r="Y1485" i="5"/>
  <c r="Y1486" i="5"/>
  <c r="Y1487" i="5"/>
  <c r="Y1488" i="5"/>
  <c r="Y1489" i="5"/>
  <c r="Y1490" i="5"/>
  <c r="Y1491" i="5"/>
  <c r="Y1492" i="5"/>
  <c r="Y1493" i="5"/>
  <c r="Y1494" i="5"/>
  <c r="Y1495" i="5"/>
  <c r="Y1496" i="5"/>
  <c r="Y1497" i="5"/>
  <c r="Y1498" i="5"/>
  <c r="Y1499" i="5"/>
  <c r="Y1500" i="5"/>
  <c r="Y1501" i="5"/>
  <c r="Y1502" i="5"/>
  <c r="Y1503" i="5"/>
  <c r="Y1504" i="5"/>
  <c r="Y1505" i="5"/>
  <c r="Y1506" i="5"/>
  <c r="Y1507" i="5"/>
  <c r="Y1508" i="5"/>
  <c r="Y1509" i="5"/>
  <c r="Y1510" i="5"/>
  <c r="Y1511" i="5"/>
  <c r="Y1512" i="5"/>
  <c r="Y1513" i="5"/>
  <c r="Y1514" i="5"/>
  <c r="Y1515" i="5"/>
  <c r="Y1516" i="5"/>
  <c r="Y1517" i="5"/>
  <c r="Y1518" i="5"/>
  <c r="Y1519" i="5"/>
  <c r="Y1520" i="5"/>
  <c r="Y1521" i="5"/>
  <c r="Y1522" i="5"/>
  <c r="Y1523" i="5"/>
  <c r="Y1524" i="5"/>
  <c r="Y1525" i="5"/>
  <c r="Y1526" i="5"/>
  <c r="Y1527" i="5"/>
  <c r="Y1528" i="5"/>
  <c r="Y1529" i="5"/>
  <c r="Y1530" i="5"/>
  <c r="Y1531" i="5"/>
  <c r="Y1532" i="5"/>
  <c r="Y1533" i="5"/>
  <c r="Y1534" i="5"/>
  <c r="Y1535" i="5"/>
  <c r="Y1536" i="5"/>
  <c r="Y1537" i="5"/>
  <c r="Y1538" i="5"/>
  <c r="Y1539" i="5"/>
  <c r="Y1540" i="5"/>
  <c r="Y1541" i="5"/>
  <c r="Y1542" i="5"/>
  <c r="Y1543" i="5"/>
  <c r="Y1544" i="5"/>
  <c r="Y1545" i="5"/>
  <c r="Y1546" i="5"/>
  <c r="Y1547" i="5"/>
  <c r="Y1548" i="5"/>
  <c r="Y1549" i="5"/>
  <c r="Y1550" i="5"/>
  <c r="Y1551" i="5"/>
  <c r="Y1552" i="5"/>
  <c r="Y1553" i="5"/>
  <c r="Y1554" i="5"/>
  <c r="Y1555" i="5"/>
  <c r="Y1556" i="5"/>
  <c r="Y1557" i="5"/>
  <c r="Y1558" i="5"/>
  <c r="Y1559" i="5"/>
  <c r="Y1560" i="5"/>
  <c r="Y1561" i="5"/>
  <c r="Y1562" i="5"/>
  <c r="Y1563" i="5"/>
  <c r="Y1564" i="5"/>
  <c r="Y1565" i="5"/>
  <c r="Y1566" i="5"/>
  <c r="Y1567" i="5"/>
  <c r="Y1568" i="5"/>
  <c r="Y1569" i="5"/>
  <c r="Y1570" i="5"/>
  <c r="Y1571" i="5"/>
  <c r="Y1572" i="5"/>
  <c r="Y1573" i="5"/>
  <c r="Y1574" i="5"/>
  <c r="Y1575" i="5"/>
  <c r="Y1576" i="5"/>
  <c r="Y1577" i="5"/>
  <c r="Y1578" i="5"/>
  <c r="Y1579" i="5"/>
  <c r="Y1580" i="5"/>
  <c r="Y1581" i="5"/>
  <c r="Y1582" i="5"/>
  <c r="Y1583" i="5"/>
  <c r="Y1584" i="5"/>
  <c r="Y1585" i="5"/>
  <c r="Y1586" i="5"/>
  <c r="Y1587" i="5"/>
  <c r="Y1588" i="5"/>
  <c r="Y1589" i="5"/>
  <c r="Y1590" i="5"/>
  <c r="Y1591" i="5"/>
  <c r="Y1592" i="5"/>
  <c r="Y1593" i="5"/>
  <c r="Y1594" i="5"/>
  <c r="Y1595" i="5"/>
  <c r="Y1596" i="5"/>
  <c r="Y1597" i="5"/>
  <c r="Y1598" i="5"/>
  <c r="Y1599" i="5"/>
  <c r="Y1600" i="5"/>
  <c r="Y1601" i="5"/>
  <c r="Y1602" i="5"/>
  <c r="Y1603" i="5"/>
  <c r="Y1604" i="5"/>
  <c r="Y1605" i="5"/>
  <c r="Y1606" i="5"/>
  <c r="Y1607" i="5"/>
  <c r="Y1608" i="5"/>
  <c r="Y1609" i="5"/>
  <c r="Y1610" i="5"/>
  <c r="Y1611" i="5"/>
  <c r="Y1612" i="5"/>
  <c r="Y1613" i="5"/>
  <c r="Y1614" i="5"/>
  <c r="Y1615" i="5"/>
  <c r="Y1616" i="5"/>
  <c r="Y1617" i="5"/>
  <c r="Y1618" i="5"/>
  <c r="Y1619" i="5"/>
  <c r="Y1620" i="5"/>
  <c r="Y1621" i="5"/>
  <c r="Y1622" i="5"/>
  <c r="Y1623" i="5"/>
  <c r="Y1624" i="5"/>
  <c r="Y1625" i="5"/>
  <c r="Y1626" i="5"/>
  <c r="Y1627" i="5"/>
  <c r="Y1628" i="5"/>
  <c r="Y1629" i="5"/>
  <c r="Y1630" i="5"/>
  <c r="Y1631" i="5"/>
  <c r="Y1632" i="5"/>
  <c r="Y1633" i="5"/>
  <c r="Y1634" i="5"/>
  <c r="Y1635" i="5"/>
  <c r="Y1636" i="5"/>
  <c r="Y1637" i="5"/>
  <c r="Y1638" i="5"/>
  <c r="Y1639" i="5"/>
  <c r="Y1640" i="5"/>
  <c r="Y1641" i="5"/>
  <c r="Y1642" i="5"/>
  <c r="Y1643" i="5"/>
  <c r="Y1644" i="5"/>
  <c r="Y1645" i="5"/>
  <c r="Y1646" i="5"/>
  <c r="Y1647" i="5"/>
  <c r="Y1648" i="5"/>
  <c r="Y1649" i="5"/>
  <c r="Y1650" i="5"/>
  <c r="Y1651" i="5"/>
  <c r="Y1652" i="5"/>
  <c r="Y1653" i="5"/>
  <c r="Y1654" i="5"/>
  <c r="Y1655" i="5"/>
  <c r="Y1656" i="5"/>
  <c r="Y1657" i="5"/>
  <c r="Y1658" i="5"/>
  <c r="Y1659" i="5"/>
  <c r="Y1660" i="5"/>
  <c r="Y1661" i="5"/>
  <c r="Y1662" i="5"/>
  <c r="Y1663" i="5"/>
  <c r="Y1664" i="5"/>
  <c r="Y1665" i="5"/>
  <c r="Y1666" i="5"/>
  <c r="Y1667" i="5"/>
  <c r="Y1668" i="5"/>
  <c r="Y1669" i="5"/>
  <c r="Y1670" i="5"/>
  <c r="Y1671" i="5"/>
  <c r="Y1672" i="5"/>
  <c r="Y1673" i="5"/>
  <c r="Y1674" i="5"/>
  <c r="Y1675" i="5"/>
  <c r="Y1676" i="5"/>
  <c r="Y1677" i="5"/>
  <c r="Y1678" i="5"/>
  <c r="Y1679" i="5"/>
  <c r="Y1680" i="5"/>
  <c r="Y1681" i="5"/>
  <c r="Y1682" i="5"/>
  <c r="Y1683" i="5"/>
  <c r="Y1684" i="5"/>
  <c r="Y1685" i="5"/>
  <c r="Y1686" i="5"/>
  <c r="Y1687" i="5"/>
  <c r="Y1688" i="5"/>
  <c r="Y1689" i="5"/>
  <c r="Y1690" i="5"/>
  <c r="Y1691" i="5"/>
  <c r="Y1692" i="5"/>
  <c r="Y1693" i="5"/>
  <c r="Y1694" i="5"/>
  <c r="Y1695" i="5"/>
  <c r="Y1696" i="5"/>
  <c r="Y1697" i="5"/>
  <c r="Y1698" i="5"/>
  <c r="Y1699" i="5"/>
  <c r="Y1700" i="5"/>
  <c r="Y1701" i="5"/>
  <c r="Y1702" i="5"/>
  <c r="Y1703" i="5"/>
  <c r="Y1704" i="5"/>
  <c r="Y1705" i="5"/>
  <c r="Y1706" i="5"/>
  <c r="Y1707" i="5"/>
  <c r="Y1708" i="5"/>
  <c r="Y1709" i="5"/>
  <c r="Y1710" i="5"/>
  <c r="Y1711" i="5"/>
  <c r="Y1712" i="5"/>
  <c r="Y1713" i="5"/>
  <c r="Y1714" i="5"/>
  <c r="Y1715" i="5"/>
  <c r="Y1716" i="5"/>
  <c r="Y1717" i="5"/>
  <c r="Y1718" i="5"/>
  <c r="Y1719" i="5"/>
  <c r="Y1720" i="5"/>
  <c r="Y1721" i="5"/>
  <c r="Y1722" i="5"/>
  <c r="Y1723" i="5"/>
  <c r="Y1724" i="5"/>
  <c r="Y1725" i="5"/>
  <c r="Y1726" i="5"/>
  <c r="Y1727" i="5"/>
  <c r="Y1728" i="5"/>
  <c r="Y1729" i="5"/>
  <c r="Y1730" i="5"/>
  <c r="Y1731" i="5"/>
  <c r="Y1732" i="5"/>
  <c r="Y1733" i="5"/>
  <c r="Y1734" i="5"/>
  <c r="Y1735" i="5"/>
  <c r="Y1736" i="5"/>
  <c r="Y1737" i="5"/>
  <c r="Y1738" i="5"/>
  <c r="Y1739" i="5"/>
  <c r="Y1740" i="5"/>
  <c r="Y1741" i="5"/>
  <c r="Y1742" i="5"/>
  <c r="Y1743" i="5"/>
  <c r="Y1744" i="5"/>
  <c r="Y1745" i="5"/>
  <c r="Y1746" i="5"/>
  <c r="Y1747" i="5"/>
  <c r="Y1748" i="5"/>
  <c r="Y1749" i="5"/>
  <c r="Y1750" i="5"/>
  <c r="Y1751" i="5"/>
  <c r="Y1752" i="5"/>
  <c r="Y1753" i="5"/>
  <c r="Y1754" i="5"/>
  <c r="Y1755" i="5"/>
  <c r="Y1756" i="5"/>
  <c r="Y1757" i="5"/>
  <c r="Y1758" i="5"/>
  <c r="Y1759" i="5"/>
  <c r="Y1760" i="5"/>
  <c r="Y1761" i="5"/>
  <c r="Y1762" i="5"/>
  <c r="Y1763" i="5"/>
  <c r="Y1764" i="5"/>
  <c r="Y1765" i="5"/>
  <c r="Y1766" i="5"/>
  <c r="Y1767" i="5"/>
  <c r="Y1768" i="5"/>
  <c r="Y1769" i="5"/>
  <c r="Y1770" i="5"/>
  <c r="Y1771" i="5"/>
  <c r="Y1772" i="5"/>
  <c r="Y1773" i="5"/>
  <c r="Y1774" i="5"/>
  <c r="Y1775" i="5"/>
  <c r="Y1776" i="5"/>
  <c r="Y1777" i="5"/>
  <c r="Y1778" i="5"/>
  <c r="Y1779" i="5"/>
  <c r="Y1780" i="5"/>
  <c r="Y1781" i="5"/>
  <c r="Y1782" i="5"/>
  <c r="Y1783" i="5"/>
  <c r="Y1784" i="5"/>
  <c r="Y1785" i="5"/>
  <c r="Y1786" i="5"/>
  <c r="Y1787" i="5"/>
  <c r="Y1788" i="5"/>
  <c r="Y1789" i="5"/>
  <c r="Y1790" i="5"/>
  <c r="Y1791" i="5"/>
  <c r="Y1792" i="5"/>
  <c r="Y1793" i="5"/>
  <c r="Y1794" i="5"/>
  <c r="Y1795" i="5"/>
  <c r="Y1796" i="5"/>
  <c r="Y1797" i="5"/>
  <c r="Y1798" i="5"/>
  <c r="Y1799" i="5"/>
  <c r="Y1800" i="5"/>
  <c r="Y1801" i="5"/>
  <c r="Y1802" i="5"/>
  <c r="Y1803" i="5"/>
  <c r="Y1804" i="5"/>
  <c r="Y1805" i="5"/>
  <c r="Y1806" i="5"/>
  <c r="Y1807" i="5"/>
  <c r="Y1808" i="5"/>
  <c r="Y1809" i="5"/>
  <c r="Y1810" i="5"/>
  <c r="Y1811" i="5"/>
  <c r="Y1812" i="5"/>
  <c r="Y1813" i="5"/>
  <c r="Y1814" i="5"/>
  <c r="Y1815" i="5"/>
  <c r="Y1816" i="5"/>
  <c r="Y1817" i="5"/>
  <c r="Y1818" i="5"/>
  <c r="Y1819" i="5"/>
  <c r="Y1820" i="5"/>
  <c r="Y1821" i="5"/>
  <c r="Y1822" i="5"/>
  <c r="Y1823" i="5"/>
  <c r="Y1824" i="5"/>
  <c r="Y1825" i="5"/>
  <c r="Y1826" i="5"/>
  <c r="Y1827" i="5"/>
  <c r="Y1828" i="5"/>
  <c r="Y1829" i="5"/>
  <c r="Y1830" i="5"/>
  <c r="Y1831" i="5"/>
  <c r="Y1832" i="5"/>
  <c r="Y1833" i="5"/>
  <c r="Y1834" i="5"/>
  <c r="Y1835" i="5"/>
  <c r="Y1836" i="5"/>
  <c r="Y1837" i="5"/>
  <c r="Y1838" i="5"/>
  <c r="Y1839" i="5"/>
  <c r="Y1840" i="5"/>
  <c r="Y1841" i="5"/>
  <c r="Y1842" i="5"/>
  <c r="Y1843" i="5"/>
  <c r="Y1844" i="5"/>
  <c r="Y1845" i="5"/>
  <c r="Y1846" i="5"/>
  <c r="Y1847" i="5"/>
  <c r="Y1848" i="5"/>
  <c r="Y1849" i="5"/>
  <c r="Y1850" i="5"/>
  <c r="Y1851" i="5"/>
  <c r="Y1852" i="5"/>
  <c r="Y1853" i="5"/>
  <c r="Y1854" i="5"/>
  <c r="Y1855" i="5"/>
  <c r="Y1856" i="5"/>
  <c r="Y1857" i="5"/>
  <c r="Y1858" i="5"/>
  <c r="Y1859" i="5"/>
  <c r="Y1860" i="5"/>
  <c r="Y1861" i="5"/>
  <c r="Y1862" i="5"/>
  <c r="Y1863" i="5"/>
  <c r="Y1864" i="5"/>
  <c r="Y1865" i="5"/>
  <c r="Y1866" i="5"/>
  <c r="Y1867" i="5"/>
  <c r="Y1868" i="5"/>
  <c r="Y1869" i="5"/>
  <c r="Y1870" i="5"/>
  <c r="Y1871" i="5"/>
  <c r="Y1872" i="5"/>
  <c r="Y1873" i="5"/>
  <c r="Y1874" i="5"/>
  <c r="Y1875" i="5"/>
  <c r="Y1876" i="5"/>
  <c r="Y1877" i="5"/>
  <c r="Y1878" i="5"/>
  <c r="Y1879" i="5"/>
  <c r="Y1880" i="5"/>
  <c r="Y1881" i="5"/>
  <c r="Y1882" i="5"/>
  <c r="Y1883" i="5"/>
  <c r="Y1884" i="5"/>
  <c r="Y1885" i="5"/>
  <c r="Y1886" i="5"/>
  <c r="Y1887" i="5"/>
  <c r="Y1888" i="5"/>
  <c r="Y1889" i="5"/>
  <c r="Y1890" i="5"/>
  <c r="Y1891" i="5"/>
  <c r="Y1892" i="5"/>
  <c r="Y1894" i="5"/>
  <c r="Y1895" i="5"/>
  <c r="Y1896" i="5"/>
  <c r="Y1897" i="5"/>
  <c r="Y1898" i="5"/>
  <c r="Y1899" i="5"/>
  <c r="Y1900" i="5"/>
  <c r="Y1901" i="5"/>
  <c r="Y1902" i="5"/>
  <c r="Y1903" i="5"/>
  <c r="Y1904" i="5"/>
  <c r="Y1905" i="5"/>
  <c r="Y1906" i="5"/>
  <c r="Y1907" i="5"/>
  <c r="Y1908" i="5"/>
  <c r="Y1909" i="5"/>
  <c r="Y1910" i="5"/>
  <c r="Y1911" i="5"/>
  <c r="Y1912" i="5"/>
  <c r="Y1913" i="5"/>
  <c r="Y1914" i="5"/>
  <c r="Y1915" i="5"/>
  <c r="Y1916" i="5"/>
  <c r="Y1917" i="5"/>
  <c r="Y1918" i="5"/>
  <c r="Y1919" i="5"/>
  <c r="Y1920" i="5"/>
  <c r="Y1921" i="5"/>
  <c r="Y1922" i="5"/>
  <c r="Y1923" i="5"/>
  <c r="Y1924" i="5"/>
  <c r="Y1925" i="5"/>
  <c r="Y1926" i="5"/>
  <c r="Y1927" i="5"/>
  <c r="Y1928" i="5"/>
  <c r="Y1929" i="5"/>
  <c r="Y1930" i="5"/>
  <c r="Y1931" i="5"/>
  <c r="Y1932" i="5"/>
  <c r="Y1933" i="5"/>
  <c r="Y1934" i="5"/>
  <c r="Y1935" i="5"/>
  <c r="Y1936" i="5"/>
  <c r="Y1937" i="5"/>
  <c r="Y1938" i="5"/>
  <c r="Y1939" i="5"/>
  <c r="Y1940" i="5"/>
  <c r="Y1941" i="5"/>
  <c r="Y1942" i="5"/>
  <c r="Y1943" i="5"/>
  <c r="Y1944" i="5"/>
  <c r="Y1945" i="5"/>
  <c r="Y1946" i="5"/>
  <c r="Y1947" i="5"/>
  <c r="Y1948" i="5"/>
  <c r="Y1949" i="5"/>
  <c r="Y1950" i="5"/>
  <c r="Y1951" i="5"/>
  <c r="Y1952" i="5"/>
  <c r="Y1953" i="5"/>
  <c r="Y1954" i="5"/>
  <c r="Y1955" i="5"/>
  <c r="Y1956" i="5"/>
  <c r="Y1957" i="5"/>
  <c r="Y1958" i="5"/>
  <c r="Y1959" i="5"/>
  <c r="Y1960" i="5"/>
  <c r="Y1961" i="5"/>
  <c r="Y1460" i="5"/>
  <c r="L2565" i="5" l="1"/>
  <c r="L2564" i="5"/>
  <c r="L2563" i="5"/>
  <c r="R2527" i="5" l="1"/>
  <c r="W2496" i="5"/>
  <c r="W2497" i="5"/>
  <c r="W2498" i="5"/>
  <c r="W2500" i="5"/>
  <c r="W2501" i="5"/>
  <c r="W2502" i="5"/>
  <c r="W2503" i="5"/>
  <c r="W2504" i="5"/>
  <c r="W2505" i="5"/>
  <c r="W2506" i="5"/>
  <c r="W2507" i="5"/>
  <c r="W2508" i="5"/>
  <c r="W2509" i="5"/>
  <c r="W2510" i="5"/>
  <c r="W2522" i="5"/>
  <c r="W2527" i="5"/>
  <c r="W2532" i="5"/>
  <c r="W2544" i="5"/>
  <c r="V2468" i="5" l="1"/>
  <c r="V2469" i="5"/>
  <c r="V2470" i="5"/>
  <c r="V2474" i="5"/>
  <c r="V2475" i="5"/>
  <c r="V2476" i="5"/>
  <c r="V2477" i="5"/>
  <c r="V2479" i="5"/>
  <c r="V2482" i="5"/>
  <c r="V2483" i="5"/>
  <c r="V2485" i="5"/>
  <c r="V2486" i="5"/>
  <c r="V2488" i="5"/>
  <c r="V2489" i="5"/>
  <c r="V2492" i="5"/>
  <c r="V2467" i="5"/>
  <c r="M1370" i="5" l="1"/>
  <c r="M1184" i="5"/>
  <c r="M612" i="5" l="1"/>
  <c r="M361" i="5" l="1"/>
  <c r="U361" i="5" s="1"/>
  <c r="M256" i="5"/>
  <c r="U256" i="5" s="1"/>
  <c r="M1445" i="5" l="1"/>
  <c r="M1413" i="5"/>
  <c r="M1367" i="5"/>
  <c r="M1213" i="5" l="1"/>
  <c r="M1214" i="5"/>
  <c r="M1172" i="5" l="1"/>
  <c r="M1149" i="5"/>
  <c r="O1893" i="5" l="1"/>
  <c r="Q1893" i="5"/>
  <c r="Y1893" i="5" l="1"/>
  <c r="M952" i="5"/>
  <c r="M842" i="5"/>
  <c r="M834" i="5"/>
  <c r="M648" i="5" l="1"/>
  <c r="M625" i="5"/>
  <c r="M526" i="5"/>
  <c r="L638" i="5" l="1"/>
  <c r="L626" i="5"/>
  <c r="L634" i="5"/>
  <c r="M426" i="5" l="1"/>
  <c r="U426" i="5" s="1"/>
  <c r="M321" i="5"/>
  <c r="U321" i="5" s="1"/>
  <c r="M316" i="5"/>
  <c r="U316" i="5" s="1"/>
  <c r="M250" i="5" l="1"/>
  <c r="U250" i="5" s="1"/>
  <c r="M231" i="5" l="1"/>
  <c r="U231" i="5" s="1"/>
  <c r="M197" i="5"/>
  <c r="U197" i="5" s="1"/>
  <c r="M165" i="5"/>
  <c r="U165" i="5" s="1"/>
  <c r="M143" i="5"/>
  <c r="U143" i="5" s="1"/>
  <c r="M95" i="5"/>
  <c r="U95" i="5" s="1"/>
  <c r="L1834" i="5" l="1"/>
  <c r="L1811" i="5" l="1"/>
  <c r="L1777" i="5"/>
  <c r="L1691" i="5"/>
  <c r="L1621" i="5"/>
  <c r="L1613" i="5"/>
  <c r="L903" i="5" l="1"/>
  <c r="T902" i="5"/>
  <c r="R4535" i="5"/>
  <c r="L4535" i="5"/>
  <c r="G4535" i="5"/>
  <c r="E4535" i="5"/>
  <c r="D4535" i="5"/>
  <c r="R4534" i="5"/>
  <c r="L4534" i="5"/>
  <c r="G4534" i="5"/>
  <c r="E4534" i="5"/>
  <c r="D4534" i="5"/>
  <c r="R4533" i="5"/>
  <c r="L4533" i="5"/>
  <c r="G4533" i="5"/>
  <c r="E4533" i="5"/>
  <c r="D4533" i="5"/>
  <c r="R4532" i="5"/>
  <c r="L4532" i="5"/>
  <c r="G4532" i="5"/>
  <c r="E4532" i="5"/>
  <c r="D4532" i="5"/>
  <c r="A4532" i="5"/>
  <c r="A4533" i="5" s="1"/>
  <c r="A4534" i="5" s="1"/>
  <c r="A4535" i="5" s="1"/>
  <c r="M4531" i="5"/>
  <c r="O4531" i="5" s="1"/>
  <c r="L1734" i="5"/>
  <c r="L1807" i="5"/>
  <c r="R4531" i="5" l="1"/>
  <c r="Q4531" i="5"/>
  <c r="L4531" i="5" s="1"/>
  <c r="T4531" i="5" l="1"/>
  <c r="L2077" i="5" l="1"/>
  <c r="L2075" i="5"/>
  <c r="A2071" i="5"/>
  <c r="A2072" i="5" s="1"/>
  <c r="A2073" i="5" s="1"/>
  <c r="A2074" i="5" s="1"/>
  <c r="A2075" i="5" s="1"/>
  <c r="L2068" i="5"/>
  <c r="L2066" i="5"/>
  <c r="L2064" i="5"/>
  <c r="L2062" i="5"/>
  <c r="L2060" i="5"/>
  <c r="L2058" i="5"/>
  <c r="L2056" i="5"/>
  <c r="L2053" i="5"/>
  <c r="L2051" i="5"/>
  <c r="L2049" i="5"/>
  <c r="L2047" i="5"/>
  <c r="L2045" i="5"/>
  <c r="L2043" i="5"/>
  <c r="L2041" i="5"/>
  <c r="L2039" i="5"/>
  <c r="L2037" i="5"/>
  <c r="L2034" i="5"/>
  <c r="L2031" i="5"/>
  <c r="L2029" i="5"/>
  <c r="L2027" i="5"/>
  <c r="L2025" i="5"/>
  <c r="L2023" i="5"/>
  <c r="L2021" i="5"/>
  <c r="L2022" i="5"/>
  <c r="L2033" i="5"/>
  <c r="L2036" i="5"/>
  <c r="L2055" i="5"/>
  <c r="L2070" i="5"/>
  <c r="L2071" i="5"/>
  <c r="L2072" i="5"/>
  <c r="L2073" i="5"/>
  <c r="L2074" i="5"/>
  <c r="L2020" i="5"/>
  <c r="R2075" i="5"/>
  <c r="R2074" i="5"/>
  <c r="R2073" i="5"/>
  <c r="R2072" i="5"/>
  <c r="R2071" i="5"/>
  <c r="R2070" i="5"/>
  <c r="R2068" i="5"/>
  <c r="R2066" i="5"/>
  <c r="R2062" i="5"/>
  <c r="R2060" i="5"/>
  <c r="R2058" i="5"/>
  <c r="R2053" i="5"/>
  <c r="R2051" i="5"/>
  <c r="R2049" i="5"/>
  <c r="R2045" i="5"/>
  <c r="R2043" i="5"/>
  <c r="R2041" i="5"/>
  <c r="R2037" i="5"/>
  <c r="R2036" i="5"/>
  <c r="R2034" i="5"/>
  <c r="R2033" i="5"/>
  <c r="R2031" i="5"/>
  <c r="R2027" i="5"/>
  <c r="R2026" i="5"/>
  <c r="R2025" i="5"/>
  <c r="R2023" i="5"/>
  <c r="R2022" i="5"/>
  <c r="R2021" i="5"/>
  <c r="R2020" i="5"/>
  <c r="R2029" i="5" l="1"/>
  <c r="R2039" i="5"/>
  <c r="R2047" i="5"/>
  <c r="R2055" i="5"/>
  <c r="R2056" i="5"/>
  <c r="R2064" i="5"/>
  <c r="R2077" i="5"/>
  <c r="R2019" i="5" l="1"/>
  <c r="L2019" i="5"/>
  <c r="S2019" i="5" l="1"/>
  <c r="G591" i="5" l="1"/>
  <c r="G592" i="5"/>
  <c r="G593" i="5"/>
  <c r="G594" i="5"/>
  <c r="G595" i="5"/>
  <c r="L494" i="5"/>
  <c r="R29" i="5" l="1"/>
  <c r="R1733" i="5"/>
  <c r="R1706" i="5"/>
  <c r="R4389" i="5"/>
  <c r="R4400" i="5"/>
  <c r="R4401" i="5"/>
  <c r="R4627" i="5"/>
  <c r="R4510" i="5"/>
  <c r="R4501" i="5"/>
  <c r="R4500" i="5"/>
  <c r="R4388" i="5"/>
  <c r="R4368" i="5"/>
  <c r="R4367" i="5"/>
  <c r="R4331" i="5"/>
  <c r="R4330" i="5"/>
  <c r="R4318" i="5"/>
  <c r="R4297" i="5"/>
  <c r="R4290" i="5"/>
  <c r="R4288" i="5"/>
  <c r="R4285" i="5"/>
  <c r="R4268" i="5"/>
  <c r="R4267" i="5"/>
  <c r="R4266" i="5"/>
  <c r="R4263" i="5"/>
  <c r="R4255" i="5"/>
  <c r="R4254" i="5"/>
  <c r="R4553" i="5"/>
  <c r="R4503" i="5"/>
  <c r="R4502" i="5"/>
  <c r="R4476" i="5"/>
  <c r="R4475" i="5"/>
  <c r="R4361" i="5"/>
  <c r="R4360" i="5"/>
  <c r="R4359" i="5"/>
  <c r="R4358" i="5"/>
  <c r="R4357" i="5"/>
  <c r="R4356" i="5"/>
  <c r="R4355" i="5"/>
  <c r="R4329" i="5"/>
  <c r="R4301" i="5"/>
  <c r="R4278" i="5"/>
  <c r="R4274" i="5"/>
  <c r="R4273" i="5"/>
  <c r="R4265" i="5"/>
  <c r="R4264" i="5"/>
  <c r="R4261" i="5"/>
  <c r="R4260" i="5"/>
  <c r="R4257" i="5"/>
  <c r="R4256" i="5"/>
  <c r="R4252" i="5"/>
  <c r="R3450" i="5"/>
  <c r="R3449" i="5"/>
  <c r="R3448" i="5"/>
  <c r="R3387" i="5"/>
  <c r="R3381" i="5"/>
  <c r="R3375" i="5"/>
  <c r="R3371" i="5"/>
  <c r="R3366" i="5"/>
  <c r="R3365" i="5"/>
  <c r="R3362" i="5"/>
  <c r="R3354" i="5"/>
  <c r="R3359" i="5"/>
  <c r="R3358" i="5"/>
  <c r="R3356" i="5"/>
  <c r="R3342" i="5"/>
  <c r="R3341" i="5"/>
  <c r="R2775" i="5"/>
  <c r="R2439" i="5"/>
  <c r="R2438" i="5"/>
  <c r="R2430" i="5"/>
  <c r="R2429" i="5"/>
  <c r="R2428" i="5"/>
  <c r="R2427" i="5"/>
  <c r="R2426" i="5"/>
  <c r="R2372" i="5"/>
  <c r="R2371" i="5"/>
  <c r="R2361" i="5"/>
  <c r="R2337" i="5"/>
  <c r="R2336" i="5"/>
  <c r="R2335" i="5"/>
  <c r="R2320" i="5"/>
  <c r="R2323" i="5"/>
  <c r="R2322" i="5"/>
  <c r="R2321" i="5"/>
  <c r="R2319" i="5"/>
  <c r="R2318" i="5"/>
  <c r="R2317" i="5"/>
  <c r="R2291" i="5"/>
  <c r="R2271" i="5"/>
  <c r="R2270" i="5"/>
  <c r="R2269" i="5"/>
  <c r="R2240" i="5"/>
  <c r="R2268" i="5"/>
  <c r="R2239" i="5"/>
  <c r="R2238" i="5"/>
  <c r="R2192" i="5"/>
  <c r="R2191" i="5"/>
  <c r="R2118" i="5"/>
  <c r="R2112" i="5"/>
  <c r="R2107" i="5"/>
  <c r="R2086" i="5"/>
  <c r="R2085" i="5"/>
  <c r="R2014" i="5"/>
  <c r="R2013" i="5"/>
  <c r="R2009" i="5"/>
  <c r="R2008" i="5"/>
  <c r="R2007" i="5"/>
  <c r="R2005" i="5"/>
  <c r="R2004" i="5"/>
  <c r="R2003" i="5"/>
  <c r="R2002" i="5"/>
  <c r="R2001" i="5"/>
  <c r="R1996" i="5"/>
  <c r="R1995" i="5"/>
  <c r="R1994" i="5"/>
  <c r="R1988" i="5"/>
  <c r="R1987" i="5"/>
  <c r="R1986" i="5"/>
  <c r="R1985" i="5"/>
  <c r="R1984" i="5"/>
  <c r="R1983" i="5"/>
  <c r="R1982" i="5"/>
  <c r="R1981" i="5"/>
  <c r="R1980" i="5"/>
  <c r="R1979" i="5"/>
  <c r="R1976" i="5"/>
  <c r="R1975" i="5"/>
  <c r="R1974" i="5"/>
  <c r="R1973" i="5"/>
  <c r="R1972" i="5"/>
  <c r="R1971" i="5"/>
  <c r="R1970" i="5"/>
  <c r="R1969" i="5"/>
  <c r="R1965" i="5"/>
  <c r="R1959" i="5"/>
  <c r="R1958" i="5"/>
  <c r="R1951" i="5"/>
  <c r="R1950" i="5"/>
  <c r="R1948" i="5"/>
  <c r="R1941" i="5"/>
  <c r="R1865" i="5"/>
  <c r="R1725" i="5"/>
  <c r="R1592" i="5"/>
  <c r="R4251" i="5" l="1"/>
  <c r="R4249" i="5"/>
  <c r="R4248" i="5"/>
  <c r="R4247" i="5"/>
  <c r="R4245" i="5"/>
  <c r="R4244" i="5"/>
  <c r="R4243" i="5"/>
  <c r="R4242" i="5"/>
  <c r="R4241" i="5"/>
  <c r="R4240" i="5"/>
  <c r="R4203" i="5"/>
  <c r="R4181" i="5"/>
  <c r="R4180" i="5"/>
  <c r="R4179" i="5"/>
  <c r="R4150" i="5"/>
  <c r="R4152" i="5"/>
  <c r="R4151" i="5"/>
  <c r="R4138" i="5"/>
  <c r="R4135" i="5"/>
  <c r="R4102" i="5"/>
  <c r="R4100" i="5"/>
  <c r="R4034" i="5"/>
  <c r="R4008" i="5"/>
  <c r="R3944" i="5"/>
  <c r="R3833" i="5"/>
  <c r="R3788" i="5"/>
  <c r="R3777" i="5"/>
  <c r="R3776" i="5"/>
  <c r="R3753" i="5"/>
  <c r="R3745" i="5"/>
  <c r="R3744" i="5"/>
  <c r="R3737" i="5"/>
  <c r="R3660" i="5"/>
  <c r="R3659" i="5"/>
  <c r="R3599" i="5"/>
  <c r="R3568" i="5"/>
  <c r="R3567" i="5"/>
  <c r="R3565" i="5"/>
  <c r="R3564" i="5"/>
  <c r="R3557" i="5"/>
  <c r="R3548" i="5"/>
  <c r="R3547" i="5"/>
  <c r="R3502" i="5"/>
  <c r="R3463" i="5"/>
  <c r="R3410" i="5"/>
  <c r="R3409" i="5"/>
  <c r="R3408" i="5"/>
  <c r="R3407" i="5"/>
  <c r="R3402" i="5"/>
  <c r="R3338" i="5" l="1"/>
  <c r="R3345" i="5"/>
  <c r="R3344" i="5"/>
  <c r="R3336" i="5"/>
  <c r="R3335" i="5"/>
  <c r="R3330" i="5"/>
  <c r="R3323" i="5"/>
  <c r="R3321" i="5"/>
  <c r="R3314" i="5"/>
  <c r="R3313" i="5"/>
  <c r="R3312" i="5"/>
  <c r="R3311" i="5"/>
  <c r="R3301" i="5"/>
  <c r="R3227" i="5"/>
  <c r="R3214" i="5"/>
  <c r="R3154" i="5"/>
  <c r="R3150" i="5"/>
  <c r="R3149" i="5"/>
  <c r="R3105" i="5"/>
  <c r="R3102" i="5"/>
  <c r="R3100" i="5"/>
  <c r="R3095" i="5"/>
  <c r="R3094" i="5"/>
  <c r="R3086" i="5"/>
  <c r="R3085" i="5"/>
  <c r="R3069" i="5"/>
  <c r="R3064" i="5"/>
  <c r="R3058" i="5"/>
  <c r="R3050" i="5"/>
  <c r="R3043" i="5"/>
  <c r="R3042" i="5"/>
  <c r="R3037" i="5"/>
  <c r="R3036" i="5"/>
  <c r="R3023" i="5"/>
  <c r="R2960" i="5"/>
  <c r="R2927" i="5"/>
  <c r="R2919" i="5"/>
  <c r="R2903" i="5"/>
  <c r="R2906" i="5"/>
  <c r="R2828" i="5"/>
  <c r="R2790" i="5"/>
  <c r="R2789" i="5"/>
  <c r="R2792" i="5"/>
  <c r="R2791" i="5"/>
  <c r="R2788" i="5"/>
  <c r="R2787" i="5"/>
  <c r="R2786" i="5"/>
  <c r="R2785" i="5"/>
  <c r="R2784" i="5"/>
  <c r="R2783" i="5"/>
  <c r="R2782" i="5"/>
  <c r="R2781" i="5"/>
  <c r="R2780" i="5"/>
  <c r="R2779" i="5"/>
  <c r="R2778" i="5"/>
  <c r="R2777" i="5"/>
  <c r="R2776" i="5"/>
  <c r="R2774" i="5"/>
  <c r="R2744" i="5"/>
  <c r="R2745" i="5"/>
  <c r="R2743" i="5"/>
  <c r="R2715" i="5"/>
  <c r="R2708" i="5"/>
  <c r="R2707" i="5"/>
  <c r="R2706" i="5"/>
  <c r="R2705" i="5"/>
  <c r="R2687" i="5"/>
  <c r="R2686" i="5"/>
  <c r="R2685" i="5"/>
  <c r="R2684" i="5"/>
  <c r="R2683" i="5"/>
  <c r="R2682" i="5"/>
  <c r="R2681" i="5"/>
  <c r="R2680" i="5"/>
  <c r="R2679" i="5"/>
  <c r="R2678" i="5"/>
  <c r="R2677" i="5"/>
  <c r="R2653" i="5"/>
  <c r="R2631" i="5"/>
  <c r="R2579" i="5"/>
  <c r="R2574" i="5"/>
  <c r="R1545" i="5"/>
  <c r="R1497" i="5"/>
  <c r="R1494" i="5"/>
  <c r="R1492" i="5"/>
  <c r="R1441" i="5"/>
  <c r="R1413" i="5"/>
  <c r="R1382" i="5"/>
  <c r="R1380" i="5"/>
  <c r="R1353" i="5"/>
  <c r="R1352" i="5"/>
  <c r="R1351" i="5"/>
  <c r="R1350" i="5"/>
  <c r="R1349" i="5"/>
  <c r="R1348" i="5"/>
  <c r="R1347" i="5"/>
  <c r="R1346" i="5"/>
  <c r="R1345" i="5"/>
  <c r="R1344" i="5"/>
  <c r="R1343" i="5"/>
  <c r="R1342" i="5"/>
  <c r="R1341" i="5"/>
  <c r="R1340" i="5"/>
  <c r="R1339" i="5"/>
  <c r="R1338" i="5"/>
  <c r="R1328" i="5"/>
  <c r="R1297" i="5"/>
  <c r="R1296" i="5"/>
  <c r="R1295" i="5"/>
  <c r="R1294" i="5"/>
  <c r="R1293" i="5"/>
  <c r="R1279" i="5"/>
  <c r="R1241" i="5"/>
  <c r="R1207" i="5"/>
  <c r="R1140" i="5"/>
  <c r="R1138" i="5"/>
  <c r="R1111" i="5"/>
  <c r="R1110" i="5"/>
  <c r="R1117" i="5"/>
  <c r="R1116" i="5"/>
  <c r="R1115" i="5"/>
  <c r="R1114" i="5"/>
  <c r="R1113" i="5"/>
  <c r="R1112" i="5"/>
  <c r="R1109" i="5"/>
  <c r="R1108" i="5"/>
  <c r="R1107" i="5"/>
  <c r="R1106" i="5"/>
  <c r="R1105" i="5"/>
  <c r="R1104" i="5"/>
  <c r="R1103" i="5"/>
  <c r="R1102" i="5"/>
  <c r="R1095" i="5"/>
  <c r="R1084" i="5"/>
  <c r="R1076" i="5"/>
  <c r="R1067" i="5"/>
  <c r="R1062" i="5"/>
  <c r="R1054" i="5"/>
  <c r="R1047" i="5"/>
  <c r="R1048" i="5"/>
  <c r="R1046" i="5"/>
  <c r="R1045" i="5"/>
  <c r="R1013" i="5"/>
  <c r="R1012" i="5"/>
  <c r="R1011" i="5"/>
  <c r="R998" i="5"/>
  <c r="R997" i="5"/>
  <c r="R996" i="5"/>
  <c r="R989" i="5"/>
  <c r="R990" i="5"/>
  <c r="R988" i="5"/>
  <c r="R977" i="5"/>
  <c r="R976" i="5"/>
  <c r="R975" i="5"/>
  <c r="R967" i="5"/>
  <c r="R949" i="5"/>
  <c r="R948" i="5"/>
  <c r="R934" i="5"/>
  <c r="R845" i="5"/>
  <c r="R844" i="5"/>
  <c r="R839" i="5"/>
  <c r="R831" i="5"/>
  <c r="R830" i="5"/>
  <c r="R829" i="5"/>
  <c r="R820" i="5"/>
  <c r="R803" i="5"/>
  <c r="R783" i="5"/>
  <c r="R761" i="5"/>
  <c r="R760" i="5"/>
  <c r="R731" i="5"/>
  <c r="R730" i="5"/>
  <c r="R729" i="5"/>
  <c r="R668" i="5"/>
  <c r="R667" i="5"/>
  <c r="R645" i="5"/>
  <c r="R633" i="5"/>
  <c r="R631" i="5"/>
  <c r="R612" i="5"/>
  <c r="R609" i="5"/>
  <c r="R549" i="5"/>
  <c r="R541" i="5"/>
  <c r="R530" i="5"/>
  <c r="R514" i="5"/>
  <c r="R513" i="5"/>
  <c r="R512" i="5"/>
  <c r="R511" i="5"/>
  <c r="R509" i="5"/>
  <c r="R508" i="5"/>
  <c r="R507" i="5"/>
  <c r="R506" i="5"/>
  <c r="R505" i="5"/>
  <c r="R499" i="5"/>
  <c r="R498" i="5"/>
  <c r="R497" i="5"/>
  <c r="R496" i="5"/>
  <c r="L4481" i="5" l="1"/>
  <c r="G4481" i="5"/>
  <c r="E4481" i="5"/>
  <c r="D4481" i="5"/>
  <c r="M4480" i="5"/>
  <c r="R4480" i="5" s="1"/>
  <c r="A2090" i="5"/>
  <c r="A2091" i="5" s="1"/>
  <c r="A2092" i="5" s="1"/>
  <c r="A2093" i="5" s="1"/>
  <c r="A2094" i="5" s="1"/>
  <c r="A2095" i="5" s="1"/>
  <c r="A2096" i="5" s="1"/>
  <c r="A2097" i="5" s="1"/>
  <c r="A2098" i="5" s="1"/>
  <c r="A2099" i="5" s="1"/>
  <c r="A2100" i="5" s="1"/>
  <c r="A2101" i="5" s="1"/>
  <c r="A2102" i="5" s="1"/>
  <c r="A2103" i="5" s="1"/>
  <c r="A2104" i="5" s="1"/>
  <c r="A2105" i="5" s="1"/>
  <c r="A2106" i="5" s="1"/>
  <c r="R2090" i="5"/>
  <c r="L2090" i="5"/>
  <c r="S2090" i="5" s="1"/>
  <c r="N4480" i="5" l="1"/>
  <c r="Q4480" i="5"/>
  <c r="R2121" i="5"/>
  <c r="L2121" i="5"/>
  <c r="L2101" i="5"/>
  <c r="L2100" i="5"/>
  <c r="L2097" i="5"/>
  <c r="L2094" i="5"/>
  <c r="L2093" i="5"/>
  <c r="A4372" i="5"/>
  <c r="A4373" i="5" s="1"/>
  <c r="A4374" i="5" s="1"/>
  <c r="A4375" i="5" s="1"/>
  <c r="A4376" i="5" s="1"/>
  <c r="A4377" i="5" s="1"/>
  <c r="A4378" i="5" s="1"/>
  <c r="L4378" i="5"/>
  <c r="L4375" i="5"/>
  <c r="L4376" i="5"/>
  <c r="L4377" i="5"/>
  <c r="L4373" i="5"/>
  <c r="L4374" i="5"/>
  <c r="R4372" i="5"/>
  <c r="L4372" i="5"/>
  <c r="S4372" i="5" s="1"/>
  <c r="L4480" i="5" l="1"/>
  <c r="T4480" i="5" l="1"/>
  <c r="R493" i="5" l="1"/>
  <c r="R492" i="5"/>
  <c r="R491" i="5"/>
  <c r="R490" i="5"/>
  <c r="R489" i="5"/>
  <c r="R486" i="5"/>
  <c r="R487" i="5"/>
  <c r="R485" i="5"/>
  <c r="R484" i="5"/>
  <c r="R483" i="5"/>
  <c r="R482" i="5"/>
  <c r="R480" i="5"/>
  <c r="R479" i="5"/>
  <c r="R478" i="5"/>
  <c r="R477" i="5"/>
  <c r="R476" i="5"/>
  <c r="R475" i="5"/>
  <c r="R474" i="5"/>
  <c r="R473" i="5"/>
  <c r="R472" i="5"/>
  <c r="R471" i="5"/>
  <c r="R470" i="5"/>
  <c r="R469" i="5"/>
  <c r="R467" i="5"/>
  <c r="R468" i="5"/>
  <c r="R466" i="5"/>
  <c r="R464" i="5"/>
  <c r="R463" i="5"/>
  <c r="R461" i="5"/>
  <c r="R460" i="5"/>
  <c r="R459" i="5"/>
  <c r="R458" i="5"/>
  <c r="R456" i="5"/>
  <c r="R454" i="5"/>
  <c r="R453" i="5"/>
  <c r="R452" i="5"/>
  <c r="R451" i="5"/>
  <c r="R450" i="5"/>
  <c r="R449" i="5"/>
  <c r="R448" i="5"/>
  <c r="R447" i="5"/>
  <c r="R446" i="5"/>
  <c r="R445" i="5"/>
  <c r="R444" i="5"/>
  <c r="R443" i="5"/>
  <c r="R442" i="5"/>
  <c r="R590" i="5"/>
  <c r="R588" i="5"/>
  <c r="R587" i="5"/>
  <c r="R441" i="5" l="1"/>
  <c r="R440" i="5"/>
  <c r="R439" i="5"/>
  <c r="R438" i="5"/>
  <c r="R426" i="5"/>
  <c r="R414" i="5"/>
  <c r="R385" i="5"/>
  <c r="R382" i="5"/>
  <c r="R373" i="5"/>
  <c r="R369" i="5"/>
  <c r="R365" i="5"/>
  <c r="R358" i="5"/>
  <c r="R343" i="5"/>
  <c r="R320" i="5"/>
  <c r="R314" i="5"/>
  <c r="R313" i="5"/>
  <c r="R298" i="5"/>
  <c r="R278" i="5"/>
  <c r="R268" i="5"/>
  <c r="R265" i="5"/>
  <c r="R239" i="5"/>
  <c r="R229" i="5"/>
  <c r="R168" i="5"/>
  <c r="R146" i="5"/>
  <c r="R128" i="5"/>
  <c r="R120" i="5"/>
  <c r="R115" i="5"/>
  <c r="R103" i="5"/>
  <c r="R100" i="5"/>
  <c r="R99" i="5"/>
  <c r="R101" i="5"/>
  <c r="R98" i="5"/>
  <c r="R97" i="5"/>
  <c r="R87" i="5"/>
  <c r="R79" i="5"/>
  <c r="R72" i="5"/>
  <c r="R40" i="5"/>
  <c r="R15" i="5"/>
  <c r="R4315" i="5"/>
  <c r="R4172" i="5"/>
  <c r="R4170" i="5"/>
  <c r="R4166" i="5"/>
  <c r="R3915" i="5"/>
  <c r="R3869" i="5"/>
  <c r="R3848" i="5"/>
  <c r="R3528" i="5"/>
  <c r="R3496" i="5"/>
  <c r="R3618" i="5"/>
  <c r="R3411" i="5"/>
  <c r="R3357" i="5"/>
  <c r="R3334" i="5"/>
  <c r="R3303" i="5"/>
  <c r="R3293" i="5"/>
  <c r="R3292" i="5"/>
  <c r="R3288" i="5"/>
  <c r="R3256" i="5"/>
  <c r="R3255" i="5"/>
  <c r="R3183" i="5"/>
  <c r="R3182" i="5"/>
  <c r="R3098" i="5"/>
  <c r="R3070" i="5"/>
  <c r="R3061" i="5"/>
  <c r="R3053" i="5"/>
  <c r="R2993" i="5"/>
  <c r="R2990" i="5"/>
  <c r="R2989" i="5"/>
  <c r="R2987" i="5"/>
  <c r="R2986" i="5"/>
  <c r="R2985" i="5"/>
  <c r="R2984" i="5"/>
  <c r="R2958" i="5"/>
  <c r="R2957" i="5"/>
  <c r="R2956" i="5"/>
  <c r="R2955" i="5"/>
  <c r="R2954" i="5"/>
  <c r="R2953" i="5"/>
  <c r="R2952" i="5"/>
  <c r="R2951" i="5"/>
  <c r="R2949" i="5"/>
  <c r="R2948" i="5"/>
  <c r="R2947" i="5"/>
  <c r="R2946" i="5"/>
  <c r="R2945" i="5"/>
  <c r="R2944" i="5"/>
  <c r="R2943" i="5"/>
  <c r="R2942" i="5"/>
  <c r="R2941" i="5"/>
  <c r="R2940" i="5"/>
  <c r="R2939" i="5"/>
  <c r="R2938" i="5"/>
  <c r="R2937" i="5"/>
  <c r="R2936" i="5"/>
  <c r="R2924" i="5"/>
  <c r="R2922" i="5"/>
  <c r="R2934" i="5"/>
  <c r="R2932" i="5"/>
  <c r="R2931" i="5"/>
  <c r="R2930" i="5"/>
  <c r="R2929" i="5"/>
  <c r="R2928" i="5"/>
  <c r="R2926" i="5"/>
  <c r="R2923" i="5"/>
  <c r="R2921" i="5"/>
  <c r="R2920" i="5"/>
  <c r="R2918" i="5"/>
  <c r="R2904" i="5"/>
  <c r="R2913" i="5"/>
  <c r="R2912" i="5"/>
  <c r="R2911" i="5"/>
  <c r="R2910" i="5"/>
  <c r="R2909" i="5"/>
  <c r="R2908" i="5"/>
  <c r="R2907" i="5"/>
  <c r="R2905" i="5"/>
  <c r="R2902" i="5"/>
  <c r="R2901" i="5"/>
  <c r="R2899" i="5"/>
  <c r="R2898" i="5"/>
  <c r="R2895" i="5"/>
  <c r="R2894" i="5"/>
  <c r="R2893" i="5"/>
  <c r="R2892" i="5"/>
  <c r="R2891" i="5"/>
  <c r="R2890" i="5"/>
  <c r="R2887" i="5"/>
  <c r="R2810" i="5"/>
  <c r="R2809" i="5"/>
  <c r="R2813" i="5"/>
  <c r="R2812" i="5"/>
  <c r="R2811" i="5"/>
  <c r="R2808" i="5"/>
  <c r="R2807" i="5"/>
  <c r="R2765" i="5"/>
  <c r="R2764" i="5"/>
  <c r="R2763" i="5"/>
  <c r="R2762" i="5"/>
  <c r="R2761" i="5"/>
  <c r="R2760" i="5"/>
  <c r="R2759" i="5"/>
  <c r="R2721" i="5"/>
  <c r="R2718" i="5"/>
  <c r="R2722" i="5"/>
  <c r="R2723" i="5"/>
  <c r="R2587" i="5"/>
  <c r="R2586" i="5"/>
  <c r="R2585" i="5"/>
  <c r="R2588" i="5"/>
  <c r="R2584" i="5"/>
  <c r="R2569" i="5"/>
  <c r="R2510" i="5"/>
  <c r="R2509" i="5"/>
  <c r="R2508" i="5"/>
  <c r="R2507" i="5"/>
  <c r="R2506" i="5"/>
  <c r="R2505" i="5"/>
  <c r="R2504" i="5"/>
  <c r="R2503" i="5"/>
  <c r="R2502" i="5"/>
  <c r="R2469" i="5"/>
  <c r="R2391" i="5"/>
  <c r="R2143" i="5"/>
  <c r="R2137" i="5"/>
  <c r="R2134" i="5"/>
  <c r="R2133" i="5"/>
  <c r="R2135" i="5"/>
  <c r="R2136" i="5"/>
  <c r="R2138" i="5"/>
  <c r="R2139" i="5"/>
  <c r="R2140" i="5"/>
  <c r="R2141" i="5"/>
  <c r="R2142" i="5"/>
  <c r="R2132" i="5"/>
  <c r="R2124" i="5"/>
  <c r="R2089" i="5"/>
  <c r="R2083" i="5"/>
  <c r="R1544" i="5"/>
  <c r="R1543" i="5"/>
  <c r="R1541" i="5"/>
  <c r="R1540" i="5"/>
  <c r="R1539" i="5"/>
  <c r="R1538" i="5"/>
  <c r="R1532" i="5"/>
  <c r="R1530" i="5"/>
  <c r="R1537" i="5"/>
  <c r="R1534" i="5"/>
  <c r="R1531" i="5"/>
  <c r="R1529" i="5"/>
  <c r="R1526" i="5"/>
  <c r="R1525" i="5"/>
  <c r="R1523" i="5"/>
  <c r="R1522" i="5"/>
  <c r="R1520" i="5"/>
  <c r="R1519" i="5"/>
  <c r="R1518" i="5"/>
  <c r="R1517" i="5"/>
  <c r="R1516" i="5"/>
  <c r="R1515" i="5"/>
  <c r="R1514" i="5"/>
  <c r="R1513" i="5"/>
  <c r="R1512" i="5"/>
  <c r="R1511" i="5"/>
  <c r="R1509" i="5"/>
  <c r="R1508" i="5"/>
  <c r="R1507" i="5"/>
  <c r="R1506" i="5"/>
  <c r="R1505" i="5"/>
  <c r="R1504" i="5"/>
  <c r="R1503" i="5"/>
  <c r="R1502" i="5"/>
  <c r="R1501" i="5"/>
  <c r="R1500" i="5"/>
  <c r="R1499" i="5"/>
  <c r="R1498" i="5"/>
  <c r="R1490" i="5"/>
  <c r="R1487" i="5"/>
  <c r="R1489" i="5"/>
  <c r="R1488" i="5"/>
  <c r="R1484" i="5"/>
  <c r="R1483" i="5"/>
  <c r="R1482" i="5"/>
  <c r="R1481" i="5"/>
  <c r="R1480" i="5"/>
  <c r="R1479" i="5"/>
  <c r="R1472" i="5"/>
  <c r="R1476" i="5"/>
  <c r="R1478" i="5"/>
  <c r="R1477" i="5"/>
  <c r="R1475" i="5"/>
  <c r="R1474" i="5"/>
  <c r="R1473" i="5"/>
  <c r="R1471" i="5"/>
  <c r="R1470" i="5"/>
  <c r="R1468" i="5"/>
  <c r="R1467" i="5"/>
  <c r="R1466" i="5"/>
  <c r="R1465" i="5"/>
  <c r="R1464" i="5"/>
  <c r="R1462" i="5"/>
  <c r="R1386" i="5"/>
  <c r="R1385" i="5"/>
  <c r="R1384" i="5"/>
  <c r="R1383" i="5"/>
  <c r="R1376" i="5"/>
  <c r="R1375" i="5"/>
  <c r="R1331" i="5"/>
  <c r="R1330" i="5"/>
  <c r="R1326" i="5"/>
  <c r="R1225" i="5"/>
  <c r="R1223" i="5"/>
  <c r="R1222" i="5"/>
  <c r="R1221" i="5"/>
  <c r="R1220" i="5"/>
  <c r="R1219" i="5"/>
  <c r="R1218" i="5"/>
  <c r="R1217" i="5"/>
  <c r="R4171" i="5"/>
  <c r="R4169" i="5"/>
  <c r="R4168" i="5"/>
  <c r="R4167" i="5"/>
  <c r="R4165" i="5"/>
  <c r="R4164" i="5"/>
  <c r="R4069" i="5"/>
  <c r="R3916" i="5"/>
  <c r="R3272" i="5"/>
  <c r="R3271" i="5"/>
  <c r="R3269" i="5"/>
  <c r="R3264" i="5"/>
  <c r="R3165" i="5"/>
  <c r="R3164" i="5"/>
  <c r="R3160" i="5"/>
  <c r="R2997" i="5"/>
  <c r="R2711" i="5"/>
  <c r="R2501" i="5"/>
  <c r="R908" i="5" l="1"/>
  <c r="R772" i="5"/>
  <c r="R537" i="5"/>
  <c r="R111" i="5" l="1"/>
  <c r="R110" i="5"/>
  <c r="R108" i="5"/>
  <c r="R107" i="5"/>
  <c r="R106" i="5"/>
  <c r="R95" i="5"/>
  <c r="R94" i="5"/>
  <c r="R93" i="5"/>
  <c r="R91" i="5"/>
  <c r="R90" i="5"/>
  <c r="R89" i="5"/>
  <c r="R88" i="5"/>
  <c r="R86" i="5"/>
  <c r="R85" i="5"/>
  <c r="R80" i="5"/>
  <c r="R78" i="5"/>
  <c r="R69" i="5"/>
  <c r="R64" i="5"/>
  <c r="R62" i="5"/>
  <c r="R61" i="5"/>
  <c r="R59" i="5"/>
  <c r="R56" i="5"/>
  <c r="R54" i="5"/>
  <c r="R51" i="5"/>
  <c r="R45" i="5"/>
  <c r="R43" i="5"/>
  <c r="R42" i="5"/>
  <c r="R41" i="5"/>
  <c r="R39" i="5"/>
  <c r="R33" i="5"/>
  <c r="R32" i="5"/>
  <c r="R30" i="5"/>
  <c r="R27" i="5"/>
  <c r="R25" i="5"/>
  <c r="R23" i="5"/>
  <c r="R22" i="5"/>
  <c r="R17" i="5"/>
  <c r="R16" i="5"/>
  <c r="P2079" i="5" l="1"/>
  <c r="L70" i="5"/>
  <c r="L2867" i="5" l="1"/>
  <c r="L2869" i="5"/>
  <c r="A2502" i="5" l="1"/>
  <c r="A2503" i="5" s="1"/>
  <c r="A2504" i="5" s="1"/>
  <c r="A2505" i="5" s="1"/>
  <c r="A2506" i="5" s="1"/>
  <c r="A2507" i="5" s="1"/>
  <c r="A2508" i="5" s="1"/>
  <c r="A2509" i="5" s="1"/>
  <c r="A2510" i="5" s="1"/>
  <c r="A2738" i="5"/>
  <c r="A2739" i="5" s="1"/>
  <c r="A2796" i="5"/>
  <c r="A2797" i="5" s="1"/>
  <c r="A2832" i="5"/>
  <c r="M2695" i="5" l="1"/>
  <c r="R2695" i="5" s="1"/>
  <c r="L2695" i="5" l="1"/>
  <c r="L4331" i="5" l="1"/>
  <c r="A4330" i="5"/>
  <c r="A4331" i="5" s="1"/>
  <c r="L4330" i="5"/>
  <c r="T4330" i="5" s="1"/>
  <c r="L3599" i="5"/>
  <c r="R3598" i="5"/>
  <c r="Q3598" i="5"/>
  <c r="L3598" i="5" s="1"/>
  <c r="R2120" i="5"/>
  <c r="L2120" i="5"/>
  <c r="R2119" i="5"/>
  <c r="L2119" i="5"/>
  <c r="R4371" i="5"/>
  <c r="L4371" i="5"/>
  <c r="R4369" i="5"/>
  <c r="L4369" i="5"/>
  <c r="S4369" i="5" s="1"/>
  <c r="S4371" i="5" l="1"/>
  <c r="L2118" i="5"/>
  <c r="G2118" i="5"/>
  <c r="L4367" i="5"/>
  <c r="R4366" i="5"/>
  <c r="L4366" i="5"/>
  <c r="R4365" i="5"/>
  <c r="L4365" i="5"/>
  <c r="S4365" i="5" s="1"/>
  <c r="R4364" i="5"/>
  <c r="L4364" i="5"/>
  <c r="S4364" i="5" s="1"/>
  <c r="R4363" i="5"/>
  <c r="L4363" i="5"/>
  <c r="S4363" i="5" s="1"/>
  <c r="R4362" i="5"/>
  <c r="L4362" i="5"/>
  <c r="S4362" i="5" s="1"/>
  <c r="D4362" i="5"/>
  <c r="L819" i="5"/>
  <c r="S2579" i="5" l="1"/>
  <c r="S2574" i="5"/>
  <c r="L99" i="5" l="1"/>
  <c r="L312" i="5"/>
  <c r="L105" i="5"/>
  <c r="M1427" i="5" l="1"/>
  <c r="M462" i="5"/>
  <c r="U462" i="5" s="1"/>
  <c r="R462" i="5" l="1"/>
  <c r="M2773" i="5" l="1"/>
  <c r="L2773" i="5" s="1"/>
  <c r="L2791" i="5"/>
  <c r="L2792" i="5"/>
  <c r="L2790" i="5"/>
  <c r="S2790" i="5" s="1"/>
  <c r="L4138" i="5"/>
  <c r="S4138" i="5" s="1"/>
  <c r="M4137" i="5"/>
  <c r="L4137" i="5" s="1"/>
  <c r="M4136" i="5"/>
  <c r="L4136" i="5" s="1"/>
  <c r="S4137" i="5" l="1"/>
  <c r="R4137" i="5"/>
  <c r="R4136" i="5"/>
  <c r="O119" i="1"/>
  <c r="M2582" i="5"/>
  <c r="R2582" i="5" s="1"/>
  <c r="R2098" i="5" l="1"/>
  <c r="L4361" i="5" l="1"/>
  <c r="L4360" i="5"/>
  <c r="L4359" i="5"/>
  <c r="L4358" i="5"/>
  <c r="L4357" i="5"/>
  <c r="S4357" i="5" s="1"/>
  <c r="L4356" i="5"/>
  <c r="S4356" i="5" s="1"/>
  <c r="L4355" i="5"/>
  <c r="S4355" i="5" s="1"/>
  <c r="R4354" i="5"/>
  <c r="L4354" i="5"/>
  <c r="S4354" i="5" s="1"/>
  <c r="R4353" i="5"/>
  <c r="L4353" i="5"/>
  <c r="S4353" i="5" s="1"/>
  <c r="R4352" i="5"/>
  <c r="L4352" i="5"/>
  <c r="S4352" i="5" s="1"/>
  <c r="R4351" i="5"/>
  <c r="L4351" i="5"/>
  <c r="S4351" i="5" s="1"/>
  <c r="R4350" i="5"/>
  <c r="L4350" i="5"/>
  <c r="S4350" i="5" s="1"/>
  <c r="R4349" i="5"/>
  <c r="L4349" i="5"/>
  <c r="S4349" i="5" s="1"/>
  <c r="R4348" i="5"/>
  <c r="L4348" i="5"/>
  <c r="S4348" i="5" s="1"/>
  <c r="L4347" i="5"/>
  <c r="R2117" i="5"/>
  <c r="L2117" i="5"/>
  <c r="R2116" i="5"/>
  <c r="L2116" i="5"/>
  <c r="R2115" i="5"/>
  <c r="L2115" i="5"/>
  <c r="E591" i="5"/>
  <c r="E592" i="5"/>
  <c r="E593" i="5"/>
  <c r="E594" i="5"/>
  <c r="D595" i="5"/>
  <c r="E595" i="5"/>
  <c r="R595" i="5" s="1"/>
  <c r="L595" i="5"/>
  <c r="L594" i="5"/>
  <c r="L593" i="5"/>
  <c r="L592" i="5"/>
  <c r="R591" i="5"/>
  <c r="L591" i="5"/>
  <c r="L590" i="5"/>
  <c r="R593" i="5" l="1"/>
  <c r="R592" i="5"/>
  <c r="R594" i="5"/>
  <c r="M2671" i="5" l="1"/>
  <c r="L197" i="2" l="1"/>
  <c r="M2656" i="5"/>
  <c r="R2656" i="5" s="1"/>
  <c r="D2656" i="5"/>
  <c r="L2656" i="5" l="1"/>
  <c r="S2656" i="5" s="1"/>
  <c r="C182" i="2" l="1"/>
  <c r="R194" i="1" s="1"/>
  <c r="D182" i="2"/>
  <c r="G344" i="2"/>
  <c r="R4630" i="5"/>
  <c r="L4630" i="5"/>
  <c r="S4630" i="5" s="1"/>
  <c r="D4630" i="5"/>
  <c r="M4629" i="5"/>
  <c r="R4629" i="5" s="1"/>
  <c r="D4629" i="5"/>
  <c r="M4628" i="5"/>
  <c r="L4628" i="5" s="1"/>
  <c r="C342" i="2" s="1"/>
  <c r="D4628" i="5"/>
  <c r="M4626" i="5"/>
  <c r="L4626" i="5" s="1"/>
  <c r="S4626" i="5" s="1"/>
  <c r="D4626" i="5"/>
  <c r="M4625" i="5"/>
  <c r="R4625" i="5" s="1"/>
  <c r="D4625" i="5"/>
  <c r="M4624" i="5"/>
  <c r="L4624" i="5" s="1"/>
  <c r="S4624" i="5" s="1"/>
  <c r="D4624" i="5"/>
  <c r="M4623" i="5"/>
  <c r="R4623" i="5" s="1"/>
  <c r="D4623" i="5"/>
  <c r="A318" i="2"/>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R4622" i="5"/>
  <c r="L4622" i="5"/>
  <c r="D336" i="2" s="1"/>
  <c r="D4622" i="5"/>
  <c r="Q194" i="1" l="1"/>
  <c r="L4623" i="5"/>
  <c r="S4623" i="5" s="1"/>
  <c r="Q356" i="1"/>
  <c r="R356" i="1"/>
  <c r="O4629" i="5"/>
  <c r="L4629" i="5" s="1"/>
  <c r="S4629" i="5" s="1"/>
  <c r="C336" i="2"/>
  <c r="L4625" i="5"/>
  <c r="S4625" i="5" s="1"/>
  <c r="R4624" i="5"/>
  <c r="C340" i="2"/>
  <c r="C344" i="2"/>
  <c r="D341" i="2"/>
  <c r="C341" i="2"/>
  <c r="D342" i="2"/>
  <c r="D338" i="2"/>
  <c r="D340" i="2"/>
  <c r="H344" i="2"/>
  <c r="R4626" i="5"/>
  <c r="C338" i="2"/>
  <c r="S4628" i="5"/>
  <c r="R4628" i="5"/>
  <c r="L4401" i="5"/>
  <c r="T4401" i="5" s="1"/>
  <c r="Q4402" i="5"/>
  <c r="P4402" i="5"/>
  <c r="O4402" i="5"/>
  <c r="N4402" i="5"/>
  <c r="M4402" i="5"/>
  <c r="J4402" i="5"/>
  <c r="G4402" i="5"/>
  <c r="E4402" i="5"/>
  <c r="D4402" i="5"/>
  <c r="D337" i="2" l="1"/>
  <c r="C337" i="2"/>
  <c r="Q354" i="1"/>
  <c r="R354" i="1"/>
  <c r="R352" i="1"/>
  <c r="Q352" i="1"/>
  <c r="R355" i="1"/>
  <c r="Q355" i="1"/>
  <c r="R358" i="1"/>
  <c r="Q358" i="1"/>
  <c r="D339" i="2"/>
  <c r="C339" i="2"/>
  <c r="C343" i="2"/>
  <c r="D343" i="2"/>
  <c r="Q353" i="1" l="1"/>
  <c r="R353" i="1"/>
  <c r="R357" i="1"/>
  <c r="Q357" i="1"/>
  <c r="Q351" i="1"/>
  <c r="R351" i="1"/>
  <c r="R350" i="1"/>
  <c r="Q350" i="1"/>
  <c r="L2750" i="5"/>
  <c r="L2749" i="5"/>
  <c r="L2748" i="5"/>
  <c r="R4436" i="5" l="1"/>
  <c r="R4435" i="5"/>
  <c r="W4436" i="5"/>
  <c r="Q4436" i="5" l="1"/>
  <c r="L4436" i="5" l="1"/>
  <c r="T4436" i="5" l="1"/>
  <c r="L4435" i="5" l="1"/>
  <c r="T4435" i="5" l="1"/>
  <c r="L4101" i="5"/>
  <c r="R2750" i="5"/>
  <c r="R4101" i="5"/>
  <c r="S1490" i="5" l="1"/>
  <c r="S1492" i="5"/>
  <c r="S1494" i="5"/>
  <c r="S1502" i="5"/>
  <c r="S1546" i="5"/>
  <c r="S1548" i="5"/>
  <c r="S1550" i="5"/>
  <c r="S1552" i="5"/>
  <c r="S1554" i="5"/>
  <c r="S1556" i="5"/>
  <c r="S1558" i="5"/>
  <c r="S1560" i="5"/>
  <c r="S1562" i="5"/>
  <c r="S1564" i="5"/>
  <c r="S1583" i="5"/>
  <c r="S1585" i="5"/>
  <c r="S1587" i="5"/>
  <c r="S1594" i="5"/>
  <c r="S1598" i="5"/>
  <c r="S1614" i="5"/>
  <c r="S1619" i="5"/>
  <c r="S1622" i="5"/>
  <c r="S1638" i="5"/>
  <c r="S1651" i="5"/>
  <c r="S1659" i="5"/>
  <c r="S1690" i="5"/>
  <c r="S1703" i="5"/>
  <c r="S1706" i="5"/>
  <c r="S1707" i="5"/>
  <c r="S1715" i="5"/>
  <c r="S1724" i="5"/>
  <c r="S1733" i="5"/>
  <c r="S1751" i="5"/>
  <c r="S1792" i="5"/>
  <c r="S1800" i="5"/>
  <c r="S1802" i="5"/>
  <c r="S1845" i="5"/>
  <c r="S1850" i="5"/>
  <c r="S1900" i="5"/>
  <c r="S1903" i="5"/>
  <c r="S1918" i="5"/>
  <c r="S1926" i="5"/>
  <c r="S1942" i="5"/>
  <c r="S1944" i="5"/>
  <c r="S1947" i="5"/>
  <c r="S1949" i="5"/>
  <c r="S1953" i="5"/>
  <c r="S1980" i="5"/>
  <c r="S1982" i="5"/>
  <c r="S1984" i="5"/>
  <c r="S1986" i="5"/>
  <c r="S1990" i="5"/>
  <c r="S1993" i="5"/>
  <c r="A1496" i="5"/>
  <c r="L1495" i="5"/>
  <c r="R1493" i="5"/>
  <c r="L1493" i="5"/>
  <c r="S1493" i="5" s="1"/>
  <c r="R1491" i="5"/>
  <c r="L1491" i="5"/>
  <c r="S1491" i="5" s="1"/>
  <c r="L1489" i="5"/>
  <c r="L1488" i="5"/>
  <c r="L1487" i="5"/>
  <c r="L1486" i="5"/>
  <c r="L1485" i="5"/>
  <c r="L1484" i="5"/>
  <c r="L1483" i="5"/>
  <c r="L1482" i="5"/>
  <c r="L1481" i="5"/>
  <c r="L1480" i="5"/>
  <c r="L1479" i="5"/>
  <c r="L1478" i="5"/>
  <c r="L1477" i="5"/>
  <c r="L1476" i="5"/>
  <c r="L1475" i="5"/>
  <c r="L1474" i="5"/>
  <c r="L1473" i="5"/>
  <c r="L1472" i="5"/>
  <c r="L1471" i="5"/>
  <c r="L1470" i="5"/>
  <c r="L1469" i="5"/>
  <c r="S1469" i="5" l="1"/>
  <c r="S1473" i="5"/>
  <c r="S1477" i="5"/>
  <c r="S1481" i="5"/>
  <c r="S1485" i="5"/>
  <c r="S1489" i="5"/>
  <c r="S1495" i="5"/>
  <c r="S1470" i="5"/>
  <c r="S1474" i="5"/>
  <c r="S1478" i="5"/>
  <c r="S1482" i="5"/>
  <c r="S1486" i="5"/>
  <c r="S1471" i="5"/>
  <c r="S1475" i="5"/>
  <c r="S1479" i="5"/>
  <c r="S1483" i="5"/>
  <c r="S1487" i="5"/>
  <c r="S1472" i="5"/>
  <c r="S1476" i="5"/>
  <c r="S1480" i="5"/>
  <c r="S1484" i="5"/>
  <c r="S1488" i="5"/>
  <c r="O125" i="1"/>
  <c r="O124" i="1"/>
  <c r="O123" i="1"/>
  <c r="O122" i="1"/>
  <c r="O121" i="1"/>
  <c r="O120" i="1"/>
  <c r="O118" i="1"/>
  <c r="O117" i="1"/>
  <c r="O116" i="1"/>
  <c r="O115" i="1"/>
  <c r="O114" i="1"/>
  <c r="O113" i="1"/>
  <c r="O112" i="1"/>
  <c r="O111" i="1"/>
  <c r="O110" i="1"/>
  <c r="O109" i="1"/>
  <c r="O108" i="1"/>
  <c r="O107" i="1"/>
  <c r="M4093" i="5" l="1"/>
  <c r="L1296" i="5"/>
  <c r="L1297" i="5"/>
  <c r="M1291" i="5" l="1"/>
  <c r="M1290" i="5"/>
  <c r="M1282" i="5"/>
  <c r="M1030" i="5"/>
  <c r="M1029" i="5"/>
  <c r="M1018" i="5"/>
  <c r="M411" i="5"/>
  <c r="U411" i="5" s="1"/>
  <c r="L2765" i="5" l="1"/>
  <c r="L2789" i="5"/>
  <c r="L2788" i="5"/>
  <c r="A4112" i="5"/>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L4135" i="5"/>
  <c r="S4135" i="5" s="1"/>
  <c r="S2789" i="5" l="1"/>
  <c r="A4135" i="5"/>
  <c r="A4136" i="5" s="1"/>
  <c r="A4137" i="5" s="1"/>
  <c r="A4138" i="5" s="1"/>
  <c r="S2788" i="5"/>
  <c r="L2783" i="5"/>
  <c r="L2775" i="5"/>
  <c r="L2776" i="5"/>
  <c r="L2777" i="5"/>
  <c r="L2778" i="5"/>
  <c r="L2779" i="5"/>
  <c r="L2780" i="5"/>
  <c r="L2781" i="5"/>
  <c r="L2782" i="5"/>
  <c r="L2774" i="5"/>
  <c r="Q2793" i="5"/>
  <c r="P2793" i="5"/>
  <c r="O2793" i="5"/>
  <c r="N2793" i="5"/>
  <c r="L89" i="5"/>
  <c r="S2783" i="5" l="1"/>
  <c r="S2781" i="5"/>
  <c r="S2777" i="5"/>
  <c r="S2774" i="5"/>
  <c r="S2778" i="5"/>
  <c r="S2782" i="5"/>
  <c r="S2780" i="5"/>
  <c r="S2776" i="5"/>
  <c r="S2779" i="5"/>
  <c r="S2775" i="5"/>
  <c r="M4345" i="5" l="1"/>
  <c r="L4345" i="5" l="1"/>
  <c r="R4345" i="5"/>
  <c r="Y514" i="5" l="1"/>
  <c r="L2372" i="5" l="1"/>
  <c r="M2514" i="5" l="1"/>
  <c r="L2514" i="5" l="1"/>
  <c r="S2514" i="5" s="1"/>
  <c r="W2514" i="5"/>
  <c r="R2514" i="5"/>
  <c r="L2501" i="5" l="1"/>
  <c r="M1425" i="5" l="1"/>
  <c r="M823" i="5"/>
  <c r="M818" i="5"/>
  <c r="M488" i="5"/>
  <c r="U488" i="5" s="1"/>
  <c r="R488" i="5" l="1"/>
  <c r="M399" i="5"/>
  <c r="U399" i="5" s="1"/>
  <c r="M396" i="5"/>
  <c r="U396" i="5" s="1"/>
  <c r="M288" i="5"/>
  <c r="U288" i="5" s="1"/>
  <c r="M248" i="5"/>
  <c r="U248" i="5" s="1"/>
  <c r="L3463" i="5" l="1"/>
  <c r="S3463" i="5" s="1"/>
  <c r="R3469" i="5"/>
  <c r="L3469" i="5"/>
  <c r="S3469" i="5" s="1"/>
  <c r="G3469" i="5"/>
  <c r="R3468" i="5"/>
  <c r="L3468" i="5"/>
  <c r="S3468" i="5" s="1"/>
  <c r="R3467" i="5"/>
  <c r="L3467" i="5"/>
  <c r="S3467" i="5" s="1"/>
  <c r="R3466" i="5"/>
  <c r="L3466" i="5"/>
  <c r="S3466" i="5" s="1"/>
  <c r="R3465" i="5"/>
  <c r="L3465" i="5"/>
  <c r="S3465" i="5" s="1"/>
  <c r="R3464" i="5"/>
  <c r="L3464" i="5"/>
  <c r="S3464" i="5" s="1"/>
  <c r="R3462" i="5"/>
  <c r="L3462" i="5"/>
  <c r="S3462" i="5" s="1"/>
  <c r="R3461" i="5"/>
  <c r="L3461" i="5"/>
  <c r="S3461" i="5" s="1"/>
  <c r="R3460" i="5"/>
  <c r="L3460" i="5"/>
  <c r="S3460" i="5" s="1"/>
  <c r="R3459" i="5"/>
  <c r="L3459" i="5"/>
  <c r="S3459" i="5" s="1"/>
  <c r="R3458" i="5"/>
  <c r="L3458" i="5"/>
  <c r="S3458" i="5" s="1"/>
  <c r="A2372" i="5" l="1"/>
  <c r="S2372" i="5"/>
  <c r="R2242" i="5"/>
  <c r="L2242" i="5"/>
  <c r="R2241" i="5"/>
  <c r="L2241" i="5"/>
  <c r="A3415" i="5"/>
  <c r="R2114" i="5"/>
  <c r="L2114" i="5"/>
  <c r="R2113" i="5"/>
  <c r="L2113" i="5"/>
  <c r="R2111" i="5"/>
  <c r="L2111" i="5"/>
  <c r="R2110" i="5"/>
  <c r="L2110" i="5"/>
  <c r="R2109" i="5"/>
  <c r="L2109" i="5"/>
  <c r="R2108" i="5"/>
  <c r="L2108" i="5"/>
  <c r="L2107" i="5"/>
  <c r="R3457" i="5"/>
  <c r="L3457" i="5"/>
  <c r="S3457" i="5" s="1"/>
  <c r="R3456" i="5"/>
  <c r="L3456" i="5"/>
  <c r="S3456" i="5" s="1"/>
  <c r="R3455" i="5"/>
  <c r="L3455" i="5"/>
  <c r="S3455" i="5" s="1"/>
  <c r="R3454" i="5"/>
  <c r="L3454" i="5"/>
  <c r="R3453" i="5"/>
  <c r="L3453" i="5"/>
  <c r="S3453" i="5" s="1"/>
  <c r="R3452" i="5"/>
  <c r="L3452" i="5"/>
  <c r="S3452" i="5" s="1"/>
  <c r="A953" i="5"/>
  <c r="S3454" i="5" l="1"/>
  <c r="L2433" i="5"/>
  <c r="G2433" i="5"/>
  <c r="R2433" i="5" s="1"/>
  <c r="Q2434" i="5"/>
  <c r="P2434" i="5"/>
  <c r="O2434" i="5"/>
  <c r="N2434" i="5"/>
  <c r="M2434" i="5"/>
  <c r="J2434" i="5"/>
  <c r="E2434" i="5"/>
  <c r="D2434" i="5"/>
  <c r="S2433" i="5" l="1"/>
  <c r="L2434" i="5"/>
  <c r="G2434" i="5"/>
  <c r="S2434" i="5" l="1"/>
  <c r="N2079" i="5" l="1"/>
  <c r="O2079" i="5"/>
  <c r="Q2079" i="5"/>
  <c r="L2002" i="5"/>
  <c r="L2001" i="5"/>
  <c r="L2000" i="5"/>
  <c r="L1999" i="5"/>
  <c r="L1998" i="5"/>
  <c r="L1997" i="5"/>
  <c r="L1675" i="5"/>
  <c r="L1674" i="5"/>
  <c r="S1675" i="5" l="1"/>
  <c r="S2000" i="5"/>
  <c r="S1997" i="5"/>
  <c r="S2001" i="5"/>
  <c r="S1998" i="5"/>
  <c r="S2002" i="5"/>
  <c r="S1674" i="5"/>
  <c r="S1999" i="5"/>
  <c r="R1594" i="5"/>
  <c r="L2784" i="5" l="1"/>
  <c r="L2785" i="5"/>
  <c r="L2786" i="5"/>
  <c r="L2787" i="5"/>
  <c r="S2787" i="5" l="1"/>
  <c r="S2773" i="5"/>
  <c r="S2785" i="5"/>
  <c r="S2786" i="5"/>
  <c r="S2784" i="5"/>
  <c r="L1411" i="5" l="1"/>
  <c r="L1241" i="5"/>
  <c r="M753" i="5" l="1"/>
  <c r="M457" i="5"/>
  <c r="U457" i="5" s="1"/>
  <c r="M355" i="5"/>
  <c r="U355" i="5" s="1"/>
  <c r="M124" i="5"/>
  <c r="U124" i="5" s="1"/>
  <c r="R457" i="5" l="1"/>
  <c r="G174" i="2"/>
  <c r="M2648" i="5"/>
  <c r="G314" i="2"/>
  <c r="L4033" i="5"/>
  <c r="C313" i="2" s="1"/>
  <c r="L4034" i="5"/>
  <c r="H314" i="2" s="1"/>
  <c r="Q326" i="1" l="1"/>
  <c r="F313" i="2"/>
  <c r="D4033" i="5"/>
  <c r="K197" i="2" l="1"/>
  <c r="Q197" i="2"/>
  <c r="R2671" i="5"/>
  <c r="M2672" i="5"/>
  <c r="R197" i="2" l="1"/>
  <c r="R200" i="2" s="1"/>
  <c r="S2672" i="5"/>
  <c r="L2671" i="5"/>
  <c r="S2671" i="5" s="1"/>
  <c r="R2672" i="5"/>
  <c r="C197" i="2" l="1"/>
  <c r="G2346" i="5"/>
  <c r="M2346" i="5" s="1"/>
  <c r="E2346" i="5"/>
  <c r="D2346" i="5"/>
  <c r="R2345" i="5"/>
  <c r="L2345" i="5"/>
  <c r="R209" i="1" l="1"/>
  <c r="S2345" i="5"/>
  <c r="T2345" i="5"/>
  <c r="R2346" i="5"/>
  <c r="M4346" i="5"/>
  <c r="R4346" i="5" s="1"/>
  <c r="Q209" i="1" l="1"/>
  <c r="L2346" i="5"/>
  <c r="L4346" i="5"/>
  <c r="G4346" i="5"/>
  <c r="E4346" i="5"/>
  <c r="E4345" i="5"/>
  <c r="G4345" i="5"/>
  <c r="R4175" i="5"/>
  <c r="Q4175" i="5"/>
  <c r="L4175" i="5" s="1"/>
  <c r="R4174" i="5"/>
  <c r="Q4174" i="5"/>
  <c r="O4174" i="5"/>
  <c r="L2828" i="5"/>
  <c r="L2813" i="5"/>
  <c r="L2812" i="5"/>
  <c r="L2811" i="5"/>
  <c r="L2810" i="5"/>
  <c r="L2809" i="5"/>
  <c r="L2808" i="5"/>
  <c r="L2807" i="5"/>
  <c r="N4177" i="5"/>
  <c r="P4177" i="5"/>
  <c r="J4177" i="5"/>
  <c r="G4177" i="5"/>
  <c r="E4177" i="5"/>
  <c r="D4177" i="5"/>
  <c r="R4176" i="5"/>
  <c r="Q4176" i="5"/>
  <c r="L4176" i="5" s="1"/>
  <c r="L4174" i="5" l="1"/>
  <c r="R2827" i="5"/>
  <c r="R2826" i="5"/>
  <c r="R2825" i="5"/>
  <c r="M2816" i="5"/>
  <c r="L4172" i="5"/>
  <c r="L2825" i="5" l="1"/>
  <c r="R2816" i="5"/>
  <c r="L2816" i="5"/>
  <c r="L2826" i="5"/>
  <c r="L2827" i="5"/>
  <c r="D2622" i="5" l="1"/>
  <c r="D2609" i="5"/>
  <c r="A4093" i="5" l="1"/>
  <c r="M2740" i="5"/>
  <c r="M2739" i="5" l="1"/>
  <c r="R4092" i="5"/>
  <c r="R4091" i="5"/>
  <c r="L4091" i="5"/>
  <c r="R2205" i="5"/>
  <c r="L1542" i="5" l="1"/>
  <c r="S1542" i="5" s="1"/>
  <c r="L1515" i="5"/>
  <c r="S1515" i="5" s="1"/>
  <c r="L2888" i="5"/>
  <c r="L425" i="5"/>
  <c r="L3101" i="5" l="1"/>
  <c r="L1705" i="5"/>
  <c r="S1705" i="5" l="1"/>
  <c r="L2902" i="5"/>
  <c r="F277" i="2" l="1"/>
  <c r="M3995" i="5"/>
  <c r="L2014" i="5" l="1"/>
  <c r="S2014" i="5" s="1"/>
  <c r="L2013" i="5"/>
  <c r="S2013" i="5" s="1"/>
  <c r="L2009" i="5" l="1"/>
  <c r="S2009" i="5" s="1"/>
  <c r="L2008" i="5"/>
  <c r="S2008" i="5" s="1"/>
  <c r="L2007" i="5"/>
  <c r="S2007" i="5" s="1"/>
  <c r="L1593" i="5" l="1"/>
  <c r="L2889" i="5"/>
  <c r="L2890" i="5"/>
  <c r="L2891" i="5"/>
  <c r="L2892" i="5"/>
  <c r="L2893" i="5"/>
  <c r="L2895" i="5"/>
  <c r="L2896" i="5"/>
  <c r="L2897" i="5"/>
  <c r="L2898" i="5"/>
  <c r="L2899" i="5"/>
  <c r="L2900" i="5"/>
  <c r="L2901" i="5"/>
  <c r="L2904" i="5"/>
  <c r="L2907" i="5"/>
  <c r="L2908" i="5"/>
  <c r="L2909" i="5"/>
  <c r="L2910" i="5"/>
  <c r="L2911" i="5"/>
  <c r="L2912" i="5"/>
  <c r="L2913" i="5"/>
  <c r="L2914" i="5"/>
  <c r="L2915" i="5"/>
  <c r="L2916" i="5"/>
  <c r="L2917" i="5"/>
  <c r="L1526" i="5"/>
  <c r="S1526" i="5" s="1"/>
  <c r="L2920" i="5"/>
  <c r="L2921" i="5"/>
  <c r="L2922" i="5"/>
  <c r="L2923" i="5"/>
  <c r="L2924" i="5"/>
  <c r="L2925" i="5"/>
  <c r="L2928" i="5"/>
  <c r="L2929" i="5"/>
  <c r="L2930" i="5"/>
  <c r="L2931" i="5"/>
  <c r="L2932" i="5"/>
  <c r="L2933" i="5"/>
  <c r="L2934" i="5"/>
  <c r="L2935" i="5"/>
  <c r="L2936" i="5"/>
  <c r="L2937" i="5"/>
  <c r="L2938" i="5"/>
  <c r="L2939" i="5"/>
  <c r="L2940" i="5"/>
  <c r="L2941" i="5"/>
  <c r="L2942" i="5"/>
  <c r="L2943" i="5"/>
  <c r="L2944" i="5"/>
  <c r="L2945" i="5"/>
  <c r="L2946" i="5"/>
  <c r="L2947" i="5"/>
  <c r="L2948" i="5"/>
  <c r="L2949" i="5"/>
  <c r="L2950" i="5"/>
  <c r="L2951" i="5"/>
  <c r="L2952" i="5"/>
  <c r="L2953" i="5"/>
  <c r="L2954" i="5"/>
  <c r="L2955" i="5"/>
  <c r="L2956" i="5"/>
  <c r="L2957" i="5"/>
  <c r="L2958" i="5"/>
  <c r="L2887" i="5"/>
  <c r="A2887" i="5"/>
  <c r="A2888" i="5" s="1"/>
  <c r="A2889" i="5" s="1"/>
  <c r="S1593" i="5" l="1"/>
  <c r="A2890" i="5"/>
  <c r="A2891" i="5" s="1"/>
  <c r="A2892" i="5" s="1"/>
  <c r="A2893" i="5" s="1"/>
  <c r="A2894" i="5" l="1"/>
  <c r="A2895" i="5" s="1"/>
  <c r="A2896" i="5" s="1"/>
  <c r="A2897" i="5" s="1"/>
  <c r="A2898" i="5" s="1"/>
  <c r="A2899" i="5" s="1"/>
  <c r="A2900" i="5" s="1"/>
  <c r="A2901" i="5" s="1"/>
  <c r="A2902" i="5" s="1"/>
  <c r="A2904" i="5" s="1"/>
  <c r="A2905" i="5" s="1"/>
  <c r="A2907" i="5" s="1"/>
  <c r="A2908" i="5" s="1"/>
  <c r="A2909" i="5" s="1"/>
  <c r="A2910" i="5" s="1"/>
  <c r="A2911" i="5" s="1"/>
  <c r="A2912" i="5" s="1"/>
  <c r="A2913" i="5" s="1"/>
  <c r="A2914" i="5" s="1"/>
  <c r="A2915" i="5" s="1"/>
  <c r="A2916" i="5" s="1"/>
  <c r="A2917" i="5" s="1"/>
  <c r="A2918" i="5" s="1"/>
  <c r="A2920" i="5" s="1"/>
  <c r="A2921" i="5" s="1"/>
  <c r="A2922" i="5" s="1"/>
  <c r="A2923" i="5" s="1"/>
  <c r="A2924" i="5" s="1"/>
  <c r="A2925" i="5" s="1"/>
  <c r="A2926"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l="1"/>
  <c r="A2961" i="5" s="1"/>
  <c r="L510" i="5" l="1"/>
  <c r="S510" i="5" s="1"/>
  <c r="L2006" i="5" l="1"/>
  <c r="S2006" i="5" s="1"/>
  <c r="R2006" i="5"/>
  <c r="J2793" i="5" l="1"/>
  <c r="G2793" i="5"/>
  <c r="E2793" i="5"/>
  <c r="D2793" i="5"/>
  <c r="P4139" i="5" l="1"/>
  <c r="J4139" i="5"/>
  <c r="G4139" i="5"/>
  <c r="E4139" i="5"/>
  <c r="D4139" i="5"/>
  <c r="L1563" i="5" l="1"/>
  <c r="L1561" i="5"/>
  <c r="L1559" i="5"/>
  <c r="L1557" i="5"/>
  <c r="S1557" i="5" l="1"/>
  <c r="S1561" i="5"/>
  <c r="S1559" i="5"/>
  <c r="S1563" i="5"/>
  <c r="L1788" i="5"/>
  <c r="S1788" i="5" s="1"/>
  <c r="R1788" i="5"/>
  <c r="L1555" i="5"/>
  <c r="L1553" i="5"/>
  <c r="S1555" i="5" l="1"/>
  <c r="S1553" i="5"/>
  <c r="V3384" i="5" l="1"/>
  <c r="V3385" i="5"/>
  <c r="V3391" i="5"/>
  <c r="V3390" i="5"/>
  <c r="V3376" i="5"/>
  <c r="V2894" i="5" l="1"/>
  <c r="V2888" i="5"/>
  <c r="E200" i="2" l="1"/>
  <c r="L1551" i="5" l="1"/>
  <c r="S1551" i="5" s="1"/>
  <c r="L1549" i="5" l="1"/>
  <c r="L1547" i="5"/>
  <c r="S1547" i="5" s="1"/>
  <c r="L1545" i="5"/>
  <c r="L2005" i="5"/>
  <c r="L2004" i="5"/>
  <c r="L2003" i="5"/>
  <c r="R2000" i="5"/>
  <c r="R1999" i="5"/>
  <c r="R1998" i="5"/>
  <c r="R1997" i="5"/>
  <c r="L1544" i="5"/>
  <c r="L1543" i="5"/>
  <c r="L1541" i="5"/>
  <c r="L1540" i="5"/>
  <c r="L1539" i="5"/>
  <c r="L1538" i="5"/>
  <c r="L1537" i="5"/>
  <c r="L1536" i="5"/>
  <c r="L1535" i="5"/>
  <c r="L1534" i="5"/>
  <c r="L1533" i="5"/>
  <c r="L1532" i="5"/>
  <c r="L1531" i="5"/>
  <c r="L1530" i="5"/>
  <c r="L1529" i="5"/>
  <c r="L1528" i="5"/>
  <c r="L1527" i="5"/>
  <c r="L1525" i="5"/>
  <c r="L1524" i="5"/>
  <c r="L1523" i="5"/>
  <c r="L1522" i="5"/>
  <c r="L1521" i="5"/>
  <c r="L1520" i="5"/>
  <c r="L1519" i="5"/>
  <c r="L1518" i="5"/>
  <c r="L1517" i="5"/>
  <c r="L1516" i="5"/>
  <c r="L1514" i="5"/>
  <c r="L1513" i="5"/>
  <c r="L1512" i="5"/>
  <c r="L1511" i="5"/>
  <c r="L1510" i="5"/>
  <c r="L1509" i="5"/>
  <c r="L1508" i="5"/>
  <c r="L1507" i="5"/>
  <c r="L1506" i="5"/>
  <c r="L1505" i="5"/>
  <c r="L1504" i="5"/>
  <c r="L1503" i="5"/>
  <c r="L1501" i="5"/>
  <c r="L1500" i="5"/>
  <c r="L1499" i="5"/>
  <c r="L1498" i="5"/>
  <c r="L2894" i="5"/>
  <c r="L1497" i="5"/>
  <c r="S1501" i="5" l="1"/>
  <c r="S1506" i="5"/>
  <c r="S1510" i="5"/>
  <c r="S1514" i="5"/>
  <c r="S1519" i="5"/>
  <c r="S1523" i="5"/>
  <c r="S1528" i="5"/>
  <c r="S1532" i="5"/>
  <c r="S1536" i="5"/>
  <c r="S1540" i="5"/>
  <c r="S2003" i="5"/>
  <c r="S1498" i="5"/>
  <c r="S1503" i="5"/>
  <c r="S1507" i="5"/>
  <c r="S1511" i="5"/>
  <c r="S1516" i="5"/>
  <c r="S1520" i="5"/>
  <c r="S1524" i="5"/>
  <c r="S1529" i="5"/>
  <c r="S1533" i="5"/>
  <c r="S1537" i="5"/>
  <c r="S1541" i="5"/>
  <c r="S2004" i="5"/>
  <c r="S1549" i="5"/>
  <c r="S1499" i="5"/>
  <c r="S1504" i="5"/>
  <c r="S1508" i="5"/>
  <c r="S1512" i="5"/>
  <c r="S1517" i="5"/>
  <c r="S1521" i="5"/>
  <c r="S1525" i="5"/>
  <c r="S1530" i="5"/>
  <c r="S1534" i="5"/>
  <c r="S1538" i="5"/>
  <c r="S1543" i="5"/>
  <c r="S2005" i="5"/>
  <c r="S1497" i="5"/>
  <c r="S1500" i="5"/>
  <c r="S1505" i="5"/>
  <c r="S1509" i="5"/>
  <c r="S1513" i="5"/>
  <c r="S1518" i="5"/>
  <c r="S1522" i="5"/>
  <c r="S1527" i="5"/>
  <c r="S1531" i="5"/>
  <c r="S1535" i="5"/>
  <c r="S1539" i="5"/>
  <c r="S1544" i="5"/>
  <c r="S1545" i="5"/>
  <c r="P2829" i="5"/>
  <c r="N2829" i="5"/>
  <c r="J2829" i="5"/>
  <c r="G2829" i="5"/>
  <c r="E2829" i="5"/>
  <c r="D2829" i="5"/>
  <c r="A2808" i="5"/>
  <c r="A2809" i="5" s="1"/>
  <c r="A2810" i="5" s="1"/>
  <c r="A2811" i="5" s="1"/>
  <c r="A2812" i="5" s="1"/>
  <c r="L2764" i="5"/>
  <c r="L2763" i="5"/>
  <c r="L2762" i="5"/>
  <c r="L2761" i="5"/>
  <c r="L2760" i="5"/>
  <c r="L2759" i="5"/>
  <c r="A2760" i="5"/>
  <c r="A2761" i="5" s="1"/>
  <c r="A2762" i="5" s="1"/>
  <c r="A2763" i="5" s="1"/>
  <c r="A2764" i="5" s="1"/>
  <c r="D2746" i="5"/>
  <c r="L2723" i="5"/>
  <c r="L2722" i="5"/>
  <c r="L2721" i="5"/>
  <c r="M2720" i="5"/>
  <c r="M2719" i="5"/>
  <c r="L2718" i="5"/>
  <c r="M2717" i="5"/>
  <c r="M2716" i="5"/>
  <c r="A2717" i="5"/>
  <c r="A2718" i="5" s="1"/>
  <c r="A2719" i="5" s="1"/>
  <c r="A2720" i="5" s="1"/>
  <c r="A2721" i="5" s="1"/>
  <c r="A2722" i="5" s="1"/>
  <c r="A2723" i="5" s="1"/>
  <c r="A2724" i="5" s="1"/>
  <c r="R2714" i="5"/>
  <c r="L2714" i="5"/>
  <c r="R2713" i="5"/>
  <c r="L2713" i="5"/>
  <c r="R2712" i="5"/>
  <c r="L2712" i="5"/>
  <c r="A2712" i="5"/>
  <c r="A2713" i="5" s="1"/>
  <c r="A2714" i="5" s="1"/>
  <c r="P2675" i="5"/>
  <c r="N2675" i="5"/>
  <c r="J2675" i="5"/>
  <c r="G2675" i="5"/>
  <c r="E2675" i="5"/>
  <c r="P212" i="1"/>
  <c r="O212" i="1"/>
  <c r="N212" i="1"/>
  <c r="K212" i="1"/>
  <c r="J212" i="1"/>
  <c r="I212" i="1"/>
  <c r="H212" i="1"/>
  <c r="P126" i="1"/>
  <c r="N126" i="1"/>
  <c r="K126" i="1"/>
  <c r="J126" i="1"/>
  <c r="I126" i="1"/>
  <c r="H126" i="1"/>
  <c r="U200" i="2"/>
  <c r="T200" i="2"/>
  <c r="S200" i="2"/>
  <c r="Q200" i="2"/>
  <c r="N200" i="2"/>
  <c r="M200" i="2"/>
  <c r="J200" i="2"/>
  <c r="I200" i="2"/>
  <c r="G105" i="2"/>
  <c r="F105" i="2"/>
  <c r="G101" i="2"/>
  <c r="F101" i="2"/>
  <c r="A97" i="2"/>
  <c r="A98" i="2" s="1"/>
  <c r="A99" i="2" s="1"/>
  <c r="A100" i="2" s="1"/>
  <c r="A101" i="2" s="1"/>
  <c r="A102" i="2" s="1"/>
  <c r="A103" i="2" s="1"/>
  <c r="A104" i="2" s="1"/>
  <c r="A105" i="2" s="1"/>
  <c r="A106" i="2" s="1"/>
  <c r="A107" i="2" s="1"/>
  <c r="A108" i="2" s="1"/>
  <c r="A109" i="2" s="1"/>
  <c r="A110" i="2" s="1"/>
  <c r="A111" i="2" s="1"/>
  <c r="A112" i="2" s="1"/>
  <c r="A113" i="2" s="1"/>
  <c r="A114" i="2" s="1"/>
  <c r="L2588" i="5"/>
  <c r="S2588" i="5" s="1"/>
  <c r="L2587" i="5"/>
  <c r="S2587" i="5" s="1"/>
  <c r="D2587" i="5"/>
  <c r="L2586" i="5"/>
  <c r="S2586" i="5" s="1"/>
  <c r="D2586" i="5"/>
  <c r="L2585" i="5"/>
  <c r="S2585" i="5" s="1"/>
  <c r="D2585" i="5"/>
  <c r="L2584" i="5"/>
  <c r="S2584" i="5" s="1"/>
  <c r="D2584" i="5"/>
  <c r="R2583" i="5"/>
  <c r="L2583" i="5"/>
  <c r="S2583" i="5" s="1"/>
  <c r="D2583" i="5"/>
  <c r="L2582" i="5"/>
  <c r="S2582" i="5" s="1"/>
  <c r="D2582" i="5"/>
  <c r="R2581" i="5"/>
  <c r="L2581" i="5"/>
  <c r="S2581" i="5" s="1"/>
  <c r="D2581" i="5"/>
  <c r="R2580" i="5"/>
  <c r="L2580" i="5"/>
  <c r="S2580" i="5" s="1"/>
  <c r="D2580" i="5"/>
  <c r="A2581" i="5"/>
  <c r="A2582" i="5" s="1"/>
  <c r="A2583" i="5" s="1"/>
  <c r="A2584" i="5" s="1"/>
  <c r="A2585" i="5" s="1"/>
  <c r="A2586" i="5" s="1"/>
  <c r="A2587" i="5" s="1"/>
  <c r="A2588" i="5" s="1"/>
  <c r="A2589" i="5" s="1"/>
  <c r="M2578" i="5"/>
  <c r="L2578" i="5" s="1"/>
  <c r="S2578" i="5" s="1"/>
  <c r="D2578" i="5"/>
  <c r="R2577" i="5"/>
  <c r="L2577" i="5"/>
  <c r="S2577" i="5" s="1"/>
  <c r="D2577" i="5"/>
  <c r="R2576" i="5"/>
  <c r="L2576" i="5"/>
  <c r="S2576" i="5" s="1"/>
  <c r="D2576" i="5"/>
  <c r="R2575" i="5"/>
  <c r="L2575" i="5"/>
  <c r="S2575" i="5" s="1"/>
  <c r="D2575" i="5"/>
  <c r="A2576" i="5"/>
  <c r="A2577" i="5" s="1"/>
  <c r="A2578" i="5" s="1"/>
  <c r="M2573" i="5"/>
  <c r="D2573" i="5"/>
  <c r="R2572" i="5"/>
  <c r="L2572" i="5"/>
  <c r="S2572" i="5" s="1"/>
  <c r="R2571" i="5"/>
  <c r="L2571" i="5"/>
  <c r="S2571" i="5" s="1"/>
  <c r="D2571" i="5"/>
  <c r="R2570" i="5"/>
  <c r="L2570" i="5"/>
  <c r="S2570" i="5" s="1"/>
  <c r="D2570" i="5"/>
  <c r="L2569" i="5"/>
  <c r="S2569" i="5" s="1"/>
  <c r="D2569" i="5"/>
  <c r="L2568" i="5"/>
  <c r="S2568" i="5" s="1"/>
  <c r="D2568" i="5"/>
  <c r="A2569" i="5"/>
  <c r="A2570" i="5" s="1"/>
  <c r="A2571" i="5" s="1"/>
  <c r="A2572" i="5" s="1"/>
  <c r="A2573" i="5" s="1"/>
  <c r="Q2566" i="5"/>
  <c r="P2566" i="5"/>
  <c r="J2566" i="5"/>
  <c r="G2566" i="5"/>
  <c r="E2566" i="5"/>
  <c r="R2551" i="5"/>
  <c r="N2551" i="5"/>
  <c r="A2551" i="5"/>
  <c r="A2552" i="5" s="1"/>
  <c r="N2550" i="5"/>
  <c r="Q2548" i="5"/>
  <c r="P2548" i="5"/>
  <c r="N2548" i="5"/>
  <c r="J2548" i="5"/>
  <c r="G2548" i="5"/>
  <c r="E2548" i="5"/>
  <c r="D2548" i="5"/>
  <c r="L2510" i="5"/>
  <c r="L2509" i="5"/>
  <c r="L2508" i="5"/>
  <c r="L2507" i="5"/>
  <c r="L2506" i="5"/>
  <c r="L2505" i="5"/>
  <c r="L2504" i="5"/>
  <c r="L2503" i="5"/>
  <c r="L2502" i="5"/>
  <c r="M2499" i="5"/>
  <c r="R2498" i="5"/>
  <c r="L2498" i="5"/>
  <c r="S2498" i="5" s="1"/>
  <c r="L2497" i="5"/>
  <c r="S2497" i="5" s="1"/>
  <c r="L2496" i="5"/>
  <c r="S2496" i="5" s="1"/>
  <c r="M2495" i="5"/>
  <c r="A2496" i="5"/>
  <c r="A2497" i="5" s="1"/>
  <c r="A2498" i="5" s="1"/>
  <c r="A2499" i="5" s="1"/>
  <c r="Q2493" i="5"/>
  <c r="P2493" i="5"/>
  <c r="J2493" i="5"/>
  <c r="G2493" i="5"/>
  <c r="E2493" i="5"/>
  <c r="D2493" i="5"/>
  <c r="N2469" i="5"/>
  <c r="L2469" i="5" s="1"/>
  <c r="S2469" i="5" s="1"/>
  <c r="R2468" i="5"/>
  <c r="L2468" i="5"/>
  <c r="S2468" i="5" s="1"/>
  <c r="A2468" i="5"/>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R2467" i="5"/>
  <c r="L2467" i="5"/>
  <c r="S2467" i="5" s="1"/>
  <c r="Q2431" i="5"/>
  <c r="P2431" i="5"/>
  <c r="O2431" i="5"/>
  <c r="N2431" i="5"/>
  <c r="M2431" i="5"/>
  <c r="J2431" i="5"/>
  <c r="G2431" i="5"/>
  <c r="E2431" i="5"/>
  <c r="D2431" i="5"/>
  <c r="L2391" i="5"/>
  <c r="A2391" i="5"/>
  <c r="A2392" i="5" s="1"/>
  <c r="L2390" i="5"/>
  <c r="N2279" i="5"/>
  <c r="M2279" i="5"/>
  <c r="R2279" i="5" s="1"/>
  <c r="A2279" i="5"/>
  <c r="A2280" i="5" s="1"/>
  <c r="A2281" i="5" s="1"/>
  <c r="A2282" i="5" s="1"/>
  <c r="A2283" i="5" s="1"/>
  <c r="A2284" i="5" s="1"/>
  <c r="A2285" i="5" s="1"/>
  <c r="R2280" i="5"/>
  <c r="L2280" i="5"/>
  <c r="S2280" i="5" s="1"/>
  <c r="D2280" i="5"/>
  <c r="Q2193" i="5"/>
  <c r="P2193" i="5"/>
  <c r="O2193" i="5"/>
  <c r="N2193" i="5"/>
  <c r="M2193" i="5"/>
  <c r="J2193" i="5"/>
  <c r="G2193" i="5"/>
  <c r="E2193" i="5"/>
  <c r="D2193" i="5"/>
  <c r="L2143" i="5"/>
  <c r="L2142" i="5"/>
  <c r="L2141" i="5"/>
  <c r="L2140" i="5"/>
  <c r="L2139" i="5"/>
  <c r="L2138" i="5"/>
  <c r="L2137" i="5"/>
  <c r="L2136" i="5"/>
  <c r="L2135" i="5"/>
  <c r="L2134" i="5"/>
  <c r="L2133" i="5"/>
  <c r="L2132" i="5"/>
  <c r="L2131" i="5"/>
  <c r="S2131" i="5" s="1"/>
  <c r="L2130" i="5"/>
  <c r="S2130" i="5" s="1"/>
  <c r="L2129" i="5"/>
  <c r="S2129" i="5" s="1"/>
  <c r="L2128" i="5"/>
  <c r="S2128" i="5" s="1"/>
  <c r="L2127" i="5"/>
  <c r="S2127" i="5" s="1"/>
  <c r="R2126" i="5"/>
  <c r="L2126" i="5"/>
  <c r="S2126" i="5" s="1"/>
  <c r="R2125" i="5"/>
  <c r="L2125" i="5"/>
  <c r="L2124" i="5"/>
  <c r="S2124" i="5" s="1"/>
  <c r="A2125" i="5"/>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L2089" i="5"/>
  <c r="S2089" i="5" s="1"/>
  <c r="A2813" i="5" l="1"/>
  <c r="A2814" i="5" s="1"/>
  <c r="A2815" i="5" s="1"/>
  <c r="A2816" i="5" s="1"/>
  <c r="A2817" i="5" s="1"/>
  <c r="L2573" i="5"/>
  <c r="S2573" i="5" s="1"/>
  <c r="R2573" i="5"/>
  <c r="L2495" i="5"/>
  <c r="S2495" i="5" s="1"/>
  <c r="W2495" i="5"/>
  <c r="R2499" i="5"/>
  <c r="W2499" i="5"/>
  <c r="L2719" i="5"/>
  <c r="R2719" i="5"/>
  <c r="L2716" i="5"/>
  <c r="R2716" i="5"/>
  <c r="L2720" i="5"/>
  <c r="R2720" i="5"/>
  <c r="L2717" i="5"/>
  <c r="R2717" i="5"/>
  <c r="A2765" i="5"/>
  <c r="A2766" i="5" s="1"/>
  <c r="S2125" i="5"/>
  <c r="S2505" i="5"/>
  <c r="S2509" i="5"/>
  <c r="S2502" i="5"/>
  <c r="S2506" i="5"/>
  <c r="S2510" i="5"/>
  <c r="S2503" i="5"/>
  <c r="S2507" i="5"/>
  <c r="S2504" i="5"/>
  <c r="S2508" i="5"/>
  <c r="A115" i="2"/>
  <c r="A116" i="2" s="1"/>
  <c r="S2762" i="5"/>
  <c r="S2759" i="5"/>
  <c r="S2763" i="5"/>
  <c r="S2760" i="5"/>
  <c r="S2761" i="5"/>
  <c r="S2764" i="5"/>
  <c r="A2511" i="5"/>
  <c r="A2512" i="5" s="1"/>
  <c r="L2550" i="5"/>
  <c r="I213" i="1"/>
  <c r="K213" i="1"/>
  <c r="J213" i="1"/>
  <c r="P213" i="1"/>
  <c r="H213" i="1"/>
  <c r="N213" i="1"/>
  <c r="O126" i="1"/>
  <c r="O213" i="1" s="1"/>
  <c r="F110" i="2"/>
  <c r="H101" i="2"/>
  <c r="H105" i="2"/>
  <c r="C101" i="2"/>
  <c r="C105" i="2"/>
  <c r="C110" i="2"/>
  <c r="F96" i="2"/>
  <c r="C98" i="2"/>
  <c r="F98" i="2"/>
  <c r="C104" i="2"/>
  <c r="F106" i="2"/>
  <c r="C112" i="2"/>
  <c r="C108" i="2"/>
  <c r="F113" i="2"/>
  <c r="F109" i="2"/>
  <c r="C97" i="2"/>
  <c r="F97" i="2"/>
  <c r="C102" i="2"/>
  <c r="C103" i="2"/>
  <c r="C111" i="2"/>
  <c r="C107" i="2"/>
  <c r="F112" i="2"/>
  <c r="F108" i="2"/>
  <c r="C100" i="2"/>
  <c r="F100" i="2"/>
  <c r="F102" i="2"/>
  <c r="F104" i="2"/>
  <c r="C114" i="2"/>
  <c r="F111" i="2"/>
  <c r="F107" i="2"/>
  <c r="C96" i="2"/>
  <c r="C99" i="2"/>
  <c r="F99" i="2"/>
  <c r="F103" i="2"/>
  <c r="C106" i="2"/>
  <c r="C113" i="2"/>
  <c r="C109" i="2"/>
  <c r="F114" i="2"/>
  <c r="A108" i="1"/>
  <c r="N2566" i="5"/>
  <c r="R2578" i="5"/>
  <c r="L2551" i="5"/>
  <c r="R2550" i="5"/>
  <c r="N2493" i="5"/>
  <c r="L2279" i="5"/>
  <c r="L2499" i="5"/>
  <c r="Q109" i="1" l="1"/>
  <c r="Q114" i="1"/>
  <c r="Q115" i="1"/>
  <c r="Q125" i="1"/>
  <c r="R119" i="1"/>
  <c r="R112" i="1"/>
  <c r="S2550" i="5"/>
  <c r="W2888" i="5"/>
  <c r="W2894" i="5"/>
  <c r="Q112" i="1"/>
  <c r="R116" i="1"/>
  <c r="Q116" i="1"/>
  <c r="F200" i="2"/>
  <c r="A109" i="1"/>
  <c r="A110" i="1" s="1"/>
  <c r="A111" i="1" s="1"/>
  <c r="S2499" i="5"/>
  <c r="S2501" i="5"/>
  <c r="Q111" i="1" l="1"/>
  <c r="Q120" i="1"/>
  <c r="R115" i="1"/>
  <c r="R123" i="1"/>
  <c r="R111" i="1"/>
  <c r="Q122" i="1"/>
  <c r="Q118" i="1"/>
  <c r="R124" i="1"/>
  <c r="Q119" i="1"/>
  <c r="Q123" i="1"/>
  <c r="R118" i="1"/>
  <c r="R120" i="1"/>
  <c r="Q124" i="1"/>
  <c r="Q110" i="1"/>
  <c r="R113" i="1"/>
  <c r="Q117" i="1"/>
  <c r="R117" i="1"/>
  <c r="R114" i="1"/>
  <c r="R109" i="1"/>
  <c r="R125" i="1"/>
  <c r="Q121" i="1"/>
  <c r="R121" i="1"/>
  <c r="R110" i="1"/>
  <c r="R108" i="1"/>
  <c r="R122" i="1"/>
  <c r="Q108" i="1"/>
  <c r="Q113" i="1"/>
  <c r="R107" i="1"/>
  <c r="Q107" i="1"/>
  <c r="A112" i="1"/>
  <c r="Q126" i="1" l="1"/>
  <c r="R126" i="1"/>
  <c r="A113" i="1"/>
  <c r="A114" i="1" s="1"/>
  <c r="A115" i="1" l="1"/>
  <c r="A116" i="1" l="1"/>
  <c r="A117" i="1" l="1"/>
  <c r="A118" i="1" s="1"/>
  <c r="A119" i="1" s="1"/>
  <c r="A120" i="1" s="1"/>
  <c r="A121" i="1" s="1"/>
  <c r="A122" i="1" s="1"/>
  <c r="A123" i="1" s="1"/>
  <c r="A124" i="1" s="1"/>
  <c r="A125" i="1" s="1"/>
  <c r="N2084" i="5" l="1"/>
  <c r="M2084" i="5"/>
  <c r="R2084" i="5" s="1"/>
  <c r="A2084" i="5"/>
  <c r="L2084" i="5" l="1"/>
  <c r="R1566" i="5" l="1"/>
  <c r="L1566" i="5"/>
  <c r="S1566" i="5" s="1"/>
  <c r="L1565" i="5" l="1"/>
  <c r="S1565" i="5" s="1"/>
  <c r="L1496" i="5"/>
  <c r="L1468" i="5"/>
  <c r="L1467" i="5"/>
  <c r="L1466" i="5"/>
  <c r="L1465" i="5"/>
  <c r="L1464" i="5"/>
  <c r="L1463" i="5"/>
  <c r="L1462" i="5"/>
  <c r="L1461" i="5"/>
  <c r="L1460" i="5"/>
  <c r="A1461" i="5"/>
  <c r="A1462" i="5" s="1"/>
  <c r="A1463" i="5" s="1"/>
  <c r="A1464" i="5" s="1"/>
  <c r="A1465" i="5" s="1"/>
  <c r="A1466" i="5" s="1"/>
  <c r="A1467" i="5" s="1"/>
  <c r="A1468" i="5" s="1"/>
  <c r="S1468" i="5" l="1"/>
  <c r="S1496" i="5"/>
  <c r="A1497" i="5"/>
  <c r="A1498" i="5" s="1"/>
  <c r="A1469" i="5"/>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S1463" i="5"/>
  <c r="S1466" i="5"/>
  <c r="S1460" i="5"/>
  <c r="S1467" i="5"/>
  <c r="S1461" i="5"/>
  <c r="S1464" i="5"/>
  <c r="S1462" i="5"/>
  <c r="S1465" i="5"/>
  <c r="L1970" i="5"/>
  <c r="S1970" i="5" s="1"/>
  <c r="A1493" i="5" l="1"/>
  <c r="A1499" i="5"/>
  <c r="A1500" i="5" s="1"/>
  <c r="A1501" i="5" s="1"/>
  <c r="A1502" i="5" s="1"/>
  <c r="A1503" i="5" s="1"/>
  <c r="A2678" i="5"/>
  <c r="A2679" i="5" s="1"/>
  <c r="A2680" i="5" s="1"/>
  <c r="A2681" i="5" s="1"/>
  <c r="A2682" i="5" s="1"/>
  <c r="A2683" i="5" s="1"/>
  <c r="A2684" i="5" s="1"/>
  <c r="A2685" i="5" s="1"/>
  <c r="A2686" i="5" s="1"/>
  <c r="A2687" i="5" s="1"/>
  <c r="L2687" i="5"/>
  <c r="L2686" i="5"/>
  <c r="L2685" i="5"/>
  <c r="L2684" i="5"/>
  <c r="S2684" i="5" s="1"/>
  <c r="A1504" i="5" l="1"/>
  <c r="A1505" i="5" s="1"/>
  <c r="A1506" i="5" s="1"/>
  <c r="A1507" i="5" s="1"/>
  <c r="A1508" i="5" s="1"/>
  <c r="A1509" i="5" s="1"/>
  <c r="S2687" i="5"/>
  <c r="S2686" i="5"/>
  <c r="S2685" i="5"/>
  <c r="L4171" i="5"/>
  <c r="L4170" i="5"/>
  <c r="L4169" i="5"/>
  <c r="L4168" i="5"/>
  <c r="L4167" i="5"/>
  <c r="L4166" i="5"/>
  <c r="L4165" i="5"/>
  <c r="L4164" i="5"/>
  <c r="R4163" i="5"/>
  <c r="Q4163" i="5"/>
  <c r="O4163" i="5"/>
  <c r="L4093" i="5"/>
  <c r="L4090" i="5"/>
  <c r="M4089" i="5"/>
  <c r="L4089" i="5" s="1"/>
  <c r="L4088" i="5"/>
  <c r="M4087" i="5"/>
  <c r="N4087" i="5" s="1"/>
  <c r="R4087" i="5" s="1"/>
  <c r="M3894" i="5"/>
  <c r="M3893" i="5"/>
  <c r="M3892" i="5"/>
  <c r="M3891" i="5"/>
  <c r="M3890" i="5"/>
  <c r="M3889" i="5"/>
  <c r="M3888" i="5"/>
  <c r="M3887" i="5"/>
  <c r="M3886" i="5"/>
  <c r="M3885" i="5"/>
  <c r="M3884" i="5"/>
  <c r="M3883" i="5"/>
  <c r="R3883" i="5" s="1"/>
  <c r="R1393" i="5"/>
  <c r="L1393" i="5"/>
  <c r="R1392" i="5"/>
  <c r="L1392" i="5"/>
  <c r="R2773" i="5"/>
  <c r="L2745" i="5"/>
  <c r="R1229" i="5"/>
  <c r="L1229" i="5"/>
  <c r="D93" i="2" s="1"/>
  <c r="D1229" i="5"/>
  <c r="G92" i="2"/>
  <c r="R1228" i="5"/>
  <c r="L1228" i="5"/>
  <c r="C92" i="2" s="1"/>
  <c r="R103" i="1" s="1"/>
  <c r="D1228" i="5"/>
  <c r="L1227" i="5"/>
  <c r="S1227" i="5" s="1"/>
  <c r="D1227" i="5"/>
  <c r="R1226" i="5"/>
  <c r="L1226" i="5"/>
  <c r="S1226" i="5" s="1"/>
  <c r="M2547" i="5"/>
  <c r="R2492" i="5"/>
  <c r="L2492" i="5"/>
  <c r="S2492" i="5" s="1"/>
  <c r="L2547" i="5" l="1"/>
  <c r="S2547" i="5" s="1"/>
  <c r="W2547" i="5"/>
  <c r="L3887" i="5"/>
  <c r="R3887" i="5"/>
  <c r="L3891" i="5"/>
  <c r="R3891" i="5"/>
  <c r="L3884" i="5"/>
  <c r="R3884" i="5"/>
  <c r="L3888" i="5"/>
  <c r="R3888" i="5"/>
  <c r="L3892" i="5"/>
  <c r="R3892" i="5"/>
  <c r="L3885" i="5"/>
  <c r="R3885" i="5"/>
  <c r="L3889" i="5"/>
  <c r="R3889" i="5"/>
  <c r="L3893" i="5"/>
  <c r="R3893" i="5"/>
  <c r="L3886" i="5"/>
  <c r="R3886" i="5"/>
  <c r="L3890" i="5"/>
  <c r="R3890" i="5"/>
  <c r="L3894" i="5"/>
  <c r="R3894" i="5"/>
  <c r="A1510" i="5"/>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L4163" i="5"/>
  <c r="Q2829" i="5"/>
  <c r="Q4087" i="5"/>
  <c r="L4087" i="5" s="1"/>
  <c r="S1392" i="5"/>
  <c r="Q3883" i="5"/>
  <c r="L3883" i="5" s="1"/>
  <c r="C91" i="2"/>
  <c r="Q102" i="1" s="1"/>
  <c r="C93" i="2"/>
  <c r="S1229" i="5"/>
  <c r="H92" i="2"/>
  <c r="D91" i="2"/>
  <c r="S1228" i="5"/>
  <c r="Q103" i="1"/>
  <c r="D90" i="2"/>
  <c r="C90" i="2"/>
  <c r="R1227" i="5"/>
  <c r="R2547" i="5"/>
  <c r="A1531" i="5" l="1"/>
  <c r="A1532" i="5" s="1"/>
  <c r="A1533" i="5" s="1"/>
  <c r="A1534" i="5" s="1"/>
  <c r="A1535" i="5" s="1"/>
  <c r="A1536" i="5" s="1"/>
  <c r="A1537" i="5" s="1"/>
  <c r="A1538" i="5" s="1"/>
  <c r="A1539" i="5" s="1"/>
  <c r="A1540" i="5" s="1"/>
  <c r="A1541" i="5" s="1"/>
  <c r="A1542" i="5" s="1"/>
  <c r="A1543" i="5" s="1"/>
  <c r="A1544" i="5" s="1"/>
  <c r="A1545" i="5" s="1"/>
  <c r="A1547" i="5" s="1"/>
  <c r="A1549" i="5" s="1"/>
  <c r="R102" i="1"/>
  <c r="R101" i="1"/>
  <c r="Q101" i="1"/>
  <c r="R104" i="1" l="1"/>
  <c r="Q104" i="1"/>
  <c r="R504" i="5" l="1"/>
  <c r="L504" i="5"/>
  <c r="R4302" i="5"/>
  <c r="Q4302" i="5"/>
  <c r="L4302" i="5" s="1"/>
  <c r="M4324" i="5" l="1"/>
  <c r="M4323" i="5"/>
  <c r="O4323" i="5" s="1"/>
  <c r="L4323" i="5" s="1"/>
  <c r="M4322" i="5"/>
  <c r="R4322" i="5" s="1"/>
  <c r="M4321" i="5"/>
  <c r="O4321" i="5" s="1"/>
  <c r="M4320" i="5"/>
  <c r="O4320" i="5" s="1"/>
  <c r="M4319" i="5"/>
  <c r="L4319" i="5" s="1"/>
  <c r="A4319" i="5"/>
  <c r="A4320" i="5" s="1"/>
  <c r="A4321" i="5" s="1"/>
  <c r="A4322" i="5" s="1"/>
  <c r="A4323" i="5" s="1"/>
  <c r="A4324" i="5" s="1"/>
  <c r="L4318" i="5"/>
  <c r="S4318" i="5" s="1"/>
  <c r="Q3402" i="5"/>
  <c r="L3402" i="5" s="1"/>
  <c r="Q3375" i="5"/>
  <c r="L3375" i="5" s="1"/>
  <c r="R3373" i="5"/>
  <c r="Q3373" i="5"/>
  <c r="L3373" i="5" s="1"/>
  <c r="M3370" i="5"/>
  <c r="M3369" i="5"/>
  <c r="R3369" i="5" s="1"/>
  <c r="L1996" i="5"/>
  <c r="S1996" i="5" s="1"/>
  <c r="L1995" i="5"/>
  <c r="S1995" i="5" s="1"/>
  <c r="L1994" i="5"/>
  <c r="S1994" i="5" s="1"/>
  <c r="L509" i="5"/>
  <c r="R1993" i="5"/>
  <c r="M1991" i="5"/>
  <c r="R1989" i="5"/>
  <c r="L1989" i="5"/>
  <c r="S1989" i="5" s="1"/>
  <c r="L1988" i="5"/>
  <c r="S1988" i="5" s="1"/>
  <c r="L1987" i="5"/>
  <c r="S1987" i="5" s="1"/>
  <c r="L1985" i="5"/>
  <c r="S1985" i="5" s="1"/>
  <c r="L1983" i="5"/>
  <c r="S1983" i="5" s="1"/>
  <c r="L1981" i="5"/>
  <c r="S1981" i="5" s="1"/>
  <c r="L1979" i="5"/>
  <c r="S1979" i="5" s="1"/>
  <c r="R1978" i="5"/>
  <c r="L1978" i="5"/>
  <c r="S1978" i="5" s="1"/>
  <c r="R1977" i="5"/>
  <c r="L1977" i="5"/>
  <c r="S1977" i="5" s="1"/>
  <c r="L1975" i="5"/>
  <c r="S1975" i="5" s="1"/>
  <c r="I1975" i="5"/>
  <c r="G1975" i="5"/>
  <c r="E1975" i="5"/>
  <c r="D1975" i="5"/>
  <c r="L1974" i="5"/>
  <c r="S1974" i="5" s="1"/>
  <c r="L1973" i="5"/>
  <c r="L1972" i="5"/>
  <c r="L1971" i="5"/>
  <c r="S1971" i="5" s="1"/>
  <c r="L1732" i="5"/>
  <c r="L41" i="5"/>
  <c r="L366" i="5"/>
  <c r="L86" i="5"/>
  <c r="L78" i="5"/>
  <c r="L493" i="5"/>
  <c r="R503" i="5"/>
  <c r="L503" i="5"/>
  <c r="R502" i="5"/>
  <c r="L502" i="5"/>
  <c r="R501" i="5"/>
  <c r="L501" i="5"/>
  <c r="R500" i="5"/>
  <c r="L500" i="5"/>
  <c r="L499" i="5"/>
  <c r="L498" i="5"/>
  <c r="L497" i="5"/>
  <c r="L496" i="5"/>
  <c r="R494" i="5"/>
  <c r="R1991" i="5" l="1"/>
  <c r="Y1991" i="5"/>
  <c r="O3370" i="5"/>
  <c r="R3370" i="5"/>
  <c r="S1972" i="5"/>
  <c r="S1973" i="5"/>
  <c r="S1732" i="5"/>
  <c r="L1991" i="5"/>
  <c r="S1991" i="5" s="1"/>
  <c r="M2079" i="5"/>
  <c r="L1976" i="5"/>
  <c r="S1976" i="5" s="1"/>
  <c r="R4320" i="5"/>
  <c r="L4320" i="5"/>
  <c r="R4323" i="5"/>
  <c r="O4324" i="5"/>
  <c r="L4324" i="5" s="1"/>
  <c r="R4319" i="5"/>
  <c r="R4324" i="5"/>
  <c r="R4321" i="5"/>
  <c r="O4322" i="5"/>
  <c r="L4322" i="5" s="1"/>
  <c r="L4321" i="5"/>
  <c r="R1992" i="5"/>
  <c r="L3370" i="5"/>
  <c r="L3369" i="5"/>
  <c r="L1992" i="5"/>
  <c r="S1992" i="5" s="1"/>
  <c r="O309" i="5"/>
  <c r="L492" i="5" l="1"/>
  <c r="S492" i="5" s="1"/>
  <c r="L362" i="5"/>
  <c r="G4457" i="5" l="1"/>
  <c r="E4457" i="5"/>
  <c r="D4457" i="5"/>
  <c r="M4456" i="5"/>
  <c r="Q4456" i="5" s="1"/>
  <c r="D4456" i="5"/>
  <c r="M3619" i="5"/>
  <c r="O3619" i="5" s="1"/>
  <c r="D3619" i="5"/>
  <c r="L3618" i="5"/>
  <c r="M4457" i="5" l="1"/>
  <c r="Q4457" i="5" s="1"/>
  <c r="R4456" i="5"/>
  <c r="N4456" i="5"/>
  <c r="L4456" i="5" s="1"/>
  <c r="R3619" i="5"/>
  <c r="Q3619" i="5"/>
  <c r="L3619" i="5" s="1"/>
  <c r="R4457" i="5" l="1"/>
  <c r="N4457" i="5"/>
  <c r="L4457" i="5" s="1"/>
  <c r="T4456" i="5"/>
  <c r="T3619" i="5"/>
  <c r="T4457" i="5" l="1"/>
  <c r="M1437" i="5" l="1"/>
  <c r="G301" i="2" l="1"/>
  <c r="G302" i="2"/>
  <c r="C314" i="2"/>
  <c r="L4032" i="5"/>
  <c r="D4032" i="5"/>
  <c r="L4031" i="5"/>
  <c r="F311" i="2" s="1"/>
  <c r="D4031" i="5"/>
  <c r="L4030" i="5"/>
  <c r="C310" i="2" s="1"/>
  <c r="D4030" i="5"/>
  <c r="L4029" i="5"/>
  <c r="F309" i="2" s="1"/>
  <c r="D4029" i="5"/>
  <c r="L4028" i="5"/>
  <c r="F308" i="2" s="1"/>
  <c r="D4028" i="5"/>
  <c r="L4027" i="5"/>
  <c r="C307" i="2" s="1"/>
  <c r="D4027" i="5"/>
  <c r="L4026" i="5"/>
  <c r="C306" i="2" s="1"/>
  <c r="D4026" i="5"/>
  <c r="L4025" i="5"/>
  <c r="F305" i="2" s="1"/>
  <c r="D4025" i="5"/>
  <c r="L4024" i="5"/>
  <c r="F304" i="2" s="1"/>
  <c r="D4024" i="5"/>
  <c r="L4023" i="5"/>
  <c r="C303" i="2" s="1"/>
  <c r="D4023" i="5"/>
  <c r="Q319" i="1" l="1"/>
  <c r="Q316" i="1"/>
  <c r="Q320" i="1"/>
  <c r="Q323" i="1"/>
  <c r="F312" i="2"/>
  <c r="R320" i="1"/>
  <c r="R327" i="1"/>
  <c r="Q327" i="1"/>
  <c r="C312" i="2"/>
  <c r="C309" i="2"/>
  <c r="C305" i="2"/>
  <c r="F303" i="2"/>
  <c r="F307" i="2"/>
  <c r="C311" i="2"/>
  <c r="C308" i="2"/>
  <c r="C304" i="2"/>
  <c r="F310" i="2"/>
  <c r="F306" i="2"/>
  <c r="R316" i="1"/>
  <c r="R319" i="1"/>
  <c r="R323" i="1"/>
  <c r="M4022" i="5"/>
  <c r="R4022" i="5" s="1"/>
  <c r="D4022" i="5"/>
  <c r="F226" i="2"/>
  <c r="A3915" i="5"/>
  <c r="A3916" i="5" s="1"/>
  <c r="L3916" i="5"/>
  <c r="L3915" i="5"/>
  <c r="M3914" i="5"/>
  <c r="R3914" i="5" s="1"/>
  <c r="K199" i="2"/>
  <c r="R2674" i="5"/>
  <c r="D2674" i="5"/>
  <c r="V2491" i="5"/>
  <c r="V2490" i="5"/>
  <c r="R2489" i="5"/>
  <c r="L2489" i="5"/>
  <c r="S2489" i="5" s="1"/>
  <c r="L2490" i="5" l="1"/>
  <c r="S2490" i="5" s="1"/>
  <c r="R2490" i="5"/>
  <c r="L2491" i="5"/>
  <c r="R2491" i="5"/>
  <c r="Q324" i="1"/>
  <c r="Q322" i="1"/>
  <c r="R317" i="1"/>
  <c r="Q317" i="1"/>
  <c r="Q321" i="1"/>
  <c r="Q318" i="1"/>
  <c r="L2674" i="5"/>
  <c r="S2674" i="5" s="1"/>
  <c r="Q2675" i="5"/>
  <c r="R321" i="1"/>
  <c r="O4022" i="5"/>
  <c r="R324" i="1"/>
  <c r="R318" i="1"/>
  <c r="R322" i="1"/>
  <c r="Q4022" i="5"/>
  <c r="Q3914" i="5"/>
  <c r="L3914" i="5" s="1"/>
  <c r="S2491" i="5" l="1"/>
  <c r="R325" i="1"/>
  <c r="Q325" i="1"/>
  <c r="R326" i="1"/>
  <c r="C199" i="2"/>
  <c r="L199" i="2"/>
  <c r="L4022" i="5"/>
  <c r="C302" i="2" s="1"/>
  <c r="H302" i="2" l="1"/>
  <c r="Q211" i="1" l="1"/>
  <c r="R211" i="1"/>
  <c r="Q315" i="1"/>
  <c r="R315" i="1"/>
  <c r="R2741" i="5" l="1"/>
  <c r="L357" i="5" l="1"/>
  <c r="L297" i="5"/>
  <c r="S297" i="5" s="1"/>
  <c r="S298" i="5"/>
  <c r="L3659" i="5" l="1"/>
  <c r="L3410" i="5"/>
  <c r="L3830" i="5"/>
  <c r="R4062" i="5"/>
  <c r="Q4062" i="5"/>
  <c r="L4062" i="5" s="1"/>
  <c r="R4061" i="5"/>
  <c r="Q4061" i="5"/>
  <c r="L4061" i="5" s="1"/>
  <c r="R4060" i="5"/>
  <c r="Q4060" i="5"/>
  <c r="L4060" i="5" s="1"/>
  <c r="R4059" i="5"/>
  <c r="Q4059" i="5"/>
  <c r="L4059" i="5" s="1"/>
  <c r="A4586" i="5"/>
  <c r="A4587" i="5" s="1"/>
  <c r="A4588" i="5" s="1"/>
  <c r="A4589" i="5" s="1"/>
  <c r="A4590" i="5" s="1"/>
  <c r="R4590" i="5"/>
  <c r="L4590" i="5"/>
  <c r="R4589" i="5"/>
  <c r="L4589" i="5"/>
  <c r="S4589" i="5" s="1"/>
  <c r="L2705" i="5"/>
  <c r="L2706" i="5"/>
  <c r="L2707" i="5"/>
  <c r="L2708" i="5"/>
  <c r="A2704" i="5"/>
  <c r="A2705" i="5" s="1"/>
  <c r="A2706" i="5" s="1"/>
  <c r="A2707" i="5" s="1"/>
  <c r="A2708" i="5" s="1"/>
  <c r="G187" i="2"/>
  <c r="R2824" i="5" l="1"/>
  <c r="L2824" i="5"/>
  <c r="S4590" i="5"/>
  <c r="R3830" i="5" l="1"/>
  <c r="S3830" i="5"/>
  <c r="M3829" i="5"/>
  <c r="R3829" i="5" s="1"/>
  <c r="R4588" i="5"/>
  <c r="Q4588" i="5"/>
  <c r="O4588" i="5"/>
  <c r="L1353" i="5"/>
  <c r="L1352" i="5"/>
  <c r="L1351" i="5"/>
  <c r="L1350" i="5"/>
  <c r="G198" i="2"/>
  <c r="G196" i="2"/>
  <c r="R2673" i="5"/>
  <c r="L2673" i="5"/>
  <c r="S2673" i="5" s="1"/>
  <c r="D2673" i="5"/>
  <c r="A21" i="1"/>
  <c r="A10" i="2"/>
  <c r="A1145" i="5"/>
  <c r="A117" i="2"/>
  <c r="A118" i="2" s="1"/>
  <c r="A119" i="2" s="1"/>
  <c r="A120" i="2" s="1"/>
  <c r="A121" i="2" s="1"/>
  <c r="A122" i="2" s="1"/>
  <c r="A123" i="2" s="1"/>
  <c r="A124" i="2" s="1"/>
  <c r="A125" i="2" s="1"/>
  <c r="A126" i="2" s="1"/>
  <c r="A127" i="2" s="1"/>
  <c r="A128" i="2" s="1"/>
  <c r="A129" i="2" s="1"/>
  <c r="M2670" i="5"/>
  <c r="D2670" i="5"/>
  <c r="A130" i="2" l="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C198" i="2"/>
  <c r="L4588" i="5"/>
  <c r="Q3829" i="5"/>
  <c r="O3829" i="5"/>
  <c r="H198" i="2"/>
  <c r="L2670" i="5"/>
  <c r="R2670" i="5"/>
  <c r="A171" i="2" l="1"/>
  <c r="A172" i="2" s="1"/>
  <c r="A173" i="2" s="1"/>
  <c r="A174" i="2" s="1"/>
  <c r="A175" i="2" s="1"/>
  <c r="A176" i="2" s="1"/>
  <c r="A177" i="2" s="1"/>
  <c r="A178" i="2" s="1"/>
  <c r="A179" i="2" s="1"/>
  <c r="A180" i="2" s="1"/>
  <c r="A181" i="2" s="1"/>
  <c r="L3829" i="5"/>
  <c r="H196" i="2"/>
  <c r="C196" i="2"/>
  <c r="S2670" i="5"/>
  <c r="Q210" i="1" l="1"/>
  <c r="R210" i="1"/>
  <c r="A182" i="2"/>
  <c r="A183" i="2" s="1"/>
  <c r="A184" i="2" s="1"/>
  <c r="A185" i="2" s="1"/>
  <c r="A186" i="2" s="1"/>
  <c r="A187" i="2" s="1"/>
  <c r="A188" i="2" s="1"/>
  <c r="A189" i="2" s="1"/>
  <c r="A190" i="2" s="1"/>
  <c r="A191" i="2" s="1"/>
  <c r="A192" i="2" s="1"/>
  <c r="A193" i="2" s="1"/>
  <c r="A194" i="2" s="1"/>
  <c r="A195" i="2" s="1"/>
  <c r="A196" i="2" s="1"/>
  <c r="A197" i="2" s="1"/>
  <c r="A198" i="2" s="1"/>
  <c r="S3829" i="5"/>
  <c r="R208" i="1"/>
  <c r="Q208" i="1"/>
  <c r="A199" i="2" l="1"/>
  <c r="L4567" i="5" l="1"/>
  <c r="L4568" i="5"/>
  <c r="R4567" i="5"/>
  <c r="L4545" i="5"/>
  <c r="M4544" i="5"/>
  <c r="R4544" i="5" s="1"/>
  <c r="L4496" i="5"/>
  <c r="A4494" i="5"/>
  <c r="A4495" i="5" s="1"/>
  <c r="A4496" i="5" s="1"/>
  <c r="M4495" i="5"/>
  <c r="Q4495" i="5" s="1"/>
  <c r="R4434" i="5"/>
  <c r="Q4434" i="5"/>
  <c r="L4434" i="5" s="1"/>
  <c r="M4344" i="5"/>
  <c r="R4344" i="5" s="1"/>
  <c r="Q4332" i="5"/>
  <c r="P4332" i="5"/>
  <c r="O4332" i="5"/>
  <c r="N4332" i="5"/>
  <c r="M4332" i="5"/>
  <c r="J4332" i="5"/>
  <c r="G4332" i="5"/>
  <c r="E4332" i="5"/>
  <c r="D4332" i="5"/>
  <c r="L3743" i="5"/>
  <c r="Q4486" i="5"/>
  <c r="L4486" i="5" s="1"/>
  <c r="G4486" i="5"/>
  <c r="A4486" i="5"/>
  <c r="M4485" i="5"/>
  <c r="R4485" i="5" s="1"/>
  <c r="L3411" i="5"/>
  <c r="L4329" i="5"/>
  <c r="T4329" i="5" s="1"/>
  <c r="T4434" i="5" l="1"/>
  <c r="Q4544" i="5"/>
  <c r="L4495" i="5"/>
  <c r="R4495" i="5"/>
  <c r="N4544" i="5"/>
  <c r="R4486" i="5"/>
  <c r="Q4344" i="5"/>
  <c r="L4332" i="5"/>
  <c r="O4344" i="5"/>
  <c r="S3659" i="5"/>
  <c r="L3660" i="5"/>
  <c r="Q4485" i="5"/>
  <c r="L4485" i="5" s="1"/>
  <c r="S3410" i="5"/>
  <c r="L4544" i="5" l="1"/>
  <c r="T4544" i="5" s="1"/>
  <c r="T4495" i="5"/>
  <c r="L4344" i="5"/>
  <c r="T4344" i="5" l="1"/>
  <c r="R4566" i="5" l="1"/>
  <c r="L4566" i="5"/>
  <c r="R4565" i="5"/>
  <c r="L4565" i="5"/>
  <c r="R4564" i="5"/>
  <c r="L4564" i="5"/>
  <c r="R4563" i="5"/>
  <c r="L4563" i="5"/>
  <c r="D4563" i="5"/>
  <c r="R4562" i="5"/>
  <c r="L4562" i="5"/>
  <c r="R4561" i="5"/>
  <c r="L4561" i="5"/>
  <c r="D4561" i="5"/>
  <c r="R4560" i="5"/>
  <c r="L4560" i="5"/>
  <c r="R4559" i="5"/>
  <c r="L4559" i="5"/>
  <c r="R4558" i="5"/>
  <c r="L4558" i="5"/>
  <c r="D4558" i="5"/>
  <c r="R4557" i="5"/>
  <c r="L4557" i="5"/>
  <c r="R4556" i="5"/>
  <c r="L4556" i="5"/>
  <c r="R4555" i="5"/>
  <c r="L4555" i="5"/>
  <c r="R4554" i="5"/>
  <c r="L4554" i="5"/>
  <c r="D4554" i="5"/>
  <c r="L4553" i="5"/>
  <c r="L3770" i="5"/>
  <c r="S3770" i="5" s="1"/>
  <c r="R3769" i="5"/>
  <c r="L3769" i="5"/>
  <c r="S3769" i="5" s="1"/>
  <c r="R3768" i="5"/>
  <c r="L3768" i="5"/>
  <c r="S3768" i="5" s="1"/>
  <c r="R3767" i="5"/>
  <c r="L3767" i="5"/>
  <c r="S3767" i="5" s="1"/>
  <c r="R3766" i="5"/>
  <c r="L3766" i="5"/>
  <c r="S3766" i="5" s="1"/>
  <c r="R3765" i="5"/>
  <c r="L3765" i="5"/>
  <c r="S3765" i="5" s="1"/>
  <c r="G3765" i="5"/>
  <c r="R3764" i="5"/>
  <c r="L3764" i="5"/>
  <c r="S3764" i="5" s="1"/>
  <c r="R3763" i="5"/>
  <c r="L3763" i="5"/>
  <c r="S3763" i="5" s="1"/>
  <c r="R3762" i="5"/>
  <c r="L3762" i="5"/>
  <c r="S3762" i="5" s="1"/>
  <c r="L3761" i="5"/>
  <c r="S3761" i="5" s="1"/>
  <c r="G3761" i="5"/>
  <c r="R3761" i="5" s="1"/>
  <c r="E3761" i="5"/>
  <c r="L3760" i="5"/>
  <c r="S3760" i="5" s="1"/>
  <c r="G3760" i="5"/>
  <c r="R3760" i="5" s="1"/>
  <c r="E3760" i="5"/>
  <c r="L3759" i="5"/>
  <c r="S3759" i="5" s="1"/>
  <c r="G3759" i="5"/>
  <c r="D3759" i="5"/>
  <c r="L3758" i="5"/>
  <c r="S3758" i="5" s="1"/>
  <c r="G3758" i="5"/>
  <c r="R3758" i="5" s="1"/>
  <c r="E3758" i="5"/>
  <c r="D3758" i="5" s="1"/>
  <c r="L3757" i="5"/>
  <c r="G3757" i="5"/>
  <c r="E3757" i="5"/>
  <c r="D3757" i="5" s="1"/>
  <c r="A3757" i="5"/>
  <c r="A3758" i="5" s="1"/>
  <c r="A3759" i="5" s="1"/>
  <c r="A3760" i="5" s="1"/>
  <c r="A3761" i="5" s="1"/>
  <c r="A3762" i="5" s="1"/>
  <c r="A3763" i="5" s="1"/>
  <c r="A3764" i="5" s="1"/>
  <c r="A3765" i="5" s="1"/>
  <c r="A3766" i="5" s="1"/>
  <c r="A3767" i="5" s="1"/>
  <c r="A3768" i="5" s="1"/>
  <c r="A3769" i="5" s="1"/>
  <c r="A3770" i="5" s="1"/>
  <c r="L3756" i="5"/>
  <c r="S3756" i="5" s="1"/>
  <c r="G3756" i="5"/>
  <c r="R3756" i="5" s="1"/>
  <c r="E3756" i="5"/>
  <c r="D3756" i="5" s="1"/>
  <c r="N2362" i="5"/>
  <c r="L2359" i="5"/>
  <c r="L2361" i="5"/>
  <c r="S2361" i="5" s="1"/>
  <c r="R3759" i="5" l="1"/>
  <c r="R3757" i="5"/>
  <c r="S3757" i="5"/>
  <c r="L2428" i="5" l="1"/>
  <c r="L2429" i="5"/>
  <c r="L2430" i="5"/>
  <c r="A2360" i="5"/>
  <c r="A2361" i="5" s="1"/>
  <c r="E2361" i="5"/>
  <c r="M2360" i="5"/>
  <c r="L2317" i="5"/>
  <c r="L2318" i="5"/>
  <c r="L2319" i="5"/>
  <c r="L2320" i="5"/>
  <c r="L2321" i="5"/>
  <c r="L2322" i="5"/>
  <c r="L2323" i="5"/>
  <c r="M2316" i="5"/>
  <c r="R2316" i="5" s="1"/>
  <c r="Q3658" i="5"/>
  <c r="L3658" i="5" s="1"/>
  <c r="G3658" i="5"/>
  <c r="R3658" i="5" s="1"/>
  <c r="L2291" i="5"/>
  <c r="L2270" i="5"/>
  <c r="L2271" i="5"/>
  <c r="L2269" i="5"/>
  <c r="L2268" i="5"/>
  <c r="S2268" i="5" s="1"/>
  <c r="R2360" i="5" l="1"/>
  <c r="L2360" i="5"/>
  <c r="L2316" i="5"/>
  <c r="S2316" i="5" s="1"/>
  <c r="S2291" i="5"/>
  <c r="L2204" i="5"/>
  <c r="L2191" i="5"/>
  <c r="L2192" i="5"/>
  <c r="S2360" i="5" l="1"/>
  <c r="L2086" i="5"/>
  <c r="L3409" i="5"/>
  <c r="S2086" i="5" l="1"/>
  <c r="R2383" i="5" l="1"/>
  <c r="L2383" i="5"/>
  <c r="T2383" i="5" s="1"/>
  <c r="R2382" i="5"/>
  <c r="L2382" i="5"/>
  <c r="T2382" i="5" l="1"/>
  <c r="S2382" i="5"/>
  <c r="O689" i="5" l="1"/>
  <c r="L632" i="5"/>
  <c r="L611" i="5"/>
  <c r="L630" i="5"/>
  <c r="N608" i="5"/>
  <c r="M608" i="5"/>
  <c r="R589" i="5"/>
  <c r="L589" i="5"/>
  <c r="L608" i="5" l="1"/>
  <c r="L1358" i="5" l="1"/>
  <c r="L529" i="5" l="1"/>
  <c r="L459" i="5"/>
  <c r="L102" i="5"/>
  <c r="L97" i="5"/>
  <c r="L319" i="5"/>
  <c r="P4663" i="5" l="1"/>
  <c r="N4663" i="5"/>
  <c r="J4663" i="5"/>
  <c r="G4663" i="5"/>
  <c r="E4663" i="5"/>
  <c r="D4663" i="5"/>
  <c r="M4662" i="5"/>
  <c r="M4663" i="5" s="1"/>
  <c r="P4660" i="5"/>
  <c r="N4660" i="5"/>
  <c r="J4660" i="5"/>
  <c r="G4660" i="5"/>
  <c r="E4660" i="5"/>
  <c r="D4660" i="5"/>
  <c r="Q4659" i="5"/>
  <c r="M4658" i="5"/>
  <c r="R4658" i="5" s="1"/>
  <c r="M4657" i="5"/>
  <c r="R4657" i="5" s="1"/>
  <c r="P4655" i="5"/>
  <c r="O4655" i="5"/>
  <c r="N4655" i="5"/>
  <c r="M4655" i="5"/>
  <c r="J4655" i="5"/>
  <c r="G4655" i="5"/>
  <c r="E4655" i="5"/>
  <c r="D4655" i="5"/>
  <c r="R4654" i="5"/>
  <c r="Q4654" i="5"/>
  <c r="L4654" i="5" s="1"/>
  <c r="P4652" i="5"/>
  <c r="O4652" i="5"/>
  <c r="N4652" i="5"/>
  <c r="M4652" i="5"/>
  <c r="J4652" i="5"/>
  <c r="G4652" i="5"/>
  <c r="E4652" i="5"/>
  <c r="D4652" i="5"/>
  <c r="R4651" i="5"/>
  <c r="Q4651" i="5"/>
  <c r="P4649" i="5"/>
  <c r="O4649" i="5"/>
  <c r="N4649" i="5"/>
  <c r="J4649" i="5"/>
  <c r="G4649" i="5"/>
  <c r="E4649" i="5"/>
  <c r="D4649" i="5"/>
  <c r="M4648" i="5"/>
  <c r="M4647" i="5"/>
  <c r="P4645" i="5"/>
  <c r="O4645" i="5"/>
  <c r="N4645" i="5"/>
  <c r="J4645" i="5"/>
  <c r="G4645" i="5"/>
  <c r="E4645" i="5"/>
  <c r="D4645" i="5"/>
  <c r="M4644" i="5"/>
  <c r="M4643" i="5"/>
  <c r="P4641" i="5"/>
  <c r="O4641" i="5"/>
  <c r="N4641" i="5"/>
  <c r="J4641" i="5"/>
  <c r="G4641" i="5"/>
  <c r="E4641" i="5"/>
  <c r="D4641" i="5"/>
  <c r="M4640" i="5"/>
  <c r="P4638" i="5"/>
  <c r="O4638" i="5"/>
  <c r="N4638" i="5"/>
  <c r="M4638" i="5"/>
  <c r="J4638" i="5"/>
  <c r="G4638" i="5"/>
  <c r="E4638" i="5"/>
  <c r="D4638" i="5"/>
  <c r="R4637" i="5"/>
  <c r="Q4637" i="5"/>
  <c r="P4635" i="5"/>
  <c r="N4635" i="5"/>
  <c r="J4635" i="5"/>
  <c r="G4635" i="5"/>
  <c r="E4635" i="5"/>
  <c r="M4634" i="5"/>
  <c r="R4634" i="5" s="1"/>
  <c r="D4634" i="5"/>
  <c r="D4635" i="5" s="1"/>
  <c r="M4633" i="5"/>
  <c r="Q4633" i="5" s="1"/>
  <c r="Q4631" i="5"/>
  <c r="P4631" i="5"/>
  <c r="O4631" i="5"/>
  <c r="N4631" i="5"/>
  <c r="M4631" i="5"/>
  <c r="R4621" i="5"/>
  <c r="L4621" i="5"/>
  <c r="D4621" i="5"/>
  <c r="R4620" i="5"/>
  <c r="L4620" i="5"/>
  <c r="D4620" i="5"/>
  <c r="R4619" i="5"/>
  <c r="L4619" i="5"/>
  <c r="D4619" i="5"/>
  <c r="L4618" i="5"/>
  <c r="J4618" i="5"/>
  <c r="J4631" i="5" s="1"/>
  <c r="G4618" i="5"/>
  <c r="G4631" i="5" s="1"/>
  <c r="E4618" i="5"/>
  <c r="E4631" i="5" s="1"/>
  <c r="D4618" i="5"/>
  <c r="R4617" i="5"/>
  <c r="L4617" i="5"/>
  <c r="R4616" i="5"/>
  <c r="L4616" i="5"/>
  <c r="D4616" i="5"/>
  <c r="R4615" i="5"/>
  <c r="L4615" i="5"/>
  <c r="D4615" i="5"/>
  <c r="R4614" i="5"/>
  <c r="L4614" i="5"/>
  <c r="D4614" i="5"/>
  <c r="R4613" i="5"/>
  <c r="L4613" i="5"/>
  <c r="D4613" i="5"/>
  <c r="R4612" i="5"/>
  <c r="L4612" i="5"/>
  <c r="D4612" i="5"/>
  <c r="R4611" i="5"/>
  <c r="L4611" i="5"/>
  <c r="D4611" i="5"/>
  <c r="R4610" i="5"/>
  <c r="L4610" i="5"/>
  <c r="D4610" i="5"/>
  <c r="R4609" i="5"/>
  <c r="L4609" i="5"/>
  <c r="D4609" i="5"/>
  <c r="R4608" i="5"/>
  <c r="L4608" i="5"/>
  <c r="D4608" i="5"/>
  <c r="R4607" i="5"/>
  <c r="L4607" i="5"/>
  <c r="D4607" i="5"/>
  <c r="R4606" i="5"/>
  <c r="L4606" i="5"/>
  <c r="D4606" i="5"/>
  <c r="R4605" i="5"/>
  <c r="L4605" i="5"/>
  <c r="D4605" i="5"/>
  <c r="R4604" i="5"/>
  <c r="L4604" i="5"/>
  <c r="D4604" i="5"/>
  <c r="A4604" i="5"/>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8" i="5" s="1"/>
  <c r="A4629" i="5" s="1"/>
  <c r="A4630" i="5" s="1"/>
  <c r="R4603" i="5"/>
  <c r="L4603" i="5"/>
  <c r="D4603" i="5"/>
  <c r="P4601" i="5"/>
  <c r="N4601" i="5"/>
  <c r="J4601" i="5"/>
  <c r="G4601" i="5"/>
  <c r="E4601" i="5"/>
  <c r="D4601" i="5"/>
  <c r="R4600" i="5"/>
  <c r="L4600" i="5"/>
  <c r="M4599" i="5"/>
  <c r="R4599" i="5" s="1"/>
  <c r="M4598" i="5"/>
  <c r="R4598" i="5" s="1"/>
  <c r="M4597" i="5"/>
  <c r="R4597" i="5" s="1"/>
  <c r="M4596" i="5"/>
  <c r="M4595" i="5"/>
  <c r="Q4595" i="5" s="1"/>
  <c r="M4594" i="5"/>
  <c r="R4594" i="5" s="1"/>
  <c r="A4594" i="5"/>
  <c r="A4595" i="5" s="1"/>
  <c r="A4596" i="5" s="1"/>
  <c r="A4597" i="5" s="1"/>
  <c r="A4598" i="5" s="1"/>
  <c r="A4599" i="5" s="1"/>
  <c r="A4600" i="5" s="1"/>
  <c r="M4593" i="5"/>
  <c r="P4591" i="5"/>
  <c r="N4591" i="5"/>
  <c r="J4591" i="5"/>
  <c r="G4591" i="5"/>
  <c r="E4591" i="5"/>
  <c r="D4591" i="5"/>
  <c r="M4587" i="5"/>
  <c r="M4586" i="5"/>
  <c r="R4586" i="5" s="1"/>
  <c r="M4585" i="5"/>
  <c r="O4585" i="5" s="1"/>
  <c r="S4582" i="5"/>
  <c r="O4581" i="5"/>
  <c r="J4581" i="5"/>
  <c r="G4581" i="5"/>
  <c r="E4581" i="5"/>
  <c r="D4581" i="5"/>
  <c r="M4580" i="5"/>
  <c r="N4580" i="5" s="1"/>
  <c r="N4581" i="5" s="1"/>
  <c r="T4579" i="5"/>
  <c r="J4578" i="5"/>
  <c r="G4578" i="5"/>
  <c r="E4578" i="5"/>
  <c r="D4578" i="5"/>
  <c r="M4577" i="5"/>
  <c r="M4576" i="5"/>
  <c r="N4576" i="5" s="1"/>
  <c r="M4575" i="5"/>
  <c r="O4575" i="5" s="1"/>
  <c r="A4575" i="5"/>
  <c r="A4576" i="5" s="1"/>
  <c r="A4577" i="5" s="1"/>
  <c r="M4574" i="5"/>
  <c r="O4574" i="5" s="1"/>
  <c r="T4573" i="5"/>
  <c r="N4572" i="5"/>
  <c r="J4572" i="5"/>
  <c r="G4572" i="5"/>
  <c r="E4572" i="5"/>
  <c r="D4572" i="5"/>
  <c r="M4571" i="5"/>
  <c r="R4571" i="5" s="1"/>
  <c r="T4570" i="5"/>
  <c r="J4569" i="5"/>
  <c r="M4552" i="5"/>
  <c r="R4552" i="5" s="1"/>
  <c r="M4551" i="5"/>
  <c r="G4550" i="5"/>
  <c r="E4550" i="5"/>
  <c r="E4569" i="5" s="1"/>
  <c r="M4549" i="5"/>
  <c r="R4549" i="5" s="1"/>
  <c r="A4549" i="5"/>
  <c r="A4550" i="5" s="1"/>
  <c r="A4551" i="5" s="1"/>
  <c r="A4552" i="5" s="1"/>
  <c r="A4553" i="5" s="1"/>
  <c r="A4554" i="5" s="1"/>
  <c r="A4555" i="5" s="1"/>
  <c r="A4556" i="5" s="1"/>
  <c r="A4557" i="5" s="1"/>
  <c r="A4558" i="5" s="1"/>
  <c r="A4559" i="5" s="1"/>
  <c r="A4560" i="5" s="1"/>
  <c r="A4561" i="5" s="1"/>
  <c r="A4562" i="5" s="1"/>
  <c r="A4563" i="5" s="1"/>
  <c r="A4564" i="5" s="1"/>
  <c r="A4565" i="5" s="1"/>
  <c r="M4548" i="5"/>
  <c r="T4547" i="5"/>
  <c r="J4546" i="5"/>
  <c r="G4546" i="5"/>
  <c r="E4546" i="5"/>
  <c r="D4546" i="5"/>
  <c r="M4543" i="5"/>
  <c r="A4543" i="5"/>
  <c r="A4544" i="5" s="1"/>
  <c r="A4545" i="5" s="1"/>
  <c r="M4542" i="5"/>
  <c r="R4542" i="5" s="1"/>
  <c r="T4541" i="5"/>
  <c r="P4540" i="5"/>
  <c r="N4540" i="5"/>
  <c r="J4540" i="5"/>
  <c r="G4540" i="5"/>
  <c r="E4540" i="5"/>
  <c r="D4540" i="5"/>
  <c r="M4539" i="5"/>
  <c r="M4538" i="5"/>
  <c r="T4537" i="5"/>
  <c r="P4536" i="5"/>
  <c r="N4536" i="5"/>
  <c r="J4536" i="5"/>
  <c r="G4536" i="5"/>
  <c r="E4536" i="5"/>
  <c r="D4536" i="5"/>
  <c r="M4530" i="5"/>
  <c r="T4529" i="5"/>
  <c r="P4528" i="5"/>
  <c r="N4528" i="5"/>
  <c r="J4528" i="5"/>
  <c r="G4528" i="5"/>
  <c r="E4528" i="5"/>
  <c r="D4528" i="5"/>
  <c r="M4527" i="5"/>
  <c r="T4526" i="5"/>
  <c r="P4525" i="5"/>
  <c r="O4525" i="5"/>
  <c r="J4525" i="5"/>
  <c r="E4525" i="5"/>
  <c r="D4525" i="5"/>
  <c r="G4524" i="5"/>
  <c r="G4523" i="5"/>
  <c r="T4522" i="5"/>
  <c r="N4521" i="5"/>
  <c r="J4521" i="5"/>
  <c r="G4521" i="5"/>
  <c r="E4521" i="5"/>
  <c r="D4521" i="5"/>
  <c r="M4520" i="5"/>
  <c r="Q4520" i="5" s="1"/>
  <c r="M4519" i="5"/>
  <c r="R4519" i="5" s="1"/>
  <c r="A4519" i="5"/>
  <c r="A4520" i="5" s="1"/>
  <c r="M4518" i="5"/>
  <c r="Q4518" i="5" s="1"/>
  <c r="L4518" i="5" s="1"/>
  <c r="T4517" i="5"/>
  <c r="P4516" i="5"/>
  <c r="J4516" i="5"/>
  <c r="G4516" i="5"/>
  <c r="E4516" i="5"/>
  <c r="D4516" i="5"/>
  <c r="M4515" i="5"/>
  <c r="R4515" i="5" s="1"/>
  <c r="R4514" i="5"/>
  <c r="A4514" i="5"/>
  <c r="A4515" i="5" s="1"/>
  <c r="M4513" i="5"/>
  <c r="T4512" i="5"/>
  <c r="Q4511" i="5"/>
  <c r="N4511" i="5"/>
  <c r="M4511" i="5"/>
  <c r="J4511" i="5"/>
  <c r="G4511" i="5"/>
  <c r="E4511" i="5"/>
  <c r="D4511" i="5"/>
  <c r="L4510" i="5"/>
  <c r="T4509" i="5"/>
  <c r="J4508" i="5"/>
  <c r="E4508" i="5"/>
  <c r="D4508" i="5"/>
  <c r="R4507" i="5"/>
  <c r="Q4507" i="5"/>
  <c r="N4507" i="5"/>
  <c r="M4506" i="5"/>
  <c r="N4506" i="5" s="1"/>
  <c r="T4505" i="5"/>
  <c r="P4504" i="5"/>
  <c r="O4504" i="5"/>
  <c r="J4504" i="5"/>
  <c r="G4504" i="5"/>
  <c r="E4504" i="5"/>
  <c r="D4504" i="5"/>
  <c r="L4503" i="5"/>
  <c r="T4503" i="5" s="1"/>
  <c r="L4502" i="5"/>
  <c r="L4501" i="5"/>
  <c r="L4500" i="5"/>
  <c r="T4500" i="5" s="1"/>
  <c r="A4500" i="5"/>
  <c r="A4501" i="5" s="1"/>
  <c r="A4502" i="5" s="1"/>
  <c r="A4503" i="5" s="1"/>
  <c r="M4499" i="5"/>
  <c r="T4498" i="5"/>
  <c r="N4497" i="5"/>
  <c r="J4497" i="5"/>
  <c r="G4497" i="5"/>
  <c r="E4497" i="5"/>
  <c r="M4497" i="5"/>
  <c r="R4494" i="5"/>
  <c r="Q4494" i="5"/>
  <c r="L4494" i="5" s="1"/>
  <c r="D4497" i="5"/>
  <c r="R4493" i="5"/>
  <c r="Q4493" i="5"/>
  <c r="L4493" i="5" s="1"/>
  <c r="T4493" i="5" s="1"/>
  <c r="T4492" i="5"/>
  <c r="J4491" i="5"/>
  <c r="G4491" i="5"/>
  <c r="E4491" i="5"/>
  <c r="D4491" i="5"/>
  <c r="M4490" i="5"/>
  <c r="R4490" i="5" s="1"/>
  <c r="A4490" i="5"/>
  <c r="M4489" i="5"/>
  <c r="R4489" i="5" s="1"/>
  <c r="T4488" i="5"/>
  <c r="N4487" i="5"/>
  <c r="J4487" i="5"/>
  <c r="E4487" i="5"/>
  <c r="D4487" i="5"/>
  <c r="G4484" i="5"/>
  <c r="T4483" i="5"/>
  <c r="O4482" i="5"/>
  <c r="J4482" i="5"/>
  <c r="G4482" i="5"/>
  <c r="E4482" i="5"/>
  <c r="D4482" i="5"/>
  <c r="N4482" i="5"/>
  <c r="M4479" i="5"/>
  <c r="T4478" i="5"/>
  <c r="O4477" i="5"/>
  <c r="J4477" i="5"/>
  <c r="G4477" i="5"/>
  <c r="E4477" i="5"/>
  <c r="D4477" i="5"/>
  <c r="L4476" i="5"/>
  <c r="L4475" i="5"/>
  <c r="M4474" i="5"/>
  <c r="R4474" i="5" s="1"/>
  <c r="M4473" i="5"/>
  <c r="Q4473" i="5" s="1"/>
  <c r="L4473" i="5" s="1"/>
  <c r="T4472" i="5"/>
  <c r="J4471" i="5"/>
  <c r="G4471" i="5"/>
  <c r="M4470" i="5"/>
  <c r="R4470" i="5" s="1"/>
  <c r="M4469" i="5"/>
  <c r="R4469" i="5" s="1"/>
  <c r="E4469" i="5"/>
  <c r="D4469" i="5" s="1"/>
  <c r="M4468" i="5"/>
  <c r="N4468" i="5" s="1"/>
  <c r="E4468" i="5"/>
  <c r="D4468" i="5" s="1"/>
  <c r="A4468" i="5"/>
  <c r="A4469" i="5" s="1"/>
  <c r="A4470" i="5" s="1"/>
  <c r="M4467" i="5"/>
  <c r="E4467" i="5"/>
  <c r="D4467" i="5" s="1"/>
  <c r="T4466" i="5"/>
  <c r="P4465" i="5"/>
  <c r="N4465" i="5"/>
  <c r="J4465" i="5"/>
  <c r="G4465" i="5"/>
  <c r="E4465" i="5"/>
  <c r="M4464" i="5"/>
  <c r="M4463" i="5"/>
  <c r="O4463" i="5" s="1"/>
  <c r="R4462" i="5"/>
  <c r="L4462" i="5"/>
  <c r="D4462" i="5"/>
  <c r="M4461" i="5"/>
  <c r="D4461" i="5"/>
  <c r="A4461" i="5"/>
  <c r="A4462" i="5" s="1"/>
  <c r="A4463" i="5" s="1"/>
  <c r="A4464" i="5" s="1"/>
  <c r="M4460" i="5"/>
  <c r="O4460" i="5" s="1"/>
  <c r="T4459" i="5"/>
  <c r="P4458" i="5"/>
  <c r="J4458" i="5"/>
  <c r="M4455" i="5"/>
  <c r="N4455" i="5" s="1"/>
  <c r="D4455" i="5"/>
  <c r="M4454" i="5"/>
  <c r="N4454" i="5" s="1"/>
  <c r="E4454" i="5"/>
  <c r="D4454" i="5" s="1"/>
  <c r="M4453" i="5"/>
  <c r="E4453" i="5"/>
  <c r="D4453" i="5" s="1"/>
  <c r="M4452" i="5"/>
  <c r="R4452" i="5" s="1"/>
  <c r="E4452" i="5"/>
  <c r="M4451" i="5"/>
  <c r="Q4451" i="5" s="1"/>
  <c r="D4451" i="5"/>
  <c r="M4450" i="5"/>
  <c r="R4450" i="5" s="1"/>
  <c r="D4450" i="5"/>
  <c r="M4449" i="5"/>
  <c r="D4449" i="5"/>
  <c r="M4448" i="5"/>
  <c r="D4448" i="5"/>
  <c r="M4447" i="5"/>
  <c r="D4447" i="5"/>
  <c r="M4446" i="5"/>
  <c r="D4446" i="5"/>
  <c r="M4445" i="5"/>
  <c r="Q4445" i="5" s="1"/>
  <c r="L4445" i="5" s="1"/>
  <c r="D4445" i="5"/>
  <c r="G4444" i="5"/>
  <c r="D4444" i="5"/>
  <c r="G4443" i="5"/>
  <c r="D4443" i="5"/>
  <c r="A4443" i="5"/>
  <c r="A4444" i="5" s="1"/>
  <c r="M4442" i="5"/>
  <c r="D4442" i="5"/>
  <c r="T4441" i="5"/>
  <c r="J4440" i="5"/>
  <c r="G4440" i="5"/>
  <c r="E4440" i="5"/>
  <c r="D4440" i="5"/>
  <c r="M4439" i="5"/>
  <c r="R4439" i="5" s="1"/>
  <c r="T4438" i="5"/>
  <c r="M4437" i="5"/>
  <c r="J4437" i="5"/>
  <c r="G4437" i="5"/>
  <c r="E4437" i="5"/>
  <c r="D4437" i="5"/>
  <c r="R4433" i="5"/>
  <c r="Q4433" i="5"/>
  <c r="N4433" i="5"/>
  <c r="R4432" i="5"/>
  <c r="Q4432" i="5"/>
  <c r="N4432" i="5"/>
  <c r="R4431" i="5"/>
  <c r="Q4431" i="5"/>
  <c r="N4431" i="5"/>
  <c r="R4430" i="5"/>
  <c r="Q4430" i="5"/>
  <c r="N4430" i="5"/>
  <c r="R4429" i="5"/>
  <c r="Q4429" i="5"/>
  <c r="N4429" i="5"/>
  <c r="R4428" i="5"/>
  <c r="Q4428" i="5"/>
  <c r="N4428" i="5"/>
  <c r="R4427" i="5"/>
  <c r="Q4427" i="5"/>
  <c r="N4427" i="5"/>
  <c r="R4426" i="5"/>
  <c r="Q4426" i="5"/>
  <c r="N4426" i="5"/>
  <c r="R4425" i="5"/>
  <c r="Q4425" i="5"/>
  <c r="O4425" i="5"/>
  <c r="O4437" i="5" s="1"/>
  <c r="A4425" i="5"/>
  <c r="A4426" i="5" s="1"/>
  <c r="A4427" i="5" s="1"/>
  <c r="R4424" i="5"/>
  <c r="Q4424" i="5"/>
  <c r="N4424" i="5"/>
  <c r="T4423" i="5"/>
  <c r="O4422" i="5"/>
  <c r="N4422" i="5"/>
  <c r="J4422" i="5"/>
  <c r="G4422" i="5"/>
  <c r="E4422" i="5"/>
  <c r="D4422" i="5"/>
  <c r="M4421" i="5"/>
  <c r="M4420" i="5"/>
  <c r="Q4420" i="5" s="1"/>
  <c r="T4419" i="5"/>
  <c r="J4418" i="5"/>
  <c r="G4418" i="5"/>
  <c r="E4418" i="5"/>
  <c r="D4418" i="5"/>
  <c r="M4417" i="5"/>
  <c r="R4417" i="5" s="1"/>
  <c r="M4416" i="5"/>
  <c r="A4416" i="5"/>
  <c r="A4417" i="5" s="1"/>
  <c r="M4415" i="5"/>
  <c r="O4415" i="5" s="1"/>
  <c r="M4414" i="5"/>
  <c r="R4414" i="5" s="1"/>
  <c r="T4413" i="5"/>
  <c r="J4412" i="5"/>
  <c r="G4412" i="5"/>
  <c r="E4412" i="5"/>
  <c r="D4412" i="5"/>
  <c r="M4411" i="5"/>
  <c r="Q4411" i="5" s="1"/>
  <c r="M4410" i="5"/>
  <c r="R4410" i="5" s="1"/>
  <c r="M4409" i="5"/>
  <c r="M4408" i="5"/>
  <c r="R4408" i="5" s="1"/>
  <c r="M4407" i="5"/>
  <c r="M4406" i="5"/>
  <c r="O4406" i="5" s="1"/>
  <c r="M4405" i="5"/>
  <c r="R4405" i="5" s="1"/>
  <c r="A4405" i="5"/>
  <c r="A4406" i="5" s="1"/>
  <c r="A4407" i="5" s="1"/>
  <c r="A4408" i="5" s="1"/>
  <c r="A4409" i="5" s="1"/>
  <c r="A4410" i="5" s="1"/>
  <c r="A4411" i="5" s="1"/>
  <c r="M4404" i="5"/>
  <c r="R4404" i="5" s="1"/>
  <c r="T4403" i="5"/>
  <c r="T4399" i="5"/>
  <c r="N4398" i="5"/>
  <c r="M4398" i="5"/>
  <c r="J4398" i="5"/>
  <c r="G4398" i="5"/>
  <c r="E4398" i="5"/>
  <c r="R4397" i="5"/>
  <c r="Q4397" i="5"/>
  <c r="Q4398" i="5" s="1"/>
  <c r="D4397" i="5"/>
  <c r="D4398" i="5" s="1"/>
  <c r="T4396" i="5"/>
  <c r="P4395" i="5"/>
  <c r="O4395" i="5"/>
  <c r="J4395" i="5"/>
  <c r="G4395" i="5"/>
  <c r="E4395" i="5"/>
  <c r="D4395" i="5"/>
  <c r="R4394" i="5"/>
  <c r="L4394" i="5"/>
  <c r="M4393" i="5"/>
  <c r="N4393" i="5" s="1"/>
  <c r="N4395" i="5" s="1"/>
  <c r="T4392" i="5"/>
  <c r="N4391" i="5"/>
  <c r="J4391" i="5"/>
  <c r="G4391" i="5"/>
  <c r="E4391" i="5"/>
  <c r="D4391" i="5"/>
  <c r="R4390" i="5"/>
  <c r="L4390" i="5"/>
  <c r="L4389" i="5"/>
  <c r="L4388" i="5"/>
  <c r="M4387" i="5"/>
  <c r="R4387" i="5" s="1"/>
  <c r="M4386" i="5"/>
  <c r="M4385" i="5"/>
  <c r="O4385" i="5" s="1"/>
  <c r="M4384" i="5"/>
  <c r="Q4384" i="5" s="1"/>
  <c r="M4383" i="5"/>
  <c r="R4383" i="5" s="1"/>
  <c r="M4382" i="5"/>
  <c r="A4382" i="5"/>
  <c r="A4383" i="5" s="1"/>
  <c r="A4384" i="5" s="1"/>
  <c r="A4385" i="5" s="1"/>
  <c r="A4386" i="5" s="1"/>
  <c r="A4387" i="5" s="1"/>
  <c r="M4381" i="5"/>
  <c r="R4381" i="5" s="1"/>
  <c r="J4379" i="5"/>
  <c r="D4379" i="5"/>
  <c r="M4343" i="5"/>
  <c r="G4343" i="5"/>
  <c r="M4342" i="5"/>
  <c r="O4342" i="5" s="1"/>
  <c r="M4341" i="5"/>
  <c r="R4341" i="5" s="1"/>
  <c r="G4341" i="5"/>
  <c r="M4340" i="5"/>
  <c r="Q4340" i="5" s="1"/>
  <c r="G4340" i="5"/>
  <c r="M4339" i="5"/>
  <c r="O4339" i="5" s="1"/>
  <c r="M4338" i="5"/>
  <c r="R4338" i="5" s="1"/>
  <c r="M4337" i="5"/>
  <c r="M4336" i="5"/>
  <c r="O4336" i="5" s="1"/>
  <c r="M4335" i="5"/>
  <c r="O4335" i="5" s="1"/>
  <c r="A4335" i="5"/>
  <c r="A4336" i="5" s="1"/>
  <c r="A4337" i="5" s="1"/>
  <c r="A4338" i="5" s="1"/>
  <c r="A4339" i="5" s="1"/>
  <c r="A4340" i="5" s="1"/>
  <c r="A4341" i="5" s="1"/>
  <c r="A4342" i="5" s="1"/>
  <c r="M4334" i="5"/>
  <c r="O4334" i="5" s="1"/>
  <c r="G4334" i="5"/>
  <c r="T4333" i="5"/>
  <c r="S4326" i="5"/>
  <c r="P4325" i="5"/>
  <c r="P4237" i="5" s="1"/>
  <c r="N4325" i="5"/>
  <c r="N4237" i="5" s="1"/>
  <c r="J4325" i="5"/>
  <c r="J4237" i="5" s="1"/>
  <c r="G4325" i="5"/>
  <c r="G4237" i="5" s="1"/>
  <c r="E4325" i="5"/>
  <c r="E4237" i="5" s="1"/>
  <c r="D4325" i="5"/>
  <c r="D4237" i="5" s="1"/>
  <c r="R4317" i="5"/>
  <c r="L4315" i="5"/>
  <c r="R4314" i="5"/>
  <c r="L4314" i="5"/>
  <c r="R4313" i="5"/>
  <c r="L4313" i="5"/>
  <c r="L4312" i="5"/>
  <c r="S4312" i="5" s="1"/>
  <c r="R4311" i="5"/>
  <c r="L4311" i="5"/>
  <c r="R4310" i="5"/>
  <c r="L4310" i="5"/>
  <c r="R4309" i="5"/>
  <c r="L4309" i="5"/>
  <c r="R4308" i="5"/>
  <c r="L4308" i="5"/>
  <c r="L4307" i="5"/>
  <c r="R4306" i="5"/>
  <c r="L4306" i="5"/>
  <c r="R4305" i="5"/>
  <c r="L4305" i="5"/>
  <c r="R4304" i="5"/>
  <c r="Q4304" i="5"/>
  <c r="L4304" i="5" s="1"/>
  <c r="R4303" i="5"/>
  <c r="Q4303" i="5"/>
  <c r="L4303" i="5" s="1"/>
  <c r="Q4301" i="5"/>
  <c r="L4301" i="5" s="1"/>
  <c r="R4300" i="5"/>
  <c r="Q4300" i="5"/>
  <c r="L4300" i="5" s="1"/>
  <c r="R4299" i="5"/>
  <c r="Q4299" i="5"/>
  <c r="L4299" i="5" s="1"/>
  <c r="S4299" i="5" s="1"/>
  <c r="R4298" i="5"/>
  <c r="Q4298" i="5"/>
  <c r="L4298" i="5" s="1"/>
  <c r="A4298" i="5"/>
  <c r="A4299" i="5" s="1"/>
  <c r="A4300" i="5" s="1"/>
  <c r="A4301" i="5" s="1"/>
  <c r="Q4297" i="5"/>
  <c r="L4297" i="5" s="1"/>
  <c r="Q4296" i="5"/>
  <c r="S4296" i="5" s="1"/>
  <c r="R4295" i="5"/>
  <c r="Q4295" i="5"/>
  <c r="R4294" i="5"/>
  <c r="Q4294" i="5"/>
  <c r="S4294" i="5" s="1"/>
  <c r="R4293" i="5"/>
  <c r="Q4293" i="5"/>
  <c r="R4292" i="5"/>
  <c r="Q4292" i="5"/>
  <c r="L4292" i="5" s="1"/>
  <c r="R4291" i="5"/>
  <c r="Q4291" i="5"/>
  <c r="L4291" i="5" s="1"/>
  <c r="L4290" i="5"/>
  <c r="R4289" i="5"/>
  <c r="Q4289" i="5"/>
  <c r="L4289" i="5" s="1"/>
  <c r="Q4288" i="5"/>
  <c r="L4288" i="5" s="1"/>
  <c r="R4287" i="5"/>
  <c r="Q4287" i="5"/>
  <c r="L4287" i="5" s="1"/>
  <c r="R4286" i="5"/>
  <c r="Q4286" i="5"/>
  <c r="L4286" i="5" s="1"/>
  <c r="Q4285" i="5"/>
  <c r="L4285" i="5" s="1"/>
  <c r="S4285" i="5" s="1"/>
  <c r="R4284" i="5"/>
  <c r="Q4284" i="5"/>
  <c r="L4284" i="5" s="1"/>
  <c r="R4283" i="5"/>
  <c r="Q4283" i="5"/>
  <c r="L4283" i="5" s="1"/>
  <c r="S4283" i="5" s="1"/>
  <c r="R4282" i="5"/>
  <c r="Q4282" i="5"/>
  <c r="L4282" i="5" s="1"/>
  <c r="R4281" i="5"/>
  <c r="Q4281" i="5"/>
  <c r="L4281" i="5" s="1"/>
  <c r="S4281" i="5" s="1"/>
  <c r="R4280" i="5"/>
  <c r="Q4280" i="5"/>
  <c r="L4280" i="5" s="1"/>
  <c r="R4279" i="5"/>
  <c r="Q4279" i="5"/>
  <c r="L4279" i="5" s="1"/>
  <c r="S4279" i="5" s="1"/>
  <c r="Q4278" i="5"/>
  <c r="L4278" i="5" s="1"/>
  <c r="Q4277" i="5"/>
  <c r="L4277" i="5" s="1"/>
  <c r="S4277" i="5" s="1"/>
  <c r="R4276" i="5"/>
  <c r="Q4276" i="5"/>
  <c r="L4276" i="5" s="1"/>
  <c r="R4275" i="5"/>
  <c r="Q4275" i="5"/>
  <c r="L4275" i="5" s="1"/>
  <c r="S4275" i="5" s="1"/>
  <c r="Q4274" i="5"/>
  <c r="L4274" i="5" s="1"/>
  <c r="A4273" i="5"/>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R4272" i="5"/>
  <c r="Q4272" i="5"/>
  <c r="L4272" i="5" s="1"/>
  <c r="Q4271" i="5"/>
  <c r="R4270" i="5"/>
  <c r="Q4270" i="5"/>
  <c r="Q4269" i="5"/>
  <c r="S4269" i="5" s="1"/>
  <c r="Q4268" i="5"/>
  <c r="Q4267" i="5"/>
  <c r="L4267" i="5" s="1"/>
  <c r="Q4266" i="5"/>
  <c r="L4266" i="5" s="1"/>
  <c r="Q4265" i="5"/>
  <c r="L4265" i="5" s="1"/>
  <c r="Q4264" i="5"/>
  <c r="L4264" i="5" s="1"/>
  <c r="A4264" i="5"/>
  <c r="A4265" i="5" s="1"/>
  <c r="A4266" i="5" s="1"/>
  <c r="Q4263" i="5"/>
  <c r="L4263" i="5" s="1"/>
  <c r="S4262" i="5"/>
  <c r="Q4261" i="5"/>
  <c r="Q4260" i="5"/>
  <c r="L4260" i="5" s="1"/>
  <c r="R4259" i="5"/>
  <c r="Q4259" i="5"/>
  <c r="S4259" i="5" s="1"/>
  <c r="R4258" i="5"/>
  <c r="Q4258" i="5"/>
  <c r="Q4257" i="5"/>
  <c r="L4257" i="5" s="1"/>
  <c r="Q4256" i="5"/>
  <c r="L4256" i="5" s="1"/>
  <c r="Q4255" i="5"/>
  <c r="L4255" i="5" s="1"/>
  <c r="A4255" i="5"/>
  <c r="A4256" i="5" s="1"/>
  <c r="A4257" i="5" s="1"/>
  <c r="Q4254" i="5"/>
  <c r="L4254" i="5" s="1"/>
  <c r="R4253" i="5"/>
  <c r="Q4253" i="5"/>
  <c r="Q4252" i="5"/>
  <c r="Q4251" i="5"/>
  <c r="L4251" i="5" s="1"/>
  <c r="R4250" i="5"/>
  <c r="Q4250" i="5"/>
  <c r="Q4248" i="5"/>
  <c r="S4248" i="5" s="1"/>
  <c r="Q4247" i="5"/>
  <c r="R4246" i="5"/>
  <c r="Q4246" i="5"/>
  <c r="Q4245" i="5"/>
  <c r="Q4244" i="5"/>
  <c r="Q4243" i="5"/>
  <c r="Q4242" i="5"/>
  <c r="Q4241" i="5"/>
  <c r="Q4240" i="5"/>
  <c r="L4240" i="5" s="1"/>
  <c r="A4240" i="5"/>
  <c r="R4239" i="5"/>
  <c r="Q4239" i="5"/>
  <c r="P4233" i="5"/>
  <c r="N4233" i="5"/>
  <c r="J4233" i="5"/>
  <c r="G4233" i="5"/>
  <c r="E4233" i="5"/>
  <c r="D4233" i="5"/>
  <c r="M4232" i="5"/>
  <c r="M4231" i="5"/>
  <c r="Q4231" i="5" s="1"/>
  <c r="A4231" i="5"/>
  <c r="A4232" i="5" s="1"/>
  <c r="M4230" i="5"/>
  <c r="P4228" i="5"/>
  <c r="N4228" i="5"/>
  <c r="J4228" i="5"/>
  <c r="G4228" i="5"/>
  <c r="E4228" i="5"/>
  <c r="D4228" i="5"/>
  <c r="M4227" i="5"/>
  <c r="M4228" i="5" s="1"/>
  <c r="R4226" i="5"/>
  <c r="Q4226" i="5"/>
  <c r="O4226" i="5"/>
  <c r="P4224" i="5"/>
  <c r="N4224" i="5"/>
  <c r="J4224" i="5"/>
  <c r="G4224" i="5"/>
  <c r="E4224" i="5"/>
  <c r="D4224" i="5"/>
  <c r="M4223" i="5"/>
  <c r="R4222" i="5"/>
  <c r="L4222" i="5"/>
  <c r="R4221" i="5"/>
  <c r="Q4221" i="5"/>
  <c r="M4220" i="5"/>
  <c r="R4220" i="5" s="1"/>
  <c r="R4219" i="5"/>
  <c r="Q4219" i="5"/>
  <c r="O4219" i="5"/>
  <c r="M4218" i="5"/>
  <c r="O4218" i="5" s="1"/>
  <c r="M4217" i="5"/>
  <c r="M4216" i="5"/>
  <c r="R4216" i="5" s="1"/>
  <c r="M4215" i="5"/>
  <c r="R4215" i="5" s="1"/>
  <c r="M4214" i="5"/>
  <c r="R4214" i="5" s="1"/>
  <c r="M4213" i="5"/>
  <c r="Q4213" i="5" s="1"/>
  <c r="M4212" i="5"/>
  <c r="O4212" i="5" s="1"/>
  <c r="M4211" i="5"/>
  <c r="O4211" i="5" s="1"/>
  <c r="M4210" i="5"/>
  <c r="O4210" i="5" s="1"/>
  <c r="M4209" i="5"/>
  <c r="O4209" i="5" s="1"/>
  <c r="M4208" i="5"/>
  <c r="O4208" i="5" s="1"/>
  <c r="R4207" i="5"/>
  <c r="L4207" i="5"/>
  <c r="M4206" i="5"/>
  <c r="Q4206" i="5" s="1"/>
  <c r="L4206" i="5" s="1"/>
  <c r="M4205" i="5"/>
  <c r="O4205" i="5" s="1"/>
  <c r="M4204" i="5"/>
  <c r="O4204" i="5" s="1"/>
  <c r="L4203" i="5"/>
  <c r="M4202" i="5"/>
  <c r="O4202" i="5" s="1"/>
  <c r="M4201" i="5"/>
  <c r="O4201" i="5" s="1"/>
  <c r="M4200" i="5"/>
  <c r="R4200" i="5" s="1"/>
  <c r="M4199" i="5"/>
  <c r="Q4199" i="5" s="1"/>
  <c r="L4199" i="5" s="1"/>
  <c r="A4199" i="5"/>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R4198" i="5"/>
  <c r="Q4198" i="5"/>
  <c r="M4197" i="5"/>
  <c r="R4197" i="5" s="1"/>
  <c r="P4195" i="5"/>
  <c r="N4195" i="5"/>
  <c r="J4195" i="5"/>
  <c r="G4195" i="5"/>
  <c r="E4195" i="5"/>
  <c r="D4195" i="5"/>
  <c r="L4194" i="5"/>
  <c r="L4193" i="5"/>
  <c r="L4192" i="5"/>
  <c r="A4192" i="5"/>
  <c r="A4193" i="5" s="1"/>
  <c r="A4194" i="5" s="1"/>
  <c r="M4191" i="5"/>
  <c r="Q4191" i="5" s="1"/>
  <c r="L4191" i="5" s="1"/>
  <c r="M4190" i="5"/>
  <c r="R4190" i="5" s="1"/>
  <c r="M4189" i="5"/>
  <c r="R4189" i="5" s="1"/>
  <c r="M4188" i="5"/>
  <c r="O4188" i="5" s="1"/>
  <c r="M4187" i="5"/>
  <c r="R4187" i="5" s="1"/>
  <c r="M4186" i="5"/>
  <c r="Q4186" i="5" s="1"/>
  <c r="L4186" i="5" s="1"/>
  <c r="R4185" i="5"/>
  <c r="Q4185" i="5"/>
  <c r="L4185" i="5" s="1"/>
  <c r="A4185" i="5"/>
  <c r="A4186" i="5" s="1"/>
  <c r="A4187" i="5" s="1"/>
  <c r="A4188" i="5" s="1"/>
  <c r="A4189" i="5" s="1"/>
  <c r="M4184" i="5"/>
  <c r="O4184" i="5" s="1"/>
  <c r="P4182" i="5"/>
  <c r="O4182" i="5"/>
  <c r="N4182" i="5"/>
  <c r="J4182" i="5"/>
  <c r="G4182" i="5"/>
  <c r="E4182" i="5"/>
  <c r="D4182" i="5"/>
  <c r="A4180" i="5"/>
  <c r="A4181" i="5" s="1"/>
  <c r="R4162" i="5"/>
  <c r="Q4162" i="5"/>
  <c r="O4162" i="5"/>
  <c r="M4161" i="5"/>
  <c r="R4160" i="5"/>
  <c r="Q4160" i="5"/>
  <c r="O4160" i="5"/>
  <c r="M4159" i="5"/>
  <c r="Q4159" i="5" s="1"/>
  <c r="M4158" i="5"/>
  <c r="R4158" i="5" s="1"/>
  <c r="M4157" i="5"/>
  <c r="R4157" i="5" s="1"/>
  <c r="A4157" i="5"/>
  <c r="A4158" i="5" s="1"/>
  <c r="M4156" i="5"/>
  <c r="P4154" i="5"/>
  <c r="O4154" i="5"/>
  <c r="N4154" i="5"/>
  <c r="J4154" i="5"/>
  <c r="G4154" i="5"/>
  <c r="E4154" i="5"/>
  <c r="D4154" i="5"/>
  <c r="M4153" i="5"/>
  <c r="M4154" i="5" s="1"/>
  <c r="Q4152" i="5"/>
  <c r="L4152" i="5" s="1"/>
  <c r="Q4151" i="5"/>
  <c r="L4151" i="5" s="1"/>
  <c r="A4151" i="5"/>
  <c r="A4152" i="5" s="1"/>
  <c r="A4153" i="5" s="1"/>
  <c r="Q4150" i="5"/>
  <c r="L4150" i="5" s="1"/>
  <c r="P4148" i="5"/>
  <c r="O4148" i="5"/>
  <c r="N4148" i="5"/>
  <c r="J4148" i="5"/>
  <c r="E4148" i="5"/>
  <c r="D4148" i="5"/>
  <c r="M4147" i="5"/>
  <c r="R4147" i="5" s="1"/>
  <c r="G4146" i="5"/>
  <c r="P4144" i="5"/>
  <c r="N4144" i="5"/>
  <c r="J4144" i="5"/>
  <c r="G4144" i="5"/>
  <c r="E4144" i="5"/>
  <c r="D4144" i="5"/>
  <c r="M4143" i="5"/>
  <c r="Q4143" i="5" s="1"/>
  <c r="M4142" i="5"/>
  <c r="M4141" i="5"/>
  <c r="R4134" i="5"/>
  <c r="Q4134" i="5"/>
  <c r="L4134" i="5" s="1"/>
  <c r="R4133" i="5"/>
  <c r="Q4133" i="5"/>
  <c r="L4133" i="5" s="1"/>
  <c r="M4132" i="5"/>
  <c r="Q4132" i="5" s="1"/>
  <c r="L4132" i="5" s="1"/>
  <c r="M4131" i="5"/>
  <c r="R4131" i="5" s="1"/>
  <c r="M4130" i="5"/>
  <c r="R4130" i="5" s="1"/>
  <c r="L4129" i="5"/>
  <c r="L4128" i="5"/>
  <c r="L4127" i="5"/>
  <c r="M4126" i="5"/>
  <c r="R4125" i="5"/>
  <c r="Q4125" i="5"/>
  <c r="O4125" i="5"/>
  <c r="M4124" i="5"/>
  <c r="Q4124" i="5" s="1"/>
  <c r="L4123" i="5"/>
  <c r="N4122" i="5"/>
  <c r="M4122" i="5"/>
  <c r="M4121" i="5"/>
  <c r="Q4121" i="5" s="1"/>
  <c r="M4120" i="5"/>
  <c r="R4120" i="5" s="1"/>
  <c r="N4119" i="5"/>
  <c r="M4118" i="5"/>
  <c r="N4117" i="5"/>
  <c r="N4116" i="5"/>
  <c r="M4115" i="5"/>
  <c r="M4114" i="5"/>
  <c r="Q4114" i="5" s="1"/>
  <c r="R4113" i="5"/>
  <c r="Q4113" i="5"/>
  <c r="L4113" i="5" s="1"/>
  <c r="M4112" i="5"/>
  <c r="Q4112" i="5" s="1"/>
  <c r="M4111" i="5"/>
  <c r="Q4109" i="5"/>
  <c r="P4109" i="5"/>
  <c r="O4109" i="5"/>
  <c r="N4109" i="5"/>
  <c r="M4109" i="5"/>
  <c r="J4109" i="5"/>
  <c r="G4109" i="5"/>
  <c r="E4109" i="5"/>
  <c r="D4109" i="5"/>
  <c r="R4108" i="5"/>
  <c r="L4108" i="5"/>
  <c r="P4106" i="5"/>
  <c r="N4106" i="5"/>
  <c r="J4106" i="5"/>
  <c r="G4106" i="5"/>
  <c r="E4106" i="5"/>
  <c r="D4106" i="5"/>
  <c r="M4105" i="5"/>
  <c r="Q4105" i="5" s="1"/>
  <c r="Q4106" i="5" s="1"/>
  <c r="P4103" i="5"/>
  <c r="O4103" i="5"/>
  <c r="N4103" i="5"/>
  <c r="J4103" i="5"/>
  <c r="G4103" i="5"/>
  <c r="D4103" i="5"/>
  <c r="Q4097" i="5"/>
  <c r="P4097" i="5"/>
  <c r="N4097" i="5"/>
  <c r="M4097" i="5"/>
  <c r="J4097" i="5"/>
  <c r="G4097" i="5"/>
  <c r="E4097" i="5"/>
  <c r="D4097" i="5"/>
  <c r="R4096" i="5"/>
  <c r="L4096" i="5"/>
  <c r="L4097" i="5" s="1"/>
  <c r="P4094" i="5"/>
  <c r="J4094" i="5"/>
  <c r="E4094" i="5"/>
  <c r="D4094" i="5"/>
  <c r="M4086" i="5"/>
  <c r="O4086" i="5" s="1"/>
  <c r="M4085" i="5"/>
  <c r="Q4085" i="5" s="1"/>
  <c r="M4084" i="5"/>
  <c r="M4083" i="5"/>
  <c r="M4082" i="5"/>
  <c r="Q4082" i="5" s="1"/>
  <c r="G4081" i="5"/>
  <c r="G4080" i="5"/>
  <c r="M4080" i="5" s="1"/>
  <c r="Q4080" i="5" s="1"/>
  <c r="M4079" i="5"/>
  <c r="Q4079" i="5" s="1"/>
  <c r="L4079" i="5" s="1"/>
  <c r="M4078" i="5"/>
  <c r="G4077" i="5"/>
  <c r="M4077" i="5" s="1"/>
  <c r="Q4077" i="5" s="1"/>
  <c r="M4076" i="5"/>
  <c r="R4076" i="5" s="1"/>
  <c r="M4075" i="5"/>
  <c r="M4074" i="5"/>
  <c r="Q4074" i="5" s="1"/>
  <c r="M4073" i="5"/>
  <c r="R4073" i="5" s="1"/>
  <c r="M4072" i="5"/>
  <c r="Q4072" i="5" s="1"/>
  <c r="L4072" i="5" s="1"/>
  <c r="M4071" i="5"/>
  <c r="M4070" i="5"/>
  <c r="Q4070" i="5" s="1"/>
  <c r="L4069" i="5"/>
  <c r="M4068" i="5"/>
  <c r="Q4068" i="5" s="1"/>
  <c r="M4067" i="5"/>
  <c r="O4067" i="5" s="1"/>
  <c r="M4066" i="5"/>
  <c r="R4065" i="5"/>
  <c r="L4065" i="5"/>
  <c r="A4066" i="5"/>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P4063" i="5"/>
  <c r="O4063" i="5"/>
  <c r="N4063" i="5"/>
  <c r="J4063" i="5"/>
  <c r="G4063" i="5"/>
  <c r="E4063" i="5"/>
  <c r="D4063" i="5"/>
  <c r="P4057" i="5"/>
  <c r="N4057" i="5"/>
  <c r="J4057" i="5"/>
  <c r="G4057" i="5"/>
  <c r="E4057" i="5"/>
  <c r="D4057" i="5"/>
  <c r="M4056" i="5"/>
  <c r="M4055" i="5"/>
  <c r="P4053" i="5"/>
  <c r="O4053" i="5"/>
  <c r="N4053" i="5"/>
  <c r="J4053" i="5"/>
  <c r="G4053" i="5"/>
  <c r="E4053" i="5"/>
  <c r="D4053" i="5"/>
  <c r="M4052" i="5"/>
  <c r="P4050" i="5"/>
  <c r="O4050" i="5"/>
  <c r="N4050" i="5"/>
  <c r="J4050" i="5"/>
  <c r="G4050" i="5"/>
  <c r="E4050" i="5"/>
  <c r="D4050" i="5"/>
  <c r="M4049" i="5"/>
  <c r="M4048" i="5"/>
  <c r="Q4046" i="5"/>
  <c r="P4046" i="5"/>
  <c r="O4046" i="5"/>
  <c r="N4046" i="5"/>
  <c r="M4046" i="5"/>
  <c r="J4046" i="5"/>
  <c r="G4046" i="5"/>
  <c r="E4046" i="5"/>
  <c r="D4046" i="5"/>
  <c r="R4045" i="5"/>
  <c r="L4045" i="5"/>
  <c r="R4044" i="5"/>
  <c r="L4044" i="5"/>
  <c r="R4043" i="5"/>
  <c r="L4043" i="5"/>
  <c r="R4042" i="5"/>
  <c r="L4042" i="5"/>
  <c r="R4041" i="5"/>
  <c r="L4041" i="5"/>
  <c r="R4040" i="5"/>
  <c r="L4040" i="5"/>
  <c r="R4039" i="5"/>
  <c r="L4039" i="5"/>
  <c r="R4038" i="5"/>
  <c r="L4038" i="5"/>
  <c r="A4038" i="5"/>
  <c r="A4039" i="5" s="1"/>
  <c r="A4040" i="5" s="1"/>
  <c r="A4041" i="5" s="1"/>
  <c r="A4042" i="5" s="1"/>
  <c r="A4043" i="5" s="1"/>
  <c r="A4044" i="5" s="1"/>
  <c r="A4045" i="5" s="1"/>
  <c r="R4037" i="5"/>
  <c r="L4037" i="5"/>
  <c r="P4035" i="5"/>
  <c r="J4035" i="5"/>
  <c r="G4035" i="5"/>
  <c r="E4035" i="5"/>
  <c r="M4021" i="5"/>
  <c r="R4021" i="5" s="1"/>
  <c r="D4021" i="5"/>
  <c r="M4020" i="5"/>
  <c r="R4020" i="5" s="1"/>
  <c r="D4020" i="5"/>
  <c r="M4019" i="5"/>
  <c r="Q4019" i="5" s="1"/>
  <c r="D4019" i="5"/>
  <c r="M4018" i="5"/>
  <c r="O4018" i="5" s="1"/>
  <c r="D4018" i="5"/>
  <c r="M4017" i="5"/>
  <c r="R4017" i="5" s="1"/>
  <c r="D4017" i="5"/>
  <c r="M4016" i="5"/>
  <c r="R4016" i="5" s="1"/>
  <c r="D4016" i="5"/>
  <c r="R4015" i="5"/>
  <c r="M4014" i="5"/>
  <c r="D4014" i="5"/>
  <c r="M4013" i="5"/>
  <c r="Q4013" i="5" s="1"/>
  <c r="D4013" i="5"/>
  <c r="M4012" i="5"/>
  <c r="R4012" i="5" s="1"/>
  <c r="D4012" i="5"/>
  <c r="M4011" i="5"/>
  <c r="R4011" i="5" s="1"/>
  <c r="D4011" i="5"/>
  <c r="M4010" i="5"/>
  <c r="R4010" i="5" s="1"/>
  <c r="D4010" i="5"/>
  <c r="R4009" i="5"/>
  <c r="L4009" i="5"/>
  <c r="D4009" i="5"/>
  <c r="L4008" i="5"/>
  <c r="D4008" i="5"/>
  <c r="M4007" i="5"/>
  <c r="O4007" i="5" s="1"/>
  <c r="D4007" i="5"/>
  <c r="M4006" i="5"/>
  <c r="R4006" i="5" s="1"/>
  <c r="D4006" i="5"/>
  <c r="M4005" i="5"/>
  <c r="R4005" i="5" s="1"/>
  <c r="D4005" i="5"/>
  <c r="M4004" i="5"/>
  <c r="Q4004" i="5" s="1"/>
  <c r="D4004" i="5"/>
  <c r="R4003" i="5"/>
  <c r="L4003" i="5"/>
  <c r="D4003" i="5"/>
  <c r="M4002" i="5"/>
  <c r="O4002" i="5" s="1"/>
  <c r="D4002" i="5"/>
  <c r="M4001" i="5"/>
  <c r="R4001" i="5" s="1"/>
  <c r="D4001" i="5"/>
  <c r="M4000" i="5"/>
  <c r="R4000" i="5" s="1"/>
  <c r="D4000" i="5"/>
  <c r="M3999" i="5"/>
  <c r="R3999" i="5" s="1"/>
  <c r="D3999" i="5"/>
  <c r="M3998" i="5"/>
  <c r="D3998" i="5"/>
  <c r="M3997" i="5"/>
  <c r="R3997" i="5" s="1"/>
  <c r="D3997" i="5"/>
  <c r="D3995" i="5"/>
  <c r="R3994" i="5"/>
  <c r="L3994" i="5"/>
  <c r="C276" i="2" s="1"/>
  <c r="D3994" i="5"/>
  <c r="R3993" i="5"/>
  <c r="L3993" i="5"/>
  <c r="F275" i="2" s="1"/>
  <c r="M3992" i="5"/>
  <c r="R3992" i="5" s="1"/>
  <c r="D3992" i="5"/>
  <c r="M3991" i="5"/>
  <c r="D3991" i="5"/>
  <c r="M3990" i="5"/>
  <c r="Q3990" i="5" s="1"/>
  <c r="D3990" i="5"/>
  <c r="M3989" i="5"/>
  <c r="Q3989" i="5" s="1"/>
  <c r="D3989" i="5"/>
  <c r="M3988" i="5"/>
  <c r="R3988" i="5" s="1"/>
  <c r="D3988" i="5"/>
  <c r="M3987" i="5"/>
  <c r="O3987" i="5" s="1"/>
  <c r="D3987" i="5"/>
  <c r="M3986" i="5"/>
  <c r="D3986" i="5"/>
  <c r="R3985" i="5"/>
  <c r="L3985" i="5"/>
  <c r="C267" i="2" s="1"/>
  <c r="M3984" i="5"/>
  <c r="R3984" i="5" s="1"/>
  <c r="D3984" i="5"/>
  <c r="M3983" i="5"/>
  <c r="R3983" i="5" s="1"/>
  <c r="D3983" i="5"/>
  <c r="M3982" i="5"/>
  <c r="Q3982" i="5" s="1"/>
  <c r="D3982" i="5"/>
  <c r="M3981" i="5"/>
  <c r="Q3981" i="5" s="1"/>
  <c r="D3981" i="5"/>
  <c r="M3980" i="5"/>
  <c r="R3980" i="5" s="1"/>
  <c r="D3980" i="5"/>
  <c r="M3979" i="5"/>
  <c r="R3979" i="5" s="1"/>
  <c r="D3979" i="5"/>
  <c r="M3978" i="5"/>
  <c r="Q3978" i="5" s="1"/>
  <c r="D3978" i="5"/>
  <c r="M3977" i="5"/>
  <c r="R3977" i="5" s="1"/>
  <c r="D3977" i="5"/>
  <c r="M3976" i="5"/>
  <c r="R3976" i="5" s="1"/>
  <c r="D3976" i="5"/>
  <c r="M3975" i="5"/>
  <c r="R3975" i="5" s="1"/>
  <c r="D3975" i="5"/>
  <c r="M3974" i="5"/>
  <c r="Q3974" i="5" s="1"/>
  <c r="D3974" i="5"/>
  <c r="R3973" i="5"/>
  <c r="L3973" i="5"/>
  <c r="F255" i="2" s="1"/>
  <c r="D3973" i="5"/>
  <c r="M3972" i="5"/>
  <c r="R3972" i="5" s="1"/>
  <c r="D3972" i="5"/>
  <c r="M3971" i="5"/>
  <c r="Q3971" i="5" s="1"/>
  <c r="D3971" i="5"/>
  <c r="M3970" i="5"/>
  <c r="O3970" i="5" s="1"/>
  <c r="D3970" i="5"/>
  <c r="M3969" i="5"/>
  <c r="R3969" i="5" s="1"/>
  <c r="D3969" i="5"/>
  <c r="M3968" i="5"/>
  <c r="Q3968" i="5" s="1"/>
  <c r="D3968" i="5"/>
  <c r="R3967" i="5"/>
  <c r="O3967" i="5"/>
  <c r="L3967" i="5" s="1"/>
  <c r="D3967" i="5"/>
  <c r="M3966" i="5"/>
  <c r="R3966" i="5" s="1"/>
  <c r="D3966" i="5"/>
  <c r="R3965" i="5"/>
  <c r="Q3965" i="5"/>
  <c r="L3965" i="5" s="1"/>
  <c r="D3965" i="5"/>
  <c r="M3964" i="5"/>
  <c r="Q3964" i="5" s="1"/>
  <c r="D3964" i="5"/>
  <c r="M3963" i="5"/>
  <c r="R3963" i="5" s="1"/>
  <c r="D3963" i="5"/>
  <c r="M3962" i="5"/>
  <c r="R3962" i="5" s="1"/>
  <c r="D3962" i="5"/>
  <c r="M3961" i="5"/>
  <c r="R3961" i="5" s="1"/>
  <c r="D3961" i="5"/>
  <c r="M3960" i="5"/>
  <c r="O3960" i="5" s="1"/>
  <c r="D3960" i="5"/>
  <c r="M3959" i="5"/>
  <c r="Q3959" i="5" s="1"/>
  <c r="D3959" i="5"/>
  <c r="M3958" i="5"/>
  <c r="R3958" i="5" s="1"/>
  <c r="D3958" i="5"/>
  <c r="M3957" i="5"/>
  <c r="Q3957" i="5" s="1"/>
  <c r="D3957" i="5"/>
  <c r="M3956" i="5"/>
  <c r="O3956" i="5" s="1"/>
  <c r="D3956" i="5"/>
  <c r="M3955" i="5"/>
  <c r="R3955" i="5" s="1"/>
  <c r="D3955" i="5"/>
  <c r="M3954" i="5"/>
  <c r="R3954" i="5" s="1"/>
  <c r="D3954" i="5"/>
  <c r="M3953" i="5"/>
  <c r="Q3953" i="5" s="1"/>
  <c r="D3953" i="5"/>
  <c r="M3952" i="5"/>
  <c r="O3952" i="5" s="1"/>
  <c r="D3952" i="5"/>
  <c r="M3951" i="5"/>
  <c r="R3951" i="5" s="1"/>
  <c r="D3951" i="5"/>
  <c r="M3950" i="5"/>
  <c r="Q3950" i="5" s="1"/>
  <c r="D3950" i="5"/>
  <c r="M3949" i="5"/>
  <c r="Q3949" i="5" s="1"/>
  <c r="L3949" i="5" s="1"/>
  <c r="D3949" i="5"/>
  <c r="M3948" i="5"/>
  <c r="R3948" i="5" s="1"/>
  <c r="D3948" i="5"/>
  <c r="M3947" i="5"/>
  <c r="O3947" i="5" s="1"/>
  <c r="D3947" i="5"/>
  <c r="M3946" i="5"/>
  <c r="O3946" i="5" s="1"/>
  <c r="D3946" i="5"/>
  <c r="R3945" i="5"/>
  <c r="L3945" i="5"/>
  <c r="F227" i="2" s="1"/>
  <c r="D3945" i="5"/>
  <c r="M3943" i="5"/>
  <c r="D3943" i="5"/>
  <c r="R3942" i="5"/>
  <c r="L3942" i="5"/>
  <c r="C225" i="2" s="1"/>
  <c r="D3942" i="5"/>
  <c r="R3941" i="5"/>
  <c r="L3941" i="5"/>
  <c r="F224" i="2" s="1"/>
  <c r="D3941" i="5"/>
  <c r="R3940" i="5"/>
  <c r="L3940" i="5"/>
  <c r="F223" i="2" s="1"/>
  <c r="D3940" i="5"/>
  <c r="M3939" i="5"/>
  <c r="O3939" i="5" s="1"/>
  <c r="D3939" i="5"/>
  <c r="M3938" i="5"/>
  <c r="Q3938" i="5" s="1"/>
  <c r="D3938" i="5"/>
  <c r="M3937" i="5"/>
  <c r="R3937" i="5" s="1"/>
  <c r="D3937" i="5"/>
  <c r="M3936" i="5"/>
  <c r="R3936" i="5" s="1"/>
  <c r="D3936" i="5"/>
  <c r="R3935" i="5"/>
  <c r="L3935" i="5"/>
  <c r="D3935" i="5"/>
  <c r="M3934" i="5"/>
  <c r="R3934" i="5" s="1"/>
  <c r="D3934" i="5"/>
  <c r="M3933" i="5"/>
  <c r="Q3933" i="5" s="1"/>
  <c r="D3933" i="5"/>
  <c r="M3932" i="5"/>
  <c r="O3932" i="5" s="1"/>
  <c r="D3932" i="5"/>
  <c r="M3931" i="5"/>
  <c r="Q3931" i="5" s="1"/>
  <c r="D3931" i="5"/>
  <c r="M3930" i="5"/>
  <c r="R3930" i="5" s="1"/>
  <c r="D3930" i="5"/>
  <c r="M3929" i="5"/>
  <c r="Q3929" i="5" s="1"/>
  <c r="D3929" i="5"/>
  <c r="M3928" i="5"/>
  <c r="O3928" i="5" s="1"/>
  <c r="D3928" i="5"/>
  <c r="R3927" i="5"/>
  <c r="L3927" i="5"/>
  <c r="C210" i="2" s="1"/>
  <c r="D3927" i="5"/>
  <c r="R3926" i="5"/>
  <c r="L3926" i="5"/>
  <c r="F209" i="2" s="1"/>
  <c r="D3926" i="5"/>
  <c r="R3925" i="5"/>
  <c r="L3925" i="5"/>
  <c r="C208" i="2" s="1"/>
  <c r="D3925" i="5"/>
  <c r="M3924" i="5"/>
  <c r="R3924" i="5" s="1"/>
  <c r="D3924" i="5"/>
  <c r="M3923" i="5"/>
  <c r="O3923" i="5" s="1"/>
  <c r="D3923" i="5"/>
  <c r="M3922" i="5"/>
  <c r="Q3922" i="5" s="1"/>
  <c r="D3922" i="5"/>
  <c r="M3921" i="5"/>
  <c r="R3921" i="5" s="1"/>
  <c r="D3921" i="5"/>
  <c r="M3920" i="5"/>
  <c r="Q3920" i="5" s="1"/>
  <c r="D3920" i="5"/>
  <c r="A3920" i="5"/>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6" i="5" s="1"/>
  <c r="A4017" i="5" s="1"/>
  <c r="A4018" i="5" s="1"/>
  <c r="A4019" i="5" s="1"/>
  <c r="A4020" i="5" s="1"/>
  <c r="M3919" i="5"/>
  <c r="D3919" i="5"/>
  <c r="P3917" i="5"/>
  <c r="J3917" i="5"/>
  <c r="G3917" i="5"/>
  <c r="E3917" i="5"/>
  <c r="D3917" i="5"/>
  <c r="M3913" i="5"/>
  <c r="Q3913" i="5" s="1"/>
  <c r="M3912" i="5"/>
  <c r="M3911" i="5"/>
  <c r="R3911" i="5" s="1"/>
  <c r="M3910" i="5"/>
  <c r="R3910" i="5" s="1"/>
  <c r="M3909" i="5"/>
  <c r="R3909" i="5" s="1"/>
  <c r="M3908" i="5"/>
  <c r="Q3908" i="5" s="1"/>
  <c r="M3907" i="5"/>
  <c r="R3907" i="5" s="1"/>
  <c r="M3906" i="5"/>
  <c r="Q3906" i="5" s="1"/>
  <c r="M3905" i="5"/>
  <c r="Q3905" i="5" s="1"/>
  <c r="M3904" i="5"/>
  <c r="R3904" i="5" s="1"/>
  <c r="M3903" i="5"/>
  <c r="R3903" i="5" s="1"/>
  <c r="M3902" i="5"/>
  <c r="R3902" i="5" s="1"/>
  <c r="M3901" i="5"/>
  <c r="Q3901" i="5" s="1"/>
  <c r="M3900" i="5"/>
  <c r="R3900" i="5" s="1"/>
  <c r="M3899" i="5"/>
  <c r="R3899" i="5" s="1"/>
  <c r="M3898" i="5"/>
  <c r="R3898" i="5" s="1"/>
  <c r="A3898" i="5"/>
  <c r="M3897" i="5"/>
  <c r="P3895" i="5"/>
  <c r="N3895" i="5"/>
  <c r="J3895" i="5"/>
  <c r="G3895" i="5"/>
  <c r="E3895" i="5"/>
  <c r="D3895" i="5"/>
  <c r="M3882" i="5"/>
  <c r="Q3882" i="5" s="1"/>
  <c r="R3881" i="5"/>
  <c r="Q3881" i="5"/>
  <c r="O3881" i="5"/>
  <c r="M3880" i="5"/>
  <c r="O3880" i="5" s="1"/>
  <c r="M3879" i="5"/>
  <c r="R3879" i="5" s="1"/>
  <c r="M3878" i="5"/>
  <c r="Q3878" i="5" s="1"/>
  <c r="L3878" i="5" s="1"/>
  <c r="M3877" i="5"/>
  <c r="O3877" i="5" s="1"/>
  <c r="M3876" i="5"/>
  <c r="Q3876" i="5" s="1"/>
  <c r="M3875" i="5"/>
  <c r="O3875" i="5" s="1"/>
  <c r="M3874" i="5"/>
  <c r="Q3874" i="5" s="1"/>
  <c r="M3873" i="5"/>
  <c r="O3873" i="5" s="1"/>
  <c r="M3872" i="5"/>
  <c r="R3872" i="5" s="1"/>
  <c r="M3871" i="5"/>
  <c r="Q3871" i="5" s="1"/>
  <c r="M3870" i="5"/>
  <c r="Q3870" i="5" s="1"/>
  <c r="L3869" i="5"/>
  <c r="M3868" i="5"/>
  <c r="Q3868" i="5" s="1"/>
  <c r="M3867" i="5"/>
  <c r="Q3867" i="5" s="1"/>
  <c r="M3866" i="5"/>
  <c r="Q3866" i="5" s="1"/>
  <c r="M3865" i="5"/>
  <c r="Q3865" i="5" s="1"/>
  <c r="M3864" i="5"/>
  <c r="Q3864" i="5" s="1"/>
  <c r="M3863" i="5"/>
  <c r="R3863" i="5" s="1"/>
  <c r="M3862" i="5"/>
  <c r="O3862" i="5" s="1"/>
  <c r="M3861" i="5"/>
  <c r="R3861" i="5" s="1"/>
  <c r="M3860" i="5"/>
  <c r="O3860" i="5" s="1"/>
  <c r="M3859" i="5"/>
  <c r="R3859" i="5" s="1"/>
  <c r="M3858" i="5"/>
  <c r="O3858" i="5" s="1"/>
  <c r="M3857" i="5"/>
  <c r="R3857" i="5" s="1"/>
  <c r="M3856" i="5"/>
  <c r="O3856" i="5" s="1"/>
  <c r="M3855" i="5"/>
  <c r="R3855" i="5" s="1"/>
  <c r="M3854" i="5"/>
  <c r="R3854" i="5" s="1"/>
  <c r="M3853" i="5"/>
  <c r="Q3853" i="5" s="1"/>
  <c r="M3852" i="5"/>
  <c r="R3852" i="5" s="1"/>
  <c r="M3851" i="5"/>
  <c r="Q3851" i="5" s="1"/>
  <c r="M3850" i="5"/>
  <c r="Q3850" i="5" s="1"/>
  <c r="M3849" i="5"/>
  <c r="O3849" i="5" s="1"/>
  <c r="L3848" i="5"/>
  <c r="M3847" i="5"/>
  <c r="Q3847" i="5" s="1"/>
  <c r="M3846" i="5"/>
  <c r="Q3846" i="5" s="1"/>
  <c r="M3845" i="5"/>
  <c r="R3845" i="5" s="1"/>
  <c r="M3844" i="5"/>
  <c r="R3844" i="5" s="1"/>
  <c r="M3843" i="5"/>
  <c r="R3843" i="5" s="1"/>
  <c r="M3842" i="5"/>
  <c r="Q3842" i="5" s="1"/>
  <c r="M3841" i="5"/>
  <c r="R3841" i="5" s="1"/>
  <c r="M3840" i="5"/>
  <c r="R3840" i="5" s="1"/>
  <c r="R3839" i="5"/>
  <c r="Q3839" i="5"/>
  <c r="O3839" i="5"/>
  <c r="M3838" i="5"/>
  <c r="Q3838" i="5" s="1"/>
  <c r="M3837" i="5"/>
  <c r="R3837" i="5" s="1"/>
  <c r="M3836" i="5"/>
  <c r="O3836" i="5" s="1"/>
  <c r="M3835" i="5"/>
  <c r="R3835" i="5" s="1"/>
  <c r="M3834" i="5"/>
  <c r="A3834" i="5"/>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L3833" i="5"/>
  <c r="P3831" i="5"/>
  <c r="N3831" i="5"/>
  <c r="J3831" i="5"/>
  <c r="G3831" i="5"/>
  <c r="E3831" i="5"/>
  <c r="D3831" i="5"/>
  <c r="M3828" i="5"/>
  <c r="R3827" i="5"/>
  <c r="Q3827" i="5"/>
  <c r="O3827" i="5"/>
  <c r="R3826" i="5"/>
  <c r="Q3826" i="5"/>
  <c r="L3826" i="5" s="1"/>
  <c r="R3825" i="5"/>
  <c r="Q3825" i="5"/>
  <c r="L3825" i="5" s="1"/>
  <c r="M3824" i="5"/>
  <c r="Q3824" i="5" s="1"/>
  <c r="M3823" i="5"/>
  <c r="O3823" i="5" s="1"/>
  <c r="M3822" i="5"/>
  <c r="R3822" i="5" s="1"/>
  <c r="R3821" i="5"/>
  <c r="Q3821" i="5"/>
  <c r="O3821" i="5"/>
  <c r="R3820" i="5"/>
  <c r="Q3820" i="5"/>
  <c r="O3820" i="5"/>
  <c r="R3819" i="5"/>
  <c r="Q3819" i="5"/>
  <c r="O3819" i="5"/>
  <c r="R3818" i="5"/>
  <c r="Q3818" i="5"/>
  <c r="O3818" i="5"/>
  <c r="R3817" i="5"/>
  <c r="L3817" i="5"/>
  <c r="M3816" i="5"/>
  <c r="R3816" i="5" s="1"/>
  <c r="M3815" i="5"/>
  <c r="Q3815" i="5" s="1"/>
  <c r="M3814" i="5"/>
  <c r="R3814" i="5" s="1"/>
  <c r="M3813" i="5"/>
  <c r="Q3813" i="5" s="1"/>
  <c r="M3812" i="5"/>
  <c r="R3812" i="5" s="1"/>
  <c r="M3811" i="5"/>
  <c r="Q3811" i="5" s="1"/>
  <c r="M3810" i="5"/>
  <c r="Q3810" i="5" s="1"/>
  <c r="M3809" i="5"/>
  <c r="R3809" i="5" s="1"/>
  <c r="M3808" i="5"/>
  <c r="Q3808" i="5" s="1"/>
  <c r="A3808" i="5"/>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R3807" i="5"/>
  <c r="Q3807" i="5"/>
  <c r="L3807" i="5" s="1"/>
  <c r="S3806" i="5"/>
  <c r="Q3803" i="5"/>
  <c r="O3803" i="5"/>
  <c r="N3803" i="5"/>
  <c r="M3803" i="5"/>
  <c r="J3803" i="5"/>
  <c r="G3803" i="5"/>
  <c r="E3803" i="5"/>
  <c r="D3803" i="5"/>
  <c r="R3802" i="5"/>
  <c r="L3802" i="5"/>
  <c r="R3801" i="5"/>
  <c r="L3801" i="5"/>
  <c r="R3800" i="5"/>
  <c r="L3800" i="5"/>
  <c r="R3799" i="5"/>
  <c r="L3799" i="5"/>
  <c r="R3798" i="5"/>
  <c r="L3798" i="5"/>
  <c r="R3797" i="5"/>
  <c r="L3797" i="5"/>
  <c r="A3797" i="5"/>
  <c r="A3798" i="5" s="1"/>
  <c r="A3799" i="5" s="1"/>
  <c r="A3800" i="5" s="1"/>
  <c r="A3801" i="5" s="1"/>
  <c r="A3802" i="5" s="1"/>
  <c r="R3796" i="5"/>
  <c r="L3796" i="5"/>
  <c r="J3794" i="5"/>
  <c r="G3794" i="5"/>
  <c r="E3794" i="5"/>
  <c r="D3794" i="5"/>
  <c r="M3793" i="5"/>
  <c r="Q3793" i="5" s="1"/>
  <c r="M3792" i="5"/>
  <c r="R3792" i="5" s="1"/>
  <c r="M3791" i="5"/>
  <c r="O3791" i="5" s="1"/>
  <c r="Q3789" i="5"/>
  <c r="O3789" i="5"/>
  <c r="N3789" i="5"/>
  <c r="M3789" i="5"/>
  <c r="J3789" i="5"/>
  <c r="G3789" i="5"/>
  <c r="E3789" i="5"/>
  <c r="D3789" i="5"/>
  <c r="L3788" i="5"/>
  <c r="R3787" i="5"/>
  <c r="L3787" i="5"/>
  <c r="R3786" i="5"/>
  <c r="L3786" i="5"/>
  <c r="R3785" i="5"/>
  <c r="L3785" i="5"/>
  <c r="R3784" i="5"/>
  <c r="L3784" i="5"/>
  <c r="R3783" i="5"/>
  <c r="L3783" i="5"/>
  <c r="R3782" i="5"/>
  <c r="L3782" i="5"/>
  <c r="R3781" i="5"/>
  <c r="L3781" i="5"/>
  <c r="A3781" i="5"/>
  <c r="A3782" i="5" s="1"/>
  <c r="A3783" i="5" s="1"/>
  <c r="A3784" i="5" s="1"/>
  <c r="A3785" i="5" s="1"/>
  <c r="A3786" i="5" s="1"/>
  <c r="A3787" i="5" s="1"/>
  <c r="A3788" i="5" s="1"/>
  <c r="R3780" i="5"/>
  <c r="L3780" i="5"/>
  <c r="J3778" i="5"/>
  <c r="G3778" i="5"/>
  <c r="E3778" i="5"/>
  <c r="L3777" i="5"/>
  <c r="L3776" i="5"/>
  <c r="M3775" i="5"/>
  <c r="Q3775" i="5" s="1"/>
  <c r="D3775" i="5"/>
  <c r="M3774" i="5"/>
  <c r="R3774" i="5" s="1"/>
  <c r="D3774" i="5"/>
  <c r="A3774" i="5"/>
  <c r="A3775" i="5" s="1"/>
  <c r="A3776" i="5" s="1"/>
  <c r="A3777" i="5" s="1"/>
  <c r="M3773" i="5"/>
  <c r="Q3771" i="5"/>
  <c r="O3771" i="5"/>
  <c r="N3771" i="5"/>
  <c r="M3771" i="5"/>
  <c r="J3771" i="5"/>
  <c r="G3771" i="5"/>
  <c r="E3771" i="5"/>
  <c r="Q3754" i="5"/>
  <c r="P3754" i="5"/>
  <c r="O3754" i="5"/>
  <c r="N3754" i="5"/>
  <c r="M3754" i="5"/>
  <c r="J3754" i="5"/>
  <c r="G3754" i="5"/>
  <c r="L3753" i="5"/>
  <c r="R3752" i="5"/>
  <c r="L3752" i="5"/>
  <c r="R3751" i="5"/>
  <c r="L3751" i="5"/>
  <c r="R3750" i="5"/>
  <c r="L3750" i="5"/>
  <c r="R3749" i="5"/>
  <c r="L3749" i="5"/>
  <c r="R3748" i="5"/>
  <c r="L3748" i="5"/>
  <c r="R3747" i="5"/>
  <c r="L3747" i="5"/>
  <c r="R3746" i="5"/>
  <c r="L3746" i="5"/>
  <c r="R3743" i="5"/>
  <c r="R3742" i="5"/>
  <c r="L3742" i="5"/>
  <c r="R3741" i="5"/>
  <c r="L3741" i="5"/>
  <c r="R3740" i="5"/>
  <c r="L3740" i="5"/>
  <c r="R3739" i="5"/>
  <c r="L3739" i="5"/>
  <c r="R3738" i="5"/>
  <c r="L3738" i="5"/>
  <c r="L3737" i="5"/>
  <c r="R3736" i="5"/>
  <c r="L3736" i="5"/>
  <c r="R3735" i="5"/>
  <c r="L3735" i="5"/>
  <c r="R3734" i="5"/>
  <c r="L3734" i="5"/>
  <c r="R3733" i="5"/>
  <c r="L3733" i="5"/>
  <c r="R3732" i="5"/>
  <c r="L3732" i="5"/>
  <c r="R3731" i="5"/>
  <c r="L3731" i="5"/>
  <c r="E3731" i="5"/>
  <c r="D3731" i="5" s="1"/>
  <c r="R3730" i="5"/>
  <c r="L3730" i="5"/>
  <c r="R3729" i="5"/>
  <c r="L3729" i="5"/>
  <c r="R3728" i="5"/>
  <c r="L3728" i="5"/>
  <c r="R3727" i="5"/>
  <c r="L3727" i="5"/>
  <c r="R3726" i="5"/>
  <c r="L3726" i="5"/>
  <c r="R3725" i="5"/>
  <c r="L3725" i="5"/>
  <c r="R3724" i="5"/>
  <c r="L3724" i="5"/>
  <c r="R3723" i="5"/>
  <c r="L3723" i="5"/>
  <c r="R3722" i="5"/>
  <c r="L3722" i="5"/>
  <c r="R3721" i="5"/>
  <c r="L3721" i="5"/>
  <c r="R3720" i="5"/>
  <c r="L3720" i="5"/>
  <c r="R3719" i="5"/>
  <c r="L3719" i="5"/>
  <c r="R3718" i="5"/>
  <c r="L3718" i="5"/>
  <c r="A3718" i="5"/>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6" i="5" s="1"/>
  <c r="A3747" i="5" s="1"/>
  <c r="A3748" i="5" s="1"/>
  <c r="A3749" i="5" s="1"/>
  <c r="A3750" i="5" s="1"/>
  <c r="A3751" i="5" s="1"/>
  <c r="A3752" i="5" s="1"/>
  <c r="A3753" i="5" s="1"/>
  <c r="R3717" i="5"/>
  <c r="L3717" i="5"/>
  <c r="Q3715" i="5"/>
  <c r="O3715" i="5"/>
  <c r="M3715" i="5"/>
  <c r="J3715" i="5"/>
  <c r="G3715" i="5"/>
  <c r="E3715" i="5"/>
  <c r="D3715" i="5"/>
  <c r="R3714" i="5"/>
  <c r="L3714" i="5"/>
  <c r="J3712" i="5"/>
  <c r="G3712" i="5"/>
  <c r="E3712" i="5"/>
  <c r="D3712" i="5"/>
  <c r="M3711" i="5"/>
  <c r="R3711" i="5" s="1"/>
  <c r="N3709" i="5"/>
  <c r="M3709" i="5"/>
  <c r="J3709" i="5"/>
  <c r="G3709" i="5"/>
  <c r="E3709" i="5"/>
  <c r="D3709" i="5"/>
  <c r="R3708" i="5"/>
  <c r="Q3708" i="5"/>
  <c r="O3708" i="5"/>
  <c r="R3707" i="5"/>
  <c r="Q3707" i="5"/>
  <c r="L3707" i="5" s="1"/>
  <c r="Q3705" i="5"/>
  <c r="N3705" i="5"/>
  <c r="M3705" i="5"/>
  <c r="J3705" i="5"/>
  <c r="G3705" i="5"/>
  <c r="E3705" i="5"/>
  <c r="D3705" i="5"/>
  <c r="R3704" i="5"/>
  <c r="L3704" i="5"/>
  <c r="N3702" i="5"/>
  <c r="M3702" i="5"/>
  <c r="J3702" i="5"/>
  <c r="G3702" i="5"/>
  <c r="E3702" i="5"/>
  <c r="D3702" i="5"/>
  <c r="R3701" i="5"/>
  <c r="Q3701" i="5"/>
  <c r="L3701" i="5" s="1"/>
  <c r="N3699" i="5"/>
  <c r="M3699" i="5"/>
  <c r="J3699" i="5"/>
  <c r="D3699" i="5"/>
  <c r="R3698" i="5"/>
  <c r="Q3698" i="5"/>
  <c r="L3698" i="5" s="1"/>
  <c r="G3698" i="5"/>
  <c r="E3698" i="5" s="1"/>
  <c r="Q3697" i="5"/>
  <c r="L3697" i="5" s="1"/>
  <c r="G3697" i="5"/>
  <c r="Q3696" i="5"/>
  <c r="G3696" i="5"/>
  <c r="N3694" i="5"/>
  <c r="M3694" i="5"/>
  <c r="J3694" i="5"/>
  <c r="G3694" i="5"/>
  <c r="E3694" i="5"/>
  <c r="R3693" i="5"/>
  <c r="Q3693" i="5"/>
  <c r="O3693" i="5"/>
  <c r="D3693" i="5"/>
  <c r="D3694" i="5" s="1"/>
  <c r="R3692" i="5"/>
  <c r="Q3692" i="5"/>
  <c r="Q3694" i="5" s="1"/>
  <c r="Q3690" i="5"/>
  <c r="O3690" i="5"/>
  <c r="N3690" i="5"/>
  <c r="M3690" i="5"/>
  <c r="J3690" i="5"/>
  <c r="G3690" i="5"/>
  <c r="E3690" i="5"/>
  <c r="D3690" i="5"/>
  <c r="R3689" i="5"/>
  <c r="L3689" i="5"/>
  <c r="R3688" i="5"/>
  <c r="L3688" i="5"/>
  <c r="J3686" i="5"/>
  <c r="G3686" i="5"/>
  <c r="E3686" i="5"/>
  <c r="D3686" i="5"/>
  <c r="M3685" i="5"/>
  <c r="M3686" i="5" s="1"/>
  <c r="N3683" i="5"/>
  <c r="M3683" i="5"/>
  <c r="J3683" i="5"/>
  <c r="G3683" i="5"/>
  <c r="E3683" i="5"/>
  <c r="D3683" i="5"/>
  <c r="R3682" i="5"/>
  <c r="Q3682" i="5"/>
  <c r="Q3683" i="5" s="1"/>
  <c r="O3680" i="5"/>
  <c r="N3680" i="5"/>
  <c r="J3680" i="5"/>
  <c r="G3680" i="5"/>
  <c r="E3680" i="5"/>
  <c r="D3680" i="5"/>
  <c r="M3679" i="5"/>
  <c r="R3679" i="5" s="1"/>
  <c r="M3678" i="5"/>
  <c r="A3678" i="5"/>
  <c r="A3679" i="5" s="1"/>
  <c r="M3677" i="5"/>
  <c r="J3675" i="5"/>
  <c r="G3675" i="5"/>
  <c r="E3675" i="5"/>
  <c r="D3675" i="5"/>
  <c r="M3674" i="5"/>
  <c r="O3674" i="5" s="1"/>
  <c r="M3673" i="5"/>
  <c r="R3673" i="5" s="1"/>
  <c r="M3672" i="5"/>
  <c r="R3672" i="5" s="1"/>
  <c r="M3671" i="5"/>
  <c r="N3671" i="5" s="1"/>
  <c r="N3669" i="5"/>
  <c r="J3669" i="5"/>
  <c r="E3669" i="5"/>
  <c r="Q3668" i="5"/>
  <c r="L3668" i="5" s="1"/>
  <c r="G3668" i="5"/>
  <c r="D3668" i="5"/>
  <c r="Q3667" i="5"/>
  <c r="L3667" i="5" s="1"/>
  <c r="G3667" i="5"/>
  <c r="D3667" i="5"/>
  <c r="G3666" i="5"/>
  <c r="D3666" i="5"/>
  <c r="N3664" i="5"/>
  <c r="M3664" i="5"/>
  <c r="J3664" i="5"/>
  <c r="G3664" i="5"/>
  <c r="E3664" i="5"/>
  <c r="D3664" i="5"/>
  <c r="R3663" i="5"/>
  <c r="Q3663" i="5"/>
  <c r="Q3664" i="5" s="1"/>
  <c r="N3661" i="5"/>
  <c r="M3661" i="5"/>
  <c r="J3661" i="5"/>
  <c r="E3661" i="5"/>
  <c r="Q3657" i="5"/>
  <c r="L3657" i="5" s="1"/>
  <c r="G3657" i="5"/>
  <c r="R3656" i="5"/>
  <c r="Q3656" i="5"/>
  <c r="O3656" i="5"/>
  <c r="G3656" i="5"/>
  <c r="R3655" i="5"/>
  <c r="Q3655" i="5"/>
  <c r="O3655" i="5"/>
  <c r="G3655" i="5"/>
  <c r="R3654" i="5"/>
  <c r="Q3654" i="5"/>
  <c r="L3654" i="5" s="1"/>
  <c r="G3654" i="5"/>
  <c r="Q3653" i="5"/>
  <c r="L3653" i="5" s="1"/>
  <c r="G3653" i="5"/>
  <c r="Q3652" i="5"/>
  <c r="L3652" i="5" s="1"/>
  <c r="G3652" i="5"/>
  <c r="D3652" i="5"/>
  <c r="D3661" i="5" s="1"/>
  <c r="R3651" i="5"/>
  <c r="Q3651" i="5"/>
  <c r="L3651" i="5" s="1"/>
  <c r="G3651" i="5"/>
  <c r="Q3650" i="5"/>
  <c r="L3650" i="5" s="1"/>
  <c r="G3650" i="5"/>
  <c r="R3649" i="5"/>
  <c r="Q3649" i="5"/>
  <c r="L3649" i="5" s="1"/>
  <c r="G3649" i="5"/>
  <c r="R3648" i="5"/>
  <c r="Q3648" i="5"/>
  <c r="O3648" i="5"/>
  <c r="G3648" i="5"/>
  <c r="R3647" i="5"/>
  <c r="Q3647" i="5"/>
  <c r="L3647" i="5" s="1"/>
  <c r="G3647" i="5"/>
  <c r="Q3646" i="5"/>
  <c r="L3646" i="5" s="1"/>
  <c r="G3646" i="5"/>
  <c r="R3645" i="5"/>
  <c r="Q3645" i="5"/>
  <c r="L3645" i="5" s="1"/>
  <c r="G3645" i="5"/>
  <c r="Q3644" i="5"/>
  <c r="O3644" i="5"/>
  <c r="G3644" i="5"/>
  <c r="A3644" i="5"/>
  <c r="A3645" i="5" s="1"/>
  <c r="A3646" i="5" s="1"/>
  <c r="Q3643" i="5"/>
  <c r="G3643" i="5"/>
  <c r="N3641" i="5"/>
  <c r="M3641" i="5"/>
  <c r="J3641" i="5"/>
  <c r="E3641" i="5"/>
  <c r="D3641" i="5"/>
  <c r="Q3640" i="5"/>
  <c r="L3640" i="5" s="1"/>
  <c r="G3640" i="5"/>
  <c r="Q3639" i="5"/>
  <c r="G3639" i="5"/>
  <c r="P3637" i="5"/>
  <c r="N3637" i="5"/>
  <c r="J3637" i="5"/>
  <c r="G3637" i="5"/>
  <c r="E3637" i="5"/>
  <c r="R3636" i="5"/>
  <c r="Q3636" i="5"/>
  <c r="L3636" i="5" s="1"/>
  <c r="D3636" i="5"/>
  <c r="D3635" i="5"/>
  <c r="M3634" i="5"/>
  <c r="R3634" i="5" s="1"/>
  <c r="D3634" i="5"/>
  <c r="M3633" i="5"/>
  <c r="O3633" i="5" s="1"/>
  <c r="D3633" i="5"/>
  <c r="M3632" i="5"/>
  <c r="Q3632" i="5" s="1"/>
  <c r="D3632" i="5"/>
  <c r="M3631" i="5"/>
  <c r="D3631" i="5"/>
  <c r="J3629" i="5"/>
  <c r="G3629" i="5"/>
  <c r="M3628" i="5"/>
  <c r="M3629" i="5" s="1"/>
  <c r="E3628" i="5"/>
  <c r="E3629" i="5" s="1"/>
  <c r="J3626" i="5"/>
  <c r="G3626" i="5"/>
  <c r="E3626" i="5"/>
  <c r="D3626" i="5"/>
  <c r="M3625" i="5"/>
  <c r="Q3625" i="5" s="1"/>
  <c r="M3624" i="5"/>
  <c r="O3624" i="5" s="1"/>
  <c r="A3624" i="5"/>
  <c r="A3625" i="5" s="1"/>
  <c r="M3623" i="5"/>
  <c r="Q3623" i="5" s="1"/>
  <c r="M3622" i="5"/>
  <c r="N3622" i="5" s="1"/>
  <c r="P3620" i="5"/>
  <c r="N3620" i="5"/>
  <c r="J3620" i="5"/>
  <c r="G3620" i="5"/>
  <c r="M3617" i="5"/>
  <c r="E3617" i="5"/>
  <c r="D3617" i="5" s="1"/>
  <c r="M3616" i="5"/>
  <c r="Q3616" i="5" s="1"/>
  <c r="L3616" i="5" s="1"/>
  <c r="D3616" i="5"/>
  <c r="M3615" i="5"/>
  <c r="R3615" i="5" s="1"/>
  <c r="D3615" i="5"/>
  <c r="M3614" i="5"/>
  <c r="Q3614" i="5" s="1"/>
  <c r="L3614" i="5" s="1"/>
  <c r="D3614" i="5"/>
  <c r="R3613" i="5"/>
  <c r="Q3613" i="5"/>
  <c r="L3613" i="5" s="1"/>
  <c r="D3613" i="5"/>
  <c r="M3612" i="5"/>
  <c r="R3612" i="5" s="1"/>
  <c r="D3612" i="5"/>
  <c r="M3611" i="5"/>
  <c r="Q3611" i="5" s="1"/>
  <c r="D3611" i="5"/>
  <c r="M3610" i="5"/>
  <c r="R3610" i="5" s="1"/>
  <c r="D3610" i="5"/>
  <c r="M3609" i="5"/>
  <c r="Q3609" i="5" s="1"/>
  <c r="L3609" i="5" s="1"/>
  <c r="D3609" i="5"/>
  <c r="M3608" i="5"/>
  <c r="R3608" i="5" s="1"/>
  <c r="D3608" i="5"/>
  <c r="M3607" i="5"/>
  <c r="Q3607" i="5" s="1"/>
  <c r="L3607" i="5" s="1"/>
  <c r="D3607" i="5"/>
  <c r="A3607" i="5"/>
  <c r="A3608" i="5" s="1"/>
  <c r="A3609" i="5" s="1"/>
  <c r="A3610" i="5" s="1"/>
  <c r="M3606" i="5"/>
  <c r="R3606" i="5" s="1"/>
  <c r="D3606" i="5"/>
  <c r="N3604" i="5"/>
  <c r="M3604" i="5"/>
  <c r="J3604" i="5"/>
  <c r="G3604" i="5"/>
  <c r="E3604" i="5"/>
  <c r="D3604" i="5"/>
  <c r="R3603" i="5"/>
  <c r="Q3603" i="5"/>
  <c r="L3603" i="5" s="1"/>
  <c r="R3602" i="5"/>
  <c r="Q3602" i="5"/>
  <c r="N3600" i="5"/>
  <c r="M3600" i="5"/>
  <c r="J3600" i="5"/>
  <c r="G3600" i="5"/>
  <c r="E3600" i="5"/>
  <c r="D3600" i="5"/>
  <c r="R3597" i="5"/>
  <c r="Q3597" i="5"/>
  <c r="L3597" i="5" s="1"/>
  <c r="R3596" i="5"/>
  <c r="Q3596" i="5"/>
  <c r="L3596" i="5" s="1"/>
  <c r="R3595" i="5"/>
  <c r="Q3595" i="5"/>
  <c r="L3595" i="5" s="1"/>
  <c r="R3594" i="5"/>
  <c r="Q3594" i="5"/>
  <c r="L3594" i="5" s="1"/>
  <c r="R3593" i="5"/>
  <c r="Q3593" i="5"/>
  <c r="L3593" i="5" s="1"/>
  <c r="R3592" i="5"/>
  <c r="Q3592" i="5"/>
  <c r="O3592" i="5"/>
  <c r="R3591" i="5"/>
  <c r="Q3591" i="5"/>
  <c r="L3591" i="5" s="1"/>
  <c r="R3590" i="5"/>
  <c r="Q3590" i="5"/>
  <c r="L3590" i="5" s="1"/>
  <c r="R3589" i="5"/>
  <c r="Q3589" i="5"/>
  <c r="L3589" i="5" s="1"/>
  <c r="R3588" i="5"/>
  <c r="Q3588" i="5"/>
  <c r="O3588" i="5"/>
  <c r="R3587" i="5"/>
  <c r="Q3587" i="5"/>
  <c r="L3587" i="5" s="1"/>
  <c r="R3586" i="5"/>
  <c r="Q3586" i="5"/>
  <c r="L3586" i="5" s="1"/>
  <c r="R3585" i="5"/>
  <c r="Q3585" i="5"/>
  <c r="L3585" i="5" s="1"/>
  <c r="R3584" i="5"/>
  <c r="Q3584" i="5"/>
  <c r="L3584" i="5" s="1"/>
  <c r="R3583" i="5"/>
  <c r="Q3583" i="5"/>
  <c r="L3583" i="5" s="1"/>
  <c r="R3582" i="5"/>
  <c r="Q3582" i="5"/>
  <c r="L3582" i="5" s="1"/>
  <c r="R3581" i="5"/>
  <c r="Q3581" i="5"/>
  <c r="L3581" i="5" s="1"/>
  <c r="A3581" i="5"/>
  <c r="A3582" i="5" s="1"/>
  <c r="A3583" i="5" s="1"/>
  <c r="A3584" i="5" s="1"/>
  <c r="A3585" i="5" s="1"/>
  <c r="A3586" i="5" s="1"/>
  <c r="A3587" i="5" s="1"/>
  <c r="A3588" i="5" s="1"/>
  <c r="A3589" i="5" s="1"/>
  <c r="A3590" i="5" s="1"/>
  <c r="A3591" i="5" s="1"/>
  <c r="A3592" i="5" s="1"/>
  <c r="A3593" i="5" s="1"/>
  <c r="R3580" i="5"/>
  <c r="Q3580" i="5"/>
  <c r="L3580" i="5" s="1"/>
  <c r="N3578" i="5"/>
  <c r="M3578" i="5"/>
  <c r="J3578" i="5"/>
  <c r="G3578" i="5"/>
  <c r="E3578" i="5"/>
  <c r="D3578" i="5"/>
  <c r="R3577" i="5"/>
  <c r="Q3577" i="5"/>
  <c r="L3577" i="5" s="1"/>
  <c r="Q3575" i="5"/>
  <c r="N3575" i="5"/>
  <c r="M3575" i="5"/>
  <c r="J3575" i="5"/>
  <c r="G3575" i="5"/>
  <c r="E3575" i="5"/>
  <c r="D3575" i="5"/>
  <c r="R3574" i="5"/>
  <c r="L3574" i="5"/>
  <c r="Q3572" i="5"/>
  <c r="O3572" i="5"/>
  <c r="N3572" i="5"/>
  <c r="M3572" i="5"/>
  <c r="J3572" i="5"/>
  <c r="G3572" i="5"/>
  <c r="E3572" i="5"/>
  <c r="D3572" i="5"/>
  <c r="R3571" i="5"/>
  <c r="L3571" i="5"/>
  <c r="R3570" i="5"/>
  <c r="L3570" i="5"/>
  <c r="R3569" i="5"/>
  <c r="L3569" i="5"/>
  <c r="L3568" i="5"/>
  <c r="L3567" i="5"/>
  <c r="R3566" i="5"/>
  <c r="L3566" i="5"/>
  <c r="L3565" i="5"/>
  <c r="L3564" i="5"/>
  <c r="R3563" i="5"/>
  <c r="L3563" i="5"/>
  <c r="R3562" i="5"/>
  <c r="L3562" i="5"/>
  <c r="R3561" i="5"/>
  <c r="L3561" i="5"/>
  <c r="R3560" i="5"/>
  <c r="L3560" i="5"/>
  <c r="R3559" i="5"/>
  <c r="L3559" i="5"/>
  <c r="R3558" i="5"/>
  <c r="L3558" i="5"/>
  <c r="L3557" i="5"/>
  <c r="R3556" i="5"/>
  <c r="L3556" i="5"/>
  <c r="R3555" i="5"/>
  <c r="L3555" i="5"/>
  <c r="R3554" i="5"/>
  <c r="L3554" i="5"/>
  <c r="R3553" i="5"/>
  <c r="L3553" i="5"/>
  <c r="R3552" i="5"/>
  <c r="L3552" i="5"/>
  <c r="A3552" i="5"/>
  <c r="A3553" i="5" s="1"/>
  <c r="A3554" i="5" s="1"/>
  <c r="A3555" i="5" s="1"/>
  <c r="A3556" i="5" s="1"/>
  <c r="A3557" i="5" s="1"/>
  <c r="A3558" i="5" s="1"/>
  <c r="A3559" i="5" s="1"/>
  <c r="A3560" i="5" s="1"/>
  <c r="R3551" i="5"/>
  <c r="L3551" i="5"/>
  <c r="Q3549" i="5"/>
  <c r="O3549" i="5"/>
  <c r="M3549" i="5"/>
  <c r="J3549" i="5"/>
  <c r="G3549" i="5"/>
  <c r="E3549" i="5"/>
  <c r="D3549" i="5"/>
  <c r="L3548" i="5"/>
  <c r="A3548" i="5"/>
  <c r="L3547" i="5"/>
  <c r="Q3545" i="5"/>
  <c r="O3545" i="5"/>
  <c r="N3545" i="5"/>
  <c r="M3545" i="5"/>
  <c r="J3545" i="5"/>
  <c r="G3545" i="5"/>
  <c r="E3545" i="5"/>
  <c r="R3544" i="5"/>
  <c r="L3544" i="5"/>
  <c r="D3544" i="5"/>
  <c r="R3543" i="5"/>
  <c r="L3543" i="5"/>
  <c r="D3543" i="5"/>
  <c r="A3543" i="5"/>
  <c r="A3544" i="5" s="1"/>
  <c r="R3542" i="5"/>
  <c r="L3542" i="5"/>
  <c r="D3542" i="5"/>
  <c r="J3540" i="5"/>
  <c r="G3540" i="5"/>
  <c r="E3540" i="5"/>
  <c r="D3540" i="5"/>
  <c r="M3539" i="5"/>
  <c r="R3539" i="5" s="1"/>
  <c r="M3538" i="5"/>
  <c r="O3538" i="5" s="1"/>
  <c r="A3538" i="5"/>
  <c r="A3539" i="5" s="1"/>
  <c r="R3537" i="5"/>
  <c r="Q3537" i="5"/>
  <c r="O3537" i="5"/>
  <c r="J3535" i="5"/>
  <c r="G3535" i="5"/>
  <c r="E3535" i="5"/>
  <c r="D3535" i="5"/>
  <c r="M3534" i="5"/>
  <c r="N3534" i="5" s="1"/>
  <c r="M3533" i="5"/>
  <c r="N3533" i="5" s="1"/>
  <c r="M3532" i="5"/>
  <c r="Q3532" i="5" s="1"/>
  <c r="A3532" i="5"/>
  <c r="A3533" i="5" s="1"/>
  <c r="A3534" i="5" s="1"/>
  <c r="R3531" i="5"/>
  <c r="Q3531" i="5"/>
  <c r="L3531" i="5" s="1"/>
  <c r="O3529" i="5"/>
  <c r="N3529" i="5"/>
  <c r="M3529" i="5"/>
  <c r="J3529" i="5"/>
  <c r="G3529" i="5"/>
  <c r="E3529" i="5"/>
  <c r="D3529" i="5"/>
  <c r="Q3529" i="5"/>
  <c r="R3527" i="5"/>
  <c r="L3527" i="5"/>
  <c r="R3526" i="5"/>
  <c r="L3526" i="5"/>
  <c r="R3525" i="5"/>
  <c r="L3525" i="5"/>
  <c r="R3524" i="5"/>
  <c r="L3524" i="5"/>
  <c r="R3523" i="5"/>
  <c r="L3523" i="5"/>
  <c r="R3522" i="5"/>
  <c r="L3522" i="5"/>
  <c r="R3521" i="5"/>
  <c r="L3521" i="5"/>
  <c r="R3520" i="5"/>
  <c r="L3520" i="5"/>
  <c r="R3519" i="5"/>
  <c r="L3519" i="5"/>
  <c r="R3518" i="5"/>
  <c r="L3518" i="5"/>
  <c r="R3517" i="5"/>
  <c r="L3517" i="5"/>
  <c r="R3516" i="5"/>
  <c r="L3516" i="5"/>
  <c r="R3515" i="5"/>
  <c r="L3515" i="5"/>
  <c r="R3514" i="5"/>
  <c r="L3514" i="5"/>
  <c r="R3513" i="5"/>
  <c r="L3513" i="5"/>
  <c r="R3512" i="5"/>
  <c r="L3512" i="5"/>
  <c r="R3511" i="5"/>
  <c r="L3511" i="5"/>
  <c r="R3510" i="5"/>
  <c r="L3510" i="5"/>
  <c r="R3509" i="5"/>
  <c r="L3509" i="5"/>
  <c r="R3508" i="5"/>
  <c r="L3508" i="5"/>
  <c r="R3507" i="5"/>
  <c r="L3507" i="5"/>
  <c r="R3506" i="5"/>
  <c r="L3506" i="5"/>
  <c r="R3505" i="5"/>
  <c r="L3505" i="5"/>
  <c r="R3504" i="5"/>
  <c r="L3504" i="5"/>
  <c r="R3503" i="5"/>
  <c r="L3503" i="5"/>
  <c r="L3502" i="5"/>
  <c r="R3501" i="5"/>
  <c r="L3501" i="5"/>
  <c r="R3500" i="5"/>
  <c r="L3500" i="5"/>
  <c r="R3499" i="5"/>
  <c r="L3499" i="5"/>
  <c r="R3498" i="5"/>
  <c r="L3498" i="5"/>
  <c r="R3497" i="5"/>
  <c r="L3497" i="5"/>
  <c r="L3496" i="5"/>
  <c r="R3495" i="5"/>
  <c r="L3495" i="5"/>
  <c r="R3494" i="5"/>
  <c r="L3494" i="5"/>
  <c r="R3493" i="5"/>
  <c r="L3493" i="5"/>
  <c r="R3492" i="5"/>
  <c r="L3492" i="5"/>
  <c r="R3491" i="5"/>
  <c r="L3491" i="5"/>
  <c r="R3490" i="5"/>
  <c r="L3490" i="5"/>
  <c r="R3489" i="5"/>
  <c r="L3489" i="5"/>
  <c r="R3488" i="5"/>
  <c r="L3488" i="5"/>
  <c r="R3487" i="5"/>
  <c r="L3487" i="5"/>
  <c r="R3486" i="5"/>
  <c r="L3486" i="5"/>
  <c r="R3485" i="5"/>
  <c r="L3485" i="5"/>
  <c r="R3484" i="5"/>
  <c r="L3484" i="5"/>
  <c r="R3483" i="5"/>
  <c r="L3483" i="5"/>
  <c r="R3482" i="5"/>
  <c r="L3482" i="5"/>
  <c r="R3481" i="5"/>
  <c r="L3481" i="5"/>
  <c r="R3480" i="5"/>
  <c r="L3480" i="5"/>
  <c r="R3479" i="5"/>
  <c r="L3479" i="5"/>
  <c r="R3478" i="5"/>
  <c r="L3478" i="5"/>
  <c r="R3477" i="5"/>
  <c r="L3477" i="5"/>
  <c r="A3477" i="5"/>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R3476" i="5"/>
  <c r="L3476" i="5"/>
  <c r="R3475" i="5"/>
  <c r="R3474" i="5"/>
  <c r="L3474" i="5"/>
  <c r="R3473" i="5"/>
  <c r="L3473" i="5"/>
  <c r="A3473" i="5"/>
  <c r="A3474" i="5" s="1"/>
  <c r="R3472" i="5"/>
  <c r="L3472" i="5"/>
  <c r="Q3470" i="5"/>
  <c r="O3470" i="5"/>
  <c r="N3470" i="5"/>
  <c r="M3470" i="5"/>
  <c r="J3470" i="5"/>
  <c r="E3470" i="5"/>
  <c r="D3470" i="5"/>
  <c r="L3450" i="5"/>
  <c r="L3449" i="5"/>
  <c r="L3448" i="5"/>
  <c r="R3447" i="5"/>
  <c r="L3447" i="5"/>
  <c r="R3446" i="5"/>
  <c r="L3446" i="5"/>
  <c r="G3446" i="5"/>
  <c r="R3445" i="5"/>
  <c r="L3445" i="5"/>
  <c r="G3445" i="5"/>
  <c r="R3444" i="5"/>
  <c r="L3444" i="5"/>
  <c r="R3443" i="5"/>
  <c r="L3443" i="5"/>
  <c r="R3442" i="5"/>
  <c r="L3442" i="5"/>
  <c r="R3441" i="5"/>
  <c r="L3441" i="5"/>
  <c r="R3440" i="5"/>
  <c r="L3440" i="5"/>
  <c r="L3439" i="5"/>
  <c r="R3438" i="5"/>
  <c r="L3438" i="5"/>
  <c r="R3437" i="5"/>
  <c r="L3437" i="5"/>
  <c r="R3436" i="5"/>
  <c r="L3436" i="5"/>
  <c r="R3435" i="5"/>
  <c r="L3435" i="5"/>
  <c r="R3434" i="5"/>
  <c r="L3434" i="5"/>
  <c r="R3433" i="5"/>
  <c r="L3433" i="5"/>
  <c r="R3432" i="5"/>
  <c r="L3432" i="5"/>
  <c r="R3431" i="5"/>
  <c r="L3431" i="5"/>
  <c r="R3430" i="5"/>
  <c r="L3430" i="5"/>
  <c r="R3429" i="5"/>
  <c r="L3429" i="5"/>
  <c r="R3428" i="5"/>
  <c r="L3428" i="5"/>
  <c r="R3427" i="5"/>
  <c r="L3427" i="5"/>
  <c r="R3426" i="5"/>
  <c r="L3426" i="5"/>
  <c r="R3425" i="5"/>
  <c r="L3425" i="5"/>
  <c r="R3424" i="5"/>
  <c r="L3424" i="5"/>
  <c r="R3423" i="5"/>
  <c r="L3423" i="5"/>
  <c r="R3422" i="5"/>
  <c r="L3422" i="5"/>
  <c r="R3421" i="5"/>
  <c r="L3421" i="5"/>
  <c r="R3420" i="5"/>
  <c r="L3420" i="5"/>
  <c r="R3419" i="5"/>
  <c r="L3419" i="5"/>
  <c r="R3418" i="5"/>
  <c r="L3418" i="5"/>
  <c r="R3417" i="5"/>
  <c r="L3417" i="5"/>
  <c r="R3416" i="5"/>
  <c r="L3416" i="5"/>
  <c r="R3415" i="5"/>
  <c r="L3415" i="5"/>
  <c r="A3416" i="5"/>
  <c r="R3414" i="5"/>
  <c r="L3414" i="5"/>
  <c r="Q3412" i="5"/>
  <c r="O3412" i="5"/>
  <c r="N3412" i="5"/>
  <c r="M3412" i="5"/>
  <c r="J3412" i="5"/>
  <c r="G3412" i="5"/>
  <c r="E3412" i="5"/>
  <c r="D3412" i="5"/>
  <c r="L3408" i="5"/>
  <c r="L3407" i="5"/>
  <c r="A3408" i="5"/>
  <c r="A3409" i="5" s="1"/>
  <c r="A3410" i="5" s="1"/>
  <c r="A3411" i="5" s="1"/>
  <c r="P3403" i="5"/>
  <c r="P2884" i="5" s="1"/>
  <c r="N3403" i="5"/>
  <c r="N2884" i="5" s="1"/>
  <c r="D3403" i="5"/>
  <c r="D2884" i="5" s="1"/>
  <c r="M3368" i="5"/>
  <c r="R3368" i="5" s="1"/>
  <c r="M3367" i="5"/>
  <c r="R3367" i="5" s="1"/>
  <c r="L3366" i="5"/>
  <c r="L3365" i="5"/>
  <c r="M3364" i="5"/>
  <c r="O3364" i="5" s="1"/>
  <c r="M3363" i="5"/>
  <c r="R3363" i="5" s="1"/>
  <c r="L3362" i="5"/>
  <c r="M3361" i="5"/>
  <c r="O3361" i="5" s="1"/>
  <c r="M3360" i="5"/>
  <c r="R3360" i="5" s="1"/>
  <c r="L3359" i="5"/>
  <c r="L3357" i="5"/>
  <c r="L3356" i="5"/>
  <c r="R3355" i="5"/>
  <c r="L3355" i="5"/>
  <c r="L3354" i="5"/>
  <c r="M3353" i="5"/>
  <c r="O3353" i="5" s="1"/>
  <c r="R3352" i="5"/>
  <c r="L3352" i="5"/>
  <c r="R3351" i="5"/>
  <c r="L3351" i="5"/>
  <c r="M3350" i="5"/>
  <c r="R3350" i="5" s="1"/>
  <c r="M3349" i="5"/>
  <c r="O3349" i="5" s="1"/>
  <c r="R3347" i="5"/>
  <c r="O3347" i="5"/>
  <c r="M3346" i="5"/>
  <c r="R3346" i="5" s="1"/>
  <c r="L3345" i="5"/>
  <c r="L3344" i="5"/>
  <c r="M3343" i="5"/>
  <c r="R3343" i="5" s="1"/>
  <c r="L3342" i="5"/>
  <c r="M3340" i="5"/>
  <c r="R3340" i="5" s="1"/>
  <c r="M3339" i="5"/>
  <c r="R3339" i="5" s="1"/>
  <c r="L3338" i="5"/>
  <c r="M3337" i="5"/>
  <c r="R3337" i="5" s="1"/>
  <c r="L3336" i="5"/>
  <c r="L3335" i="5"/>
  <c r="L3334" i="5"/>
  <c r="M3333" i="5"/>
  <c r="R3333" i="5" s="1"/>
  <c r="M3332" i="5"/>
  <c r="R3332" i="5" s="1"/>
  <c r="M3331" i="5"/>
  <c r="O3331" i="5" s="1"/>
  <c r="L3331" i="5" s="1"/>
  <c r="L3330" i="5"/>
  <c r="R3329" i="5"/>
  <c r="L3329" i="5"/>
  <c r="M3328" i="5"/>
  <c r="R3328" i="5" s="1"/>
  <c r="M3327" i="5"/>
  <c r="O3327" i="5" s="1"/>
  <c r="R2018" i="5"/>
  <c r="M3326" i="5"/>
  <c r="O3326" i="5" s="1"/>
  <c r="M3325" i="5"/>
  <c r="M3324" i="5"/>
  <c r="R3324" i="5" s="1"/>
  <c r="L3323" i="5"/>
  <c r="M3322" i="5"/>
  <c r="O3322" i="5" s="1"/>
  <c r="L3321" i="5"/>
  <c r="M3320" i="5"/>
  <c r="M3319" i="5"/>
  <c r="R3319" i="5" s="1"/>
  <c r="M3318" i="5"/>
  <c r="M3317" i="5"/>
  <c r="R3317" i="5" s="1"/>
  <c r="M3316" i="5"/>
  <c r="M3315" i="5"/>
  <c r="R3315" i="5" s="1"/>
  <c r="Q3314" i="5"/>
  <c r="O3314" i="5"/>
  <c r="Q3313" i="5"/>
  <c r="O3313" i="5"/>
  <c r="O3312" i="5"/>
  <c r="O3311" i="5"/>
  <c r="M3310" i="5"/>
  <c r="M3309" i="5"/>
  <c r="M3308" i="5"/>
  <c r="M3307" i="5"/>
  <c r="M3306" i="5"/>
  <c r="R3305" i="5"/>
  <c r="M3304" i="5"/>
  <c r="O3304" i="5" s="1"/>
  <c r="L3303" i="5"/>
  <c r="M3302" i="5"/>
  <c r="R3302" i="5" s="1"/>
  <c r="L3301" i="5"/>
  <c r="M3300" i="5"/>
  <c r="M3299" i="5"/>
  <c r="R3299" i="5" s="1"/>
  <c r="M3298" i="5"/>
  <c r="O3298" i="5" s="1"/>
  <c r="M3297" i="5"/>
  <c r="R3297" i="5" s="1"/>
  <c r="M3296" i="5"/>
  <c r="M3295" i="5"/>
  <c r="M3294" i="5"/>
  <c r="L3293" i="5"/>
  <c r="L3292" i="5"/>
  <c r="L3291" i="5"/>
  <c r="L3290" i="5"/>
  <c r="L3289" i="5"/>
  <c r="L3288" i="5"/>
  <c r="M3287" i="5"/>
  <c r="L3286" i="5"/>
  <c r="M3285" i="5"/>
  <c r="R3285" i="5" s="1"/>
  <c r="M3284" i="5"/>
  <c r="O3284" i="5" s="1"/>
  <c r="M3283" i="5"/>
  <c r="M3282" i="5"/>
  <c r="M3281" i="5"/>
  <c r="R3281" i="5" s="1"/>
  <c r="M3280" i="5"/>
  <c r="R3280" i="5" s="1"/>
  <c r="M3279" i="5"/>
  <c r="M3278" i="5"/>
  <c r="M3277" i="5"/>
  <c r="M3276" i="5"/>
  <c r="R3276" i="5" s="1"/>
  <c r="M3275" i="5"/>
  <c r="O3275" i="5" s="1"/>
  <c r="M3274" i="5"/>
  <c r="R3274" i="5" s="1"/>
  <c r="M3273" i="5"/>
  <c r="O3273" i="5" s="1"/>
  <c r="L3272" i="5"/>
  <c r="L3271" i="5"/>
  <c r="R2017" i="5"/>
  <c r="M3270" i="5"/>
  <c r="R3270" i="5" s="1"/>
  <c r="L3269" i="5"/>
  <c r="L3268" i="5"/>
  <c r="L3267" i="5"/>
  <c r="L3266" i="5"/>
  <c r="M3265" i="5"/>
  <c r="O3265" i="5" s="1"/>
  <c r="L3264" i="5"/>
  <c r="M3263" i="5"/>
  <c r="O3263" i="5" s="1"/>
  <c r="M3262" i="5"/>
  <c r="R3262" i="5" s="1"/>
  <c r="M3261" i="5"/>
  <c r="O3261" i="5" s="1"/>
  <c r="M3260" i="5"/>
  <c r="R3260" i="5" s="1"/>
  <c r="M3259" i="5"/>
  <c r="O3259" i="5" s="1"/>
  <c r="J3259" i="5"/>
  <c r="J3403" i="5" s="1"/>
  <c r="J2884" i="5" s="1"/>
  <c r="M3258" i="5"/>
  <c r="R3258" i="5" s="1"/>
  <c r="M3257" i="5"/>
  <c r="O3257" i="5" s="1"/>
  <c r="L3256" i="5"/>
  <c r="L3255" i="5"/>
  <c r="M3254" i="5"/>
  <c r="R3254" i="5" s="1"/>
  <c r="M3253" i="5"/>
  <c r="R3253" i="5" s="1"/>
  <c r="M3252" i="5"/>
  <c r="O3252" i="5" s="1"/>
  <c r="M3251" i="5"/>
  <c r="R3251" i="5" s="1"/>
  <c r="G3251" i="5"/>
  <c r="G3403" i="5" s="1"/>
  <c r="G2884" i="5" s="1"/>
  <c r="M3250" i="5"/>
  <c r="M3249" i="5"/>
  <c r="R3249" i="5" s="1"/>
  <c r="M3248" i="5"/>
  <c r="O3248" i="5" s="1"/>
  <c r="R3247" i="5"/>
  <c r="O3247" i="5"/>
  <c r="M3246" i="5"/>
  <c r="R3245" i="5"/>
  <c r="L3245" i="5"/>
  <c r="M3244" i="5"/>
  <c r="L3244" i="5" s="1"/>
  <c r="M3243" i="5"/>
  <c r="M3242" i="5"/>
  <c r="O3242" i="5" s="1"/>
  <c r="M3241" i="5"/>
  <c r="M3240" i="5"/>
  <c r="O3240" i="5" s="1"/>
  <c r="M3239" i="5"/>
  <c r="M3238" i="5"/>
  <c r="O3238" i="5" s="1"/>
  <c r="M3237" i="5"/>
  <c r="M3236" i="5"/>
  <c r="L3236" i="5" s="1"/>
  <c r="M3235" i="5"/>
  <c r="O3235" i="5" s="1"/>
  <c r="M3234" i="5"/>
  <c r="R3234" i="5" s="1"/>
  <c r="M3233" i="5"/>
  <c r="L3233" i="5" s="1"/>
  <c r="M3232" i="5"/>
  <c r="L3231" i="5"/>
  <c r="M3230" i="5"/>
  <c r="L3229" i="5"/>
  <c r="L3228" i="5"/>
  <c r="M3226" i="5"/>
  <c r="M3225" i="5"/>
  <c r="L3225" i="5" s="1"/>
  <c r="M3224" i="5"/>
  <c r="L3224" i="5" s="1"/>
  <c r="M3223" i="5"/>
  <c r="M3222" i="5"/>
  <c r="R3222" i="5" s="1"/>
  <c r="M3221" i="5"/>
  <c r="O3221" i="5" s="1"/>
  <c r="M3220" i="5"/>
  <c r="R3220" i="5" s="1"/>
  <c r="M3219" i="5"/>
  <c r="R3219" i="5" s="1"/>
  <c r="M3218" i="5"/>
  <c r="O3218" i="5" s="1"/>
  <c r="M3217" i="5"/>
  <c r="R3217" i="5" s="1"/>
  <c r="M3216" i="5"/>
  <c r="O3216" i="5" s="1"/>
  <c r="M3215" i="5"/>
  <c r="O3214" i="5"/>
  <c r="M3213" i="5"/>
  <c r="L3213" i="5" s="1"/>
  <c r="M3212" i="5"/>
  <c r="M3211" i="5"/>
  <c r="M3210" i="5"/>
  <c r="M3209" i="5"/>
  <c r="R3209" i="5" s="1"/>
  <c r="M3208" i="5"/>
  <c r="R3208" i="5" s="1"/>
  <c r="L3207" i="5"/>
  <c r="M3206" i="5"/>
  <c r="R3206" i="5" s="1"/>
  <c r="M3205" i="5"/>
  <c r="O3205" i="5" s="1"/>
  <c r="R3204" i="5"/>
  <c r="M3203" i="5"/>
  <c r="R3203" i="5" s="1"/>
  <c r="R3202" i="5"/>
  <c r="O3202" i="5"/>
  <c r="M3201" i="5"/>
  <c r="M3200" i="5"/>
  <c r="O3200" i="5" s="1"/>
  <c r="M3199" i="5"/>
  <c r="R3199" i="5" s="1"/>
  <c r="M3198" i="5"/>
  <c r="O3198" i="5" s="1"/>
  <c r="M3197" i="5"/>
  <c r="R3197" i="5" s="1"/>
  <c r="M3196" i="5"/>
  <c r="L3196" i="5" s="1"/>
  <c r="M3195" i="5"/>
  <c r="M3193" i="5"/>
  <c r="M3192" i="5"/>
  <c r="R3191" i="5"/>
  <c r="L3191" i="5"/>
  <c r="M3190" i="5"/>
  <c r="R3190" i="5" s="1"/>
  <c r="M3189" i="5"/>
  <c r="R3189" i="5" s="1"/>
  <c r="M3188" i="5"/>
  <c r="O3188" i="5" s="1"/>
  <c r="M3187" i="5"/>
  <c r="R3187" i="5" s="1"/>
  <c r="M3186" i="5"/>
  <c r="R3186" i="5" s="1"/>
  <c r="M3185" i="5"/>
  <c r="O3185" i="5" s="1"/>
  <c r="R3184" i="5"/>
  <c r="L3184" i="5"/>
  <c r="L3183" i="5"/>
  <c r="L3182" i="5"/>
  <c r="M3181" i="5"/>
  <c r="R3181" i="5" s="1"/>
  <c r="M3180" i="5"/>
  <c r="O3180" i="5" s="1"/>
  <c r="M3179" i="5"/>
  <c r="M3178" i="5"/>
  <c r="O3178" i="5" s="1"/>
  <c r="M3177" i="5"/>
  <c r="M3176" i="5"/>
  <c r="O3176" i="5" s="1"/>
  <c r="M3175" i="5"/>
  <c r="R3175" i="5" s="1"/>
  <c r="M3174" i="5"/>
  <c r="O3174" i="5" s="1"/>
  <c r="M3173" i="5"/>
  <c r="M3172" i="5"/>
  <c r="O3172" i="5" s="1"/>
  <c r="M3171" i="5"/>
  <c r="M3170" i="5"/>
  <c r="O3170" i="5" s="1"/>
  <c r="M3169" i="5"/>
  <c r="M3168" i="5"/>
  <c r="O3168" i="5" s="1"/>
  <c r="M3167" i="5"/>
  <c r="M3166" i="5"/>
  <c r="O3166" i="5" s="1"/>
  <c r="L3165" i="5"/>
  <c r="L3164" i="5"/>
  <c r="M3163" i="5"/>
  <c r="M3162" i="5"/>
  <c r="R3162" i="5" s="1"/>
  <c r="M3161" i="5"/>
  <c r="O3161" i="5" s="1"/>
  <c r="L3160" i="5"/>
  <c r="M3159" i="5"/>
  <c r="L3159" i="5" s="1"/>
  <c r="M3158" i="5"/>
  <c r="M3157" i="5"/>
  <c r="R3157" i="5" s="1"/>
  <c r="M3156" i="5"/>
  <c r="L3156" i="5" s="1"/>
  <c r="M3155" i="5"/>
  <c r="L3154" i="5"/>
  <c r="M3153" i="5"/>
  <c r="M3152" i="5"/>
  <c r="O3152" i="5" s="1"/>
  <c r="M3151" i="5"/>
  <c r="L3150" i="5"/>
  <c r="M3148" i="5"/>
  <c r="O3148" i="5" s="1"/>
  <c r="M3147" i="5"/>
  <c r="R3147" i="5" s="1"/>
  <c r="M3146" i="5"/>
  <c r="R3146" i="5" s="1"/>
  <c r="M3145" i="5"/>
  <c r="L3145" i="5" s="1"/>
  <c r="M3144" i="5"/>
  <c r="M3143" i="5"/>
  <c r="R3143" i="5" s="1"/>
  <c r="O2919" i="5"/>
  <c r="L3142" i="5"/>
  <c r="M3141" i="5"/>
  <c r="O3141" i="5" s="1"/>
  <c r="M3140" i="5"/>
  <c r="R3140" i="5" s="1"/>
  <c r="R3139" i="5"/>
  <c r="L3139" i="5"/>
  <c r="M3138" i="5"/>
  <c r="O3138" i="5" s="1"/>
  <c r="M3137" i="5"/>
  <c r="M3136" i="5"/>
  <c r="O3136" i="5" s="1"/>
  <c r="M3135" i="5"/>
  <c r="R3135" i="5" s="1"/>
  <c r="M3134" i="5"/>
  <c r="O3134" i="5" s="1"/>
  <c r="M3133" i="5"/>
  <c r="O3133" i="5" s="1"/>
  <c r="M3132" i="5"/>
  <c r="O3132" i="5" s="1"/>
  <c r="M3131" i="5"/>
  <c r="O3131" i="5" s="1"/>
  <c r="M3130" i="5"/>
  <c r="O3130" i="5" s="1"/>
  <c r="M3129" i="5"/>
  <c r="M3128" i="5"/>
  <c r="O3128" i="5" s="1"/>
  <c r="M3127" i="5"/>
  <c r="R3127" i="5" s="1"/>
  <c r="M3126" i="5"/>
  <c r="O3126" i="5" s="1"/>
  <c r="M3125" i="5"/>
  <c r="O3125" i="5" s="1"/>
  <c r="M3124" i="5"/>
  <c r="L3124" i="5" s="1"/>
  <c r="M3123" i="5"/>
  <c r="M3122" i="5"/>
  <c r="O3122" i="5" s="1"/>
  <c r="M3121" i="5"/>
  <c r="M3120" i="5"/>
  <c r="R3120" i="5" s="1"/>
  <c r="M3119" i="5"/>
  <c r="L3119" i="5" s="1"/>
  <c r="M3118" i="5"/>
  <c r="L3118" i="5" s="1"/>
  <c r="M3117" i="5"/>
  <c r="M3116" i="5"/>
  <c r="O3116" i="5" s="1"/>
  <c r="M3115" i="5"/>
  <c r="M3114" i="5"/>
  <c r="O3114" i="5" s="1"/>
  <c r="M3113" i="5"/>
  <c r="M3112" i="5"/>
  <c r="R3112" i="5" s="1"/>
  <c r="M3111" i="5"/>
  <c r="O3111" i="5" s="1"/>
  <c r="M3110" i="5"/>
  <c r="R3110" i="5" s="1"/>
  <c r="M3109" i="5"/>
  <c r="L3109" i="5" s="1"/>
  <c r="M3108" i="5"/>
  <c r="L3108" i="5" s="1"/>
  <c r="M3107" i="5"/>
  <c r="E3107" i="5"/>
  <c r="E3403" i="5" s="1"/>
  <c r="E2884" i="5" s="1"/>
  <c r="M3106" i="5"/>
  <c r="O3106" i="5" s="1"/>
  <c r="M3104" i="5"/>
  <c r="M3103" i="5"/>
  <c r="L3103" i="5" s="1"/>
  <c r="R3101" i="5"/>
  <c r="M3099" i="5"/>
  <c r="L3098" i="5"/>
  <c r="M3097" i="5"/>
  <c r="M3096" i="5"/>
  <c r="R3096" i="5" s="1"/>
  <c r="O3095" i="5"/>
  <c r="O3094" i="5"/>
  <c r="M3093" i="5"/>
  <c r="L3093" i="5" s="1"/>
  <c r="L3092" i="5"/>
  <c r="M3091" i="5"/>
  <c r="R3091" i="5" s="1"/>
  <c r="M3090" i="5"/>
  <c r="L3090" i="5" s="1"/>
  <c r="M3089" i="5"/>
  <c r="M3088" i="5"/>
  <c r="R3088" i="5" s="1"/>
  <c r="M3087" i="5"/>
  <c r="O3087" i="5" s="1"/>
  <c r="O3086" i="5"/>
  <c r="O3085" i="5"/>
  <c r="M3084" i="5"/>
  <c r="R3084" i="5" s="1"/>
  <c r="M3083" i="5"/>
  <c r="O3083" i="5" s="1"/>
  <c r="M3082" i="5"/>
  <c r="M3081" i="5"/>
  <c r="O3081" i="5" s="1"/>
  <c r="M3080" i="5"/>
  <c r="R3080" i="5" s="1"/>
  <c r="M3079" i="5"/>
  <c r="O3079" i="5" s="1"/>
  <c r="M3078" i="5"/>
  <c r="L2012" i="5"/>
  <c r="S2012" i="5" s="1"/>
  <c r="M3077" i="5"/>
  <c r="R3077" i="5" s="1"/>
  <c r="M3076" i="5"/>
  <c r="O3076" i="5" s="1"/>
  <c r="M3075" i="5"/>
  <c r="M3074" i="5"/>
  <c r="R3074" i="5" s="1"/>
  <c r="M3073" i="5"/>
  <c r="L3073" i="5" s="1"/>
  <c r="M3072" i="5"/>
  <c r="M3071" i="5"/>
  <c r="L3070" i="5"/>
  <c r="M3068" i="5"/>
  <c r="M3067" i="5"/>
  <c r="O3067" i="5" s="1"/>
  <c r="M3066" i="5"/>
  <c r="R3066" i="5" s="1"/>
  <c r="M3065" i="5"/>
  <c r="O3065" i="5" s="1"/>
  <c r="L3064" i="5"/>
  <c r="M3063" i="5"/>
  <c r="L3063" i="5" s="1"/>
  <c r="M3062" i="5"/>
  <c r="L3061" i="5"/>
  <c r="M3060" i="5"/>
  <c r="M3059" i="5"/>
  <c r="O3059" i="5" s="1"/>
  <c r="L3058" i="5"/>
  <c r="L3057" i="5"/>
  <c r="R3056" i="5"/>
  <c r="L3056" i="5"/>
  <c r="M3055" i="5"/>
  <c r="M3054" i="5"/>
  <c r="L3054" i="5" s="1"/>
  <c r="L3053" i="5"/>
  <c r="L3052" i="5"/>
  <c r="M3051" i="5"/>
  <c r="O3051" i="5" s="1"/>
  <c r="L3050" i="5"/>
  <c r="M3049" i="5"/>
  <c r="O3049" i="5" s="1"/>
  <c r="M3048" i="5"/>
  <c r="O3048" i="5" s="1"/>
  <c r="M3047" i="5"/>
  <c r="L3047" i="5" s="1"/>
  <c r="M3046" i="5"/>
  <c r="M3045" i="5"/>
  <c r="O3045" i="5" s="1"/>
  <c r="R2010" i="5"/>
  <c r="M3044" i="5"/>
  <c r="R3044" i="5" s="1"/>
  <c r="L3043" i="5"/>
  <c r="M3041" i="5"/>
  <c r="M3040" i="5"/>
  <c r="L3040" i="5" s="1"/>
  <c r="L3039" i="5"/>
  <c r="M3038" i="5"/>
  <c r="O3038" i="5" s="1"/>
  <c r="L3037" i="5"/>
  <c r="L3036" i="5"/>
  <c r="M3035" i="5"/>
  <c r="O3035" i="5" s="1"/>
  <c r="M3034" i="5"/>
  <c r="R3034" i="5" s="1"/>
  <c r="M3033" i="5"/>
  <c r="O3033" i="5" s="1"/>
  <c r="M3032" i="5"/>
  <c r="O3032" i="5" s="1"/>
  <c r="M3031" i="5"/>
  <c r="O3031" i="5" s="1"/>
  <c r="M3030" i="5"/>
  <c r="R3030" i="5" s="1"/>
  <c r="M3029" i="5"/>
  <c r="R3029" i="5" s="1"/>
  <c r="M3028" i="5"/>
  <c r="L3028" i="5" s="1"/>
  <c r="M3027" i="5"/>
  <c r="M3026" i="5"/>
  <c r="R3026" i="5" s="1"/>
  <c r="R3025" i="5"/>
  <c r="L3025" i="5"/>
  <c r="M3024" i="5"/>
  <c r="O3024" i="5" s="1"/>
  <c r="L3023" i="5"/>
  <c r="M3022" i="5"/>
  <c r="L3022" i="5" s="1"/>
  <c r="M3021" i="5"/>
  <c r="M3020" i="5"/>
  <c r="L3019" i="5"/>
  <c r="L3018" i="5"/>
  <c r="M3017" i="5"/>
  <c r="O3017" i="5" s="1"/>
  <c r="M3016" i="5"/>
  <c r="O3016" i="5" s="1"/>
  <c r="M3015" i="5"/>
  <c r="O3015" i="5" s="1"/>
  <c r="M3014" i="5"/>
  <c r="M3013" i="5"/>
  <c r="O3013" i="5" s="1"/>
  <c r="M3012" i="5"/>
  <c r="R3012" i="5" s="1"/>
  <c r="M3011" i="5"/>
  <c r="O3011" i="5" s="1"/>
  <c r="M3010" i="5"/>
  <c r="R3010" i="5" s="1"/>
  <c r="M3009" i="5"/>
  <c r="O3009" i="5" s="1"/>
  <c r="M3008" i="5"/>
  <c r="O3008" i="5" s="1"/>
  <c r="M3007" i="5"/>
  <c r="O3007" i="5" s="1"/>
  <c r="M3006" i="5"/>
  <c r="M3005" i="5"/>
  <c r="O3005" i="5" s="1"/>
  <c r="M3004" i="5"/>
  <c r="R3004" i="5" s="1"/>
  <c r="M3003" i="5"/>
  <c r="O3003" i="5" s="1"/>
  <c r="M3002" i="5"/>
  <c r="R3002" i="5" s="1"/>
  <c r="M3001" i="5"/>
  <c r="O3001" i="5" s="1"/>
  <c r="M3000" i="5"/>
  <c r="O3000" i="5" s="1"/>
  <c r="M2999" i="5"/>
  <c r="R2999" i="5" s="1"/>
  <c r="M2998" i="5"/>
  <c r="R2998" i="5" s="1"/>
  <c r="L2997" i="5"/>
  <c r="M2996" i="5"/>
  <c r="R2996" i="5" s="1"/>
  <c r="M2994" i="5"/>
  <c r="O2994" i="5" s="1"/>
  <c r="L2993" i="5"/>
  <c r="M2992" i="5"/>
  <c r="R2992" i="5" s="1"/>
  <c r="M2991" i="5"/>
  <c r="L2991" i="5" s="1"/>
  <c r="L2990" i="5"/>
  <c r="L2989" i="5"/>
  <c r="M2988" i="5"/>
  <c r="L2987" i="5"/>
  <c r="L2986" i="5"/>
  <c r="L2985" i="5"/>
  <c r="L2984" i="5"/>
  <c r="M2983" i="5"/>
  <c r="R2983" i="5" s="1"/>
  <c r="M2982" i="5"/>
  <c r="O2982" i="5" s="1"/>
  <c r="M2981" i="5"/>
  <c r="M2980" i="5"/>
  <c r="M2979" i="5"/>
  <c r="O2979" i="5" s="1"/>
  <c r="M2978" i="5"/>
  <c r="R2978" i="5" s="1"/>
  <c r="M2977" i="5"/>
  <c r="L2977" i="5" s="1"/>
  <c r="M2976" i="5"/>
  <c r="O2976" i="5" s="1"/>
  <c r="M2975" i="5"/>
  <c r="R2975" i="5" s="1"/>
  <c r="M2974" i="5"/>
  <c r="O2974" i="5" s="1"/>
  <c r="L2973" i="5"/>
  <c r="M2972" i="5"/>
  <c r="O2972" i="5" s="1"/>
  <c r="M2971" i="5"/>
  <c r="R2971" i="5" s="1"/>
  <c r="M2970" i="5"/>
  <c r="O2970" i="5" s="1"/>
  <c r="M2969" i="5"/>
  <c r="M2968" i="5"/>
  <c r="O2968" i="5" s="1"/>
  <c r="M2967" i="5"/>
  <c r="R2967" i="5" s="1"/>
  <c r="M2966" i="5"/>
  <c r="O2966" i="5" s="1"/>
  <c r="M2965" i="5"/>
  <c r="O2965" i="5" s="1"/>
  <c r="L2964" i="5"/>
  <c r="L2963" i="5"/>
  <c r="L2962" i="5"/>
  <c r="M2961" i="5"/>
  <c r="L2961" i="5" s="1"/>
  <c r="A2962" i="5"/>
  <c r="M2886" i="5"/>
  <c r="T2881" i="5"/>
  <c r="Q2881" i="5"/>
  <c r="N2881" i="5"/>
  <c r="J2881" i="5"/>
  <c r="G2881" i="5"/>
  <c r="D2881" i="5"/>
  <c r="M2880" i="5"/>
  <c r="L2880" i="5" s="1"/>
  <c r="M2879" i="5"/>
  <c r="L2879" i="5" s="1"/>
  <c r="M2878" i="5"/>
  <c r="L2878" i="5" s="1"/>
  <c r="M2877" i="5"/>
  <c r="L2877" i="5" s="1"/>
  <c r="A2877" i="5"/>
  <c r="A2878" i="5" s="1"/>
  <c r="A2879" i="5" s="1"/>
  <c r="A2880" i="5" s="1"/>
  <c r="M2876" i="5"/>
  <c r="R2876" i="5" s="1"/>
  <c r="T2874" i="5"/>
  <c r="Q2874" i="5"/>
  <c r="P2874" i="5"/>
  <c r="N2874" i="5"/>
  <c r="J2874" i="5"/>
  <c r="G2874" i="5"/>
  <c r="E2874" i="5"/>
  <c r="D2874" i="5"/>
  <c r="M2873" i="5"/>
  <c r="R2873" i="5" s="1"/>
  <c r="M2872" i="5"/>
  <c r="O2874" i="5" s="1"/>
  <c r="T2870" i="5"/>
  <c r="P2870" i="5"/>
  <c r="N2870" i="5"/>
  <c r="M2870" i="5"/>
  <c r="J2870" i="5"/>
  <c r="G2870" i="5"/>
  <c r="E2870" i="5"/>
  <c r="D2870" i="5"/>
  <c r="R2868" i="5"/>
  <c r="L2868" i="5"/>
  <c r="R2867" i="5"/>
  <c r="R2866" i="5"/>
  <c r="O2866" i="5"/>
  <c r="L2866" i="5" s="1"/>
  <c r="R2865" i="5"/>
  <c r="L2865" i="5"/>
  <c r="A2865" i="5"/>
  <c r="A2866" i="5" s="1"/>
  <c r="A2867" i="5" s="1"/>
  <c r="A2868" i="5" s="1"/>
  <c r="A2869" i="5" s="1"/>
  <c r="R2864" i="5"/>
  <c r="L2864" i="5"/>
  <c r="R2863" i="5"/>
  <c r="R2862" i="5"/>
  <c r="L2862" i="5"/>
  <c r="R2861" i="5"/>
  <c r="L2861" i="5"/>
  <c r="R2860" i="5"/>
  <c r="L2860" i="5"/>
  <c r="R2859" i="5"/>
  <c r="L2859" i="5"/>
  <c r="R2858" i="5"/>
  <c r="L2858" i="5"/>
  <c r="R2857" i="5"/>
  <c r="L2857" i="5"/>
  <c r="R2856" i="5"/>
  <c r="Q2870" i="5"/>
  <c r="R2855" i="5"/>
  <c r="L2855" i="5"/>
  <c r="R2854" i="5"/>
  <c r="L2854" i="5"/>
  <c r="R2853" i="5"/>
  <c r="L2853" i="5"/>
  <c r="R2852" i="5"/>
  <c r="L2852" i="5"/>
  <c r="R2851" i="5"/>
  <c r="L2851" i="5"/>
  <c r="R2850" i="5"/>
  <c r="L2850" i="5"/>
  <c r="A2850" i="5"/>
  <c r="A2851" i="5" s="1"/>
  <c r="A2852" i="5" s="1"/>
  <c r="A2853" i="5" s="1"/>
  <c r="A2854" i="5" s="1"/>
  <c r="A2855" i="5" s="1"/>
  <c r="A2856" i="5" s="1"/>
  <c r="A2857" i="5" s="1"/>
  <c r="A2858" i="5" s="1"/>
  <c r="A2859" i="5" s="1"/>
  <c r="R2849" i="5"/>
  <c r="L2849" i="5"/>
  <c r="Q2847" i="5"/>
  <c r="P2847" i="5"/>
  <c r="N2847" i="5"/>
  <c r="J2847" i="5"/>
  <c r="G2847" i="5"/>
  <c r="E2847" i="5"/>
  <c r="D2847" i="5"/>
  <c r="M2846" i="5"/>
  <c r="R2846" i="5" s="1"/>
  <c r="M2845" i="5"/>
  <c r="L2845" i="5" s="1"/>
  <c r="M2844" i="5"/>
  <c r="R2844" i="5" s="1"/>
  <c r="M2843" i="5"/>
  <c r="R2843" i="5" s="1"/>
  <c r="M2842" i="5"/>
  <c r="R2842" i="5" s="1"/>
  <c r="M2841" i="5"/>
  <c r="M2840" i="5"/>
  <c r="R2840" i="5" s="1"/>
  <c r="M2839" i="5"/>
  <c r="L2839" i="5" s="1"/>
  <c r="A2839" i="5"/>
  <c r="A2841" i="5" s="1"/>
  <c r="M2838" i="5"/>
  <c r="Q2836" i="5"/>
  <c r="P2836" i="5"/>
  <c r="O2836" i="5"/>
  <c r="N2836" i="5"/>
  <c r="J2836" i="5"/>
  <c r="G2836" i="5"/>
  <c r="E2836" i="5"/>
  <c r="D2836" i="5"/>
  <c r="M2835" i="5"/>
  <c r="R2835" i="5" s="1"/>
  <c r="M2834" i="5"/>
  <c r="R2834" i="5" s="1"/>
  <c r="M2833" i="5"/>
  <c r="R2833" i="5" s="1"/>
  <c r="A2833" i="5"/>
  <c r="A2834" i="5" s="1"/>
  <c r="A2835" i="5" s="1"/>
  <c r="M2832" i="5"/>
  <c r="R2832" i="5" s="1"/>
  <c r="M2831" i="5"/>
  <c r="R2831" i="5" s="1"/>
  <c r="M2823" i="5"/>
  <c r="R2821" i="5"/>
  <c r="R2820" i="5"/>
  <c r="L2820" i="5"/>
  <c r="L2819" i="5"/>
  <c r="M2818" i="5"/>
  <c r="M2817" i="5"/>
  <c r="A2818" i="5"/>
  <c r="A2819" i="5" s="1"/>
  <c r="A2820" i="5" s="1"/>
  <c r="R2815" i="5"/>
  <c r="L2815" i="5"/>
  <c r="Q2805" i="5"/>
  <c r="P2805" i="5"/>
  <c r="O2805" i="5"/>
  <c r="N2805" i="5"/>
  <c r="J2805" i="5"/>
  <c r="G2805" i="5"/>
  <c r="E2805" i="5"/>
  <c r="D2805" i="5"/>
  <c r="M2804" i="5"/>
  <c r="R2804" i="5" s="1"/>
  <c r="P2802" i="5"/>
  <c r="O2802" i="5"/>
  <c r="N2802" i="5"/>
  <c r="J2802" i="5"/>
  <c r="E2802" i="5"/>
  <c r="D2802" i="5"/>
  <c r="G2801" i="5"/>
  <c r="M2800" i="5"/>
  <c r="L2800" i="5" s="1"/>
  <c r="Q2798" i="5"/>
  <c r="P2798" i="5"/>
  <c r="O2798" i="5"/>
  <c r="N2798" i="5"/>
  <c r="J2798" i="5"/>
  <c r="G2798" i="5"/>
  <c r="E2798" i="5"/>
  <c r="D2798" i="5"/>
  <c r="L2797" i="5"/>
  <c r="R2796" i="5"/>
  <c r="R2795" i="5"/>
  <c r="M2772" i="5"/>
  <c r="R2772" i="5" s="1"/>
  <c r="R2771" i="5"/>
  <c r="L2771" i="5"/>
  <c r="M2770" i="5"/>
  <c r="M2769" i="5"/>
  <c r="R2769" i="5" s="1"/>
  <c r="R2768" i="5"/>
  <c r="L2768" i="5"/>
  <c r="R2767" i="5"/>
  <c r="L2767" i="5"/>
  <c r="A2767" i="5"/>
  <c r="A2768" i="5" s="1"/>
  <c r="A2769" i="5" s="1"/>
  <c r="R2766" i="5"/>
  <c r="L2766" i="5"/>
  <c r="P2757" i="5"/>
  <c r="O2757" i="5"/>
  <c r="N2757" i="5"/>
  <c r="J2757" i="5"/>
  <c r="G2757" i="5"/>
  <c r="E2757" i="5"/>
  <c r="D2757" i="5"/>
  <c r="R2756" i="5"/>
  <c r="Q2754" i="5"/>
  <c r="P2754" i="5"/>
  <c r="N2754" i="5"/>
  <c r="J2754" i="5"/>
  <c r="G2754" i="5"/>
  <c r="E2754" i="5"/>
  <c r="D2754" i="5"/>
  <c r="M2753" i="5"/>
  <c r="R2753" i="5" s="1"/>
  <c r="Q2751" i="5"/>
  <c r="P2751" i="5"/>
  <c r="O2751" i="5"/>
  <c r="N2751" i="5"/>
  <c r="J2751" i="5"/>
  <c r="G2751" i="5"/>
  <c r="E2751" i="5"/>
  <c r="D2751" i="5"/>
  <c r="P2746" i="5"/>
  <c r="O2746" i="5"/>
  <c r="N2746" i="5"/>
  <c r="M2746" i="5"/>
  <c r="J2746" i="5"/>
  <c r="E2746" i="5"/>
  <c r="L2744" i="5"/>
  <c r="A2744" i="5"/>
  <c r="A2745" i="5" s="1"/>
  <c r="L2743" i="5"/>
  <c r="Q2741" i="5"/>
  <c r="R2740" i="5"/>
  <c r="R2739" i="5"/>
  <c r="R2738" i="5"/>
  <c r="L2738" i="5"/>
  <c r="R2737" i="5"/>
  <c r="L2737" i="5"/>
  <c r="R2736" i="5"/>
  <c r="R2735" i="5"/>
  <c r="L2735" i="5"/>
  <c r="R2734" i="5"/>
  <c r="L2734" i="5"/>
  <c r="G2734" i="5"/>
  <c r="L2733" i="5"/>
  <c r="G2733" i="5"/>
  <c r="L2732" i="5"/>
  <c r="G2732" i="5"/>
  <c r="R2731" i="5"/>
  <c r="L2731" i="5"/>
  <c r="R2730" i="5"/>
  <c r="L2730" i="5"/>
  <c r="R2729" i="5"/>
  <c r="L2729" i="5"/>
  <c r="R2728" i="5"/>
  <c r="L2728" i="5"/>
  <c r="L2727" i="5"/>
  <c r="G2727" i="5"/>
  <c r="R2726" i="5"/>
  <c r="L2726" i="5"/>
  <c r="R2725" i="5"/>
  <c r="L2725" i="5"/>
  <c r="R2724" i="5"/>
  <c r="L2724" i="5"/>
  <c r="A2725" i="5"/>
  <c r="A2726" i="5" s="1"/>
  <c r="A2727" i="5" s="1"/>
  <c r="A2728" i="5" s="1"/>
  <c r="L2711" i="5"/>
  <c r="Q2709" i="5"/>
  <c r="P2709" i="5"/>
  <c r="N2709" i="5"/>
  <c r="J2709" i="5"/>
  <c r="G2709" i="5"/>
  <c r="E2709" i="5"/>
  <c r="R2704" i="5"/>
  <c r="L2704" i="5"/>
  <c r="R2703" i="5"/>
  <c r="L2703" i="5"/>
  <c r="Q2701" i="5"/>
  <c r="P2701" i="5"/>
  <c r="O2701" i="5"/>
  <c r="N2701" i="5"/>
  <c r="J2701" i="5"/>
  <c r="G2701" i="5"/>
  <c r="E2701" i="5"/>
  <c r="D2701" i="5"/>
  <c r="M2700" i="5"/>
  <c r="R2700" i="5" s="1"/>
  <c r="M2699" i="5"/>
  <c r="R2699" i="5" s="1"/>
  <c r="A2699" i="5"/>
  <c r="A2700" i="5" s="1"/>
  <c r="M2698" i="5"/>
  <c r="R2698" i="5" s="1"/>
  <c r="Q2696" i="5"/>
  <c r="P2696" i="5"/>
  <c r="N2696" i="5"/>
  <c r="J2696" i="5"/>
  <c r="G2696" i="5"/>
  <c r="E2696" i="5"/>
  <c r="D2696" i="5"/>
  <c r="C2696" i="5"/>
  <c r="M2694" i="5"/>
  <c r="Q2692" i="5"/>
  <c r="P2692" i="5"/>
  <c r="O2692" i="5"/>
  <c r="N2692" i="5"/>
  <c r="J2692" i="5"/>
  <c r="G2692" i="5"/>
  <c r="E2692" i="5"/>
  <c r="D2692" i="5"/>
  <c r="M2691" i="5"/>
  <c r="R2691" i="5" s="1"/>
  <c r="M2690" i="5"/>
  <c r="R2690" i="5" s="1"/>
  <c r="Q2688" i="5"/>
  <c r="P2688" i="5"/>
  <c r="O2688" i="5"/>
  <c r="N2688" i="5"/>
  <c r="M2688" i="5"/>
  <c r="J2688" i="5"/>
  <c r="G2688" i="5"/>
  <c r="E2688" i="5"/>
  <c r="D2688" i="5"/>
  <c r="L2683" i="5"/>
  <c r="L2682" i="5"/>
  <c r="L2681" i="5"/>
  <c r="L2680" i="5"/>
  <c r="S2680" i="5" s="1"/>
  <c r="L2679" i="5"/>
  <c r="S2679" i="5" s="1"/>
  <c r="L2678" i="5"/>
  <c r="L2677" i="5"/>
  <c r="M2669" i="5"/>
  <c r="D2669" i="5"/>
  <c r="M2668" i="5"/>
  <c r="R2668" i="5" s="1"/>
  <c r="D2668" i="5"/>
  <c r="M2667" i="5"/>
  <c r="D2667" i="5"/>
  <c r="R2666" i="5"/>
  <c r="L2666" i="5"/>
  <c r="D2666" i="5"/>
  <c r="M2665" i="5"/>
  <c r="R2665" i="5" s="1"/>
  <c r="D2665" i="5"/>
  <c r="M2664" i="5"/>
  <c r="D2664" i="5"/>
  <c r="M2663" i="5"/>
  <c r="R2663" i="5" s="1"/>
  <c r="D2663" i="5"/>
  <c r="M2662" i="5"/>
  <c r="R2662" i="5" s="1"/>
  <c r="D2662" i="5"/>
  <c r="L2661" i="5"/>
  <c r="C187" i="2" s="1"/>
  <c r="D2661" i="5"/>
  <c r="M2660" i="5"/>
  <c r="R2660" i="5" s="1"/>
  <c r="D2660" i="5"/>
  <c r="M2659" i="5"/>
  <c r="D2659" i="5"/>
  <c r="M2658" i="5"/>
  <c r="R2658" i="5" s="1"/>
  <c r="D2658" i="5"/>
  <c r="R2657" i="5"/>
  <c r="L2657" i="5"/>
  <c r="S2657" i="5" s="1"/>
  <c r="D2657" i="5"/>
  <c r="M2655" i="5"/>
  <c r="D2655" i="5"/>
  <c r="M2654" i="5"/>
  <c r="R2654" i="5" s="1"/>
  <c r="D2654" i="5"/>
  <c r="L2653" i="5"/>
  <c r="C179" i="2" s="1"/>
  <c r="D2653" i="5"/>
  <c r="M2652" i="5"/>
  <c r="R2652" i="5" s="1"/>
  <c r="D2652" i="5"/>
  <c r="M2651" i="5"/>
  <c r="L2651" i="5" s="1"/>
  <c r="H177" i="2" s="1"/>
  <c r="D2651" i="5"/>
  <c r="M2650" i="5"/>
  <c r="D2650" i="5"/>
  <c r="M2649" i="5"/>
  <c r="R2649" i="5" s="1"/>
  <c r="D2649" i="5"/>
  <c r="R2648" i="5"/>
  <c r="L2648" i="5"/>
  <c r="D2648" i="5"/>
  <c r="M2647" i="5"/>
  <c r="R2647" i="5" s="1"/>
  <c r="D2647" i="5"/>
  <c r="M2646" i="5"/>
  <c r="R2646" i="5" s="1"/>
  <c r="D2646" i="5"/>
  <c r="M2645" i="5"/>
  <c r="D2645" i="5"/>
  <c r="M2644" i="5"/>
  <c r="R2644" i="5" s="1"/>
  <c r="D2644" i="5"/>
  <c r="R2643" i="5"/>
  <c r="L2643" i="5"/>
  <c r="D2643" i="5"/>
  <c r="M2642" i="5"/>
  <c r="R2642" i="5" s="1"/>
  <c r="D2642" i="5"/>
  <c r="M2641" i="5"/>
  <c r="D2641" i="5"/>
  <c r="M2640" i="5"/>
  <c r="R2640" i="5" s="1"/>
  <c r="D2640" i="5"/>
  <c r="M2639" i="5"/>
  <c r="R2639" i="5" s="1"/>
  <c r="D2639" i="5"/>
  <c r="R2638" i="5"/>
  <c r="L2638" i="5"/>
  <c r="D2638" i="5"/>
  <c r="M2637" i="5"/>
  <c r="L2637" i="5" s="1"/>
  <c r="D2637" i="5"/>
  <c r="M2636" i="5"/>
  <c r="D2636" i="5"/>
  <c r="M2635" i="5"/>
  <c r="R2635" i="5" s="1"/>
  <c r="D2635" i="5"/>
  <c r="R2634" i="5"/>
  <c r="L2634" i="5"/>
  <c r="D2634" i="5"/>
  <c r="M2633" i="5"/>
  <c r="R2633" i="5" s="1"/>
  <c r="D2633" i="5"/>
  <c r="M2632" i="5"/>
  <c r="L2632" i="5" s="1"/>
  <c r="D2632" i="5"/>
  <c r="L2631" i="5"/>
  <c r="S2631" i="5" s="1"/>
  <c r="D2631" i="5"/>
  <c r="M2630" i="5"/>
  <c r="R2630" i="5" s="1"/>
  <c r="D2630" i="5"/>
  <c r="M2629" i="5"/>
  <c r="D2629" i="5"/>
  <c r="M2628" i="5"/>
  <c r="R2628" i="5" s="1"/>
  <c r="D2628" i="5"/>
  <c r="R2627" i="5"/>
  <c r="L2627" i="5"/>
  <c r="C153" i="2" s="1"/>
  <c r="D2627" i="5"/>
  <c r="M2626" i="5"/>
  <c r="R2626" i="5" s="1"/>
  <c r="D2626" i="5"/>
  <c r="M2625" i="5"/>
  <c r="L2625" i="5" s="1"/>
  <c r="D2625" i="5"/>
  <c r="M2624" i="5"/>
  <c r="D2624" i="5"/>
  <c r="M2623" i="5"/>
  <c r="R2623" i="5" s="1"/>
  <c r="D2623" i="5"/>
  <c r="M2622" i="5"/>
  <c r="L2622" i="5" s="1"/>
  <c r="C148" i="2" s="1"/>
  <c r="M2621" i="5"/>
  <c r="R2621" i="5" s="1"/>
  <c r="D2621" i="5"/>
  <c r="M2620" i="5"/>
  <c r="D2620" i="5"/>
  <c r="R2619" i="5"/>
  <c r="L2619" i="5"/>
  <c r="S2619" i="5" s="1"/>
  <c r="D2619" i="5"/>
  <c r="M2618" i="5"/>
  <c r="L2618" i="5" s="1"/>
  <c r="H144" i="2" s="1"/>
  <c r="D2618" i="5"/>
  <c r="M2617" i="5"/>
  <c r="D2617" i="5"/>
  <c r="M2616" i="5"/>
  <c r="R2616" i="5" s="1"/>
  <c r="D2616" i="5"/>
  <c r="M2615" i="5"/>
  <c r="L2615" i="5" s="1"/>
  <c r="D2615" i="5"/>
  <c r="M2614" i="5"/>
  <c r="R2614" i="5" s="1"/>
  <c r="D2614" i="5"/>
  <c r="M2613" i="5"/>
  <c r="R2613" i="5" s="1"/>
  <c r="D2613" i="5"/>
  <c r="R2612" i="5"/>
  <c r="L2612" i="5"/>
  <c r="D2612" i="5"/>
  <c r="M2611" i="5"/>
  <c r="D2611" i="5"/>
  <c r="R2610" i="5"/>
  <c r="L2610" i="5"/>
  <c r="D2610" i="5"/>
  <c r="M2609" i="5"/>
  <c r="M2608" i="5"/>
  <c r="R2608" i="5" s="1"/>
  <c r="D2608" i="5"/>
  <c r="M2607" i="5"/>
  <c r="L2607" i="5" s="1"/>
  <c r="H133" i="2" s="1"/>
  <c r="D2607" i="5"/>
  <c r="M2606" i="5"/>
  <c r="R2606" i="5" s="1"/>
  <c r="D2606" i="5"/>
  <c r="M2605" i="5"/>
  <c r="D2605" i="5"/>
  <c r="M2604" i="5"/>
  <c r="L2604" i="5" s="1"/>
  <c r="D2604" i="5"/>
  <c r="M2603" i="5"/>
  <c r="D2603" i="5"/>
  <c r="M2602" i="5"/>
  <c r="R2602" i="5" s="1"/>
  <c r="D2602" i="5"/>
  <c r="M2601" i="5"/>
  <c r="L2601" i="5" s="1"/>
  <c r="C127" i="2" s="1"/>
  <c r="D2601" i="5"/>
  <c r="M2600" i="5"/>
  <c r="R2600" i="5" s="1"/>
  <c r="D2600" i="5"/>
  <c r="M2599" i="5"/>
  <c r="D2599" i="5"/>
  <c r="M2598" i="5"/>
  <c r="D2598" i="5"/>
  <c r="M2597" i="5"/>
  <c r="R2597" i="5" s="1"/>
  <c r="D2597" i="5"/>
  <c r="M2596" i="5"/>
  <c r="L2596" i="5" s="1"/>
  <c r="H122" i="2" s="1"/>
  <c r="D2596" i="5"/>
  <c r="M2595" i="5"/>
  <c r="R2595" i="5" s="1"/>
  <c r="D2595" i="5"/>
  <c r="M2594" i="5"/>
  <c r="R2594" i="5" s="1"/>
  <c r="D2594" i="5"/>
  <c r="M2593" i="5"/>
  <c r="D2593" i="5"/>
  <c r="M2592" i="5"/>
  <c r="R2592" i="5" s="1"/>
  <c r="D2592" i="5"/>
  <c r="R2591" i="5"/>
  <c r="L2591" i="5"/>
  <c r="H117" i="2" s="1"/>
  <c r="D2591" i="5"/>
  <c r="R2590" i="5"/>
  <c r="L2590" i="5"/>
  <c r="D2590" i="5"/>
  <c r="A2590" i="5"/>
  <c r="A2591" i="5" s="1"/>
  <c r="A2592" i="5" s="1"/>
  <c r="A2593" i="5" s="1"/>
  <c r="A2594" i="5" s="1"/>
  <c r="M2589" i="5"/>
  <c r="L2589" i="5" s="1"/>
  <c r="D2589" i="5"/>
  <c r="D2566" i="5"/>
  <c r="R2562" i="5"/>
  <c r="L2561" i="5"/>
  <c r="R2560" i="5"/>
  <c r="M2558" i="5"/>
  <c r="L2558" i="5" s="1"/>
  <c r="R2557" i="5"/>
  <c r="R2556" i="5"/>
  <c r="L2555" i="5"/>
  <c r="R2554" i="5"/>
  <c r="A2554" i="5"/>
  <c r="A2555" i="5" s="1"/>
  <c r="A2556" i="5" s="1"/>
  <c r="A2557" i="5" s="1"/>
  <c r="A2558" i="5" s="1"/>
  <c r="A2559" i="5" s="1"/>
  <c r="A2560" i="5" s="1"/>
  <c r="A2561" i="5" s="1"/>
  <c r="A2562" i="5" s="1"/>
  <c r="A2563" i="5" s="1"/>
  <c r="A2564" i="5" s="1"/>
  <c r="A2565" i="5" s="1"/>
  <c r="M2552" i="5"/>
  <c r="M2546" i="5"/>
  <c r="M2545" i="5"/>
  <c r="W2545" i="5" s="1"/>
  <c r="L2544" i="5"/>
  <c r="M2543" i="5"/>
  <c r="M2542" i="5"/>
  <c r="M2541" i="5"/>
  <c r="M2540" i="5"/>
  <c r="M2539" i="5"/>
  <c r="M2538" i="5"/>
  <c r="M2537" i="5"/>
  <c r="M2536" i="5"/>
  <c r="M2535" i="5"/>
  <c r="M2534" i="5"/>
  <c r="M2533" i="5"/>
  <c r="R2532" i="5"/>
  <c r="M2531" i="5"/>
  <c r="W2531" i="5" s="1"/>
  <c r="M2530" i="5"/>
  <c r="M2529" i="5"/>
  <c r="M2528" i="5"/>
  <c r="L2527" i="5"/>
  <c r="M2526" i="5"/>
  <c r="W2526" i="5" s="1"/>
  <c r="M2525" i="5"/>
  <c r="M2524" i="5"/>
  <c r="M2523" i="5"/>
  <c r="M2521" i="5"/>
  <c r="M2520" i="5"/>
  <c r="M2519" i="5"/>
  <c r="M2518" i="5"/>
  <c r="M2517" i="5"/>
  <c r="M2516" i="5"/>
  <c r="M2515" i="5"/>
  <c r="W2515" i="5" s="1"/>
  <c r="M2513" i="5"/>
  <c r="W2513" i="5" s="1"/>
  <c r="M2512" i="5"/>
  <c r="A2513" i="5"/>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M2511" i="5"/>
  <c r="W2511" i="5" s="1"/>
  <c r="R2488" i="5"/>
  <c r="L2488" i="5"/>
  <c r="R2486" i="5"/>
  <c r="L2486" i="5"/>
  <c r="R2485" i="5"/>
  <c r="L2485" i="5"/>
  <c r="R2483" i="5"/>
  <c r="L2483" i="5"/>
  <c r="R2482" i="5"/>
  <c r="L2482" i="5"/>
  <c r="R2479" i="5"/>
  <c r="L2479" i="5"/>
  <c r="M2478" i="5"/>
  <c r="R2477" i="5"/>
  <c r="L2477" i="5"/>
  <c r="R2476" i="5"/>
  <c r="L2476" i="5"/>
  <c r="R2475" i="5"/>
  <c r="L2475" i="5"/>
  <c r="R2474" i="5"/>
  <c r="L2474" i="5"/>
  <c r="M2473" i="5"/>
  <c r="V2473" i="5" s="1"/>
  <c r="M2472" i="5"/>
  <c r="V2471" i="5"/>
  <c r="R2470" i="5"/>
  <c r="S2464" i="5"/>
  <c r="Q2463" i="5"/>
  <c r="N2463" i="5"/>
  <c r="M2463" i="5"/>
  <c r="J2463" i="5"/>
  <c r="G2463" i="5"/>
  <c r="E2463" i="5"/>
  <c r="D2463" i="5"/>
  <c r="R2462" i="5"/>
  <c r="L2462" i="5"/>
  <c r="S2462" i="5" s="1"/>
  <c r="R2461" i="5"/>
  <c r="L2461" i="5"/>
  <c r="R2460" i="5"/>
  <c r="L2460" i="5"/>
  <c r="S2460" i="5" s="1"/>
  <c r="R2459" i="5"/>
  <c r="L2459" i="5"/>
  <c r="R2458" i="5"/>
  <c r="L2458" i="5"/>
  <c r="R2457" i="5"/>
  <c r="L2457" i="5"/>
  <c r="R2456" i="5"/>
  <c r="L2456" i="5"/>
  <c r="A2456" i="5"/>
  <c r="A2457" i="5" s="1"/>
  <c r="A2458" i="5" s="1"/>
  <c r="A2459" i="5" s="1"/>
  <c r="A2460" i="5" s="1"/>
  <c r="A2461" i="5" s="1"/>
  <c r="A2462" i="5" s="1"/>
  <c r="R2455" i="5"/>
  <c r="L2455" i="5"/>
  <c r="Q2453" i="5"/>
  <c r="J2453" i="5"/>
  <c r="G2453" i="5"/>
  <c r="E2453" i="5"/>
  <c r="D2453" i="5"/>
  <c r="M2452" i="5"/>
  <c r="M2451" i="5"/>
  <c r="A2451" i="5"/>
  <c r="A2452" i="5" s="1"/>
  <c r="M2450" i="5"/>
  <c r="R2450" i="5" s="1"/>
  <c r="Q2448" i="5"/>
  <c r="P2448" i="5"/>
  <c r="N2448" i="5"/>
  <c r="M2448" i="5"/>
  <c r="J2448" i="5"/>
  <c r="G2448" i="5"/>
  <c r="D2448" i="5"/>
  <c r="R2447" i="5"/>
  <c r="L2447" i="5"/>
  <c r="S2447" i="5" s="1"/>
  <c r="R2446" i="5"/>
  <c r="L2446" i="5"/>
  <c r="E2446" i="5"/>
  <c r="R2445" i="5"/>
  <c r="L2445" i="5"/>
  <c r="E2445" i="5"/>
  <c r="A2445" i="5"/>
  <c r="R2444" i="5"/>
  <c r="L2444" i="5"/>
  <c r="E2444" i="5"/>
  <c r="R2443" i="5"/>
  <c r="L2443" i="5"/>
  <c r="S2443" i="5" s="1"/>
  <c r="E2443" i="5"/>
  <c r="A2443" i="5"/>
  <c r="R2442" i="5"/>
  <c r="O2448" i="5"/>
  <c r="Q2440" i="5"/>
  <c r="O2440" i="5"/>
  <c r="N2440" i="5"/>
  <c r="M2440" i="5"/>
  <c r="J2440" i="5"/>
  <c r="G2440" i="5"/>
  <c r="E2440" i="5"/>
  <c r="L2439" i="5"/>
  <c r="L2438" i="5"/>
  <c r="R2437" i="5"/>
  <c r="L2437" i="5"/>
  <c r="D2437" i="5"/>
  <c r="D2440" i="5" s="1"/>
  <c r="A2437" i="5"/>
  <c r="A2438" i="5" s="1"/>
  <c r="R2436" i="5"/>
  <c r="L2436" i="5"/>
  <c r="S2436" i="5" s="1"/>
  <c r="L2427" i="5"/>
  <c r="L2426" i="5"/>
  <c r="S2426" i="5" s="1"/>
  <c r="L2425" i="5"/>
  <c r="R2424" i="5"/>
  <c r="L2424" i="5"/>
  <c r="R2423" i="5"/>
  <c r="L2423" i="5"/>
  <c r="R2422" i="5"/>
  <c r="L2422" i="5"/>
  <c r="R2421" i="5"/>
  <c r="L2421" i="5"/>
  <c r="R2420" i="5"/>
  <c r="L2420" i="5"/>
  <c r="R2419" i="5"/>
  <c r="L2419" i="5"/>
  <c r="R2418" i="5"/>
  <c r="L2418" i="5"/>
  <c r="R2417" i="5"/>
  <c r="L2417" i="5"/>
  <c r="R2416" i="5"/>
  <c r="L2416" i="5"/>
  <c r="R2415" i="5"/>
  <c r="L2415" i="5"/>
  <c r="R2414" i="5"/>
  <c r="L2414" i="5"/>
  <c r="R2413" i="5"/>
  <c r="L2413" i="5"/>
  <c r="R2412" i="5"/>
  <c r="L2412" i="5"/>
  <c r="R2411" i="5"/>
  <c r="L2411" i="5"/>
  <c r="R2410" i="5"/>
  <c r="L2410" i="5"/>
  <c r="R2409" i="5"/>
  <c r="L2409" i="5"/>
  <c r="R2408" i="5"/>
  <c r="L2408" i="5"/>
  <c r="R2407" i="5"/>
  <c r="L2407" i="5"/>
  <c r="R2406" i="5"/>
  <c r="L2406" i="5"/>
  <c r="R2405" i="5"/>
  <c r="L2405" i="5"/>
  <c r="R2404" i="5"/>
  <c r="L2404" i="5"/>
  <c r="R2403" i="5"/>
  <c r="L2403" i="5"/>
  <c r="R2402" i="5"/>
  <c r="L2402" i="5"/>
  <c r="R2401" i="5"/>
  <c r="L2401" i="5"/>
  <c r="R2400" i="5"/>
  <c r="L2400" i="5"/>
  <c r="R2399" i="5"/>
  <c r="L2399" i="5"/>
  <c r="R2398" i="5"/>
  <c r="L2398" i="5"/>
  <c r="R2397" i="5"/>
  <c r="L2397" i="5"/>
  <c r="R2396" i="5"/>
  <c r="L2396" i="5"/>
  <c r="R2395" i="5"/>
  <c r="L2395" i="5"/>
  <c r="R2394" i="5"/>
  <c r="L2394" i="5"/>
  <c r="R2393" i="5"/>
  <c r="L2393" i="5"/>
  <c r="A2393" i="5"/>
  <c r="R2392" i="5"/>
  <c r="L2392" i="5"/>
  <c r="Q2388" i="5"/>
  <c r="P2388" i="5"/>
  <c r="N2388" i="5"/>
  <c r="M2388" i="5"/>
  <c r="J2388" i="5"/>
  <c r="G2388" i="5"/>
  <c r="E2388" i="5"/>
  <c r="D2388" i="5"/>
  <c r="R2387" i="5"/>
  <c r="O2388" i="5"/>
  <c r="R2386" i="5"/>
  <c r="L2386" i="5"/>
  <c r="S2386" i="5" s="1"/>
  <c r="Q2384" i="5"/>
  <c r="N2384" i="5"/>
  <c r="M2384" i="5"/>
  <c r="J2384" i="5"/>
  <c r="G2384" i="5"/>
  <c r="E2384" i="5"/>
  <c r="D2384" i="5"/>
  <c r="R2381" i="5"/>
  <c r="L2381" i="5"/>
  <c r="R2380" i="5"/>
  <c r="L2380" i="5"/>
  <c r="A2380" i="5"/>
  <c r="R2379" i="5"/>
  <c r="L2379" i="5"/>
  <c r="Q2377" i="5"/>
  <c r="N2377" i="5"/>
  <c r="M2377" i="5"/>
  <c r="J2377" i="5"/>
  <c r="G2377" i="5"/>
  <c r="E2377" i="5"/>
  <c r="D2377" i="5"/>
  <c r="R2376" i="5"/>
  <c r="L2376" i="5"/>
  <c r="R2375" i="5"/>
  <c r="O2377" i="5"/>
  <c r="Q2373" i="5"/>
  <c r="P2373" i="5"/>
  <c r="O2373" i="5"/>
  <c r="N2373" i="5"/>
  <c r="M2373" i="5"/>
  <c r="J2373" i="5"/>
  <c r="G2373" i="5"/>
  <c r="E2373" i="5"/>
  <c r="D2373" i="5"/>
  <c r="L2371" i="5"/>
  <c r="Q2369" i="5"/>
  <c r="P2369" i="5"/>
  <c r="N2369" i="5"/>
  <c r="J2369" i="5"/>
  <c r="G2369" i="5"/>
  <c r="E2369" i="5"/>
  <c r="R2368" i="5"/>
  <c r="L2368" i="5"/>
  <c r="S2368" i="5" s="1"/>
  <c r="D2368" i="5"/>
  <c r="D2369" i="5" s="1"/>
  <c r="M2367" i="5"/>
  <c r="M2369" i="5" s="1"/>
  <c r="Q2365" i="5"/>
  <c r="P2365" i="5"/>
  <c r="O2365" i="5"/>
  <c r="N2365" i="5"/>
  <c r="M2365" i="5"/>
  <c r="J2365" i="5"/>
  <c r="G2365" i="5"/>
  <c r="E2365" i="5"/>
  <c r="D2365" i="5"/>
  <c r="R2364" i="5"/>
  <c r="L2364" i="5"/>
  <c r="L2365" i="5" s="1"/>
  <c r="Q2362" i="5"/>
  <c r="J2362" i="5"/>
  <c r="G2362" i="5"/>
  <c r="E2362" i="5"/>
  <c r="D2362" i="5"/>
  <c r="R2359" i="5"/>
  <c r="S2359" i="5"/>
  <c r="Q2357" i="5"/>
  <c r="O2357" i="5"/>
  <c r="N2357" i="5"/>
  <c r="M2357" i="5"/>
  <c r="J2357" i="5"/>
  <c r="G2357" i="5"/>
  <c r="E2357" i="5"/>
  <c r="D2357" i="5"/>
  <c r="R2356" i="5"/>
  <c r="L2356" i="5"/>
  <c r="R2355" i="5"/>
  <c r="L2355" i="5"/>
  <c r="Q2353" i="5"/>
  <c r="N2353" i="5"/>
  <c r="M2353" i="5"/>
  <c r="J2353" i="5"/>
  <c r="G2353" i="5"/>
  <c r="R2352" i="5"/>
  <c r="L2352" i="5"/>
  <c r="L2353" i="5" s="1"/>
  <c r="E2352" i="5"/>
  <c r="E2353" i="5" s="1"/>
  <c r="Q2350" i="5"/>
  <c r="N2350" i="5"/>
  <c r="M2350" i="5"/>
  <c r="J2350" i="5"/>
  <c r="G2350" i="5"/>
  <c r="E2350" i="5"/>
  <c r="D2350" i="5"/>
  <c r="R2349" i="5"/>
  <c r="L2349" i="5"/>
  <c r="S2349" i="5" s="1"/>
  <c r="Q2347" i="5"/>
  <c r="P2347" i="5"/>
  <c r="N2347" i="5"/>
  <c r="M2347" i="5"/>
  <c r="J2347" i="5"/>
  <c r="G2347" i="5"/>
  <c r="R2344" i="5"/>
  <c r="L2344" i="5"/>
  <c r="E2344" i="5"/>
  <c r="E2347" i="5" s="1"/>
  <c r="R2343" i="5"/>
  <c r="L2343" i="5"/>
  <c r="R2342" i="5"/>
  <c r="L2342" i="5"/>
  <c r="R2341" i="5"/>
  <c r="L2341" i="5"/>
  <c r="A2341" i="5"/>
  <c r="R2340" i="5"/>
  <c r="L2340" i="5"/>
  <c r="Q2338" i="5"/>
  <c r="P2338" i="5"/>
  <c r="O2338" i="5"/>
  <c r="N2338" i="5"/>
  <c r="M2338" i="5"/>
  <c r="J2338" i="5"/>
  <c r="G2338" i="5"/>
  <c r="E2338" i="5"/>
  <c r="D2338" i="5"/>
  <c r="T2337" i="5"/>
  <c r="L2337" i="5"/>
  <c r="L2336" i="5"/>
  <c r="L2335" i="5"/>
  <c r="Q2333" i="5"/>
  <c r="N2333" i="5"/>
  <c r="M2333" i="5"/>
  <c r="J2333" i="5"/>
  <c r="E2333" i="5"/>
  <c r="L2332" i="5"/>
  <c r="G2332" i="5"/>
  <c r="D2332" i="5"/>
  <c r="L2331" i="5"/>
  <c r="S2331" i="5" s="1"/>
  <c r="G2331" i="5"/>
  <c r="O2333" i="5"/>
  <c r="G2330" i="5"/>
  <c r="D2330" i="5"/>
  <c r="Q2328" i="5"/>
  <c r="P2328" i="5"/>
  <c r="O2328" i="5"/>
  <c r="N2328" i="5"/>
  <c r="M2328" i="5"/>
  <c r="J2328" i="5"/>
  <c r="G2328" i="5"/>
  <c r="E2328" i="5"/>
  <c r="R2327" i="5"/>
  <c r="L2327" i="5"/>
  <c r="R2326" i="5"/>
  <c r="L2326" i="5"/>
  <c r="S2326" i="5" s="1"/>
  <c r="D2326" i="5"/>
  <c r="D2328" i="5" s="1"/>
  <c r="Q2324" i="5"/>
  <c r="J2324" i="5"/>
  <c r="G2324" i="5"/>
  <c r="E2324" i="5"/>
  <c r="D2324" i="5"/>
  <c r="M2315" i="5"/>
  <c r="R2315" i="5" s="1"/>
  <c r="M2314" i="5"/>
  <c r="L2314" i="5" s="1"/>
  <c r="M2313" i="5"/>
  <c r="L2313" i="5" s="1"/>
  <c r="M2311" i="5"/>
  <c r="A2312" i="5"/>
  <c r="A2313" i="5" s="1"/>
  <c r="A2314" i="5" s="1"/>
  <c r="Q2309" i="5"/>
  <c r="P2309" i="5"/>
  <c r="O2309" i="5"/>
  <c r="N2309" i="5"/>
  <c r="M2309" i="5"/>
  <c r="J2309" i="5"/>
  <c r="E2309" i="5"/>
  <c r="D2309" i="5"/>
  <c r="L2308" i="5"/>
  <c r="G2308" i="5"/>
  <c r="Q2306" i="5"/>
  <c r="N2306" i="5"/>
  <c r="M2306" i="5"/>
  <c r="J2306" i="5"/>
  <c r="E2306" i="5"/>
  <c r="R2305" i="5"/>
  <c r="L2305" i="5"/>
  <c r="A2305" i="5"/>
  <c r="R2304" i="5"/>
  <c r="L2304" i="5"/>
  <c r="D2304" i="5"/>
  <c r="L2303" i="5"/>
  <c r="G2303" i="5"/>
  <c r="D2303" i="5"/>
  <c r="R2302" i="5"/>
  <c r="L2302" i="5"/>
  <c r="S2301" i="5"/>
  <c r="Q2300" i="5"/>
  <c r="N2300" i="5"/>
  <c r="M2300" i="5"/>
  <c r="J2300" i="5"/>
  <c r="G2300" i="5"/>
  <c r="R2299" i="5"/>
  <c r="L2299" i="5"/>
  <c r="L2300" i="5" s="1"/>
  <c r="E2299" i="5"/>
  <c r="E2300" i="5" s="1"/>
  <c r="Q2297" i="5"/>
  <c r="P2297" i="5"/>
  <c r="N2297" i="5"/>
  <c r="J2297" i="5"/>
  <c r="G2297" i="5"/>
  <c r="E2297" i="5"/>
  <c r="D2297" i="5"/>
  <c r="R2296" i="5"/>
  <c r="L2296" i="5"/>
  <c r="S2296" i="5" s="1"/>
  <c r="M2295" i="5"/>
  <c r="M2294" i="5"/>
  <c r="N2292" i="5"/>
  <c r="M2292" i="5"/>
  <c r="J2292" i="5"/>
  <c r="G2292" i="5"/>
  <c r="R2290" i="5"/>
  <c r="L2290" i="5"/>
  <c r="D2290" i="5"/>
  <c r="R2289" i="5"/>
  <c r="L2289" i="5"/>
  <c r="S2289" i="5" s="1"/>
  <c r="D2289" i="5"/>
  <c r="R2288" i="5"/>
  <c r="L2288" i="5"/>
  <c r="D2288" i="5"/>
  <c r="R2287" i="5"/>
  <c r="L2287" i="5"/>
  <c r="D2287" i="5"/>
  <c r="R2286" i="5"/>
  <c r="L2286" i="5"/>
  <c r="D2286" i="5"/>
  <c r="R2285" i="5"/>
  <c r="L2285" i="5"/>
  <c r="D2285" i="5"/>
  <c r="R2284" i="5"/>
  <c r="L2284" i="5"/>
  <c r="D2284" i="5"/>
  <c r="R2283" i="5"/>
  <c r="L2283" i="5"/>
  <c r="D2283" i="5"/>
  <c r="R2282" i="5"/>
  <c r="L2282" i="5"/>
  <c r="D2282" i="5"/>
  <c r="R2281" i="5"/>
  <c r="D2281" i="5"/>
  <c r="R2278" i="5"/>
  <c r="Q2292" i="5"/>
  <c r="E2278" i="5"/>
  <c r="E2292" i="5" s="1"/>
  <c r="A2286" i="5"/>
  <c r="A2287" i="5" s="1"/>
  <c r="A2288" i="5" s="1"/>
  <c r="A2289" i="5" s="1"/>
  <c r="Q2276" i="5"/>
  <c r="N2276" i="5"/>
  <c r="M2276" i="5"/>
  <c r="J2276" i="5"/>
  <c r="G2276" i="5"/>
  <c r="E2276" i="5"/>
  <c r="D2276" i="5"/>
  <c r="R2275" i="5"/>
  <c r="L2275" i="5"/>
  <c r="S2275" i="5" s="1"/>
  <c r="R2274" i="5"/>
  <c r="L2274" i="5"/>
  <c r="Q2272" i="5"/>
  <c r="P2272" i="5"/>
  <c r="N2272" i="5"/>
  <c r="M2272" i="5"/>
  <c r="J2272" i="5"/>
  <c r="G2272" i="5"/>
  <c r="E2272" i="5"/>
  <c r="D2272" i="5"/>
  <c r="R2267" i="5"/>
  <c r="L2267" i="5"/>
  <c r="R2266" i="5"/>
  <c r="L2266" i="5"/>
  <c r="R2265" i="5"/>
  <c r="L2265" i="5"/>
  <c r="S2265" i="5" s="1"/>
  <c r="R2264" i="5"/>
  <c r="L2264" i="5"/>
  <c r="R2263" i="5"/>
  <c r="L2263" i="5"/>
  <c r="S2263" i="5" s="1"/>
  <c r="R2262" i="5"/>
  <c r="L2262" i="5"/>
  <c r="R2261" i="5"/>
  <c r="L2261" i="5"/>
  <c r="U2261" i="5" s="1"/>
  <c r="R2260" i="5"/>
  <c r="L2260" i="5"/>
  <c r="O2272" i="5"/>
  <c r="R2259" i="5"/>
  <c r="L2259" i="5"/>
  <c r="R2258" i="5"/>
  <c r="L2258" i="5"/>
  <c r="R2257" i="5"/>
  <c r="L2257" i="5"/>
  <c r="R2256" i="5"/>
  <c r="L2256" i="5"/>
  <c r="R2255" i="5"/>
  <c r="L2255" i="5"/>
  <c r="R2254" i="5"/>
  <c r="L2254" i="5"/>
  <c r="A2254" i="5"/>
  <c r="A2255" i="5" s="1"/>
  <c r="A2256" i="5" s="1"/>
  <c r="A2257" i="5" s="1"/>
  <c r="A2258" i="5" s="1"/>
  <c r="A2259" i="5" s="1"/>
  <c r="R2253" i="5"/>
  <c r="L2253" i="5"/>
  <c r="Q2251" i="5"/>
  <c r="N2251" i="5"/>
  <c r="J2251" i="5"/>
  <c r="G2251" i="5"/>
  <c r="E2251" i="5"/>
  <c r="D2251" i="5"/>
  <c r="M2250" i="5"/>
  <c r="M2251" i="5" s="1"/>
  <c r="A2250" i="5"/>
  <c r="R2249" i="5"/>
  <c r="L2249" i="5"/>
  <c r="S2249" i="5" s="1"/>
  <c r="Q2247" i="5"/>
  <c r="P2247" i="5"/>
  <c r="N2247" i="5"/>
  <c r="J2247" i="5"/>
  <c r="G2247" i="5"/>
  <c r="E2247" i="5"/>
  <c r="D2247" i="5"/>
  <c r="R2246" i="5"/>
  <c r="L2246" i="5"/>
  <c r="S2246" i="5" s="1"/>
  <c r="M2245" i="5"/>
  <c r="R2245" i="5" s="1"/>
  <c r="Q2243" i="5"/>
  <c r="N2243" i="5"/>
  <c r="M2243" i="5"/>
  <c r="J2243" i="5"/>
  <c r="G2243" i="5"/>
  <c r="E2243" i="5"/>
  <c r="D2243" i="5"/>
  <c r="L2240" i="5"/>
  <c r="L2239" i="5"/>
  <c r="L2238" i="5"/>
  <c r="R2237" i="5"/>
  <c r="L2237" i="5"/>
  <c r="R2236" i="5"/>
  <c r="L2236" i="5"/>
  <c r="R2235" i="5"/>
  <c r="L2235" i="5"/>
  <c r="R2234" i="5"/>
  <c r="L2234" i="5"/>
  <c r="R2233" i="5"/>
  <c r="L2233" i="5"/>
  <c r="R2232" i="5"/>
  <c r="L2232" i="5"/>
  <c r="R2231" i="5"/>
  <c r="L2231" i="5"/>
  <c r="R2230" i="5"/>
  <c r="L2230" i="5"/>
  <c r="R2229" i="5"/>
  <c r="L2229" i="5"/>
  <c r="R2228" i="5"/>
  <c r="L2228" i="5"/>
  <c r="R2227" i="5"/>
  <c r="L2227" i="5"/>
  <c r="R2226" i="5"/>
  <c r="L2226" i="5"/>
  <c r="R2225" i="5"/>
  <c r="L2225" i="5"/>
  <c r="R2224" i="5"/>
  <c r="L2224" i="5"/>
  <c r="R2223" i="5"/>
  <c r="L2223" i="5"/>
  <c r="R2222" i="5"/>
  <c r="L2222" i="5"/>
  <c r="R2221" i="5"/>
  <c r="L2221" i="5"/>
  <c r="R2220" i="5"/>
  <c r="L2220" i="5"/>
  <c r="R2219" i="5"/>
  <c r="R2218" i="5"/>
  <c r="L2218" i="5"/>
  <c r="R2217" i="5"/>
  <c r="L2217" i="5"/>
  <c r="R2216" i="5"/>
  <c r="L2216" i="5"/>
  <c r="R2215" i="5"/>
  <c r="L2215" i="5"/>
  <c r="R2214" i="5"/>
  <c r="L2214" i="5"/>
  <c r="R2213" i="5"/>
  <c r="L2213" i="5"/>
  <c r="R2212" i="5"/>
  <c r="L2212" i="5"/>
  <c r="A2212" i="5"/>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R2211" i="5"/>
  <c r="L2211" i="5"/>
  <c r="Q2209" i="5"/>
  <c r="M2209" i="5"/>
  <c r="J2209" i="5"/>
  <c r="G2209" i="5"/>
  <c r="E2209" i="5"/>
  <c r="D2209" i="5"/>
  <c r="R2208" i="5"/>
  <c r="O2209" i="5"/>
  <c r="Q2206" i="5"/>
  <c r="N2206" i="5"/>
  <c r="J2206" i="5"/>
  <c r="G2206" i="5"/>
  <c r="E2206" i="5"/>
  <c r="S2204" i="5"/>
  <c r="Q2202" i="5"/>
  <c r="N2202" i="5"/>
  <c r="M2202" i="5"/>
  <c r="J2202" i="5"/>
  <c r="G2202" i="5"/>
  <c r="E2202" i="5"/>
  <c r="D2202" i="5"/>
  <c r="R2201" i="5"/>
  <c r="L2201" i="5"/>
  <c r="L2202" i="5" s="1"/>
  <c r="Q2199" i="5"/>
  <c r="N2199" i="5"/>
  <c r="M2199" i="5"/>
  <c r="J2199" i="5"/>
  <c r="G2199" i="5"/>
  <c r="E2199" i="5"/>
  <c r="R2198" i="5"/>
  <c r="L2198" i="5"/>
  <c r="S2198" i="5" s="1"/>
  <c r="D2198" i="5"/>
  <c r="R2197" i="5"/>
  <c r="L2197" i="5"/>
  <c r="D2197" i="5"/>
  <c r="R2196" i="5"/>
  <c r="L2196" i="5"/>
  <c r="D2196" i="5"/>
  <c r="R2195" i="5"/>
  <c r="L2195" i="5"/>
  <c r="S2195" i="5" s="1"/>
  <c r="D2195" i="5"/>
  <c r="R2190" i="5"/>
  <c r="L2190" i="5"/>
  <c r="R2189" i="5"/>
  <c r="L2189" i="5"/>
  <c r="R2188" i="5"/>
  <c r="L2188" i="5"/>
  <c r="R2187" i="5"/>
  <c r="L2187" i="5"/>
  <c r="R2186" i="5"/>
  <c r="L2186" i="5"/>
  <c r="R2185" i="5"/>
  <c r="L2185" i="5"/>
  <c r="R2184" i="5"/>
  <c r="L2184" i="5"/>
  <c r="R2183" i="5"/>
  <c r="L2183" i="5"/>
  <c r="R2182" i="5"/>
  <c r="L2182" i="5"/>
  <c r="R2181" i="5"/>
  <c r="L2181" i="5"/>
  <c r="R2180" i="5"/>
  <c r="L2180" i="5"/>
  <c r="R2179" i="5"/>
  <c r="L2179" i="5"/>
  <c r="R2178" i="5"/>
  <c r="L2178" i="5"/>
  <c r="R2177" i="5"/>
  <c r="L2177" i="5"/>
  <c r="R2176" i="5"/>
  <c r="L2176" i="5"/>
  <c r="R2175" i="5"/>
  <c r="L2175" i="5"/>
  <c r="R2174" i="5"/>
  <c r="L2174" i="5"/>
  <c r="R2173" i="5"/>
  <c r="L2173" i="5"/>
  <c r="R2172" i="5"/>
  <c r="L2172" i="5"/>
  <c r="R2171" i="5"/>
  <c r="L2171" i="5"/>
  <c r="R2170" i="5"/>
  <c r="L2170" i="5"/>
  <c r="R2169" i="5"/>
  <c r="L2169" i="5"/>
  <c r="R2168" i="5"/>
  <c r="L2168" i="5"/>
  <c r="R2167" i="5"/>
  <c r="L2167" i="5"/>
  <c r="R2166" i="5"/>
  <c r="L2166" i="5"/>
  <c r="R2165" i="5"/>
  <c r="L2165" i="5"/>
  <c r="R2164" i="5"/>
  <c r="L2164" i="5"/>
  <c r="R2163" i="5"/>
  <c r="L2163" i="5"/>
  <c r="R2162" i="5"/>
  <c r="L2162" i="5"/>
  <c r="R2161" i="5"/>
  <c r="L2161" i="5"/>
  <c r="R2160" i="5"/>
  <c r="L2160" i="5"/>
  <c r="R2159" i="5"/>
  <c r="L2159" i="5"/>
  <c r="R2158" i="5"/>
  <c r="L2158" i="5"/>
  <c r="R2157" i="5"/>
  <c r="L2157" i="5"/>
  <c r="R2156" i="5"/>
  <c r="L2156" i="5"/>
  <c r="R2155" i="5"/>
  <c r="L2155" i="5"/>
  <c r="R2154" i="5"/>
  <c r="L2154" i="5"/>
  <c r="R2153" i="5"/>
  <c r="L2153" i="5"/>
  <c r="R2152" i="5"/>
  <c r="L2152" i="5"/>
  <c r="R2151" i="5"/>
  <c r="L2151" i="5"/>
  <c r="R2150" i="5"/>
  <c r="L2150" i="5"/>
  <c r="R2149" i="5"/>
  <c r="L2149" i="5"/>
  <c r="R2148" i="5"/>
  <c r="L2148" i="5"/>
  <c r="R2147" i="5"/>
  <c r="L2147" i="5"/>
  <c r="R2146" i="5"/>
  <c r="L2146" i="5"/>
  <c r="R2145" i="5"/>
  <c r="L2145" i="5"/>
  <c r="R2144" i="5"/>
  <c r="L2144" i="5"/>
  <c r="A2145" i="5"/>
  <c r="A2146" i="5" s="1"/>
  <c r="N2122" i="5"/>
  <c r="M2122" i="5"/>
  <c r="J2122" i="5"/>
  <c r="E2122" i="5"/>
  <c r="R2106" i="5"/>
  <c r="L2106" i="5"/>
  <c r="G2122" i="5"/>
  <c r="R2105" i="5"/>
  <c r="L2105" i="5"/>
  <c r="R2104" i="5"/>
  <c r="L2104" i="5"/>
  <c r="R2103" i="5"/>
  <c r="L2103" i="5"/>
  <c r="R2102" i="5"/>
  <c r="L2102" i="5"/>
  <c r="R2101" i="5"/>
  <c r="R2100" i="5"/>
  <c r="R2099" i="5"/>
  <c r="L2099" i="5"/>
  <c r="L2098" i="5"/>
  <c r="R2097" i="5"/>
  <c r="R2096" i="5"/>
  <c r="L2096" i="5"/>
  <c r="R2095" i="5"/>
  <c r="L2095" i="5"/>
  <c r="R2094" i="5"/>
  <c r="R2093" i="5"/>
  <c r="R2092" i="5"/>
  <c r="L2092" i="5"/>
  <c r="R2091" i="5"/>
  <c r="L2091" i="5"/>
  <c r="D2122" i="5"/>
  <c r="Q2087" i="5"/>
  <c r="P2087" i="5"/>
  <c r="O2087" i="5"/>
  <c r="N2087" i="5"/>
  <c r="M2087" i="5"/>
  <c r="J2087" i="5"/>
  <c r="G2087" i="5"/>
  <c r="E2087" i="5"/>
  <c r="D2087" i="5"/>
  <c r="L2085" i="5"/>
  <c r="L2083" i="5"/>
  <c r="S2083" i="5" s="1"/>
  <c r="P1458" i="5"/>
  <c r="O1458" i="5"/>
  <c r="N1458" i="5"/>
  <c r="G2079" i="5"/>
  <c r="G1458" i="5" s="1"/>
  <c r="E2079" i="5"/>
  <c r="E1458" i="5" s="1"/>
  <c r="D2079" i="5"/>
  <c r="D1458" i="5" s="1"/>
  <c r="L1969" i="5"/>
  <c r="R1968" i="5"/>
  <c r="L1968" i="5"/>
  <c r="S1968" i="5" s="1"/>
  <c r="R1967" i="5"/>
  <c r="L1967" i="5"/>
  <c r="R1966" i="5"/>
  <c r="L1966" i="5"/>
  <c r="S1966" i="5" s="1"/>
  <c r="L1965" i="5"/>
  <c r="S1965" i="5" s="1"/>
  <c r="R1964" i="5"/>
  <c r="L1964" i="5"/>
  <c r="S1964" i="5" s="1"/>
  <c r="R1963" i="5"/>
  <c r="L1963" i="5"/>
  <c r="S1963" i="5" s="1"/>
  <c r="R1962" i="5"/>
  <c r="L1962" i="5"/>
  <c r="S1962" i="5" s="1"/>
  <c r="R1961" i="5"/>
  <c r="L1961" i="5"/>
  <c r="R1960" i="5"/>
  <c r="L1960" i="5"/>
  <c r="S1960" i="5" s="1"/>
  <c r="L1959" i="5"/>
  <c r="S1959" i="5" s="1"/>
  <c r="L1958" i="5"/>
  <c r="L3381" i="5"/>
  <c r="R1957" i="5"/>
  <c r="L1957" i="5"/>
  <c r="S1957" i="5" s="1"/>
  <c r="R1956" i="5"/>
  <c r="L1956" i="5"/>
  <c r="R1955" i="5"/>
  <c r="L1955" i="5"/>
  <c r="S1955" i="5" s="1"/>
  <c r="R1954" i="5"/>
  <c r="L1954" i="5"/>
  <c r="S1954" i="5" s="1"/>
  <c r="R1953" i="5"/>
  <c r="R1952" i="5"/>
  <c r="L1952" i="5"/>
  <c r="R3380" i="5"/>
  <c r="L3380" i="5"/>
  <c r="S3380" i="5" s="1"/>
  <c r="R3379" i="5"/>
  <c r="L3379" i="5"/>
  <c r="S3379" i="5" s="1"/>
  <c r="L1951" i="5"/>
  <c r="L1950" i="5"/>
  <c r="S1950" i="5" s="1"/>
  <c r="L1948" i="5"/>
  <c r="S1948" i="5" s="1"/>
  <c r="R1946" i="5"/>
  <c r="L1946" i="5"/>
  <c r="S1946" i="5" s="1"/>
  <c r="R1945" i="5"/>
  <c r="L1945" i="5"/>
  <c r="S1945" i="5" s="1"/>
  <c r="R1944" i="5"/>
  <c r="R1943" i="5"/>
  <c r="L1943" i="5"/>
  <c r="R1942" i="5"/>
  <c r="L1941" i="5"/>
  <c r="S1941" i="5" s="1"/>
  <c r="R1940" i="5"/>
  <c r="L1940" i="5"/>
  <c r="S1940" i="5" s="1"/>
  <c r="R1939" i="5"/>
  <c r="L1939" i="5"/>
  <c r="S1939" i="5" s="1"/>
  <c r="R1938" i="5"/>
  <c r="L1938" i="5"/>
  <c r="R1937" i="5"/>
  <c r="L1937" i="5"/>
  <c r="S1937" i="5" s="1"/>
  <c r="R1936" i="5"/>
  <c r="L1936" i="5"/>
  <c r="R1935" i="5"/>
  <c r="L1935" i="5"/>
  <c r="S1935" i="5" s="1"/>
  <c r="R1934" i="5"/>
  <c r="L1934" i="5"/>
  <c r="S1934" i="5" s="1"/>
  <c r="R1933" i="5"/>
  <c r="L1933" i="5"/>
  <c r="S1933" i="5" s="1"/>
  <c r="R1932" i="5"/>
  <c r="L1932" i="5"/>
  <c r="R1931" i="5"/>
  <c r="L1931" i="5"/>
  <c r="S1931" i="5" s="1"/>
  <c r="R1930" i="5"/>
  <c r="L1930" i="5"/>
  <c r="R1929" i="5"/>
  <c r="L1929" i="5"/>
  <c r="R1928" i="5"/>
  <c r="L1928" i="5"/>
  <c r="R1927" i="5"/>
  <c r="L1927" i="5"/>
  <c r="R1926" i="5"/>
  <c r="R1925" i="5"/>
  <c r="L1925" i="5"/>
  <c r="S1925" i="5" s="1"/>
  <c r="R1924" i="5"/>
  <c r="L1924" i="5"/>
  <c r="R1563" i="5"/>
  <c r="R1923" i="5"/>
  <c r="L1923" i="5"/>
  <c r="S1923" i="5" s="1"/>
  <c r="R1922" i="5"/>
  <c r="L1922" i="5"/>
  <c r="R1921" i="5"/>
  <c r="L1921" i="5"/>
  <c r="S1921" i="5" s="1"/>
  <c r="R1920" i="5"/>
  <c r="L1920" i="5"/>
  <c r="R1919" i="5"/>
  <c r="L1919" i="5"/>
  <c r="R1918" i="5"/>
  <c r="R1917" i="5"/>
  <c r="L1917" i="5"/>
  <c r="S1917" i="5" s="1"/>
  <c r="R1916" i="5"/>
  <c r="L1916" i="5"/>
  <c r="R1915" i="5"/>
  <c r="L1915" i="5"/>
  <c r="S1915" i="5" s="1"/>
  <c r="R1914" i="5"/>
  <c r="L1914" i="5"/>
  <c r="R1913" i="5"/>
  <c r="L1913" i="5"/>
  <c r="S1913" i="5" s="1"/>
  <c r="R3389" i="5"/>
  <c r="L3389" i="5"/>
  <c r="R3388" i="5"/>
  <c r="L3388" i="5"/>
  <c r="R1561" i="5"/>
  <c r="R1912" i="5"/>
  <c r="L1912" i="5"/>
  <c r="R1911" i="5"/>
  <c r="L1911" i="5"/>
  <c r="S1911" i="5" s="1"/>
  <c r="R1910" i="5"/>
  <c r="L1910" i="5"/>
  <c r="R1909" i="5"/>
  <c r="L1909" i="5"/>
  <c r="R1908" i="5"/>
  <c r="L1908" i="5"/>
  <c r="R1907" i="5"/>
  <c r="L1907" i="5"/>
  <c r="S1907" i="5" s="1"/>
  <c r="R1906" i="5"/>
  <c r="L1906" i="5"/>
  <c r="S1906" i="5" s="1"/>
  <c r="R1905" i="5"/>
  <c r="L1905" i="5"/>
  <c r="S1905" i="5" s="1"/>
  <c r="R1904" i="5"/>
  <c r="L1904" i="5"/>
  <c r="R1903" i="5"/>
  <c r="R1902" i="5"/>
  <c r="L1902" i="5"/>
  <c r="R1901" i="5"/>
  <c r="L1901" i="5"/>
  <c r="L3387" i="5"/>
  <c r="R1900" i="5"/>
  <c r="R1899" i="5"/>
  <c r="L1899" i="5"/>
  <c r="R1898" i="5"/>
  <c r="L1898" i="5"/>
  <c r="R1897" i="5"/>
  <c r="L1897" i="5"/>
  <c r="R1896" i="5"/>
  <c r="L1896" i="5"/>
  <c r="R1895" i="5"/>
  <c r="L1895" i="5"/>
  <c r="S1895" i="5" s="1"/>
  <c r="R1894" i="5"/>
  <c r="L1894" i="5"/>
  <c r="R3378" i="5"/>
  <c r="L3378" i="5"/>
  <c r="R1893" i="5"/>
  <c r="L1893" i="5"/>
  <c r="S1893" i="5" s="1"/>
  <c r="R1892" i="5"/>
  <c r="L1892" i="5"/>
  <c r="S1892" i="5" s="1"/>
  <c r="R1891" i="5"/>
  <c r="L1891" i="5"/>
  <c r="S1891" i="5" s="1"/>
  <c r="R1890" i="5"/>
  <c r="L1890" i="5"/>
  <c r="S1890" i="5" s="1"/>
  <c r="R1889" i="5"/>
  <c r="L1889" i="5"/>
  <c r="S1889" i="5" s="1"/>
  <c r="R1888" i="5"/>
  <c r="L1888" i="5"/>
  <c r="S1888" i="5" s="1"/>
  <c r="R1887" i="5"/>
  <c r="L1887" i="5"/>
  <c r="S1887" i="5" s="1"/>
  <c r="R1886" i="5"/>
  <c r="L1886" i="5"/>
  <c r="S1886" i="5" s="1"/>
  <c r="R1885" i="5"/>
  <c r="L1885" i="5"/>
  <c r="S1885" i="5" s="1"/>
  <c r="R1884" i="5"/>
  <c r="L1884" i="5"/>
  <c r="S1884" i="5" s="1"/>
  <c r="R1883" i="5"/>
  <c r="L1883" i="5"/>
  <c r="S1883" i="5" s="1"/>
  <c r="R1882" i="5"/>
  <c r="L1882" i="5"/>
  <c r="R1881" i="5"/>
  <c r="L1881" i="5"/>
  <c r="R1880" i="5"/>
  <c r="L1880" i="5"/>
  <c r="R1879" i="5"/>
  <c r="L1879" i="5"/>
  <c r="S1879" i="5" s="1"/>
  <c r="R1878" i="5"/>
  <c r="L1878" i="5"/>
  <c r="S1878" i="5" s="1"/>
  <c r="R1877" i="5"/>
  <c r="L1877" i="5"/>
  <c r="S1877" i="5" s="1"/>
  <c r="R1876" i="5"/>
  <c r="L1876" i="5"/>
  <c r="S1876" i="5" s="1"/>
  <c r="R1875" i="5"/>
  <c r="L1875" i="5"/>
  <c r="R1874" i="5"/>
  <c r="L1874" i="5"/>
  <c r="R1873" i="5"/>
  <c r="L1873" i="5"/>
  <c r="R1872" i="5"/>
  <c r="L1872" i="5"/>
  <c r="S1872" i="5" s="1"/>
  <c r="R1871" i="5"/>
  <c r="L1871" i="5"/>
  <c r="R1870" i="5"/>
  <c r="L1870" i="5"/>
  <c r="R1869" i="5"/>
  <c r="L1869" i="5"/>
  <c r="R1868" i="5"/>
  <c r="L1868" i="5"/>
  <c r="S1868" i="5" s="1"/>
  <c r="R1867" i="5"/>
  <c r="L1867" i="5"/>
  <c r="R1866" i="5"/>
  <c r="L1866" i="5"/>
  <c r="L1865" i="5"/>
  <c r="R1864" i="5"/>
  <c r="L1864" i="5"/>
  <c r="R1863" i="5"/>
  <c r="L1863" i="5"/>
  <c r="S1863" i="5" s="1"/>
  <c r="R1862" i="5"/>
  <c r="L1862" i="5"/>
  <c r="R1861" i="5"/>
  <c r="L1861" i="5"/>
  <c r="R1860" i="5"/>
  <c r="L1860" i="5"/>
  <c r="S1860" i="5" s="1"/>
  <c r="R1859" i="5"/>
  <c r="L1859" i="5"/>
  <c r="R1858" i="5"/>
  <c r="L1858" i="5"/>
  <c r="R1857" i="5"/>
  <c r="L1857" i="5"/>
  <c r="R1856" i="5"/>
  <c r="L1856" i="5"/>
  <c r="R1855" i="5"/>
  <c r="L1855" i="5"/>
  <c r="R1854" i="5"/>
  <c r="L1854" i="5"/>
  <c r="R1853" i="5"/>
  <c r="L1853" i="5"/>
  <c r="R1852" i="5"/>
  <c r="L1852" i="5"/>
  <c r="R1851" i="5"/>
  <c r="L1851" i="5"/>
  <c r="S1851" i="5" s="1"/>
  <c r="R1850" i="5"/>
  <c r="R1849" i="5"/>
  <c r="L1849" i="5"/>
  <c r="S1849" i="5" s="1"/>
  <c r="R1848" i="5"/>
  <c r="L1848" i="5"/>
  <c r="S1848" i="5" s="1"/>
  <c r="R1847" i="5"/>
  <c r="L1847" i="5"/>
  <c r="S1847" i="5" s="1"/>
  <c r="R1846" i="5"/>
  <c r="L1846" i="5"/>
  <c r="S1846" i="5" s="1"/>
  <c r="R1845" i="5"/>
  <c r="R1844" i="5"/>
  <c r="L1844" i="5"/>
  <c r="S1844" i="5" s="1"/>
  <c r="R1843" i="5"/>
  <c r="L1843" i="5"/>
  <c r="S1843" i="5" s="1"/>
  <c r="R1842" i="5"/>
  <c r="L1842" i="5"/>
  <c r="S1842" i="5" s="1"/>
  <c r="R1841" i="5"/>
  <c r="L1841" i="5"/>
  <c r="R1840" i="5"/>
  <c r="L1840" i="5"/>
  <c r="S1840" i="5" s="1"/>
  <c r="R1839" i="5"/>
  <c r="L1839" i="5"/>
  <c r="R1838" i="5"/>
  <c r="L1838" i="5"/>
  <c r="R1837" i="5"/>
  <c r="L1837" i="5"/>
  <c r="S1837" i="5" s="1"/>
  <c r="R1836" i="5"/>
  <c r="L1836" i="5"/>
  <c r="R1834" i="5"/>
  <c r="R1833" i="5"/>
  <c r="L1833" i="5"/>
  <c r="R1832" i="5"/>
  <c r="L1832" i="5"/>
  <c r="R1831" i="5"/>
  <c r="L1831" i="5"/>
  <c r="S1831" i="5" s="1"/>
  <c r="R1830" i="5"/>
  <c r="L1830" i="5"/>
  <c r="R1559" i="5"/>
  <c r="R1829" i="5"/>
  <c r="L1829" i="5"/>
  <c r="R1828" i="5"/>
  <c r="L1828" i="5"/>
  <c r="S1828" i="5" s="1"/>
  <c r="R1827" i="5"/>
  <c r="L1827" i="5"/>
  <c r="R1826" i="5"/>
  <c r="L1826" i="5"/>
  <c r="R1825" i="5"/>
  <c r="L1825" i="5"/>
  <c r="R1824" i="5"/>
  <c r="L1824" i="5"/>
  <c r="S1824" i="5" s="1"/>
  <c r="R1823" i="5"/>
  <c r="L1823" i="5"/>
  <c r="R1822" i="5"/>
  <c r="L1822" i="5"/>
  <c r="R1821" i="5"/>
  <c r="L1821" i="5"/>
  <c r="R1820" i="5"/>
  <c r="L1820" i="5"/>
  <c r="R1819" i="5"/>
  <c r="L1819" i="5"/>
  <c r="R1818" i="5"/>
  <c r="L1818" i="5"/>
  <c r="R1817" i="5"/>
  <c r="L1817" i="5"/>
  <c r="S1817" i="5" s="1"/>
  <c r="R1816" i="5"/>
  <c r="L1816" i="5"/>
  <c r="R1815" i="5"/>
  <c r="L1815" i="5"/>
  <c r="R1814" i="5"/>
  <c r="L1814" i="5"/>
  <c r="S1814" i="5" s="1"/>
  <c r="R1813" i="5"/>
  <c r="L1813" i="5"/>
  <c r="R1811" i="5"/>
  <c r="R1810" i="5"/>
  <c r="L1810" i="5"/>
  <c r="R1809" i="5"/>
  <c r="L1809" i="5"/>
  <c r="S1809" i="5" s="1"/>
  <c r="R1807" i="5"/>
  <c r="R1806" i="5"/>
  <c r="L1806" i="5"/>
  <c r="R1805" i="5"/>
  <c r="L1805" i="5"/>
  <c r="R1804" i="5"/>
  <c r="L1804" i="5"/>
  <c r="R1803" i="5"/>
  <c r="L1803" i="5"/>
  <c r="S1803" i="5" s="1"/>
  <c r="R1802" i="5"/>
  <c r="R1801" i="5"/>
  <c r="L1801" i="5"/>
  <c r="R1800" i="5"/>
  <c r="R1799" i="5"/>
  <c r="L1799" i="5"/>
  <c r="R1798" i="5"/>
  <c r="L1798" i="5"/>
  <c r="S1798" i="5" s="1"/>
  <c r="R1797" i="5"/>
  <c r="L1797" i="5"/>
  <c r="S1797" i="5" s="1"/>
  <c r="R3383" i="5"/>
  <c r="L3383" i="5"/>
  <c r="S3383" i="5" s="1"/>
  <c r="R3194" i="5"/>
  <c r="R1796" i="5"/>
  <c r="L1796" i="5"/>
  <c r="S1796" i="5" s="1"/>
  <c r="R1795" i="5"/>
  <c r="L1795" i="5"/>
  <c r="S1795" i="5" s="1"/>
  <c r="R1794" i="5"/>
  <c r="L1794" i="5"/>
  <c r="S1794" i="5" s="1"/>
  <c r="R1793" i="5"/>
  <c r="L1793" i="5"/>
  <c r="R1792" i="5"/>
  <c r="R1791" i="5"/>
  <c r="L1791" i="5"/>
  <c r="S1791" i="5" s="1"/>
  <c r="R1790" i="5"/>
  <c r="L1790" i="5"/>
  <c r="S1790" i="5" s="1"/>
  <c r="R1789" i="5"/>
  <c r="L1789" i="5"/>
  <c r="R1557" i="5"/>
  <c r="R1787" i="5"/>
  <c r="L1787" i="5"/>
  <c r="S1787" i="5" s="1"/>
  <c r="R1786" i="5"/>
  <c r="L1786" i="5"/>
  <c r="S1786" i="5" s="1"/>
  <c r="R1785" i="5"/>
  <c r="L1785" i="5"/>
  <c r="S1785" i="5" s="1"/>
  <c r="R1784" i="5"/>
  <c r="L1784" i="5"/>
  <c r="R1783" i="5"/>
  <c r="L1783" i="5"/>
  <c r="S1783" i="5" s="1"/>
  <c r="R1782" i="5"/>
  <c r="L1782" i="5"/>
  <c r="R1781" i="5"/>
  <c r="L1781" i="5"/>
  <c r="S1781" i="5" s="1"/>
  <c r="R1780" i="5"/>
  <c r="L1780" i="5"/>
  <c r="R1779" i="5"/>
  <c r="L1779" i="5"/>
  <c r="S1779" i="5" s="1"/>
  <c r="R1555" i="5"/>
  <c r="R1553" i="5"/>
  <c r="R1777" i="5"/>
  <c r="R1776" i="5"/>
  <c r="L1776" i="5"/>
  <c r="S1776" i="5" s="1"/>
  <c r="R1775" i="5"/>
  <c r="L1775" i="5"/>
  <c r="R1774" i="5"/>
  <c r="L1774" i="5"/>
  <c r="S1774" i="5" s="1"/>
  <c r="R1773" i="5"/>
  <c r="L1773" i="5"/>
  <c r="S1773" i="5" s="1"/>
  <c r="R1772" i="5"/>
  <c r="L1772" i="5"/>
  <c r="S1772" i="5" s="1"/>
  <c r="R1771" i="5"/>
  <c r="L1771" i="5"/>
  <c r="S1771" i="5" s="1"/>
  <c r="R1770" i="5"/>
  <c r="L1770" i="5"/>
  <c r="R1769" i="5"/>
  <c r="L1769" i="5"/>
  <c r="R1768" i="5"/>
  <c r="L1768" i="5"/>
  <c r="S1768" i="5" s="1"/>
  <c r="R1767" i="5"/>
  <c r="L1767" i="5"/>
  <c r="S1767" i="5" s="1"/>
  <c r="R1766" i="5"/>
  <c r="L1766" i="5"/>
  <c r="S1766" i="5" s="1"/>
  <c r="R1551" i="5"/>
  <c r="R1765" i="5"/>
  <c r="L1765" i="5"/>
  <c r="R1764" i="5"/>
  <c r="L1764" i="5"/>
  <c r="S1764" i="5" s="1"/>
  <c r="R1763" i="5"/>
  <c r="L1763" i="5"/>
  <c r="S1763" i="5" s="1"/>
  <c r="R1762" i="5"/>
  <c r="L1762" i="5"/>
  <c r="R1761" i="5"/>
  <c r="L1761" i="5"/>
  <c r="S1761" i="5" s="1"/>
  <c r="R1760" i="5"/>
  <c r="L1760" i="5"/>
  <c r="S1760" i="5" s="1"/>
  <c r="R1759" i="5"/>
  <c r="L1759" i="5"/>
  <c r="R1758" i="5"/>
  <c r="L1758" i="5"/>
  <c r="R1757" i="5"/>
  <c r="L1757" i="5"/>
  <c r="R1756" i="5"/>
  <c r="L1756" i="5"/>
  <c r="R1755" i="5"/>
  <c r="L1755" i="5"/>
  <c r="R3382" i="5"/>
  <c r="L3382" i="5"/>
  <c r="R1754" i="5"/>
  <c r="L1754" i="5"/>
  <c r="R1753" i="5"/>
  <c r="L1753" i="5"/>
  <c r="S1753" i="5" s="1"/>
  <c r="R1752" i="5"/>
  <c r="L1752" i="5"/>
  <c r="S1752" i="5" s="1"/>
  <c r="R1751" i="5"/>
  <c r="R1750" i="5"/>
  <c r="L1750" i="5"/>
  <c r="R1749" i="5"/>
  <c r="L1749" i="5"/>
  <c r="S1749" i="5" s="1"/>
  <c r="R1748" i="5"/>
  <c r="L1748" i="5"/>
  <c r="R1747" i="5"/>
  <c r="L1747" i="5"/>
  <c r="S1747" i="5" s="1"/>
  <c r="R1746" i="5"/>
  <c r="L1746" i="5"/>
  <c r="S1746" i="5" s="1"/>
  <c r="R1745" i="5"/>
  <c r="L1745" i="5"/>
  <c r="S1745" i="5" s="1"/>
  <c r="R1744" i="5"/>
  <c r="L1744" i="5"/>
  <c r="R1743" i="5"/>
  <c r="L1743" i="5"/>
  <c r="R1742" i="5"/>
  <c r="L1742" i="5"/>
  <c r="S1742" i="5" s="1"/>
  <c r="R1741" i="5"/>
  <c r="L1741" i="5"/>
  <c r="R1740" i="5"/>
  <c r="L1740" i="5"/>
  <c r="R1739" i="5"/>
  <c r="L1739" i="5"/>
  <c r="S1739" i="5" s="1"/>
  <c r="R1738" i="5"/>
  <c r="L1738" i="5"/>
  <c r="S1738" i="5" s="1"/>
  <c r="R1737" i="5"/>
  <c r="L1737" i="5"/>
  <c r="R1736" i="5"/>
  <c r="L1736" i="5"/>
  <c r="S1736" i="5" s="1"/>
  <c r="R1734" i="5"/>
  <c r="R1732" i="5"/>
  <c r="R1549" i="5"/>
  <c r="R3386" i="5"/>
  <c r="L3386" i="5"/>
  <c r="R1731" i="5"/>
  <c r="L1731" i="5"/>
  <c r="R1730" i="5"/>
  <c r="L1730" i="5"/>
  <c r="S1730" i="5" s="1"/>
  <c r="R1729" i="5"/>
  <c r="L1729" i="5"/>
  <c r="R1728" i="5"/>
  <c r="L1728" i="5"/>
  <c r="S1728" i="5" s="1"/>
  <c r="R1727" i="5"/>
  <c r="L1727" i="5"/>
  <c r="R1726" i="5"/>
  <c r="L1726" i="5"/>
  <c r="S1726" i="5" s="1"/>
  <c r="L1725" i="5"/>
  <c r="R1724" i="5"/>
  <c r="R1723" i="5"/>
  <c r="L1723" i="5"/>
  <c r="S1723" i="5" s="1"/>
  <c r="R1722" i="5"/>
  <c r="L1722" i="5"/>
  <c r="S1722" i="5" s="1"/>
  <c r="R1721" i="5"/>
  <c r="L1721" i="5"/>
  <c r="R1720" i="5"/>
  <c r="L1720" i="5"/>
  <c r="R1719" i="5"/>
  <c r="L1719" i="5"/>
  <c r="R1718" i="5"/>
  <c r="L1718" i="5"/>
  <c r="R1547" i="5"/>
  <c r="R1717" i="5"/>
  <c r="L1717" i="5"/>
  <c r="R1716" i="5"/>
  <c r="L1716" i="5"/>
  <c r="S1716" i="5" s="1"/>
  <c r="R1715" i="5"/>
  <c r="R1714" i="5"/>
  <c r="L1714" i="5"/>
  <c r="S1714" i="5" s="1"/>
  <c r="R1713" i="5"/>
  <c r="L1713" i="5"/>
  <c r="R1712" i="5"/>
  <c r="L1712" i="5"/>
  <c r="S1712" i="5" s="1"/>
  <c r="R1711" i="5"/>
  <c r="L1711" i="5"/>
  <c r="R1710" i="5"/>
  <c r="L1710" i="5"/>
  <c r="S1710" i="5" s="1"/>
  <c r="R3377" i="5"/>
  <c r="L3377" i="5"/>
  <c r="R3400" i="5"/>
  <c r="L3400" i="5"/>
  <c r="S3400" i="5" s="1"/>
  <c r="R1709" i="5"/>
  <c r="L1709" i="5"/>
  <c r="S1709" i="5" s="1"/>
  <c r="R1708" i="5"/>
  <c r="L1708" i="5"/>
  <c r="S1708" i="5" s="1"/>
  <c r="R3399" i="5"/>
  <c r="L3399" i="5"/>
  <c r="R1707" i="5"/>
  <c r="R1705" i="5"/>
  <c r="R1704" i="5"/>
  <c r="L1704" i="5"/>
  <c r="S1704" i="5" s="1"/>
  <c r="R1703" i="5"/>
  <c r="R1702" i="5"/>
  <c r="L1702" i="5"/>
  <c r="S1702" i="5" s="1"/>
  <c r="R1701" i="5"/>
  <c r="L1701" i="5"/>
  <c r="R1700" i="5"/>
  <c r="L1700" i="5"/>
  <c r="S1700" i="5" s="1"/>
  <c r="R1699" i="5"/>
  <c r="L1699" i="5"/>
  <c r="R1698" i="5"/>
  <c r="L1698" i="5"/>
  <c r="R1697" i="5"/>
  <c r="L1697" i="5"/>
  <c r="R1696" i="5"/>
  <c r="L1696" i="5"/>
  <c r="R1695" i="5"/>
  <c r="L1695" i="5"/>
  <c r="R1694" i="5"/>
  <c r="L1694" i="5"/>
  <c r="R1693" i="5"/>
  <c r="L1693" i="5"/>
  <c r="R3398" i="5"/>
  <c r="L3398" i="5"/>
  <c r="R1691" i="5"/>
  <c r="R3397" i="5"/>
  <c r="L3397" i="5"/>
  <c r="R1690" i="5"/>
  <c r="R1689" i="5"/>
  <c r="L1689" i="5"/>
  <c r="S1689" i="5" s="1"/>
  <c r="R3396" i="5"/>
  <c r="L3396" i="5"/>
  <c r="R3395" i="5"/>
  <c r="L3395" i="5"/>
  <c r="R3394" i="5"/>
  <c r="L3394" i="5"/>
  <c r="R1688" i="5"/>
  <c r="L1688" i="5"/>
  <c r="R3393" i="5"/>
  <c r="L3393" i="5"/>
  <c r="R1687" i="5"/>
  <c r="L1687" i="5"/>
  <c r="S1687" i="5" s="1"/>
  <c r="R3392" i="5"/>
  <c r="L3392" i="5"/>
  <c r="R1686" i="5"/>
  <c r="L1686" i="5"/>
  <c r="S1686" i="5" s="1"/>
  <c r="R1685" i="5"/>
  <c r="L1685" i="5"/>
  <c r="R1684" i="5"/>
  <c r="L1684" i="5"/>
  <c r="R1683" i="5"/>
  <c r="L1683" i="5"/>
  <c r="R1682" i="5"/>
  <c r="L1682" i="5"/>
  <c r="R1681" i="5"/>
  <c r="L1681" i="5"/>
  <c r="S1681" i="5" s="1"/>
  <c r="R1680" i="5"/>
  <c r="L1680" i="5"/>
  <c r="R1679" i="5"/>
  <c r="L1679" i="5"/>
  <c r="R1678" i="5"/>
  <c r="L1678" i="5"/>
  <c r="R1677" i="5"/>
  <c r="L1677" i="5"/>
  <c r="S1677" i="5" s="1"/>
  <c r="R1676" i="5"/>
  <c r="L1676" i="5"/>
  <c r="R1675" i="5"/>
  <c r="R1674" i="5"/>
  <c r="R1673" i="5"/>
  <c r="L1673" i="5"/>
  <c r="R1672" i="5"/>
  <c r="L1672" i="5"/>
  <c r="S1672" i="5" s="1"/>
  <c r="R1671" i="5"/>
  <c r="L1671" i="5"/>
  <c r="S1671" i="5" s="1"/>
  <c r="R1670" i="5"/>
  <c r="L1670" i="5"/>
  <c r="S1670" i="5" s="1"/>
  <c r="R1669" i="5"/>
  <c r="L1669" i="5"/>
  <c r="R1668" i="5"/>
  <c r="L1668" i="5"/>
  <c r="S1668" i="5" s="1"/>
  <c r="R1667" i="5"/>
  <c r="L1667" i="5"/>
  <c r="S1667" i="5" s="1"/>
  <c r="R1666" i="5"/>
  <c r="L1666" i="5"/>
  <c r="S1666" i="5" s="1"/>
  <c r="R1665" i="5"/>
  <c r="L1665" i="5"/>
  <c r="R1664" i="5"/>
  <c r="L1664" i="5"/>
  <c r="R1663" i="5"/>
  <c r="L1663" i="5"/>
  <c r="R1662" i="5"/>
  <c r="L1662" i="5"/>
  <c r="R1661" i="5"/>
  <c r="L1661" i="5"/>
  <c r="S1661" i="5" s="1"/>
  <c r="R1660" i="5"/>
  <c r="L1660" i="5"/>
  <c r="R1659" i="5"/>
  <c r="R1658" i="5"/>
  <c r="L1658" i="5"/>
  <c r="S1658" i="5" s="1"/>
  <c r="R1657" i="5"/>
  <c r="L1657" i="5"/>
  <c r="R1656" i="5"/>
  <c r="L1656" i="5"/>
  <c r="S1656" i="5" s="1"/>
  <c r="R1655" i="5"/>
  <c r="L1655" i="5"/>
  <c r="S1655" i="5" s="1"/>
  <c r="R1654" i="5"/>
  <c r="L1654" i="5"/>
  <c r="S1654" i="5" s="1"/>
  <c r="R1653" i="5"/>
  <c r="L1653" i="5"/>
  <c r="S1653" i="5" s="1"/>
  <c r="R1652" i="5"/>
  <c r="L1652" i="5"/>
  <c r="R1651" i="5"/>
  <c r="R1650" i="5"/>
  <c r="L1650" i="5"/>
  <c r="S1650" i="5" s="1"/>
  <c r="R1649" i="5"/>
  <c r="L1649" i="5"/>
  <c r="S1649" i="5" s="1"/>
  <c r="R1648" i="5"/>
  <c r="L1648" i="5"/>
  <c r="S1648" i="5" s="1"/>
  <c r="R1647" i="5"/>
  <c r="L1647" i="5"/>
  <c r="S1647" i="5" s="1"/>
  <c r="R1646" i="5"/>
  <c r="L1646" i="5"/>
  <c r="R1645" i="5"/>
  <c r="L1645" i="5"/>
  <c r="R1644" i="5"/>
  <c r="L1644" i="5"/>
  <c r="R1643" i="5"/>
  <c r="L1643" i="5"/>
  <c r="R1642" i="5"/>
  <c r="L1642" i="5"/>
  <c r="R1641" i="5"/>
  <c r="L1641" i="5"/>
  <c r="R1640" i="5"/>
  <c r="L1640" i="5"/>
  <c r="R1639" i="5"/>
  <c r="L1639" i="5"/>
  <c r="R1638" i="5"/>
  <c r="R1637" i="5"/>
  <c r="L1637" i="5"/>
  <c r="S1637" i="5" s="1"/>
  <c r="R3385" i="5"/>
  <c r="L3385" i="5"/>
  <c r="S3385" i="5" s="1"/>
  <c r="R1636" i="5"/>
  <c r="L1636" i="5"/>
  <c r="S1636" i="5" s="1"/>
  <c r="R3384" i="5"/>
  <c r="L3384" i="5"/>
  <c r="S3384" i="5" s="1"/>
  <c r="R1635" i="5"/>
  <c r="L1635" i="5"/>
  <c r="S1635" i="5" s="1"/>
  <c r="R1634" i="5"/>
  <c r="L1634" i="5"/>
  <c r="S1634" i="5" s="1"/>
  <c r="R1633" i="5"/>
  <c r="L1633" i="5"/>
  <c r="R1632" i="5"/>
  <c r="L1632" i="5"/>
  <c r="S1632" i="5" s="1"/>
  <c r="R1631" i="5"/>
  <c r="L1631" i="5"/>
  <c r="S1631" i="5" s="1"/>
  <c r="R1630" i="5"/>
  <c r="L1630" i="5"/>
  <c r="S1630" i="5" s="1"/>
  <c r="R1629" i="5"/>
  <c r="L1629" i="5"/>
  <c r="S1629" i="5" s="1"/>
  <c r="R1628" i="5"/>
  <c r="L1628" i="5"/>
  <c r="S1628" i="5" s="1"/>
  <c r="R1627" i="5"/>
  <c r="L1627" i="5"/>
  <c r="S1627" i="5" s="1"/>
  <c r="R1626" i="5"/>
  <c r="L1626" i="5"/>
  <c r="S1626" i="5" s="1"/>
  <c r="R1625" i="5"/>
  <c r="L1625" i="5"/>
  <c r="R1624" i="5"/>
  <c r="L1624" i="5"/>
  <c r="R1622" i="5"/>
  <c r="R1621" i="5"/>
  <c r="S1621" i="5"/>
  <c r="R510" i="5"/>
  <c r="R1620" i="5"/>
  <c r="L1620" i="5"/>
  <c r="S1620" i="5" s="1"/>
  <c r="R3391" i="5"/>
  <c r="L3391" i="5"/>
  <c r="S3391" i="5" s="1"/>
  <c r="R1619" i="5"/>
  <c r="R1618" i="5"/>
  <c r="L1618" i="5"/>
  <c r="S1618" i="5" s="1"/>
  <c r="R1617" i="5"/>
  <c r="L1617" i="5"/>
  <c r="S1617" i="5" s="1"/>
  <c r="R1616" i="5"/>
  <c r="L1616" i="5"/>
  <c r="S1616" i="5" s="1"/>
  <c r="R1614" i="5"/>
  <c r="R1613" i="5"/>
  <c r="S1613" i="5"/>
  <c r="R1612" i="5"/>
  <c r="L1612" i="5"/>
  <c r="S1612" i="5" s="1"/>
  <c r="R1611" i="5"/>
  <c r="L1611" i="5"/>
  <c r="S1611" i="5" s="1"/>
  <c r="R1610" i="5"/>
  <c r="L1610" i="5"/>
  <c r="R1609" i="5"/>
  <c r="L1609" i="5"/>
  <c r="S1609" i="5" s="1"/>
  <c r="R1608" i="5"/>
  <c r="L1608" i="5"/>
  <c r="S1608" i="5" s="1"/>
  <c r="R1607" i="5"/>
  <c r="L1607" i="5"/>
  <c r="R1606" i="5"/>
  <c r="L1606" i="5"/>
  <c r="S1606" i="5" s="1"/>
  <c r="R1605" i="5"/>
  <c r="L1605" i="5"/>
  <c r="R3376" i="5"/>
  <c r="L3376" i="5"/>
  <c r="R1604" i="5"/>
  <c r="L1604" i="5"/>
  <c r="R1603" i="5"/>
  <c r="L1603" i="5"/>
  <c r="S1603" i="5" s="1"/>
  <c r="R3390" i="5"/>
  <c r="L3390" i="5"/>
  <c r="R1602" i="5"/>
  <c r="L1602" i="5"/>
  <c r="S1602" i="5" s="1"/>
  <c r="R1601" i="5"/>
  <c r="L1601" i="5"/>
  <c r="R1600" i="5"/>
  <c r="L1600" i="5"/>
  <c r="S1600" i="5" s="1"/>
  <c r="R1599" i="5"/>
  <c r="L1599" i="5"/>
  <c r="R1598" i="5"/>
  <c r="R1597" i="5"/>
  <c r="L1597" i="5"/>
  <c r="S1597" i="5" s="1"/>
  <c r="R1596" i="5"/>
  <c r="L1596" i="5"/>
  <c r="S1596" i="5" s="1"/>
  <c r="R1595" i="5"/>
  <c r="L1595" i="5"/>
  <c r="R1593" i="5"/>
  <c r="L1592" i="5"/>
  <c r="S1592" i="5" s="1"/>
  <c r="L1591" i="5"/>
  <c r="J1591" i="5"/>
  <c r="J2079" i="5" s="1"/>
  <c r="J1458" i="5" s="1"/>
  <c r="L1590" i="5"/>
  <c r="R1589" i="5"/>
  <c r="L1589" i="5"/>
  <c r="S1589" i="5" s="1"/>
  <c r="R1588" i="5"/>
  <c r="L1588" i="5"/>
  <c r="R1587" i="5"/>
  <c r="R1586" i="5"/>
  <c r="L1586" i="5"/>
  <c r="S1586" i="5" s="1"/>
  <c r="R1585" i="5"/>
  <c r="R1584" i="5"/>
  <c r="L1584" i="5"/>
  <c r="S1584" i="5" s="1"/>
  <c r="R1583" i="5"/>
  <c r="R1582" i="5"/>
  <c r="L1582" i="5"/>
  <c r="S1582" i="5" s="1"/>
  <c r="R1581" i="5"/>
  <c r="L1581" i="5"/>
  <c r="R1580" i="5"/>
  <c r="L1580" i="5"/>
  <c r="R1579" i="5"/>
  <c r="L1579" i="5"/>
  <c r="S1579" i="5" s="1"/>
  <c r="R1578" i="5"/>
  <c r="L1578" i="5"/>
  <c r="R1577" i="5"/>
  <c r="L1577" i="5"/>
  <c r="S1577" i="5" s="1"/>
  <c r="R1576" i="5"/>
  <c r="L1576" i="5"/>
  <c r="R1575" i="5"/>
  <c r="L1575" i="5"/>
  <c r="S1575" i="5" s="1"/>
  <c r="R1574" i="5"/>
  <c r="L1574" i="5"/>
  <c r="R1573" i="5"/>
  <c r="L1573" i="5"/>
  <c r="S1573" i="5" s="1"/>
  <c r="R1572" i="5"/>
  <c r="L1572" i="5"/>
  <c r="R1571" i="5"/>
  <c r="L1571" i="5"/>
  <c r="R1570" i="5"/>
  <c r="L1570" i="5"/>
  <c r="S1570" i="5" s="1"/>
  <c r="R1569" i="5"/>
  <c r="L1569" i="5"/>
  <c r="S1569" i="5" s="1"/>
  <c r="R1568" i="5"/>
  <c r="L1568" i="5"/>
  <c r="R1567" i="5"/>
  <c r="L1567" i="5"/>
  <c r="S1567" i="5" s="1"/>
  <c r="P1455" i="5"/>
  <c r="O1455" i="5"/>
  <c r="N1455" i="5"/>
  <c r="M1455" i="5"/>
  <c r="J1455" i="5"/>
  <c r="G1455" i="5"/>
  <c r="E1455" i="5"/>
  <c r="D1455" i="5"/>
  <c r="R1454" i="5"/>
  <c r="L1454" i="5"/>
  <c r="R1453" i="5"/>
  <c r="L1453" i="5"/>
  <c r="R1452" i="5"/>
  <c r="L1452" i="5"/>
  <c r="A1452" i="5"/>
  <c r="A1453" i="5" s="1"/>
  <c r="A1454" i="5" s="1"/>
  <c r="R1451" i="5"/>
  <c r="L1451" i="5"/>
  <c r="P1449" i="5"/>
  <c r="O1449" i="5"/>
  <c r="N1449" i="5"/>
  <c r="M1449" i="5"/>
  <c r="J1449" i="5"/>
  <c r="G1449" i="5"/>
  <c r="E1449" i="5"/>
  <c r="D1449" i="5"/>
  <c r="R1448" i="5"/>
  <c r="Q1449" i="5"/>
  <c r="P1446" i="5"/>
  <c r="O1446" i="5"/>
  <c r="N1446" i="5"/>
  <c r="M1446" i="5"/>
  <c r="J1446" i="5"/>
  <c r="G1446" i="5"/>
  <c r="E1446" i="5"/>
  <c r="D1446" i="5"/>
  <c r="R1445" i="5"/>
  <c r="L1445" i="5"/>
  <c r="R1444" i="5"/>
  <c r="L1444" i="5"/>
  <c r="R1443" i="5"/>
  <c r="L1443" i="5"/>
  <c r="R1442" i="5"/>
  <c r="L1442" i="5"/>
  <c r="L1441" i="5"/>
  <c r="R1440" i="5"/>
  <c r="L1440" i="5"/>
  <c r="L1439" i="5"/>
  <c r="R1438" i="5"/>
  <c r="L1438" i="5"/>
  <c r="R1437" i="5"/>
  <c r="L1437" i="5"/>
  <c r="R1436" i="5"/>
  <c r="L1436" i="5"/>
  <c r="R1435" i="5"/>
  <c r="L1435" i="5"/>
  <c r="R1434" i="5"/>
  <c r="L1434" i="5"/>
  <c r="R1433" i="5"/>
  <c r="L1433" i="5"/>
  <c r="R1432" i="5"/>
  <c r="L1432" i="5"/>
  <c r="R1431" i="5"/>
  <c r="L1431" i="5"/>
  <c r="R1430" i="5"/>
  <c r="L1430" i="5"/>
  <c r="R1429" i="5"/>
  <c r="L1429" i="5"/>
  <c r="R1428" i="5"/>
  <c r="L1428" i="5"/>
  <c r="R1427" i="5"/>
  <c r="L1427" i="5"/>
  <c r="R1426" i="5"/>
  <c r="L1426" i="5"/>
  <c r="R1425" i="5"/>
  <c r="L1425" i="5"/>
  <c r="R1424" i="5"/>
  <c r="L1424" i="5"/>
  <c r="R1423" i="5"/>
  <c r="Q1446" i="5"/>
  <c r="R1422" i="5"/>
  <c r="L1422" i="5"/>
  <c r="R1421" i="5"/>
  <c r="L1421" i="5"/>
  <c r="R1420" i="5"/>
  <c r="L1420" i="5"/>
  <c r="R1419" i="5"/>
  <c r="L1419" i="5"/>
  <c r="R1418" i="5"/>
  <c r="L1418" i="5"/>
  <c r="A1418" i="5"/>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R1417" i="5"/>
  <c r="L1417" i="5"/>
  <c r="P1415" i="5"/>
  <c r="O1415" i="5"/>
  <c r="N1415" i="5"/>
  <c r="M1415" i="5"/>
  <c r="J1415" i="5"/>
  <c r="G1415" i="5"/>
  <c r="E1415" i="5"/>
  <c r="D1415" i="5"/>
  <c r="L1414" i="5"/>
  <c r="L1413" i="5"/>
  <c r="R1412" i="5"/>
  <c r="L1412" i="5"/>
  <c r="R1411" i="5"/>
  <c r="R1410" i="5"/>
  <c r="L1410" i="5"/>
  <c r="R1409" i="5"/>
  <c r="L1409" i="5"/>
  <c r="R1408" i="5"/>
  <c r="L1408" i="5"/>
  <c r="R1407" i="5"/>
  <c r="L1407" i="5"/>
  <c r="R1406" i="5"/>
  <c r="L1406" i="5"/>
  <c r="R1405" i="5"/>
  <c r="L1405" i="5"/>
  <c r="R1404" i="5"/>
  <c r="L1404" i="5"/>
  <c r="R1403" i="5"/>
  <c r="L1403" i="5"/>
  <c r="R1402" i="5"/>
  <c r="L1402" i="5"/>
  <c r="A1402" i="5"/>
  <c r="A1403" i="5" s="1"/>
  <c r="A1404" i="5" s="1"/>
  <c r="A1405" i="5" s="1"/>
  <c r="A1406" i="5" s="1"/>
  <c r="A1407" i="5" s="1"/>
  <c r="A1408" i="5" s="1"/>
  <c r="A1409" i="5" s="1"/>
  <c r="A1410" i="5" s="1"/>
  <c r="A1411" i="5" s="1"/>
  <c r="A1412" i="5" s="1"/>
  <c r="A1413" i="5" s="1"/>
  <c r="A1414" i="5" s="1"/>
  <c r="R1401" i="5"/>
  <c r="Q1399" i="5"/>
  <c r="P1399" i="5"/>
  <c r="O1399" i="5"/>
  <c r="N1399" i="5"/>
  <c r="M1399" i="5"/>
  <c r="J1399" i="5"/>
  <c r="G1399" i="5"/>
  <c r="E1399" i="5"/>
  <c r="D1399" i="5"/>
  <c r="R1398" i="5"/>
  <c r="L1398" i="5"/>
  <c r="R1397" i="5"/>
  <c r="L1397" i="5"/>
  <c r="R1396" i="5"/>
  <c r="L1396" i="5"/>
  <c r="Q1394" i="5"/>
  <c r="P1394" i="5"/>
  <c r="N1394" i="5"/>
  <c r="M1394" i="5"/>
  <c r="J1394" i="5"/>
  <c r="G1394" i="5"/>
  <c r="E1394" i="5"/>
  <c r="D1394" i="5"/>
  <c r="R1391" i="5"/>
  <c r="L1391" i="5"/>
  <c r="R1390" i="5"/>
  <c r="L1390" i="5"/>
  <c r="R1389" i="5"/>
  <c r="L1389" i="5"/>
  <c r="R1388" i="5"/>
  <c r="L1388" i="5"/>
  <c r="S1387" i="5"/>
  <c r="R1387" i="5"/>
  <c r="L1386" i="5"/>
  <c r="L1385" i="5"/>
  <c r="L1384" i="5"/>
  <c r="L1383" i="5"/>
  <c r="L1382" i="5"/>
  <c r="R1381" i="5"/>
  <c r="L1381" i="5"/>
  <c r="S1381" i="5" s="1"/>
  <c r="L1380" i="5"/>
  <c r="R1379" i="5"/>
  <c r="L1379" i="5"/>
  <c r="R1378" i="5"/>
  <c r="L1378" i="5"/>
  <c r="R1377" i="5"/>
  <c r="L1377" i="5"/>
  <c r="L1376" i="5"/>
  <c r="L1375" i="5"/>
  <c r="R1374" i="5"/>
  <c r="L1374" i="5"/>
  <c r="A1374" i="5"/>
  <c r="A1375" i="5" s="1"/>
  <c r="A1376" i="5" s="1"/>
  <c r="A1377" i="5" s="1"/>
  <c r="A1378" i="5" s="1"/>
  <c r="A1379" i="5" s="1"/>
  <c r="A1380" i="5" s="1"/>
  <c r="A1381" i="5" s="1"/>
  <c r="A1382" i="5" s="1"/>
  <c r="A1383" i="5" s="1"/>
  <c r="A1384" i="5" s="1"/>
  <c r="A1385" i="5" s="1"/>
  <c r="A1386" i="5" s="1"/>
  <c r="A1388" i="5" s="1"/>
  <c r="A1389" i="5" s="1"/>
  <c r="A1390" i="5" s="1"/>
  <c r="R1373" i="5"/>
  <c r="L1373" i="5"/>
  <c r="S1373" i="5" s="1"/>
  <c r="P1371" i="5"/>
  <c r="O1371" i="5"/>
  <c r="N1371" i="5"/>
  <c r="M1371" i="5"/>
  <c r="J1371" i="5"/>
  <c r="G1371" i="5"/>
  <c r="E1371" i="5"/>
  <c r="D1371" i="5"/>
  <c r="R1370" i="5"/>
  <c r="L1370" i="5"/>
  <c r="A1370" i="5"/>
  <c r="R1369" i="5"/>
  <c r="L1369" i="5"/>
  <c r="R1368" i="5"/>
  <c r="L1368" i="5"/>
  <c r="A1368" i="5"/>
  <c r="A1369" i="5" s="1"/>
  <c r="R1367" i="5"/>
  <c r="P1365" i="5"/>
  <c r="O1365" i="5"/>
  <c r="N1365" i="5"/>
  <c r="M1365" i="5"/>
  <c r="J1365" i="5"/>
  <c r="E1365" i="5"/>
  <c r="L1364" i="5"/>
  <c r="G1364" i="5"/>
  <c r="G1365" i="5" s="1"/>
  <c r="R1363" i="5"/>
  <c r="L1363" i="5"/>
  <c r="Q1361" i="5"/>
  <c r="P1361" i="5"/>
  <c r="O1361" i="5"/>
  <c r="N1361" i="5"/>
  <c r="M1361" i="5"/>
  <c r="J1361" i="5"/>
  <c r="G1361" i="5"/>
  <c r="E1361" i="5"/>
  <c r="D1361" i="5"/>
  <c r="R1360" i="5"/>
  <c r="L1360" i="5"/>
  <c r="R1358" i="5"/>
  <c r="R1357" i="5"/>
  <c r="L1357" i="5"/>
  <c r="R1356" i="5"/>
  <c r="L1356" i="5"/>
  <c r="P1354" i="5"/>
  <c r="O1354" i="5"/>
  <c r="N1354" i="5"/>
  <c r="M1354" i="5"/>
  <c r="J1354" i="5"/>
  <c r="G1354" i="5"/>
  <c r="E1354" i="5"/>
  <c r="D1354" i="5"/>
  <c r="L1349" i="5"/>
  <c r="L1348" i="5"/>
  <c r="L1347" i="5"/>
  <c r="L1346" i="5"/>
  <c r="L1345" i="5"/>
  <c r="L1344" i="5"/>
  <c r="L1343" i="5"/>
  <c r="L1342" i="5"/>
  <c r="L1341" i="5"/>
  <c r="L1340" i="5"/>
  <c r="L1339" i="5"/>
  <c r="L1338" i="5"/>
  <c r="R1337" i="5"/>
  <c r="L1337" i="5"/>
  <c r="R1336" i="5"/>
  <c r="L1336" i="5"/>
  <c r="R1335" i="5"/>
  <c r="L1335" i="5"/>
  <c r="R1334" i="5"/>
  <c r="L1334" i="5"/>
  <c r="R1333" i="5"/>
  <c r="L1333" i="5"/>
  <c r="R1332" i="5"/>
  <c r="L1332" i="5"/>
  <c r="L1331" i="5"/>
  <c r="L1330" i="5"/>
  <c r="L1329" i="5"/>
  <c r="L1328" i="5"/>
  <c r="R1327" i="5"/>
  <c r="L1327" i="5"/>
  <c r="L1326" i="5"/>
  <c r="R1325" i="5"/>
  <c r="L1325" i="5"/>
  <c r="R1324" i="5"/>
  <c r="L1324" i="5"/>
  <c r="R1323" i="5"/>
  <c r="L1323" i="5"/>
  <c r="R1322" i="5"/>
  <c r="L1322" i="5"/>
  <c r="L1321" i="5"/>
  <c r="L1320" i="5"/>
  <c r="R1319" i="5"/>
  <c r="L1319" i="5"/>
  <c r="R1318" i="5"/>
  <c r="L1318" i="5"/>
  <c r="R1317" i="5"/>
  <c r="L1317" i="5"/>
  <c r="R1316" i="5"/>
  <c r="L1316" i="5"/>
  <c r="A1316" i="5"/>
  <c r="A1317" i="5" s="1"/>
  <c r="A1318" i="5" s="1"/>
  <c r="A1319" i="5" s="1"/>
  <c r="A1320" i="5" s="1"/>
  <c r="A1321" i="5" s="1"/>
  <c r="A1322" i="5" s="1"/>
  <c r="A1323" i="5" s="1"/>
  <c r="A1324" i="5" s="1"/>
  <c r="A1325" i="5" s="1"/>
  <c r="A1326" i="5" s="1"/>
  <c r="A1327" i="5" s="1"/>
  <c r="A1328" i="5" s="1"/>
  <c r="A1329" i="5" s="1"/>
  <c r="A1330" i="5" s="1"/>
  <c r="A1331" i="5" s="1"/>
  <c r="A1332" i="5" s="1"/>
  <c r="A1333" i="5" s="1"/>
  <c r="A1334" i="5" s="1"/>
  <c r="R1315" i="5"/>
  <c r="L1315" i="5"/>
  <c r="Q1313" i="5"/>
  <c r="P1313" i="5"/>
  <c r="O1313" i="5"/>
  <c r="N1313" i="5"/>
  <c r="M1313" i="5"/>
  <c r="J1313" i="5"/>
  <c r="G1313" i="5"/>
  <c r="E1313" i="5"/>
  <c r="D1313" i="5"/>
  <c r="R1312" i="5"/>
  <c r="L1312" i="5"/>
  <c r="P1310" i="5"/>
  <c r="O1310" i="5"/>
  <c r="N1310" i="5"/>
  <c r="M1310" i="5"/>
  <c r="J1310" i="5"/>
  <c r="G1310" i="5"/>
  <c r="E1310" i="5"/>
  <c r="D1310" i="5"/>
  <c r="R1309" i="5"/>
  <c r="L1309" i="5"/>
  <c r="R1308" i="5"/>
  <c r="L1308" i="5"/>
  <c r="P1306" i="5"/>
  <c r="O1306" i="5"/>
  <c r="N1306" i="5"/>
  <c r="M1306" i="5"/>
  <c r="J1306" i="5"/>
  <c r="G1306" i="5"/>
  <c r="E1306" i="5"/>
  <c r="D1306" i="5"/>
  <c r="R1305" i="5"/>
  <c r="R1304" i="5"/>
  <c r="R1303" i="5"/>
  <c r="L1303" i="5"/>
  <c r="P1301" i="5"/>
  <c r="N1301" i="5"/>
  <c r="M1301" i="5"/>
  <c r="J1301" i="5"/>
  <c r="G1301" i="5"/>
  <c r="E1301" i="5"/>
  <c r="D1301" i="5"/>
  <c r="R1300" i="5"/>
  <c r="Q1301" i="5"/>
  <c r="Q1298" i="5"/>
  <c r="P1298" i="5"/>
  <c r="O1298" i="5"/>
  <c r="N1298" i="5"/>
  <c r="M1298" i="5"/>
  <c r="J1298" i="5"/>
  <c r="G1298" i="5"/>
  <c r="E1298" i="5"/>
  <c r="D1298" i="5"/>
  <c r="A1296" i="5"/>
  <c r="A1297" i="5" s="1"/>
  <c r="L1295" i="5"/>
  <c r="L1294" i="5"/>
  <c r="L1293" i="5"/>
  <c r="A1293" i="5"/>
  <c r="A1294" i="5" s="1"/>
  <c r="R1292" i="5"/>
  <c r="L1292" i="5"/>
  <c r="R1291" i="5"/>
  <c r="R1290" i="5"/>
  <c r="L1290" i="5"/>
  <c r="R1289" i="5"/>
  <c r="L1289" i="5"/>
  <c r="R1288" i="5"/>
  <c r="L1288" i="5"/>
  <c r="R1287" i="5"/>
  <c r="L1287" i="5"/>
  <c r="R1286" i="5"/>
  <c r="L1286" i="5"/>
  <c r="R1285" i="5"/>
  <c r="R1284" i="5"/>
  <c r="L1284" i="5"/>
  <c r="R1283" i="5"/>
  <c r="L1283" i="5"/>
  <c r="R1282" i="5"/>
  <c r="L1282" i="5"/>
  <c r="R1281" i="5"/>
  <c r="L1281" i="5"/>
  <c r="A1281" i="5"/>
  <c r="A1282" i="5" s="1"/>
  <c r="A1283" i="5" s="1"/>
  <c r="A1284" i="5" s="1"/>
  <c r="A1286" i="5" s="1"/>
  <c r="A1287" i="5" s="1"/>
  <c r="A1288" i="5" s="1"/>
  <c r="A1289" i="5" s="1"/>
  <c r="A1290" i="5" s="1"/>
  <c r="R1280" i="5"/>
  <c r="L1279" i="5"/>
  <c r="R1278" i="5"/>
  <c r="R1277" i="5"/>
  <c r="L1277" i="5"/>
  <c r="R1276" i="5"/>
  <c r="L1276" i="5"/>
  <c r="R1275" i="5"/>
  <c r="L1275" i="5"/>
  <c r="R1274" i="5"/>
  <c r="L1274" i="5"/>
  <c r="A1274" i="5"/>
  <c r="A1275" i="5" s="1"/>
  <c r="A1276" i="5" s="1"/>
  <c r="R1273" i="5"/>
  <c r="R1272" i="5"/>
  <c r="L1272" i="5"/>
  <c r="R1271" i="5"/>
  <c r="L1271" i="5"/>
  <c r="R1270" i="5"/>
  <c r="L1270" i="5"/>
  <c r="P1268" i="5"/>
  <c r="O1268" i="5"/>
  <c r="N1268" i="5"/>
  <c r="M1268" i="5"/>
  <c r="J1268" i="5"/>
  <c r="G1268" i="5"/>
  <c r="E1268" i="5"/>
  <c r="R1267" i="5"/>
  <c r="L1267" i="5"/>
  <c r="R1266" i="5"/>
  <c r="L1266" i="5"/>
  <c r="R1265" i="5"/>
  <c r="L1265" i="5"/>
  <c r="R1264" i="5"/>
  <c r="L1264" i="5"/>
  <c r="R1263" i="5"/>
  <c r="L1263" i="5"/>
  <c r="R1262" i="5"/>
  <c r="L1262" i="5"/>
  <c r="A1262" i="5"/>
  <c r="A1263" i="5" s="1"/>
  <c r="R1261" i="5"/>
  <c r="L1261" i="5"/>
  <c r="P1259" i="5"/>
  <c r="O1259" i="5"/>
  <c r="N1259" i="5"/>
  <c r="M1259" i="5"/>
  <c r="J1259" i="5"/>
  <c r="G1259" i="5"/>
  <c r="E1259" i="5"/>
  <c r="D1259" i="5"/>
  <c r="R1258" i="5"/>
  <c r="L1258" i="5"/>
  <c r="R1257" i="5"/>
  <c r="L1257" i="5"/>
  <c r="R1256" i="5"/>
  <c r="L1256" i="5"/>
  <c r="A1256" i="5"/>
  <c r="A1257" i="5" s="1"/>
  <c r="A1258" i="5" s="1"/>
  <c r="R1255" i="5"/>
  <c r="L1255" i="5"/>
  <c r="S1254" i="5"/>
  <c r="P1253" i="5"/>
  <c r="O1253" i="5"/>
  <c r="N1253" i="5"/>
  <c r="M1253" i="5"/>
  <c r="J1253" i="5"/>
  <c r="G1253" i="5"/>
  <c r="E1253" i="5"/>
  <c r="R1252" i="5"/>
  <c r="L1252" i="5"/>
  <c r="R1251" i="5"/>
  <c r="R1250" i="5"/>
  <c r="R1249" i="5"/>
  <c r="R1248" i="5"/>
  <c r="S1247" i="5"/>
  <c r="P1246" i="5"/>
  <c r="O1246" i="5"/>
  <c r="N1246" i="5"/>
  <c r="M1246" i="5"/>
  <c r="J1246" i="5"/>
  <c r="G1246" i="5"/>
  <c r="E1246" i="5"/>
  <c r="D1246" i="5"/>
  <c r="R1245" i="5"/>
  <c r="L1245" i="5"/>
  <c r="R1244" i="5"/>
  <c r="L1244" i="5"/>
  <c r="S1243" i="5"/>
  <c r="Q1242" i="5"/>
  <c r="P1242" i="5"/>
  <c r="O1242" i="5"/>
  <c r="N1242" i="5"/>
  <c r="M1242" i="5"/>
  <c r="J1242" i="5"/>
  <c r="G1242" i="5"/>
  <c r="E1242" i="5"/>
  <c r="R1240" i="5"/>
  <c r="L1240" i="5"/>
  <c r="R1239" i="5"/>
  <c r="L1239" i="5"/>
  <c r="R1238" i="5"/>
  <c r="L1238" i="5"/>
  <c r="R1237" i="5"/>
  <c r="L1237" i="5"/>
  <c r="R1236" i="5"/>
  <c r="L1236" i="5"/>
  <c r="R1235" i="5"/>
  <c r="L1235" i="5"/>
  <c r="R1234" i="5"/>
  <c r="L1234" i="5"/>
  <c r="R1233" i="5"/>
  <c r="L1233" i="5"/>
  <c r="A1233" i="5"/>
  <c r="A1234" i="5" s="1"/>
  <c r="A1235" i="5" s="1"/>
  <c r="A1236" i="5" s="1"/>
  <c r="A1237" i="5" s="1"/>
  <c r="A1238" i="5" s="1"/>
  <c r="A1239" i="5" s="1"/>
  <c r="A1240" i="5" s="1"/>
  <c r="A1241" i="5" s="1"/>
  <c r="R1232" i="5"/>
  <c r="L1232" i="5"/>
  <c r="P1230" i="5"/>
  <c r="O1230" i="5"/>
  <c r="N1230" i="5"/>
  <c r="M1230" i="5"/>
  <c r="J1230" i="5"/>
  <c r="G1230" i="5"/>
  <c r="L1225" i="5"/>
  <c r="D1225" i="5"/>
  <c r="L1224" i="5"/>
  <c r="D1224" i="5"/>
  <c r="L1223" i="5"/>
  <c r="D1223" i="5"/>
  <c r="L1222" i="5"/>
  <c r="D1222" i="5"/>
  <c r="L1221" i="5"/>
  <c r="F85" i="2" s="1"/>
  <c r="D1221" i="5"/>
  <c r="L1220" i="5"/>
  <c r="D1220" i="5"/>
  <c r="L1219" i="5"/>
  <c r="D1219" i="5"/>
  <c r="L1218" i="5"/>
  <c r="D1218" i="5"/>
  <c r="L1217" i="5"/>
  <c r="F81" i="2" s="1"/>
  <c r="D1217" i="5"/>
  <c r="R1216" i="5"/>
  <c r="L1216" i="5"/>
  <c r="R1215" i="5"/>
  <c r="L1215" i="5"/>
  <c r="H79" i="2" s="1"/>
  <c r="R1214" i="5"/>
  <c r="L1214" i="5"/>
  <c r="R1213" i="5"/>
  <c r="L1213" i="5"/>
  <c r="C77" i="2" s="1"/>
  <c r="R1212" i="5"/>
  <c r="L1212" i="5"/>
  <c r="P76" i="2" s="1"/>
  <c r="R1211" i="5"/>
  <c r="L1211" i="5"/>
  <c r="C75" i="2" s="1"/>
  <c r="Q86" i="1" s="1"/>
  <c r="R1210" i="5"/>
  <c r="L1210" i="5"/>
  <c r="C74" i="2" s="1"/>
  <c r="Q85" i="1" s="1"/>
  <c r="R1209" i="5"/>
  <c r="L1209" i="5"/>
  <c r="C73" i="2" s="1"/>
  <c r="Q84" i="1" s="1"/>
  <c r="Q1230" i="5"/>
  <c r="R1208" i="5"/>
  <c r="L1208" i="5"/>
  <c r="C72" i="2" s="1"/>
  <c r="D1208" i="5"/>
  <c r="S1207" i="5"/>
  <c r="R1206" i="5"/>
  <c r="L1206" i="5"/>
  <c r="D1206" i="5"/>
  <c r="R1205" i="5"/>
  <c r="L1205" i="5"/>
  <c r="H70" i="2" s="1"/>
  <c r="D1205" i="5"/>
  <c r="R1204" i="5"/>
  <c r="L1204" i="5"/>
  <c r="S1204" i="5" s="1"/>
  <c r="D1204" i="5"/>
  <c r="R1203" i="5"/>
  <c r="L1203" i="5"/>
  <c r="D1203" i="5"/>
  <c r="R1202" i="5"/>
  <c r="L1202" i="5"/>
  <c r="D1202" i="5"/>
  <c r="R1201" i="5"/>
  <c r="L1201" i="5"/>
  <c r="D1201" i="5"/>
  <c r="R1200" i="5"/>
  <c r="L1200" i="5"/>
  <c r="D1200" i="5"/>
  <c r="R1199" i="5"/>
  <c r="L1199" i="5"/>
  <c r="D1199" i="5"/>
  <c r="R1198" i="5"/>
  <c r="L1198" i="5"/>
  <c r="H63" i="2" s="1"/>
  <c r="D1198" i="5"/>
  <c r="R1197" i="5"/>
  <c r="L1197" i="5"/>
  <c r="C62" i="2" s="1"/>
  <c r="D1197" i="5"/>
  <c r="R1196" i="5"/>
  <c r="L1196" i="5"/>
  <c r="D1196" i="5"/>
  <c r="R1195" i="5"/>
  <c r="L1195" i="5"/>
  <c r="H60" i="2" s="1"/>
  <c r="D1195" i="5"/>
  <c r="R1194" i="5"/>
  <c r="L1194" i="5"/>
  <c r="D1194" i="5"/>
  <c r="R1193" i="5"/>
  <c r="L1193" i="5"/>
  <c r="D1193" i="5"/>
  <c r="R1192" i="5"/>
  <c r="L1192" i="5"/>
  <c r="D1192" i="5"/>
  <c r="R1191" i="5"/>
  <c r="L1191" i="5"/>
  <c r="C56" i="2" s="1"/>
  <c r="D1191" i="5"/>
  <c r="R1190" i="5"/>
  <c r="L1190" i="5"/>
  <c r="D1190" i="5"/>
  <c r="R1189" i="5"/>
  <c r="L1189" i="5"/>
  <c r="D1189" i="5"/>
  <c r="R1188" i="5"/>
  <c r="L1188" i="5"/>
  <c r="D1188" i="5"/>
  <c r="R1187" i="5"/>
  <c r="L1187" i="5"/>
  <c r="H52" i="2" s="1"/>
  <c r="D1187" i="5"/>
  <c r="R1186" i="5"/>
  <c r="L1186" i="5"/>
  <c r="D1186" i="5"/>
  <c r="R1185" i="5"/>
  <c r="L1185" i="5"/>
  <c r="D1185" i="5"/>
  <c r="R1184" i="5"/>
  <c r="L1184" i="5"/>
  <c r="D1184" i="5"/>
  <c r="R1183" i="5"/>
  <c r="L1183" i="5"/>
  <c r="C48" i="2" s="1"/>
  <c r="D1183" i="5"/>
  <c r="R1182" i="5"/>
  <c r="L1182" i="5"/>
  <c r="R1181" i="5"/>
  <c r="L1181" i="5"/>
  <c r="H46" i="2" s="1"/>
  <c r="D1181" i="5"/>
  <c r="R1180" i="5"/>
  <c r="L1180" i="5"/>
  <c r="C45" i="2" s="1"/>
  <c r="D1180" i="5"/>
  <c r="R1179" i="5"/>
  <c r="L1179" i="5"/>
  <c r="D1179" i="5"/>
  <c r="L1178" i="5"/>
  <c r="E1178" i="5"/>
  <c r="R1178" i="5" s="1"/>
  <c r="L1177" i="5"/>
  <c r="E1177" i="5"/>
  <c r="R1177" i="5" s="1"/>
  <c r="R1176" i="5"/>
  <c r="L1176" i="5"/>
  <c r="H41" i="2" s="1"/>
  <c r="D1176" i="5"/>
  <c r="R1175" i="5"/>
  <c r="L1175" i="5"/>
  <c r="C40" i="2" s="1"/>
  <c r="D1175" i="5"/>
  <c r="R1174" i="5"/>
  <c r="L1174" i="5"/>
  <c r="C39" i="2" s="1"/>
  <c r="D1174" i="5"/>
  <c r="R1173" i="5"/>
  <c r="L1173" i="5"/>
  <c r="D1173" i="5"/>
  <c r="R1172" i="5"/>
  <c r="L1172" i="5"/>
  <c r="D1172" i="5"/>
  <c r="R1171" i="5"/>
  <c r="L1171" i="5"/>
  <c r="D1171" i="5"/>
  <c r="R1170" i="5"/>
  <c r="L1170" i="5"/>
  <c r="H35" i="2" s="1"/>
  <c r="D1170" i="5"/>
  <c r="R1169" i="5"/>
  <c r="L1169" i="5"/>
  <c r="D1169" i="5"/>
  <c r="R1168" i="5"/>
  <c r="L1168" i="5"/>
  <c r="C33" i="2" s="1"/>
  <c r="D1168" i="5"/>
  <c r="R1167" i="5"/>
  <c r="L1167" i="5"/>
  <c r="D1167" i="5"/>
  <c r="R1166" i="5"/>
  <c r="L1166" i="5"/>
  <c r="H31" i="2" s="1"/>
  <c r="D1166" i="5"/>
  <c r="R1165" i="5"/>
  <c r="L1165" i="5"/>
  <c r="D1165" i="5"/>
  <c r="R1164" i="5"/>
  <c r="L1164" i="5"/>
  <c r="D1164" i="5"/>
  <c r="R1163" i="5"/>
  <c r="L1163" i="5"/>
  <c r="D1163" i="5"/>
  <c r="R1162" i="5"/>
  <c r="L1162" i="5"/>
  <c r="H27" i="2" s="1"/>
  <c r="D1162" i="5"/>
  <c r="R1161" i="5"/>
  <c r="L1161" i="5"/>
  <c r="D1161" i="5"/>
  <c r="R1160" i="5"/>
  <c r="L1160" i="5"/>
  <c r="D1160" i="5"/>
  <c r="R1159" i="5"/>
  <c r="L1159" i="5"/>
  <c r="D1159" i="5"/>
  <c r="R1158" i="5"/>
  <c r="L1158" i="5"/>
  <c r="C23" i="2" s="1"/>
  <c r="D1158" i="5"/>
  <c r="R1157" i="5"/>
  <c r="L1157" i="5"/>
  <c r="D1157" i="5"/>
  <c r="R1156" i="5"/>
  <c r="L1156" i="5"/>
  <c r="D21" i="2" s="1"/>
  <c r="D1156" i="5"/>
  <c r="R1155" i="5"/>
  <c r="L1155" i="5"/>
  <c r="D1155" i="5"/>
  <c r="R1154" i="5"/>
  <c r="L1154" i="5"/>
  <c r="H19" i="2" s="1"/>
  <c r="D1154" i="5"/>
  <c r="R1153" i="5"/>
  <c r="L1153" i="5"/>
  <c r="S1153" i="5" s="1"/>
  <c r="D1153" i="5"/>
  <c r="R1152" i="5"/>
  <c r="L1152" i="5"/>
  <c r="D1152" i="5"/>
  <c r="R1151" i="5"/>
  <c r="L1151" i="5"/>
  <c r="D1151" i="5"/>
  <c r="R1150" i="5"/>
  <c r="L1150" i="5"/>
  <c r="H15" i="2" s="1"/>
  <c r="D1150" i="5"/>
  <c r="R1149" i="5"/>
  <c r="L1149" i="5"/>
  <c r="D1149" i="5"/>
  <c r="R1148" i="5"/>
  <c r="L1148" i="5"/>
  <c r="D1148" i="5"/>
  <c r="R1147" i="5"/>
  <c r="L1147" i="5"/>
  <c r="H12" i="2" s="1"/>
  <c r="D1147" i="5"/>
  <c r="R1146" i="5"/>
  <c r="L1146" i="5"/>
  <c r="C11" i="2" s="1"/>
  <c r="D1146" i="5"/>
  <c r="R1145" i="5"/>
  <c r="L1145" i="5"/>
  <c r="P10" i="2" s="1"/>
  <c r="D1145" i="5"/>
  <c r="A1146" i="5"/>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R1144" i="5"/>
  <c r="L1144" i="5"/>
  <c r="D1144" i="5"/>
  <c r="Q1142" i="5"/>
  <c r="P1142" i="5"/>
  <c r="O1142" i="5"/>
  <c r="N1142" i="5"/>
  <c r="M1142" i="5"/>
  <c r="J1142" i="5"/>
  <c r="G1142" i="5"/>
  <c r="E1142" i="5"/>
  <c r="R1141" i="5"/>
  <c r="L1140" i="5"/>
  <c r="R1139" i="5"/>
  <c r="L1138" i="5"/>
  <c r="R1137" i="5"/>
  <c r="L1137" i="5"/>
  <c r="R1136" i="5"/>
  <c r="L1136" i="5"/>
  <c r="R1135" i="5"/>
  <c r="L1135" i="5"/>
  <c r="R1134" i="5"/>
  <c r="L1134" i="5"/>
  <c r="R1133" i="5"/>
  <c r="L1133" i="5"/>
  <c r="R1132" i="5"/>
  <c r="L1132" i="5"/>
  <c r="A1132" i="5"/>
  <c r="A1133" i="5" s="1"/>
  <c r="A1134" i="5" s="1"/>
  <c r="A1135" i="5" s="1"/>
  <c r="A1136" i="5" s="1"/>
  <c r="A1137" i="5" s="1"/>
  <c r="A1138" i="5" s="1"/>
  <c r="R1131" i="5"/>
  <c r="L1131" i="5"/>
  <c r="R1130" i="5"/>
  <c r="L1130" i="5"/>
  <c r="R1129" i="5"/>
  <c r="L1129" i="5"/>
  <c r="S1129" i="5" s="1"/>
  <c r="S1128" i="5"/>
  <c r="R1128" i="5"/>
  <c r="R1127" i="5"/>
  <c r="L1127" i="5"/>
  <c r="R1126" i="5"/>
  <c r="L1126" i="5"/>
  <c r="A1126" i="5"/>
  <c r="A1127" i="5" s="1"/>
  <c r="A1129" i="5" s="1"/>
  <c r="S1125" i="5"/>
  <c r="R1125" i="5"/>
  <c r="R1124" i="5"/>
  <c r="L1124" i="5"/>
  <c r="R1123" i="5"/>
  <c r="L1123" i="5"/>
  <c r="R1122" i="5"/>
  <c r="L1122" i="5"/>
  <c r="A1122" i="5"/>
  <c r="R1121" i="5"/>
  <c r="L1121" i="5"/>
  <c r="S1120" i="5"/>
  <c r="Q1119" i="5"/>
  <c r="P1119" i="5"/>
  <c r="O1119" i="5"/>
  <c r="N1119" i="5"/>
  <c r="M1119" i="5"/>
  <c r="J1119" i="5"/>
  <c r="G1119" i="5"/>
  <c r="E1119" i="5"/>
  <c r="D1119" i="5"/>
  <c r="R1118" i="5"/>
  <c r="L1118" i="5"/>
  <c r="L1117" i="5"/>
  <c r="L1116" i="5"/>
  <c r="S1116" i="5" s="1"/>
  <c r="L1115" i="5"/>
  <c r="L1114" i="5"/>
  <c r="L1113" i="5"/>
  <c r="L1112" i="5"/>
  <c r="S1112" i="5" s="1"/>
  <c r="L1111" i="5"/>
  <c r="L1110" i="5"/>
  <c r="L1109" i="5"/>
  <c r="L1108" i="5"/>
  <c r="S1108" i="5" s="1"/>
  <c r="L1107" i="5"/>
  <c r="L1106" i="5"/>
  <c r="L1105" i="5"/>
  <c r="L1104" i="5"/>
  <c r="S1104" i="5" s="1"/>
  <c r="L1103" i="5"/>
  <c r="L1102" i="5"/>
  <c r="R1101" i="5"/>
  <c r="L1101" i="5"/>
  <c r="S1101" i="5" s="1"/>
  <c r="R1100" i="5"/>
  <c r="L1100" i="5"/>
  <c r="S1100" i="5" s="1"/>
  <c r="R1099" i="5"/>
  <c r="L1099" i="5"/>
  <c r="S1099" i="5" s="1"/>
  <c r="R1098" i="5"/>
  <c r="L1098" i="5"/>
  <c r="R1097" i="5"/>
  <c r="L1097" i="5"/>
  <c r="S1097" i="5" s="1"/>
  <c r="R1096" i="5"/>
  <c r="L1096" i="5"/>
  <c r="L1095" i="5"/>
  <c r="R1094" i="5"/>
  <c r="L1094" i="5"/>
  <c r="R1093" i="5"/>
  <c r="L1093" i="5"/>
  <c r="R1092" i="5"/>
  <c r="L1092" i="5"/>
  <c r="S1092" i="5" s="1"/>
  <c r="R1091" i="5"/>
  <c r="L1091" i="5"/>
  <c r="R1090" i="5"/>
  <c r="L1090" i="5"/>
  <c r="R1089" i="5"/>
  <c r="L1089" i="5"/>
  <c r="R1088" i="5"/>
  <c r="L1088" i="5"/>
  <c r="R1087" i="5"/>
  <c r="L1087" i="5"/>
  <c r="R1086" i="5"/>
  <c r="L1086" i="5"/>
  <c r="R1085" i="5"/>
  <c r="L1085" i="5"/>
  <c r="L1084" i="5"/>
  <c r="S1084" i="5" s="1"/>
  <c r="R1083" i="5"/>
  <c r="L1083" i="5"/>
  <c r="R1082" i="5"/>
  <c r="L1082" i="5"/>
  <c r="S1082" i="5" s="1"/>
  <c r="R1081" i="5"/>
  <c r="L1081" i="5"/>
  <c r="R1080" i="5"/>
  <c r="L1080" i="5"/>
  <c r="S1080" i="5" s="1"/>
  <c r="R1079" i="5"/>
  <c r="L1079" i="5"/>
  <c r="R1078" i="5"/>
  <c r="L1078" i="5"/>
  <c r="S1078" i="5" s="1"/>
  <c r="R1077" i="5"/>
  <c r="L1077" i="5"/>
  <c r="L1076" i="5"/>
  <c r="R1075" i="5"/>
  <c r="L1075" i="5"/>
  <c r="R1074" i="5"/>
  <c r="L1074" i="5"/>
  <c r="R1073" i="5"/>
  <c r="L1073" i="5"/>
  <c r="R1072" i="5"/>
  <c r="L1072" i="5"/>
  <c r="R1071" i="5"/>
  <c r="L1071" i="5"/>
  <c r="R1070" i="5"/>
  <c r="L1070" i="5"/>
  <c r="R1069" i="5"/>
  <c r="L1069" i="5"/>
  <c r="R1068" i="5"/>
  <c r="L1068" i="5"/>
  <c r="L1067" i="5"/>
  <c r="S1067" i="5" s="1"/>
  <c r="R1066" i="5"/>
  <c r="L1066" i="5"/>
  <c r="R1065" i="5"/>
  <c r="L1065" i="5"/>
  <c r="S1065" i="5" s="1"/>
  <c r="R1064" i="5"/>
  <c r="L1064" i="5"/>
  <c r="R1063" i="5"/>
  <c r="L1063" i="5"/>
  <c r="S1063" i="5" s="1"/>
  <c r="L1062" i="5"/>
  <c r="R1061" i="5"/>
  <c r="L1061" i="5"/>
  <c r="R1060" i="5"/>
  <c r="L1060" i="5"/>
  <c r="R1059" i="5"/>
  <c r="L1059" i="5"/>
  <c r="R1058" i="5"/>
  <c r="L1058" i="5"/>
  <c r="R1057" i="5"/>
  <c r="L1057" i="5"/>
  <c r="R1056" i="5"/>
  <c r="L1056" i="5"/>
  <c r="R1055" i="5"/>
  <c r="L1055" i="5"/>
  <c r="L1054" i="5"/>
  <c r="S1054" i="5" s="1"/>
  <c r="R1053" i="5"/>
  <c r="L1053" i="5"/>
  <c r="R1052" i="5"/>
  <c r="L1052" i="5"/>
  <c r="S1052" i="5" s="1"/>
  <c r="A1052" i="5"/>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R1051" i="5"/>
  <c r="L1051" i="5"/>
  <c r="S1050" i="5"/>
  <c r="Q1049" i="5"/>
  <c r="P1049" i="5"/>
  <c r="O1049" i="5"/>
  <c r="N1049" i="5"/>
  <c r="M1049" i="5"/>
  <c r="J1049" i="5"/>
  <c r="G1049" i="5"/>
  <c r="E1049" i="5"/>
  <c r="D1049" i="5"/>
  <c r="L1048" i="5"/>
  <c r="L1047" i="5"/>
  <c r="L1046" i="5"/>
  <c r="L1045" i="5"/>
  <c r="R1044" i="5"/>
  <c r="L1044" i="5"/>
  <c r="R1043" i="5"/>
  <c r="L1043" i="5"/>
  <c r="R1042" i="5"/>
  <c r="L1042" i="5"/>
  <c r="R1041" i="5"/>
  <c r="L1041" i="5"/>
  <c r="R1040" i="5"/>
  <c r="L1040" i="5"/>
  <c r="R1039" i="5"/>
  <c r="L1039" i="5"/>
  <c r="R1038" i="5"/>
  <c r="L1038" i="5"/>
  <c r="R1037" i="5"/>
  <c r="L1037" i="5"/>
  <c r="R1036" i="5"/>
  <c r="L1036" i="5"/>
  <c r="R1035" i="5"/>
  <c r="L1035" i="5"/>
  <c r="R1034" i="5"/>
  <c r="L1034" i="5"/>
  <c r="R1033" i="5"/>
  <c r="L1033" i="5"/>
  <c r="R1032" i="5"/>
  <c r="L1032" i="5"/>
  <c r="R1031" i="5"/>
  <c r="L1031" i="5"/>
  <c r="R1030" i="5"/>
  <c r="L1030" i="5"/>
  <c r="R1029" i="5"/>
  <c r="L1029" i="5"/>
  <c r="R1028" i="5"/>
  <c r="L1028" i="5"/>
  <c r="R1027" i="5"/>
  <c r="L1027" i="5"/>
  <c r="R1026" i="5"/>
  <c r="L1026" i="5"/>
  <c r="R1025" i="5"/>
  <c r="L1025" i="5"/>
  <c r="R1024" i="5"/>
  <c r="L1024" i="5"/>
  <c r="R1023" i="5"/>
  <c r="L1023" i="5"/>
  <c r="R1022" i="5"/>
  <c r="L1022" i="5"/>
  <c r="R1021" i="5"/>
  <c r="L1021" i="5"/>
  <c r="R1020" i="5"/>
  <c r="L1020" i="5"/>
  <c r="R1019" i="5"/>
  <c r="L1019" i="5"/>
  <c r="A1019" i="5"/>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R1018" i="5"/>
  <c r="L1018" i="5"/>
  <c r="S1017" i="5"/>
  <c r="S1015" i="5"/>
  <c r="Q1014" i="5"/>
  <c r="O1014" i="5"/>
  <c r="N1014" i="5"/>
  <c r="M1014" i="5"/>
  <c r="J1014" i="5"/>
  <c r="G1014" i="5"/>
  <c r="E1014" i="5"/>
  <c r="D1014" i="5"/>
  <c r="L1013" i="5"/>
  <c r="L1012" i="5"/>
  <c r="L1011" i="5"/>
  <c r="R1010" i="5"/>
  <c r="L1010" i="5"/>
  <c r="R1009" i="5"/>
  <c r="L1009" i="5"/>
  <c r="R1008" i="5"/>
  <c r="L1008" i="5"/>
  <c r="R1007" i="5"/>
  <c r="L1007" i="5"/>
  <c r="R1006" i="5"/>
  <c r="L1006" i="5"/>
  <c r="R1005" i="5"/>
  <c r="L1005" i="5"/>
  <c r="R1004" i="5"/>
  <c r="L1004" i="5"/>
  <c r="R1003" i="5"/>
  <c r="L1003" i="5"/>
  <c r="R1002" i="5"/>
  <c r="L1002" i="5"/>
  <c r="A1002" i="5"/>
  <c r="A1003" i="5" s="1"/>
  <c r="A1004" i="5" s="1"/>
  <c r="A1005" i="5" s="1"/>
  <c r="A1006" i="5" s="1"/>
  <c r="A1007" i="5" s="1"/>
  <c r="A1008" i="5" s="1"/>
  <c r="A1009" i="5" s="1"/>
  <c r="A1010" i="5" s="1"/>
  <c r="A1011" i="5" s="1"/>
  <c r="A1012" i="5" s="1"/>
  <c r="A1013" i="5" s="1"/>
  <c r="R1001" i="5"/>
  <c r="L1001" i="5"/>
  <c r="Q999" i="5"/>
  <c r="O999" i="5"/>
  <c r="N999" i="5"/>
  <c r="M999" i="5"/>
  <c r="J999" i="5"/>
  <c r="G999" i="5"/>
  <c r="E999" i="5"/>
  <c r="D999" i="5"/>
  <c r="L998" i="5"/>
  <c r="L997" i="5"/>
  <c r="L996" i="5"/>
  <c r="R995" i="5"/>
  <c r="L995" i="5"/>
  <c r="R994" i="5"/>
  <c r="L994" i="5"/>
  <c r="A994" i="5"/>
  <c r="A995" i="5" s="1"/>
  <c r="A996" i="5" s="1"/>
  <c r="A997" i="5" s="1"/>
  <c r="A998" i="5" s="1"/>
  <c r="R993" i="5"/>
  <c r="L993" i="5"/>
  <c r="Q991" i="5"/>
  <c r="O991" i="5"/>
  <c r="N991" i="5"/>
  <c r="M991" i="5"/>
  <c r="J991" i="5"/>
  <c r="G991" i="5"/>
  <c r="E991" i="5"/>
  <c r="D991" i="5"/>
  <c r="L990" i="5"/>
  <c r="L989" i="5"/>
  <c r="L988" i="5"/>
  <c r="R987" i="5"/>
  <c r="L987" i="5"/>
  <c r="R986" i="5"/>
  <c r="L986" i="5"/>
  <c r="R985" i="5"/>
  <c r="L985" i="5"/>
  <c r="R984" i="5"/>
  <c r="L984" i="5"/>
  <c r="R983" i="5"/>
  <c r="L983" i="5"/>
  <c r="R982" i="5"/>
  <c r="L982" i="5"/>
  <c r="R981" i="5"/>
  <c r="L981" i="5"/>
  <c r="A981" i="5"/>
  <c r="A982" i="5" s="1"/>
  <c r="A983" i="5" s="1"/>
  <c r="A984" i="5" s="1"/>
  <c r="A985" i="5" s="1"/>
  <c r="A986" i="5" s="1"/>
  <c r="A987" i="5" s="1"/>
  <c r="A988" i="5" s="1"/>
  <c r="A989" i="5" s="1"/>
  <c r="A990" i="5" s="1"/>
  <c r="R980" i="5"/>
  <c r="L980" i="5"/>
  <c r="Q978" i="5"/>
  <c r="O978" i="5"/>
  <c r="N978" i="5"/>
  <c r="M978" i="5"/>
  <c r="J978" i="5"/>
  <c r="G978" i="5"/>
  <c r="E978" i="5"/>
  <c r="L977" i="5"/>
  <c r="L976" i="5"/>
  <c r="L975" i="5"/>
  <c r="R974" i="5"/>
  <c r="L974" i="5"/>
  <c r="D974" i="5"/>
  <c r="R973" i="5"/>
  <c r="L973" i="5"/>
  <c r="D973" i="5"/>
  <c r="R972" i="5"/>
  <c r="L972" i="5"/>
  <c r="D972" i="5"/>
  <c r="R971" i="5"/>
  <c r="L971" i="5"/>
  <c r="D971" i="5"/>
  <c r="A971" i="5"/>
  <c r="A972" i="5" s="1"/>
  <c r="A973" i="5" s="1"/>
  <c r="A974" i="5" s="1"/>
  <c r="A975" i="5" s="1"/>
  <c r="A976" i="5" s="1"/>
  <c r="A977" i="5" s="1"/>
  <c r="R970" i="5"/>
  <c r="L970" i="5"/>
  <c r="Q968" i="5"/>
  <c r="O968" i="5"/>
  <c r="N968" i="5"/>
  <c r="M968" i="5"/>
  <c r="J968" i="5"/>
  <c r="E968" i="5"/>
  <c r="L967" i="5"/>
  <c r="R966" i="5"/>
  <c r="L966" i="5"/>
  <c r="D966" i="5"/>
  <c r="R965" i="5"/>
  <c r="L965" i="5"/>
  <c r="D965" i="5"/>
  <c r="R964" i="5"/>
  <c r="L964" i="5"/>
  <c r="R963" i="5"/>
  <c r="L963" i="5"/>
  <c r="R962" i="5"/>
  <c r="L962" i="5"/>
  <c r="R961" i="5"/>
  <c r="L961" i="5"/>
  <c r="R960" i="5"/>
  <c r="L960" i="5"/>
  <c r="R959" i="5"/>
  <c r="L959" i="5"/>
  <c r="R958" i="5"/>
  <c r="L958" i="5"/>
  <c r="R957" i="5"/>
  <c r="L957" i="5"/>
  <c r="R956" i="5"/>
  <c r="L956" i="5"/>
  <c r="R955" i="5"/>
  <c r="L955" i="5"/>
  <c r="R954" i="5"/>
  <c r="L954" i="5"/>
  <c r="L953" i="5"/>
  <c r="G953" i="5"/>
  <c r="A954" i="5"/>
  <c r="A955" i="5" s="1"/>
  <c r="A956" i="5" s="1"/>
  <c r="A957" i="5" s="1"/>
  <c r="A958" i="5" s="1"/>
  <c r="A959" i="5" s="1"/>
  <c r="A960" i="5" s="1"/>
  <c r="A961" i="5" s="1"/>
  <c r="A962" i="5" s="1"/>
  <c r="A963" i="5" s="1"/>
  <c r="A964" i="5" s="1"/>
  <c r="A965" i="5" s="1"/>
  <c r="A966" i="5" s="1"/>
  <c r="A967" i="5" s="1"/>
  <c r="L952" i="5"/>
  <c r="G952" i="5"/>
  <c r="Q950" i="5"/>
  <c r="P950" i="5"/>
  <c r="O950" i="5"/>
  <c r="N950" i="5"/>
  <c r="J950" i="5"/>
  <c r="G950" i="5"/>
  <c r="E950" i="5"/>
  <c r="D950" i="5"/>
  <c r="L949" i="5"/>
  <c r="L948" i="5"/>
  <c r="R947" i="5"/>
  <c r="L947" i="5"/>
  <c r="R946" i="5"/>
  <c r="L946" i="5"/>
  <c r="R945" i="5"/>
  <c r="L945" i="5"/>
  <c r="R944" i="5"/>
  <c r="L944" i="5"/>
  <c r="R943" i="5"/>
  <c r="L943" i="5"/>
  <c r="R942" i="5"/>
  <c r="L942" i="5"/>
  <c r="R941" i="5"/>
  <c r="L941" i="5"/>
  <c r="R940" i="5"/>
  <c r="L940" i="5"/>
  <c r="R939" i="5"/>
  <c r="L939" i="5"/>
  <c r="R938" i="5"/>
  <c r="L938" i="5"/>
  <c r="R937" i="5"/>
  <c r="L937" i="5"/>
  <c r="R936" i="5"/>
  <c r="L936" i="5"/>
  <c r="R935" i="5"/>
  <c r="L935" i="5"/>
  <c r="R933" i="5"/>
  <c r="L933" i="5"/>
  <c r="R932" i="5"/>
  <c r="L932" i="5"/>
  <c r="R931" i="5"/>
  <c r="L931" i="5"/>
  <c r="R930" i="5"/>
  <c r="L930" i="5"/>
  <c r="R929" i="5"/>
  <c r="L929" i="5"/>
  <c r="R928" i="5"/>
  <c r="L928" i="5"/>
  <c r="M927" i="5"/>
  <c r="L927" i="5" s="1"/>
  <c r="R926" i="5"/>
  <c r="L926" i="5"/>
  <c r="R925" i="5"/>
  <c r="L925" i="5"/>
  <c r="R924" i="5"/>
  <c r="L924" i="5"/>
  <c r="R923" i="5"/>
  <c r="L923" i="5"/>
  <c r="R922" i="5"/>
  <c r="L922" i="5"/>
  <c r="R921" i="5"/>
  <c r="L921" i="5"/>
  <c r="R920" i="5"/>
  <c r="L920" i="5"/>
  <c r="R919" i="5"/>
  <c r="L919" i="5"/>
  <c r="R918" i="5"/>
  <c r="L918" i="5"/>
  <c r="R917" i="5"/>
  <c r="L917" i="5"/>
  <c r="R916" i="5"/>
  <c r="L916" i="5"/>
  <c r="R915" i="5"/>
  <c r="L915" i="5"/>
  <c r="R914" i="5"/>
  <c r="L914" i="5"/>
  <c r="R913" i="5"/>
  <c r="L913" i="5"/>
  <c r="R912" i="5"/>
  <c r="L912" i="5"/>
  <c r="R911" i="5"/>
  <c r="L911" i="5"/>
  <c r="R910" i="5"/>
  <c r="L910" i="5"/>
  <c r="R909" i="5"/>
  <c r="L909" i="5"/>
  <c r="L908" i="5"/>
  <c r="R907" i="5"/>
  <c r="L907" i="5"/>
  <c r="R906" i="5"/>
  <c r="L906" i="5"/>
  <c r="R905" i="5"/>
  <c r="L905" i="5"/>
  <c r="A905" i="5"/>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5" i="5" s="1"/>
  <c r="R903" i="5"/>
  <c r="Q901" i="5"/>
  <c r="N901" i="5"/>
  <c r="M901" i="5"/>
  <c r="J901" i="5"/>
  <c r="G901" i="5"/>
  <c r="E901" i="5"/>
  <c r="D901" i="5"/>
  <c r="R900" i="5"/>
  <c r="L900" i="5"/>
  <c r="L901" i="5" s="1"/>
  <c r="Q898" i="5"/>
  <c r="P898" i="5"/>
  <c r="O898" i="5"/>
  <c r="N898" i="5"/>
  <c r="M898" i="5"/>
  <c r="J898" i="5"/>
  <c r="G898" i="5"/>
  <c r="E898" i="5"/>
  <c r="D898" i="5"/>
  <c r="R897" i="5"/>
  <c r="L897" i="5"/>
  <c r="R896" i="5"/>
  <c r="L896" i="5"/>
  <c r="Q894" i="5"/>
  <c r="N894" i="5"/>
  <c r="M894" i="5"/>
  <c r="J894" i="5"/>
  <c r="G894" i="5"/>
  <c r="E894" i="5"/>
  <c r="D894" i="5"/>
  <c r="R893" i="5"/>
  <c r="L893" i="5"/>
  <c r="R892" i="5"/>
  <c r="L892" i="5"/>
  <c r="Q890" i="5"/>
  <c r="N890" i="5"/>
  <c r="M890" i="5"/>
  <c r="J890" i="5"/>
  <c r="G890" i="5"/>
  <c r="E890" i="5"/>
  <c r="D890" i="5"/>
  <c r="R889" i="5"/>
  <c r="L889" i="5"/>
  <c r="Q887" i="5"/>
  <c r="N887" i="5"/>
  <c r="M887" i="5"/>
  <c r="J887" i="5"/>
  <c r="G887" i="5"/>
  <c r="E887" i="5"/>
  <c r="D887" i="5"/>
  <c r="R886" i="5"/>
  <c r="L886" i="5"/>
  <c r="L887" i="5" s="1"/>
  <c r="Q884" i="5"/>
  <c r="N884" i="5"/>
  <c r="M884" i="5"/>
  <c r="J884" i="5"/>
  <c r="E884" i="5"/>
  <c r="D884" i="5"/>
  <c r="L883" i="5"/>
  <c r="G883" i="5"/>
  <c r="R882" i="5"/>
  <c r="L882" i="5"/>
  <c r="L881" i="5"/>
  <c r="G881" i="5"/>
  <c r="Q879" i="5"/>
  <c r="N879" i="5"/>
  <c r="M879" i="5"/>
  <c r="J879" i="5"/>
  <c r="G879" i="5"/>
  <c r="E879" i="5"/>
  <c r="D879" i="5"/>
  <c r="R878" i="5"/>
  <c r="L878" i="5"/>
  <c r="L879" i="5" s="1"/>
  <c r="Q876" i="5"/>
  <c r="O876" i="5"/>
  <c r="N876" i="5"/>
  <c r="M876" i="5"/>
  <c r="J876" i="5"/>
  <c r="G876" i="5"/>
  <c r="E876" i="5"/>
  <c r="R875" i="5"/>
  <c r="L875" i="5"/>
  <c r="D875" i="5"/>
  <c r="D876" i="5" s="1"/>
  <c r="R874" i="5"/>
  <c r="L874" i="5"/>
  <c r="R873" i="5"/>
  <c r="L873" i="5"/>
  <c r="R872" i="5"/>
  <c r="L872" i="5"/>
  <c r="A872" i="5"/>
  <c r="A873" i="5" s="1"/>
  <c r="A874" i="5" s="1"/>
  <c r="A875" i="5" s="1"/>
  <c r="R871" i="5"/>
  <c r="L871" i="5"/>
  <c r="Q869" i="5"/>
  <c r="N869" i="5"/>
  <c r="M869" i="5"/>
  <c r="J869" i="5"/>
  <c r="G869" i="5"/>
  <c r="E869" i="5"/>
  <c r="D869" i="5"/>
  <c r="R868" i="5"/>
  <c r="L868" i="5"/>
  <c r="L869" i="5" s="1"/>
  <c r="Q866" i="5"/>
  <c r="N866" i="5"/>
  <c r="M866" i="5"/>
  <c r="J866" i="5"/>
  <c r="G866" i="5"/>
  <c r="E866" i="5"/>
  <c r="D866" i="5"/>
  <c r="R865" i="5"/>
  <c r="L865" i="5"/>
  <c r="L866" i="5" s="1"/>
  <c r="Q863" i="5"/>
  <c r="O863" i="5"/>
  <c r="N863" i="5"/>
  <c r="M863" i="5"/>
  <c r="J863" i="5"/>
  <c r="G863" i="5"/>
  <c r="E863" i="5"/>
  <c r="R862" i="5"/>
  <c r="L862" i="5"/>
  <c r="D862" i="5"/>
  <c r="D863" i="5" s="1"/>
  <c r="R861" i="5"/>
  <c r="L861" i="5"/>
  <c r="R860" i="5"/>
  <c r="L860" i="5"/>
  <c r="R859" i="5"/>
  <c r="L859" i="5"/>
  <c r="R858" i="5"/>
  <c r="L858" i="5"/>
  <c r="R857" i="5"/>
  <c r="L857" i="5"/>
  <c r="R856" i="5"/>
  <c r="L856" i="5"/>
  <c r="R855" i="5"/>
  <c r="L855" i="5"/>
  <c r="R854" i="5"/>
  <c r="L854" i="5"/>
  <c r="R853" i="5"/>
  <c r="L853" i="5"/>
  <c r="R852" i="5"/>
  <c r="L852" i="5"/>
  <c r="R851" i="5"/>
  <c r="L851" i="5"/>
  <c r="R850" i="5"/>
  <c r="L850" i="5"/>
  <c r="R849" i="5"/>
  <c r="L849" i="5"/>
  <c r="A849" i="5"/>
  <c r="A850" i="5" s="1"/>
  <c r="A851" i="5" s="1"/>
  <c r="A852" i="5" s="1"/>
  <c r="A853" i="5" s="1"/>
  <c r="A854" i="5" s="1"/>
  <c r="A855" i="5" s="1"/>
  <c r="A856" i="5" s="1"/>
  <c r="A857" i="5" s="1"/>
  <c r="A858" i="5" s="1"/>
  <c r="A859" i="5" s="1"/>
  <c r="A860" i="5" s="1"/>
  <c r="A861" i="5" s="1"/>
  <c r="A862" i="5" s="1"/>
  <c r="R848" i="5"/>
  <c r="L848" i="5"/>
  <c r="Q846" i="5"/>
  <c r="P846" i="5"/>
  <c r="O846" i="5"/>
  <c r="N846" i="5"/>
  <c r="M846" i="5"/>
  <c r="J846" i="5"/>
  <c r="G846" i="5"/>
  <c r="E846" i="5"/>
  <c r="D846" i="5"/>
  <c r="L845" i="5"/>
  <c r="L844" i="5"/>
  <c r="L843" i="5"/>
  <c r="A843" i="5"/>
  <c r="A844" i="5" s="1"/>
  <c r="A845" i="5" s="1"/>
  <c r="R842" i="5"/>
  <c r="L842" i="5"/>
  <c r="Q840" i="5"/>
  <c r="N840" i="5"/>
  <c r="M840" i="5"/>
  <c r="J840" i="5"/>
  <c r="G840" i="5"/>
  <c r="E840" i="5"/>
  <c r="D840" i="5"/>
  <c r="L839" i="5"/>
  <c r="R838" i="5"/>
  <c r="L838" i="5"/>
  <c r="R837" i="5"/>
  <c r="L837" i="5"/>
  <c r="Q835" i="5"/>
  <c r="N835" i="5"/>
  <c r="M835" i="5"/>
  <c r="J835" i="5"/>
  <c r="D835" i="5"/>
  <c r="L834" i="5"/>
  <c r="L835" i="5" s="1"/>
  <c r="G834" i="5"/>
  <c r="E834" i="5"/>
  <c r="E835" i="5" s="1"/>
  <c r="Q832" i="5"/>
  <c r="O832" i="5"/>
  <c r="N832" i="5"/>
  <c r="M832" i="5"/>
  <c r="J832" i="5"/>
  <c r="G832" i="5"/>
  <c r="E832" i="5"/>
  <c r="D832" i="5"/>
  <c r="L831" i="5"/>
  <c r="L830" i="5"/>
  <c r="L829" i="5"/>
  <c r="R828" i="5"/>
  <c r="L828" i="5"/>
  <c r="R827" i="5"/>
  <c r="L827" i="5"/>
  <c r="R826" i="5"/>
  <c r="L826" i="5"/>
  <c r="R825" i="5"/>
  <c r="L825" i="5"/>
  <c r="R824" i="5"/>
  <c r="L824" i="5"/>
  <c r="R823" i="5"/>
  <c r="L823" i="5"/>
  <c r="R822" i="5"/>
  <c r="L822" i="5"/>
  <c r="R821" i="5"/>
  <c r="L821" i="5"/>
  <c r="R819" i="5"/>
  <c r="R818" i="5"/>
  <c r="L818" i="5"/>
  <c r="R817" i="5"/>
  <c r="L817" i="5"/>
  <c r="R816" i="5"/>
  <c r="L816" i="5"/>
  <c r="R815" i="5"/>
  <c r="L815" i="5"/>
  <c r="R814" i="5"/>
  <c r="L814" i="5"/>
  <c r="R813" i="5"/>
  <c r="L813" i="5"/>
  <c r="R812" i="5"/>
  <c r="L812" i="5"/>
  <c r="R811" i="5"/>
  <c r="L811" i="5"/>
  <c r="R810" i="5"/>
  <c r="L810" i="5"/>
  <c r="R809" i="5"/>
  <c r="L809" i="5"/>
  <c r="R808" i="5"/>
  <c r="L808" i="5"/>
  <c r="R807" i="5"/>
  <c r="L807" i="5"/>
  <c r="A807" i="5"/>
  <c r="A808" i="5" s="1"/>
  <c r="A809" i="5" s="1"/>
  <c r="A810" i="5" s="1"/>
  <c r="A811" i="5" s="1"/>
  <c r="A812" i="5" s="1"/>
  <c r="A813" i="5" s="1"/>
  <c r="A814" i="5" s="1"/>
  <c r="A815" i="5" s="1"/>
  <c r="A816" i="5" s="1"/>
  <c r="A817" i="5" s="1"/>
  <c r="A818" i="5" s="1"/>
  <c r="A819" i="5" s="1"/>
  <c r="A821" i="5" s="1"/>
  <c r="A822" i="5" s="1"/>
  <c r="A823" i="5" s="1"/>
  <c r="A824" i="5" s="1"/>
  <c r="A825" i="5" s="1"/>
  <c r="A826" i="5" s="1"/>
  <c r="A827" i="5" s="1"/>
  <c r="A828" i="5" s="1"/>
  <c r="A829" i="5" s="1"/>
  <c r="A830" i="5" s="1"/>
  <c r="A831" i="5" s="1"/>
  <c r="R806" i="5"/>
  <c r="L806" i="5"/>
  <c r="Q804" i="5"/>
  <c r="P804" i="5"/>
  <c r="O804" i="5"/>
  <c r="N804" i="5"/>
  <c r="M804" i="5"/>
  <c r="J804" i="5"/>
  <c r="E804" i="5"/>
  <c r="L803" i="5"/>
  <c r="L802" i="5"/>
  <c r="G802" i="5"/>
  <c r="D802" i="5"/>
  <c r="D804" i="5" s="1"/>
  <c r="Q800" i="5"/>
  <c r="N800" i="5"/>
  <c r="M800" i="5"/>
  <c r="J800" i="5"/>
  <c r="E800" i="5"/>
  <c r="L799" i="5"/>
  <c r="G799" i="5"/>
  <c r="L798" i="5"/>
  <c r="G798" i="5"/>
  <c r="L797" i="5"/>
  <c r="G797" i="5"/>
  <c r="R796" i="5"/>
  <c r="L796" i="5"/>
  <c r="L795" i="5"/>
  <c r="G795" i="5"/>
  <c r="L794" i="5"/>
  <c r="G794" i="5"/>
  <c r="D794" i="5"/>
  <c r="D800" i="5" s="1"/>
  <c r="Q792" i="5"/>
  <c r="N792" i="5"/>
  <c r="M792" i="5"/>
  <c r="J792" i="5"/>
  <c r="G792" i="5"/>
  <c r="R791" i="5"/>
  <c r="L791" i="5"/>
  <c r="E791" i="5"/>
  <c r="E792" i="5" s="1"/>
  <c r="Q789" i="5"/>
  <c r="N789" i="5"/>
  <c r="M789" i="5"/>
  <c r="J789" i="5"/>
  <c r="G789" i="5"/>
  <c r="E789" i="5"/>
  <c r="D789" i="5"/>
  <c r="R788" i="5"/>
  <c r="L788" i="5"/>
  <c r="R787" i="5"/>
  <c r="L787" i="5"/>
  <c r="R786" i="5"/>
  <c r="L786" i="5"/>
  <c r="Q784" i="5"/>
  <c r="O784" i="5"/>
  <c r="N784" i="5"/>
  <c r="M784" i="5"/>
  <c r="J784" i="5"/>
  <c r="G784" i="5"/>
  <c r="L783" i="5"/>
  <c r="R782" i="5"/>
  <c r="L782" i="5"/>
  <c r="E782" i="5"/>
  <c r="R781" i="5"/>
  <c r="L781" i="5"/>
  <c r="D781" i="5"/>
  <c r="R780" i="5"/>
  <c r="L780" i="5"/>
  <c r="D780" i="5"/>
  <c r="R779" i="5"/>
  <c r="L779" i="5"/>
  <c r="D779" i="5"/>
  <c r="R778" i="5"/>
  <c r="L778" i="5"/>
  <c r="D778" i="5"/>
  <c r="R777" i="5"/>
  <c r="L777" i="5"/>
  <c r="D777" i="5"/>
  <c r="R776" i="5"/>
  <c r="L776" i="5"/>
  <c r="D776" i="5"/>
  <c r="R775" i="5"/>
  <c r="L775" i="5"/>
  <c r="D775" i="5"/>
  <c r="R774" i="5"/>
  <c r="L774" i="5"/>
  <c r="D774" i="5"/>
  <c r="R773" i="5"/>
  <c r="L773" i="5"/>
  <c r="D773" i="5"/>
  <c r="L772" i="5"/>
  <c r="E772" i="5"/>
  <c r="D772" i="5" s="1"/>
  <c r="R771" i="5"/>
  <c r="L771" i="5"/>
  <c r="D771" i="5"/>
  <c r="R770" i="5"/>
  <c r="L770" i="5"/>
  <c r="E770" i="5"/>
  <c r="D770" i="5" s="1"/>
  <c r="R769" i="5"/>
  <c r="L769" i="5"/>
  <c r="D769" i="5"/>
  <c r="A769" i="5"/>
  <c r="A770" i="5" s="1"/>
  <c r="A771" i="5" s="1"/>
  <c r="A772" i="5" s="1"/>
  <c r="A773" i="5" s="1"/>
  <c r="A774" i="5" s="1"/>
  <c r="A775" i="5" s="1"/>
  <c r="A776" i="5" s="1"/>
  <c r="A777" i="5" s="1"/>
  <c r="A778" i="5" s="1"/>
  <c r="A779" i="5" s="1"/>
  <c r="A780" i="5" s="1"/>
  <c r="A781" i="5" s="1"/>
  <c r="A782" i="5" s="1"/>
  <c r="A783" i="5" s="1"/>
  <c r="R768" i="5"/>
  <c r="L768" i="5"/>
  <c r="D768" i="5"/>
  <c r="Q766" i="5"/>
  <c r="N766" i="5"/>
  <c r="M766" i="5"/>
  <c r="J766" i="5"/>
  <c r="G766" i="5"/>
  <c r="E766" i="5"/>
  <c r="D766" i="5"/>
  <c r="R765" i="5"/>
  <c r="L765" i="5"/>
  <c r="R764" i="5"/>
  <c r="L764" i="5"/>
  <c r="Q762" i="5"/>
  <c r="O762" i="5"/>
  <c r="N762" i="5"/>
  <c r="M762" i="5"/>
  <c r="J762" i="5"/>
  <c r="G762" i="5"/>
  <c r="D762" i="5"/>
  <c r="L761" i="5"/>
  <c r="L760" i="5"/>
  <c r="R759" i="5"/>
  <c r="L759" i="5"/>
  <c r="R758" i="5"/>
  <c r="L758" i="5"/>
  <c r="R757" i="5"/>
  <c r="L757" i="5"/>
  <c r="R756" i="5"/>
  <c r="L756" i="5"/>
  <c r="L755" i="5"/>
  <c r="E755" i="5"/>
  <c r="R754" i="5"/>
  <c r="L754" i="5"/>
  <c r="R753" i="5"/>
  <c r="L753" i="5"/>
  <c r="R752" i="5"/>
  <c r="L752" i="5"/>
  <c r="R751" i="5"/>
  <c r="L751" i="5"/>
  <c r="R750" i="5"/>
  <c r="L750" i="5"/>
  <c r="R749" i="5"/>
  <c r="L749" i="5"/>
  <c r="R748" i="5"/>
  <c r="L748" i="5"/>
  <c r="R747" i="5"/>
  <c r="L747" i="5"/>
  <c r="R746" i="5"/>
  <c r="L746" i="5"/>
  <c r="R745" i="5"/>
  <c r="L745" i="5"/>
  <c r="R744" i="5"/>
  <c r="L744" i="5"/>
  <c r="R743" i="5"/>
  <c r="L743" i="5"/>
  <c r="R742" i="5"/>
  <c r="L742" i="5"/>
  <c r="A742" i="5"/>
  <c r="A743" i="5" s="1"/>
  <c r="A744" i="5" s="1"/>
  <c r="A745" i="5" s="1"/>
  <c r="A746" i="5" s="1"/>
  <c r="A747" i="5" s="1"/>
  <c r="A748" i="5" s="1"/>
  <c r="A749" i="5" s="1"/>
  <c r="A750" i="5" s="1"/>
  <c r="A751" i="5" s="1"/>
  <c r="R741" i="5"/>
  <c r="L741" i="5"/>
  <c r="Q739" i="5"/>
  <c r="N739" i="5"/>
  <c r="M739" i="5"/>
  <c r="J739" i="5"/>
  <c r="G739" i="5"/>
  <c r="E739" i="5"/>
  <c r="D739" i="5"/>
  <c r="R738" i="5"/>
  <c r="L738" i="5"/>
  <c r="R737" i="5"/>
  <c r="L737" i="5"/>
  <c r="Q735" i="5"/>
  <c r="N735" i="5"/>
  <c r="M735" i="5"/>
  <c r="J735" i="5"/>
  <c r="G735" i="5"/>
  <c r="E735" i="5"/>
  <c r="D735" i="5"/>
  <c r="R734" i="5"/>
  <c r="L734" i="5"/>
  <c r="Q732" i="5"/>
  <c r="O732" i="5"/>
  <c r="N732" i="5"/>
  <c r="M732" i="5"/>
  <c r="J732" i="5"/>
  <c r="G732" i="5"/>
  <c r="E732" i="5"/>
  <c r="D732" i="5"/>
  <c r="L731" i="5"/>
  <c r="L730" i="5"/>
  <c r="L729" i="5"/>
  <c r="R728" i="5"/>
  <c r="L728" i="5"/>
  <c r="R727" i="5"/>
  <c r="L727" i="5"/>
  <c r="R726" i="5"/>
  <c r="L726" i="5"/>
  <c r="R725" i="5"/>
  <c r="L725" i="5"/>
  <c r="R724" i="5"/>
  <c r="L724" i="5"/>
  <c r="R723" i="5"/>
  <c r="L723" i="5"/>
  <c r="R722" i="5"/>
  <c r="L722" i="5"/>
  <c r="R721" i="5"/>
  <c r="L721" i="5"/>
  <c r="R720" i="5"/>
  <c r="L720" i="5"/>
  <c r="R719" i="5"/>
  <c r="L719" i="5"/>
  <c r="R718" i="5"/>
  <c r="L718" i="5"/>
  <c r="R717" i="5"/>
  <c r="L717" i="5"/>
  <c r="R716" i="5"/>
  <c r="L716" i="5"/>
  <c r="R715" i="5"/>
  <c r="L715" i="5"/>
  <c r="R714" i="5"/>
  <c r="L714" i="5"/>
  <c r="R713" i="5"/>
  <c r="L713" i="5"/>
  <c r="R712" i="5"/>
  <c r="L712" i="5"/>
  <c r="R711" i="5"/>
  <c r="L711" i="5"/>
  <c r="R710" i="5"/>
  <c r="L710" i="5"/>
  <c r="R709" i="5"/>
  <c r="L709" i="5"/>
  <c r="R708" i="5"/>
  <c r="L708" i="5"/>
  <c r="R707" i="5"/>
  <c r="L707" i="5"/>
  <c r="R706" i="5"/>
  <c r="L706" i="5"/>
  <c r="R705" i="5"/>
  <c r="L705" i="5"/>
  <c r="R704" i="5"/>
  <c r="L704" i="5"/>
  <c r="R703" i="5"/>
  <c r="L703" i="5"/>
  <c r="R702" i="5"/>
  <c r="L702" i="5"/>
  <c r="R701" i="5"/>
  <c r="L701" i="5"/>
  <c r="R700" i="5"/>
  <c r="L700" i="5"/>
  <c r="R699" i="5"/>
  <c r="L699" i="5"/>
  <c r="R698" i="5"/>
  <c r="L698" i="5"/>
  <c r="R697" i="5"/>
  <c r="L697" i="5"/>
  <c r="R696" i="5"/>
  <c r="L696" i="5"/>
  <c r="R695" i="5"/>
  <c r="L695" i="5"/>
  <c r="R694" i="5"/>
  <c r="L694" i="5"/>
  <c r="R693" i="5"/>
  <c r="L693" i="5"/>
  <c r="A693" i="5"/>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R692" i="5"/>
  <c r="L692" i="5"/>
  <c r="Q690" i="5"/>
  <c r="O690" i="5"/>
  <c r="N690" i="5"/>
  <c r="J690" i="5"/>
  <c r="G690" i="5"/>
  <c r="E690" i="5"/>
  <c r="D690" i="5"/>
  <c r="M689" i="5"/>
  <c r="R689" i="5" s="1"/>
  <c r="R688" i="5"/>
  <c r="L688" i="5"/>
  <c r="A688" i="5"/>
  <c r="A689" i="5" s="1"/>
  <c r="R687" i="5"/>
  <c r="L687" i="5"/>
  <c r="Q685" i="5"/>
  <c r="O685" i="5"/>
  <c r="N685" i="5"/>
  <c r="M685" i="5"/>
  <c r="J685" i="5"/>
  <c r="G685" i="5"/>
  <c r="E685" i="5"/>
  <c r="R684" i="5"/>
  <c r="L684" i="5"/>
  <c r="I684" i="5"/>
  <c r="H684" i="5"/>
  <c r="D684" i="5"/>
  <c r="C684" i="5"/>
  <c r="R683" i="5"/>
  <c r="L683" i="5"/>
  <c r="I683" i="5"/>
  <c r="H683" i="5"/>
  <c r="D683" i="5"/>
  <c r="C683" i="5"/>
  <c r="R682" i="5"/>
  <c r="L682" i="5"/>
  <c r="I682" i="5"/>
  <c r="H682" i="5"/>
  <c r="D682" i="5"/>
  <c r="C682" i="5"/>
  <c r="Q680" i="5"/>
  <c r="N680" i="5"/>
  <c r="M680" i="5"/>
  <c r="J680" i="5"/>
  <c r="G680" i="5"/>
  <c r="E680" i="5"/>
  <c r="D680" i="5"/>
  <c r="R679" i="5"/>
  <c r="L679" i="5"/>
  <c r="L680" i="5" s="1"/>
  <c r="Q677" i="5"/>
  <c r="O677" i="5"/>
  <c r="N677" i="5"/>
  <c r="M677" i="5"/>
  <c r="J677" i="5"/>
  <c r="G677" i="5"/>
  <c r="R676" i="5"/>
  <c r="L676" i="5"/>
  <c r="D676" i="5"/>
  <c r="R675" i="5"/>
  <c r="L675" i="5"/>
  <c r="R674" i="5"/>
  <c r="L674" i="5"/>
  <c r="R673" i="5"/>
  <c r="L673" i="5"/>
  <c r="R672" i="5"/>
  <c r="L672" i="5"/>
  <c r="E672" i="5"/>
  <c r="D672" i="5" s="1"/>
  <c r="R671" i="5"/>
  <c r="L671" i="5"/>
  <c r="E671" i="5"/>
  <c r="Q669" i="5"/>
  <c r="P669" i="5"/>
  <c r="O669" i="5"/>
  <c r="N669" i="5"/>
  <c r="M669" i="5"/>
  <c r="J669" i="5"/>
  <c r="L668" i="5"/>
  <c r="L667" i="5"/>
  <c r="L666" i="5"/>
  <c r="L665" i="5"/>
  <c r="L664" i="5"/>
  <c r="L663" i="5"/>
  <c r="R662" i="5"/>
  <c r="L662" i="5"/>
  <c r="R661" i="5"/>
  <c r="L661" i="5"/>
  <c r="L660" i="5"/>
  <c r="R659" i="5"/>
  <c r="L659" i="5"/>
  <c r="R658" i="5"/>
  <c r="L658" i="5"/>
  <c r="R657" i="5"/>
  <c r="L657" i="5"/>
  <c r="R656" i="5"/>
  <c r="L656" i="5"/>
  <c r="R655" i="5"/>
  <c r="L655" i="5"/>
  <c r="R654" i="5"/>
  <c r="L654" i="5"/>
  <c r="G654" i="5"/>
  <c r="G669" i="5" s="1"/>
  <c r="E654" i="5"/>
  <c r="E669" i="5" s="1"/>
  <c r="R653" i="5"/>
  <c r="L653" i="5"/>
  <c r="R652" i="5"/>
  <c r="L652" i="5"/>
  <c r="R651" i="5"/>
  <c r="L651" i="5"/>
  <c r="R650" i="5"/>
  <c r="L650" i="5"/>
  <c r="R649" i="5"/>
  <c r="L649" i="5"/>
  <c r="R648" i="5"/>
  <c r="L648" i="5"/>
  <c r="R647" i="5"/>
  <c r="L647" i="5"/>
  <c r="R646" i="5"/>
  <c r="L646" i="5"/>
  <c r="L645" i="5"/>
  <c r="R644" i="5"/>
  <c r="L644" i="5"/>
  <c r="R643" i="5"/>
  <c r="L643" i="5"/>
  <c r="R642" i="5"/>
  <c r="L642" i="5"/>
  <c r="R640" i="5"/>
  <c r="L640" i="5"/>
  <c r="R638" i="5"/>
  <c r="R637" i="5"/>
  <c r="L637" i="5"/>
  <c r="R636" i="5"/>
  <c r="L636" i="5"/>
  <c r="R634" i="5"/>
  <c r="R632" i="5"/>
  <c r="R630" i="5"/>
  <c r="R629" i="5"/>
  <c r="L629" i="5"/>
  <c r="R628" i="5"/>
  <c r="L628" i="5"/>
  <c r="R626" i="5"/>
  <c r="R625" i="5"/>
  <c r="L625" i="5"/>
  <c r="L624" i="5"/>
  <c r="L623" i="5"/>
  <c r="L622" i="5"/>
  <c r="R621" i="5"/>
  <c r="L621" i="5"/>
  <c r="R620" i="5"/>
  <c r="L620" i="5"/>
  <c r="R619" i="5"/>
  <c r="L619" i="5"/>
  <c r="R618" i="5"/>
  <c r="L618" i="5"/>
  <c r="R617" i="5"/>
  <c r="L617" i="5"/>
  <c r="R616" i="5"/>
  <c r="L616" i="5"/>
  <c r="R615" i="5"/>
  <c r="L615" i="5"/>
  <c r="R614" i="5"/>
  <c r="L614" i="5"/>
  <c r="R613" i="5"/>
  <c r="L613" i="5"/>
  <c r="R611" i="5"/>
  <c r="R610" i="5"/>
  <c r="L610" i="5"/>
  <c r="R608" i="5"/>
  <c r="R607" i="5"/>
  <c r="L607" i="5"/>
  <c r="R606" i="5"/>
  <c r="L606" i="5"/>
  <c r="L605" i="5"/>
  <c r="L604" i="5"/>
  <c r="R603" i="5"/>
  <c r="L603" i="5"/>
  <c r="R602" i="5"/>
  <c r="L602" i="5"/>
  <c r="R601" i="5"/>
  <c r="L601" i="5"/>
  <c r="R600" i="5"/>
  <c r="L600" i="5"/>
  <c r="L599" i="5"/>
  <c r="A599" i="5"/>
  <c r="A600" i="5" s="1"/>
  <c r="A601" i="5" s="1"/>
  <c r="A602" i="5" s="1"/>
  <c r="A603" i="5" s="1"/>
  <c r="A604" i="5" s="1"/>
  <c r="A605" i="5" s="1"/>
  <c r="A606" i="5" s="1"/>
  <c r="A607" i="5" s="1"/>
  <c r="A608" i="5" s="1"/>
  <c r="A610" i="5" s="1"/>
  <c r="R598" i="5"/>
  <c r="L598" i="5"/>
  <c r="Q596" i="5"/>
  <c r="O596" i="5"/>
  <c r="N596" i="5"/>
  <c r="M596" i="5"/>
  <c r="J596" i="5"/>
  <c r="E596" i="5"/>
  <c r="L588" i="5"/>
  <c r="L587" i="5"/>
  <c r="L586" i="5"/>
  <c r="L585" i="5"/>
  <c r="L584" i="5"/>
  <c r="L583" i="5"/>
  <c r="L582" i="5"/>
  <c r="L581" i="5"/>
  <c r="R580" i="5"/>
  <c r="L580" i="5"/>
  <c r="G580" i="5"/>
  <c r="R579" i="5"/>
  <c r="L579" i="5"/>
  <c r="G579" i="5"/>
  <c r="R578" i="5"/>
  <c r="L578" i="5"/>
  <c r="R577" i="5"/>
  <c r="L577" i="5"/>
  <c r="R576" i="5"/>
  <c r="L576" i="5"/>
  <c r="R575" i="5"/>
  <c r="L575" i="5"/>
  <c r="R574" i="5"/>
  <c r="L574" i="5"/>
  <c r="R573" i="5"/>
  <c r="L573" i="5"/>
  <c r="G573" i="5"/>
  <c r="L572" i="5"/>
  <c r="G572" i="5"/>
  <c r="L571" i="5"/>
  <c r="G571" i="5"/>
  <c r="R570" i="5"/>
  <c r="L570" i="5"/>
  <c r="G570" i="5"/>
  <c r="L569" i="5"/>
  <c r="G569" i="5"/>
  <c r="R568" i="5"/>
  <c r="L568" i="5"/>
  <c r="G568" i="5"/>
  <c r="R567" i="5"/>
  <c r="L567" i="5"/>
  <c r="R566" i="5"/>
  <c r="L566" i="5"/>
  <c r="R565" i="5"/>
  <c r="L565" i="5"/>
  <c r="G565" i="5"/>
  <c r="R564" i="5"/>
  <c r="L564" i="5"/>
  <c r="G564" i="5"/>
  <c r="R563" i="5"/>
  <c r="L563" i="5"/>
  <c r="L562" i="5"/>
  <c r="G562" i="5"/>
  <c r="R561" i="5"/>
  <c r="L561" i="5"/>
  <c r="G561" i="5"/>
  <c r="L560" i="5"/>
  <c r="G560" i="5"/>
  <c r="R559" i="5"/>
  <c r="L559" i="5"/>
  <c r="R558" i="5"/>
  <c r="L558" i="5"/>
  <c r="L557" i="5"/>
  <c r="G557" i="5"/>
  <c r="R556" i="5"/>
  <c r="L556" i="5"/>
  <c r="G556" i="5"/>
  <c r="R555" i="5"/>
  <c r="L555" i="5"/>
  <c r="R554" i="5"/>
  <c r="L554" i="5"/>
  <c r="L553" i="5"/>
  <c r="G553" i="5"/>
  <c r="R552" i="5"/>
  <c r="L552" i="5"/>
  <c r="R551" i="5"/>
  <c r="L551" i="5"/>
  <c r="R550" i="5"/>
  <c r="L550" i="5"/>
  <c r="R548" i="5"/>
  <c r="L548" i="5"/>
  <c r="D548" i="5"/>
  <c r="R547" i="5"/>
  <c r="L547" i="5"/>
  <c r="G547" i="5"/>
  <c r="R546" i="5"/>
  <c r="L546" i="5"/>
  <c r="G546" i="5"/>
  <c r="R545" i="5"/>
  <c r="L545" i="5"/>
  <c r="L544" i="5"/>
  <c r="G544" i="5"/>
  <c r="R543" i="5"/>
  <c r="L543" i="5"/>
  <c r="G543" i="5"/>
  <c r="L542" i="5"/>
  <c r="G542" i="5"/>
  <c r="R540" i="5"/>
  <c r="L540" i="5"/>
  <c r="L539" i="5"/>
  <c r="G539" i="5"/>
  <c r="R538" i="5"/>
  <c r="L538" i="5"/>
  <c r="G538" i="5"/>
  <c r="L537" i="5"/>
  <c r="G537" i="5"/>
  <c r="R536" i="5"/>
  <c r="L536" i="5"/>
  <c r="L535" i="5"/>
  <c r="G535" i="5"/>
  <c r="R534" i="5"/>
  <c r="R533" i="5"/>
  <c r="L533" i="5"/>
  <c r="G533" i="5"/>
  <c r="L532" i="5"/>
  <c r="G532" i="5"/>
  <c r="R531" i="5"/>
  <c r="L531" i="5"/>
  <c r="R529" i="5"/>
  <c r="G529" i="5"/>
  <c r="A529" i="5"/>
  <c r="A531" i="5" s="1"/>
  <c r="A532" i="5" s="1"/>
  <c r="A533" i="5" s="1"/>
  <c r="A535" i="5" s="1"/>
  <c r="A536" i="5" s="1"/>
  <c r="A537" i="5" s="1"/>
  <c r="A538" i="5" s="1"/>
  <c r="A539" i="5" s="1"/>
  <c r="A540" i="5" s="1"/>
  <c r="A542" i="5" s="1"/>
  <c r="A543" i="5" s="1"/>
  <c r="A544" i="5" s="1"/>
  <c r="A545" i="5" s="1"/>
  <c r="A546" i="5" s="1"/>
  <c r="A547" i="5" s="1"/>
  <c r="A548" i="5" s="1"/>
  <c r="A550" i="5" s="1"/>
  <c r="A551" i="5" s="1"/>
  <c r="A552" i="5" s="1"/>
  <c r="A553" i="5" s="1"/>
  <c r="A554" i="5" s="1"/>
  <c r="A555" i="5" s="1"/>
  <c r="A556" i="5" s="1"/>
  <c r="A557" i="5" s="1"/>
  <c r="A558" i="5" s="1"/>
  <c r="A559" i="5" s="1"/>
  <c r="A560" i="5" s="1"/>
  <c r="A561" i="5" s="1"/>
  <c r="A562" i="5" s="1"/>
  <c r="A563" i="5" s="1"/>
  <c r="A564" i="5" s="1"/>
  <c r="A565" i="5" s="1"/>
  <c r="A566" i="5" s="1"/>
  <c r="A567" i="5" s="1"/>
  <c r="R528" i="5"/>
  <c r="L528" i="5"/>
  <c r="Q526" i="5"/>
  <c r="O526" i="5"/>
  <c r="N526" i="5"/>
  <c r="J526" i="5"/>
  <c r="G526" i="5"/>
  <c r="E526" i="5"/>
  <c r="D526" i="5"/>
  <c r="L525" i="5"/>
  <c r="R524" i="5"/>
  <c r="L524" i="5"/>
  <c r="R523" i="5"/>
  <c r="L523" i="5"/>
  <c r="R522" i="5"/>
  <c r="L522" i="5"/>
  <c r="R521" i="5"/>
  <c r="L521" i="5"/>
  <c r="R520" i="5"/>
  <c r="L520" i="5"/>
  <c r="A520" i="5"/>
  <c r="A521" i="5" s="1"/>
  <c r="A522" i="5" s="1"/>
  <c r="A523" i="5" s="1"/>
  <c r="A524" i="5" s="1"/>
  <c r="A525" i="5" s="1"/>
  <c r="R519" i="5"/>
  <c r="L519" i="5"/>
  <c r="Q515" i="5"/>
  <c r="Q12" i="5" s="1"/>
  <c r="P515" i="5"/>
  <c r="P12" i="5" s="1"/>
  <c r="O515" i="5"/>
  <c r="O12" i="5" s="1"/>
  <c r="N515" i="5"/>
  <c r="N12" i="5" s="1"/>
  <c r="E515" i="5"/>
  <c r="E12" i="5" s="1"/>
  <c r="D515" i="5"/>
  <c r="D12" i="5" s="1"/>
  <c r="L491" i="5"/>
  <c r="L490" i="5"/>
  <c r="L489" i="5"/>
  <c r="S488" i="5"/>
  <c r="L487" i="5"/>
  <c r="L486" i="5"/>
  <c r="L485" i="5"/>
  <c r="L484" i="5"/>
  <c r="S484" i="5" s="1"/>
  <c r="L483" i="5"/>
  <c r="L482" i="5"/>
  <c r="M481" i="5"/>
  <c r="U481" i="5" s="1"/>
  <c r="L480" i="5"/>
  <c r="L479" i="5"/>
  <c r="L478" i="5"/>
  <c r="L477" i="5"/>
  <c r="L476" i="5"/>
  <c r="L475" i="5"/>
  <c r="L474" i="5"/>
  <c r="L473" i="5"/>
  <c r="L472" i="5"/>
  <c r="S471" i="5"/>
  <c r="L470" i="5"/>
  <c r="L469" i="5"/>
  <c r="S468" i="5"/>
  <c r="L467" i="5"/>
  <c r="L466" i="5"/>
  <c r="L465" i="5"/>
  <c r="L464" i="5"/>
  <c r="L463" i="5"/>
  <c r="L462" i="5"/>
  <c r="L461" i="5"/>
  <c r="L458" i="5"/>
  <c r="S458" i="5" s="1"/>
  <c r="L457" i="5"/>
  <c r="L456" i="5"/>
  <c r="S456" i="5" s="1"/>
  <c r="S455" i="5"/>
  <c r="L454" i="5"/>
  <c r="L453" i="5"/>
  <c r="S453" i="5" s="1"/>
  <c r="L452" i="5"/>
  <c r="L451" i="5"/>
  <c r="S451" i="5" s="1"/>
  <c r="L450" i="5"/>
  <c r="L449" i="5"/>
  <c r="S449" i="5" s="1"/>
  <c r="L448" i="5"/>
  <c r="L447" i="5"/>
  <c r="L446" i="5"/>
  <c r="S446" i="5" s="1"/>
  <c r="L445" i="5"/>
  <c r="L444" i="5"/>
  <c r="L443" i="5"/>
  <c r="L442" i="5"/>
  <c r="S441" i="5"/>
  <c r="S440" i="5"/>
  <c r="L439" i="5"/>
  <c r="L438" i="5"/>
  <c r="L437" i="5"/>
  <c r="L436" i="5"/>
  <c r="L435" i="5"/>
  <c r="L434" i="5"/>
  <c r="R433" i="5"/>
  <c r="L433" i="5"/>
  <c r="S433" i="5" s="1"/>
  <c r="S432" i="5"/>
  <c r="R432" i="5"/>
  <c r="R431" i="5"/>
  <c r="L431" i="5"/>
  <c r="S431" i="5" s="1"/>
  <c r="R430" i="5"/>
  <c r="L430" i="5"/>
  <c r="L429" i="5"/>
  <c r="L428" i="5"/>
  <c r="R427" i="5"/>
  <c r="L427" i="5"/>
  <c r="R425" i="5"/>
  <c r="S424" i="5"/>
  <c r="R424" i="5"/>
  <c r="R423" i="5"/>
  <c r="L423" i="5"/>
  <c r="S423" i="5" s="1"/>
  <c r="R422" i="5"/>
  <c r="L422" i="5"/>
  <c r="R421" i="5"/>
  <c r="L421" i="5"/>
  <c r="S421" i="5" s="1"/>
  <c r="R420" i="5"/>
  <c r="L420" i="5"/>
  <c r="R419" i="5"/>
  <c r="L419" i="5"/>
  <c r="S419" i="5" s="1"/>
  <c r="R418" i="5"/>
  <c r="L418" i="5"/>
  <c r="G418" i="5"/>
  <c r="R417" i="5"/>
  <c r="L417" i="5"/>
  <c r="R416" i="5"/>
  <c r="L416" i="5"/>
  <c r="R415" i="5"/>
  <c r="L415" i="5"/>
  <c r="S414" i="5"/>
  <c r="R413" i="5"/>
  <c r="L413" i="5"/>
  <c r="R412" i="5"/>
  <c r="L412" i="5"/>
  <c r="R411" i="5"/>
  <c r="L411" i="5"/>
  <c r="R410" i="5"/>
  <c r="L410" i="5"/>
  <c r="L409" i="5"/>
  <c r="L408" i="5"/>
  <c r="S408" i="5" s="1"/>
  <c r="L407" i="5"/>
  <c r="R406" i="5"/>
  <c r="L406" i="5"/>
  <c r="R405" i="5"/>
  <c r="L405" i="5"/>
  <c r="S404" i="5"/>
  <c r="R404" i="5"/>
  <c r="R403" i="5"/>
  <c r="L403" i="5"/>
  <c r="R402" i="5"/>
  <c r="L402" i="5"/>
  <c r="R401" i="5"/>
  <c r="L401" i="5"/>
  <c r="R400" i="5"/>
  <c r="L400" i="5"/>
  <c r="R399" i="5"/>
  <c r="R398" i="5"/>
  <c r="L398" i="5"/>
  <c r="R397" i="5"/>
  <c r="L397" i="5"/>
  <c r="R396" i="5"/>
  <c r="L396" i="5"/>
  <c r="L395" i="5"/>
  <c r="S395" i="5" s="1"/>
  <c r="R394" i="5"/>
  <c r="L394" i="5"/>
  <c r="S394" i="5" s="1"/>
  <c r="R393" i="5"/>
  <c r="L393" i="5"/>
  <c r="S393" i="5" s="1"/>
  <c r="R392" i="5"/>
  <c r="L392" i="5"/>
  <c r="S392" i="5" s="1"/>
  <c r="L391" i="5"/>
  <c r="J391" i="5"/>
  <c r="R391" i="5" s="1"/>
  <c r="R390" i="5"/>
  <c r="L390" i="5"/>
  <c r="R389" i="5"/>
  <c r="L389" i="5"/>
  <c r="R388" i="5"/>
  <c r="L388" i="5"/>
  <c r="R387" i="5"/>
  <c r="L387" i="5"/>
  <c r="R386" i="5"/>
  <c r="L386" i="5"/>
  <c r="S385" i="5"/>
  <c r="L384" i="5"/>
  <c r="L383" i="5"/>
  <c r="S382" i="5"/>
  <c r="R381" i="5"/>
  <c r="L381" i="5"/>
  <c r="L380" i="5"/>
  <c r="L379" i="5"/>
  <c r="S379" i="5" s="1"/>
  <c r="L378" i="5"/>
  <c r="R377" i="5"/>
  <c r="L377" i="5"/>
  <c r="R376" i="5"/>
  <c r="L376" i="5"/>
  <c r="R375" i="5"/>
  <c r="L375" i="5"/>
  <c r="R374" i="5"/>
  <c r="L374" i="5"/>
  <c r="S373" i="5"/>
  <c r="R372" i="5"/>
  <c r="L372" i="5"/>
  <c r="S372" i="5" s="1"/>
  <c r="R371" i="5"/>
  <c r="L371" i="5"/>
  <c r="S371" i="5" s="1"/>
  <c r="R370" i="5"/>
  <c r="L370" i="5"/>
  <c r="S368" i="5"/>
  <c r="R368" i="5"/>
  <c r="S367" i="5"/>
  <c r="R367" i="5"/>
  <c r="R366" i="5"/>
  <c r="S364" i="5"/>
  <c r="R364" i="5"/>
  <c r="S363" i="5"/>
  <c r="R363" i="5"/>
  <c r="R362" i="5"/>
  <c r="R360" i="5"/>
  <c r="L360" i="5"/>
  <c r="R359" i="5"/>
  <c r="L359" i="5"/>
  <c r="R357" i="5"/>
  <c r="R356" i="5"/>
  <c r="L356" i="5"/>
  <c r="R355" i="5"/>
  <c r="L355" i="5"/>
  <c r="R354" i="5"/>
  <c r="L354" i="5"/>
  <c r="R353" i="5"/>
  <c r="L353" i="5"/>
  <c r="S352" i="5"/>
  <c r="R352" i="5"/>
  <c r="R351" i="5"/>
  <c r="L351" i="5"/>
  <c r="R350" i="5"/>
  <c r="L350" i="5"/>
  <c r="S350" i="5" s="1"/>
  <c r="R349" i="5"/>
  <c r="L349" i="5"/>
  <c r="R348" i="5"/>
  <c r="L348" i="5"/>
  <c r="S348" i="5" s="1"/>
  <c r="R347" i="5"/>
  <c r="L347" i="5"/>
  <c r="S347" i="5" s="1"/>
  <c r="R346" i="5"/>
  <c r="L346" i="5"/>
  <c r="S346" i="5" s="1"/>
  <c r="R345" i="5"/>
  <c r="L345" i="5"/>
  <c r="R344" i="5"/>
  <c r="L344" i="5"/>
  <c r="S344" i="5" s="1"/>
  <c r="S343" i="5"/>
  <c r="R342" i="5"/>
  <c r="L342" i="5"/>
  <c r="S341" i="5"/>
  <c r="R341" i="5"/>
  <c r="R340" i="5"/>
  <c r="L340" i="5"/>
  <c r="R339" i="5"/>
  <c r="L339" i="5"/>
  <c r="R338" i="5"/>
  <c r="L338" i="5"/>
  <c r="S338" i="5" s="1"/>
  <c r="R337" i="5"/>
  <c r="L337" i="5"/>
  <c r="L336" i="5"/>
  <c r="S335" i="5"/>
  <c r="R335" i="5"/>
  <c r="R334" i="5"/>
  <c r="L334" i="5"/>
  <c r="L333" i="5"/>
  <c r="L332" i="5"/>
  <c r="S332" i="5" s="1"/>
  <c r="R331" i="5"/>
  <c r="L331" i="5"/>
  <c r="S331" i="5" s="1"/>
  <c r="S330" i="5"/>
  <c r="R330" i="5"/>
  <c r="R329" i="5"/>
  <c r="L329" i="5"/>
  <c r="S328" i="5"/>
  <c r="R328" i="5"/>
  <c r="R327" i="5"/>
  <c r="L327" i="5"/>
  <c r="L326" i="5"/>
  <c r="L325" i="5"/>
  <c r="L324" i="5"/>
  <c r="S324" i="5" s="1"/>
  <c r="L323" i="5"/>
  <c r="L322" i="5"/>
  <c r="L321" i="5"/>
  <c r="R319" i="5"/>
  <c r="R318" i="5"/>
  <c r="L318" i="5"/>
  <c r="L317" i="5"/>
  <c r="L316" i="5"/>
  <c r="S316" i="5" s="1"/>
  <c r="R315" i="5"/>
  <c r="L315" i="5"/>
  <c r="S313" i="5"/>
  <c r="R312" i="5"/>
  <c r="R311" i="5"/>
  <c r="L311" i="5"/>
  <c r="R310" i="5"/>
  <c r="L310" i="5"/>
  <c r="M309" i="5"/>
  <c r="U309" i="5" s="1"/>
  <c r="S308" i="5"/>
  <c r="R308" i="5"/>
  <c r="L307" i="5"/>
  <c r="R306" i="5"/>
  <c r="L306" i="5"/>
  <c r="R305" i="5"/>
  <c r="L305" i="5"/>
  <c r="R304" i="5"/>
  <c r="L304" i="5"/>
  <c r="R303" i="5"/>
  <c r="L303" i="5"/>
  <c r="L302" i="5"/>
  <c r="L301" i="5"/>
  <c r="R300" i="5"/>
  <c r="L300" i="5"/>
  <c r="R299" i="5"/>
  <c r="L299" i="5"/>
  <c r="R297" i="5"/>
  <c r="R296" i="5"/>
  <c r="L296" i="5"/>
  <c r="R295" i="5"/>
  <c r="L295" i="5"/>
  <c r="R294" i="5"/>
  <c r="L294" i="5"/>
  <c r="R293" i="5"/>
  <c r="L293" i="5"/>
  <c r="M292" i="5"/>
  <c r="U292" i="5" s="1"/>
  <c r="R291" i="5"/>
  <c r="L291" i="5"/>
  <c r="R290" i="5"/>
  <c r="L290" i="5"/>
  <c r="S290" i="5" s="1"/>
  <c r="R289" i="5"/>
  <c r="L289" i="5"/>
  <c r="S289" i="5" s="1"/>
  <c r="L288" i="5"/>
  <c r="R287" i="5"/>
  <c r="L287" i="5"/>
  <c r="S286" i="5"/>
  <c r="R286" i="5"/>
  <c r="R285" i="5"/>
  <c r="L285" i="5"/>
  <c r="R284" i="5"/>
  <c r="L284" i="5"/>
  <c r="R282" i="5"/>
  <c r="L282" i="5"/>
  <c r="R281" i="5"/>
  <c r="L281" i="5"/>
  <c r="S281" i="5" s="1"/>
  <c r="R280" i="5"/>
  <c r="L280" i="5"/>
  <c r="R279" i="5"/>
  <c r="L279" i="5"/>
  <c r="S279" i="5" s="1"/>
  <c r="S278" i="5"/>
  <c r="R277" i="5"/>
  <c r="L277" i="5"/>
  <c r="S276" i="5"/>
  <c r="R276" i="5"/>
  <c r="R275" i="5"/>
  <c r="L275" i="5"/>
  <c r="R274" i="5"/>
  <c r="L274" i="5"/>
  <c r="R273" i="5"/>
  <c r="L273" i="5"/>
  <c r="L272" i="5"/>
  <c r="S272" i="5" s="1"/>
  <c r="R3401" i="5"/>
  <c r="L3401" i="5"/>
  <c r="R271" i="5"/>
  <c r="L271" i="5"/>
  <c r="S271" i="5" s="1"/>
  <c r="R270" i="5"/>
  <c r="L270" i="5"/>
  <c r="S270" i="5" s="1"/>
  <c r="R269" i="5"/>
  <c r="L269" i="5"/>
  <c r="S268" i="5"/>
  <c r="R267" i="5"/>
  <c r="L267" i="5"/>
  <c r="R266" i="5"/>
  <c r="L266" i="5"/>
  <c r="S265" i="5"/>
  <c r="R264" i="5"/>
  <c r="L264" i="5"/>
  <c r="R263" i="5"/>
  <c r="L263" i="5"/>
  <c r="S263" i="5" s="1"/>
  <c r="R262" i="5"/>
  <c r="L262" i="5"/>
  <c r="S262" i="5" s="1"/>
  <c r="R261" i="5"/>
  <c r="L261" i="5"/>
  <c r="R260" i="5"/>
  <c r="L260" i="5"/>
  <c r="R259" i="5"/>
  <c r="L259" i="5"/>
  <c r="S259" i="5" s="1"/>
  <c r="R258" i="5"/>
  <c r="L258" i="5"/>
  <c r="S258" i="5" s="1"/>
  <c r="R257" i="5"/>
  <c r="L257" i="5"/>
  <c r="R256" i="5"/>
  <c r="L256" i="5"/>
  <c r="R255" i="5"/>
  <c r="L255" i="5"/>
  <c r="R254" i="5"/>
  <c r="L254" i="5"/>
  <c r="R253" i="5"/>
  <c r="L253" i="5"/>
  <c r="R252" i="5"/>
  <c r="L252" i="5"/>
  <c r="L251" i="5"/>
  <c r="L250" i="5"/>
  <c r="R249" i="5"/>
  <c r="L249" i="5"/>
  <c r="R248" i="5"/>
  <c r="R247" i="5"/>
  <c r="L247" i="5"/>
  <c r="R246" i="5"/>
  <c r="L246" i="5"/>
  <c r="A246" i="5"/>
  <c r="A247" i="5" s="1"/>
  <c r="A248" i="5" s="1"/>
  <c r="A249" i="5" s="1"/>
  <c r="A250" i="5" s="1"/>
  <c r="A251" i="5" s="1"/>
  <c r="A252" i="5" s="1"/>
  <c r="A253" i="5" s="1"/>
  <c r="A254" i="5" s="1"/>
  <c r="A255" i="5" s="1"/>
  <c r="A256" i="5" s="1"/>
  <c r="A257" i="5" s="1"/>
  <c r="A258" i="5" s="1"/>
  <c r="A259" i="5" s="1"/>
  <c r="A260" i="5" s="1"/>
  <c r="A261" i="5" s="1"/>
  <c r="A262" i="5" s="1"/>
  <c r="A263" i="5" s="1"/>
  <c r="A264" i="5" s="1"/>
  <c r="A266" i="5" s="1"/>
  <c r="A267" i="5" s="1"/>
  <c r="A269" i="5" s="1"/>
  <c r="A270" i="5" s="1"/>
  <c r="A271" i="5" s="1"/>
  <c r="L245" i="5"/>
  <c r="S244" i="5"/>
  <c r="R244" i="5"/>
  <c r="R243" i="5"/>
  <c r="L243" i="5"/>
  <c r="R242" i="5"/>
  <c r="L242" i="5"/>
  <c r="R241" i="5"/>
  <c r="L241" i="5"/>
  <c r="R240" i="5"/>
  <c r="L240" i="5"/>
  <c r="S239" i="5"/>
  <c r="R238" i="5"/>
  <c r="L238" i="5"/>
  <c r="R237" i="5"/>
  <c r="L237" i="5"/>
  <c r="A237" i="5"/>
  <c r="A238" i="5" s="1"/>
  <c r="A240" i="5" s="1"/>
  <c r="A241" i="5" s="1"/>
  <c r="A242" i="5" s="1"/>
  <c r="R236" i="5"/>
  <c r="L236" i="5"/>
  <c r="S235" i="5"/>
  <c r="R235" i="5"/>
  <c r="R234" i="5"/>
  <c r="L234" i="5"/>
  <c r="S234" i="5" s="1"/>
  <c r="R233" i="5"/>
  <c r="L233" i="5"/>
  <c r="R232" i="5"/>
  <c r="L232" i="5"/>
  <c r="R231" i="5"/>
  <c r="L231" i="5"/>
  <c r="R230" i="5"/>
  <c r="L230" i="5"/>
  <c r="S229" i="5"/>
  <c r="R228" i="5"/>
  <c r="L228" i="5"/>
  <c r="R227" i="5"/>
  <c r="L227" i="5"/>
  <c r="R226" i="5"/>
  <c r="L226" i="5"/>
  <c r="R225" i="5"/>
  <c r="L225" i="5"/>
  <c r="R224" i="5"/>
  <c r="L224" i="5"/>
  <c r="A224" i="5"/>
  <c r="A225" i="5" s="1"/>
  <c r="A226" i="5" s="1"/>
  <c r="A227" i="5" s="1"/>
  <c r="A228" i="5" s="1"/>
  <c r="A230" i="5" s="1"/>
  <c r="A231" i="5" s="1"/>
  <c r="A232" i="5" s="1"/>
  <c r="A233" i="5" s="1"/>
  <c r="L223" i="5"/>
  <c r="S222" i="5"/>
  <c r="R222" i="5"/>
  <c r="R221" i="5"/>
  <c r="L221" i="5"/>
  <c r="S221" i="5" s="1"/>
  <c r="R220" i="5"/>
  <c r="L220" i="5"/>
  <c r="R219" i="5"/>
  <c r="L219" i="5"/>
  <c r="A219" i="5"/>
  <c r="A220" i="5" s="1"/>
  <c r="R218" i="5"/>
  <c r="L218" i="5"/>
  <c r="S217" i="5"/>
  <c r="R217" i="5"/>
  <c r="R216" i="5"/>
  <c r="L216" i="5"/>
  <c r="R215" i="5"/>
  <c r="L215" i="5"/>
  <c r="L214" i="5"/>
  <c r="R213" i="5"/>
  <c r="L213" i="5"/>
  <c r="S213" i="5" s="1"/>
  <c r="R212" i="5"/>
  <c r="L212" i="5"/>
  <c r="R211" i="5"/>
  <c r="L211" i="5"/>
  <c r="S211" i="5" s="1"/>
  <c r="R210" i="5"/>
  <c r="L210" i="5"/>
  <c r="S210" i="5" s="1"/>
  <c r="R209" i="5"/>
  <c r="L209" i="5"/>
  <c r="S209" i="5" s="1"/>
  <c r="R208" i="5"/>
  <c r="L208" i="5"/>
  <c r="L207" i="5"/>
  <c r="R206" i="5"/>
  <c r="L206" i="5"/>
  <c r="L205" i="5"/>
  <c r="J205" i="5"/>
  <c r="R205" i="5" s="1"/>
  <c r="L204" i="5"/>
  <c r="S204" i="5" s="1"/>
  <c r="L203" i="5"/>
  <c r="L202" i="5"/>
  <c r="R201" i="5"/>
  <c r="L201" i="5"/>
  <c r="R200" i="5"/>
  <c r="L200" i="5"/>
  <c r="R199" i="5"/>
  <c r="L199" i="5"/>
  <c r="A199" i="5"/>
  <c r="A200" i="5" s="1"/>
  <c r="A201" i="5" s="1"/>
  <c r="A202" i="5" s="1"/>
  <c r="A203" i="5" s="1"/>
  <c r="A204" i="5" s="1"/>
  <c r="A205" i="5" s="1"/>
  <c r="A206" i="5" s="1"/>
  <c r="A207" i="5" s="1"/>
  <c r="A208" i="5" s="1"/>
  <c r="A209" i="5" s="1"/>
  <c r="A210" i="5" s="1"/>
  <c r="A211" i="5" s="1"/>
  <c r="A212" i="5" s="1"/>
  <c r="A213" i="5" s="1"/>
  <c r="A214" i="5" s="1"/>
  <c r="A215" i="5" s="1"/>
  <c r="S198" i="5"/>
  <c r="R198" i="5"/>
  <c r="R197" i="5"/>
  <c r="L197" i="5"/>
  <c r="S196" i="5"/>
  <c r="R196" i="5"/>
  <c r="R195" i="5"/>
  <c r="L195" i="5"/>
  <c r="R194" i="5"/>
  <c r="L194" i="5"/>
  <c r="S193" i="5"/>
  <c r="R193" i="5"/>
  <c r="R192" i="5"/>
  <c r="L192" i="5"/>
  <c r="R191" i="5"/>
  <c r="L191" i="5"/>
  <c r="M190" i="5"/>
  <c r="U190" i="5" s="1"/>
  <c r="R189" i="5"/>
  <c r="L189" i="5"/>
  <c r="S189" i="5" s="1"/>
  <c r="R188" i="5"/>
  <c r="L188" i="5"/>
  <c r="R187" i="5"/>
  <c r="L187" i="5"/>
  <c r="S187" i="5" s="1"/>
  <c r="R186" i="5"/>
  <c r="L186" i="5"/>
  <c r="R185" i="5"/>
  <c r="L185" i="5"/>
  <c r="S185" i="5" s="1"/>
  <c r="A185" i="5"/>
  <c r="A186" i="5" s="1"/>
  <c r="A187" i="5" s="1"/>
  <c r="A188" i="5" s="1"/>
  <c r="A189" i="5" s="1"/>
  <c r="A190" i="5" s="1"/>
  <c r="A191" i="5" s="1"/>
  <c r="M184" i="5"/>
  <c r="U184" i="5" s="1"/>
  <c r="S183" i="5"/>
  <c r="R183" i="5"/>
  <c r="R182" i="5"/>
  <c r="L182" i="5"/>
  <c r="S181" i="5"/>
  <c r="R181" i="5"/>
  <c r="R180" i="5"/>
  <c r="L180" i="5"/>
  <c r="M179" i="5"/>
  <c r="U179" i="5" s="1"/>
  <c r="R178" i="5"/>
  <c r="L178" i="5"/>
  <c r="S178" i="5" s="1"/>
  <c r="G178" i="5"/>
  <c r="R177" i="5"/>
  <c r="L177" i="5"/>
  <c r="R176" i="5"/>
  <c r="L176" i="5"/>
  <c r="R175" i="5"/>
  <c r="L175" i="5"/>
  <c r="R174" i="5"/>
  <c r="L174" i="5"/>
  <c r="R173" i="5"/>
  <c r="L173" i="5"/>
  <c r="R172" i="5"/>
  <c r="L172" i="5"/>
  <c r="R171" i="5"/>
  <c r="L171" i="5"/>
  <c r="R170" i="5"/>
  <c r="L170" i="5"/>
  <c r="L169" i="5"/>
  <c r="L168" i="5"/>
  <c r="R167" i="5"/>
  <c r="L167" i="5"/>
  <c r="R166" i="5"/>
  <c r="L166" i="5"/>
  <c r="R165" i="5"/>
  <c r="L165" i="5"/>
  <c r="R164" i="5"/>
  <c r="L164" i="5"/>
  <c r="R163" i="5"/>
  <c r="L163" i="5"/>
  <c r="R162" i="5"/>
  <c r="L162" i="5"/>
  <c r="R161" i="5"/>
  <c r="L161" i="5"/>
  <c r="R160" i="5"/>
  <c r="L160" i="5"/>
  <c r="A160" i="5"/>
  <c r="A161" i="5" s="1"/>
  <c r="A162" i="5" s="1"/>
  <c r="A163" i="5" s="1"/>
  <c r="A164" i="5" s="1"/>
  <c r="A165" i="5" s="1"/>
  <c r="A166" i="5" s="1"/>
  <c r="A167" i="5" s="1"/>
  <c r="A168" i="5" s="1"/>
  <c r="A169" i="5" s="1"/>
  <c r="A170" i="5" s="1"/>
  <c r="A171" i="5" s="1"/>
  <c r="A172" i="5" s="1"/>
  <c r="A173" i="5" s="1"/>
  <c r="A174" i="5" s="1"/>
  <c r="A175" i="5" s="1"/>
  <c r="A176" i="5" s="1"/>
  <c r="A177" i="5" s="1"/>
  <c r="A178" i="5" s="1"/>
  <c r="A179" i="5" s="1"/>
  <c r="R159" i="5"/>
  <c r="L159" i="5"/>
  <c r="R158" i="5"/>
  <c r="L158" i="5"/>
  <c r="S157" i="5"/>
  <c r="R157" i="5"/>
  <c r="R156" i="5"/>
  <c r="L156" i="5"/>
  <c r="R155" i="5"/>
  <c r="L155" i="5"/>
  <c r="R154" i="5"/>
  <c r="L154" i="5"/>
  <c r="R153" i="5"/>
  <c r="L153" i="5"/>
  <c r="R152" i="5"/>
  <c r="L152" i="5"/>
  <c r="R151" i="5"/>
  <c r="L151" i="5"/>
  <c r="R150" i="5"/>
  <c r="L150" i="5"/>
  <c r="R149" i="5"/>
  <c r="L149" i="5"/>
  <c r="R148" i="5"/>
  <c r="L148" i="5"/>
  <c r="R147" i="5"/>
  <c r="L147" i="5"/>
  <c r="S146" i="5"/>
  <c r="R145" i="5"/>
  <c r="L145" i="5"/>
  <c r="R144" i="5"/>
  <c r="L144" i="5"/>
  <c r="R143" i="5"/>
  <c r="L143" i="5"/>
  <c r="L142" i="5"/>
  <c r="A142" i="5"/>
  <c r="A143" i="5" s="1"/>
  <c r="A144" i="5" s="1"/>
  <c r="A145" i="5" s="1"/>
  <c r="A147" i="5" s="1"/>
  <c r="A148" i="5" s="1"/>
  <c r="A149" i="5" s="1"/>
  <c r="A150" i="5" s="1"/>
  <c r="A151" i="5" s="1"/>
  <c r="A152" i="5" s="1"/>
  <c r="A153" i="5" s="1"/>
  <c r="A154" i="5" s="1"/>
  <c r="A155" i="5" s="1"/>
  <c r="R141" i="5"/>
  <c r="L141" i="5"/>
  <c r="S140" i="5"/>
  <c r="R140" i="5"/>
  <c r="R139" i="5"/>
  <c r="L139" i="5"/>
  <c r="R138" i="5"/>
  <c r="L138" i="5"/>
  <c r="S138" i="5" s="1"/>
  <c r="R137" i="5"/>
  <c r="L137" i="5"/>
  <c r="A137" i="5"/>
  <c r="R136" i="5"/>
  <c r="L136" i="5"/>
  <c r="S135" i="5"/>
  <c r="R135" i="5"/>
  <c r="R134" i="5"/>
  <c r="L134" i="5"/>
  <c r="S133" i="5"/>
  <c r="R133" i="5"/>
  <c r="R132" i="5"/>
  <c r="L132" i="5"/>
  <c r="R131" i="5"/>
  <c r="L131" i="5"/>
  <c r="R130" i="5"/>
  <c r="L130" i="5"/>
  <c r="R129" i="5"/>
  <c r="L129" i="5"/>
  <c r="S128" i="5"/>
  <c r="R127" i="5"/>
  <c r="L127" i="5"/>
  <c r="G127" i="5"/>
  <c r="R126" i="5"/>
  <c r="L126" i="5"/>
  <c r="S126" i="5" s="1"/>
  <c r="R125" i="5"/>
  <c r="L125" i="5"/>
  <c r="R124" i="5"/>
  <c r="L124" i="5"/>
  <c r="S124" i="5" s="1"/>
  <c r="L123" i="5"/>
  <c r="R122" i="5"/>
  <c r="L122" i="5"/>
  <c r="R121" i="5"/>
  <c r="L121" i="5"/>
  <c r="S120" i="5"/>
  <c r="R119" i="5"/>
  <c r="L119" i="5"/>
  <c r="R118" i="5"/>
  <c r="L118" i="5"/>
  <c r="R117" i="5"/>
  <c r="L117" i="5"/>
  <c r="S117" i="5" s="1"/>
  <c r="S116" i="5"/>
  <c r="R116" i="5"/>
  <c r="L115" i="5"/>
  <c r="L114" i="5"/>
  <c r="L113" i="5"/>
  <c r="A114" i="5"/>
  <c r="S112" i="5"/>
  <c r="R112" i="5"/>
  <c r="L111" i="5"/>
  <c r="L110" i="5"/>
  <c r="S109" i="5"/>
  <c r="R109" i="5"/>
  <c r="L108" i="5"/>
  <c r="L107" i="5"/>
  <c r="R105" i="5"/>
  <c r="A105" i="5"/>
  <c r="A107" i="5" s="1"/>
  <c r="R104" i="5"/>
  <c r="L104" i="5"/>
  <c r="R102" i="5"/>
  <c r="R96" i="5"/>
  <c r="L96" i="5"/>
  <c r="L95" i="5"/>
  <c r="L94" i="5"/>
  <c r="A94" i="5"/>
  <c r="A95" i="5" s="1"/>
  <c r="A96" i="5" s="1"/>
  <c r="A97" i="5" s="1"/>
  <c r="L93" i="5"/>
  <c r="S92" i="5"/>
  <c r="R92" i="5"/>
  <c r="L91" i="5"/>
  <c r="L90" i="5"/>
  <c r="S89" i="5"/>
  <c r="L88" i="5"/>
  <c r="S86" i="5"/>
  <c r="L85" i="5"/>
  <c r="R84" i="5"/>
  <c r="L84" i="5"/>
  <c r="S84" i="5" s="1"/>
  <c r="L83" i="5"/>
  <c r="L82" i="5"/>
  <c r="S81" i="5"/>
  <c r="R81" i="5"/>
  <c r="L80" i="5"/>
  <c r="A82" i="5"/>
  <c r="A83" i="5" s="1"/>
  <c r="S77" i="5"/>
  <c r="R76" i="5"/>
  <c r="L76" i="5"/>
  <c r="S75" i="5"/>
  <c r="R74" i="5"/>
  <c r="L74" i="5"/>
  <c r="R73" i="5"/>
  <c r="L73" i="5"/>
  <c r="S71" i="5"/>
  <c r="R71" i="5"/>
  <c r="R70" i="5"/>
  <c r="L69" i="5"/>
  <c r="R68" i="5"/>
  <c r="L68" i="5"/>
  <c r="S68" i="5" s="1"/>
  <c r="R67" i="5"/>
  <c r="L67" i="5"/>
  <c r="S67" i="5" s="1"/>
  <c r="R66" i="5"/>
  <c r="L66" i="5"/>
  <c r="S66" i="5" s="1"/>
  <c r="R65" i="5"/>
  <c r="L65" i="5"/>
  <c r="S65" i="5" s="1"/>
  <c r="L64" i="5"/>
  <c r="S64" i="5" s="1"/>
  <c r="R63" i="5"/>
  <c r="L63" i="5"/>
  <c r="S63" i="5" s="1"/>
  <c r="L62" i="5"/>
  <c r="S62" i="5" s="1"/>
  <c r="R60" i="5"/>
  <c r="L60" i="5"/>
  <c r="L59" i="5"/>
  <c r="R58" i="5"/>
  <c r="L58" i="5"/>
  <c r="R57" i="5"/>
  <c r="L57" i="5"/>
  <c r="L56" i="5"/>
  <c r="R55" i="5"/>
  <c r="L55" i="5"/>
  <c r="A55" i="5"/>
  <c r="A56" i="5" s="1"/>
  <c r="A57" i="5" s="1"/>
  <c r="A58" i="5" s="1"/>
  <c r="A59" i="5" s="1"/>
  <c r="A60" i="5" s="1"/>
  <c r="A61" i="5" s="1"/>
  <c r="A62" i="5" s="1"/>
  <c r="A63" i="5" s="1"/>
  <c r="A64" i="5" s="1"/>
  <c r="A65" i="5" s="1"/>
  <c r="A66" i="5" s="1"/>
  <c r="A67" i="5" s="1"/>
  <c r="A68" i="5" s="1"/>
  <c r="A69" i="5" s="1"/>
  <c r="L54" i="5"/>
  <c r="S54" i="5" s="1"/>
  <c r="S53" i="5"/>
  <c r="R53" i="5"/>
  <c r="R52" i="5"/>
  <c r="L52" i="5"/>
  <c r="S51" i="5"/>
  <c r="R50" i="5"/>
  <c r="L50" i="5"/>
  <c r="S50" i="5" s="1"/>
  <c r="M49" i="5"/>
  <c r="U49" i="5" s="1"/>
  <c r="R48" i="5"/>
  <c r="L48" i="5"/>
  <c r="R47" i="5"/>
  <c r="L47" i="5"/>
  <c r="S47" i="5" s="1"/>
  <c r="R46" i="5"/>
  <c r="L46" i="5"/>
  <c r="A46" i="5"/>
  <c r="A47" i="5" s="1"/>
  <c r="A48" i="5" s="1"/>
  <c r="A49" i="5" s="1"/>
  <c r="L45" i="5"/>
  <c r="S45" i="5" s="1"/>
  <c r="S44" i="5"/>
  <c r="R44" i="5"/>
  <c r="L43" i="5"/>
  <c r="L42" i="5"/>
  <c r="S40" i="5"/>
  <c r="L39" i="5"/>
  <c r="R38" i="5"/>
  <c r="L38" i="5"/>
  <c r="R37" i="5"/>
  <c r="L37" i="5"/>
  <c r="L36" i="5"/>
  <c r="S36" i="5" s="1"/>
  <c r="L35" i="5"/>
  <c r="R34" i="5"/>
  <c r="L34" i="5"/>
  <c r="L33" i="5"/>
  <c r="L32" i="5"/>
  <c r="R31" i="5"/>
  <c r="L31" i="5"/>
  <c r="A31" i="5"/>
  <c r="A32" i="5" s="1"/>
  <c r="A33" i="5" s="1"/>
  <c r="A34" i="5" s="1"/>
  <c r="A35" i="5" s="1"/>
  <c r="A36" i="5" s="1"/>
  <c r="A37" i="5" s="1"/>
  <c r="A38" i="5" s="1"/>
  <c r="A39" i="5" s="1"/>
  <c r="A41" i="5" s="1"/>
  <c r="A42" i="5" s="1"/>
  <c r="L30" i="5"/>
  <c r="S29" i="5"/>
  <c r="R28" i="5"/>
  <c r="L28" i="5"/>
  <c r="L27" i="5"/>
  <c r="R26" i="5"/>
  <c r="L26" i="5"/>
  <c r="L25" i="5"/>
  <c r="R24" i="5"/>
  <c r="L24" i="5"/>
  <c r="L23" i="5"/>
  <c r="L22" i="5"/>
  <c r="A22" i="5"/>
  <c r="A23" i="5" s="1"/>
  <c r="A24" i="5" s="1"/>
  <c r="A25" i="5" s="1"/>
  <c r="A26" i="5" s="1"/>
  <c r="A27" i="5" s="1"/>
  <c r="R21" i="5"/>
  <c r="L21" i="5"/>
  <c r="S21" i="5" s="1"/>
  <c r="S20" i="5"/>
  <c r="R20" i="5"/>
  <c r="R19" i="5"/>
  <c r="L19" i="5"/>
  <c r="R18" i="5"/>
  <c r="L18" i="5"/>
  <c r="S18" i="5" s="1"/>
  <c r="A18" i="5"/>
  <c r="L17" i="5"/>
  <c r="S17" i="5" s="1"/>
  <c r="S16" i="5"/>
  <c r="L15" i="5"/>
  <c r="R14" i="5"/>
  <c r="L14" i="5"/>
  <c r="S14" i="5" s="1"/>
  <c r="P345" i="2"/>
  <c r="O345" i="2"/>
  <c r="L345" i="2"/>
  <c r="K345" i="2"/>
  <c r="H345" i="2"/>
  <c r="G345" i="2"/>
  <c r="F345" i="2"/>
  <c r="D345" i="2"/>
  <c r="C329" i="2"/>
  <c r="P315" i="2"/>
  <c r="O315" i="2"/>
  <c r="E315" i="2"/>
  <c r="G300" i="2"/>
  <c r="G299" i="2"/>
  <c r="G298" i="2"/>
  <c r="G297" i="2"/>
  <c r="G296" i="2"/>
  <c r="F295" i="2"/>
  <c r="A203" i="2"/>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G195" i="2"/>
  <c r="G194" i="2"/>
  <c r="G193" i="2"/>
  <c r="G192" i="2"/>
  <c r="G190" i="2"/>
  <c r="G186" i="2"/>
  <c r="G185" i="2"/>
  <c r="G181" i="2"/>
  <c r="G179" i="2"/>
  <c r="G178" i="2"/>
  <c r="G177" i="2"/>
  <c r="G176" i="2"/>
  <c r="G173" i="2"/>
  <c r="K172" i="2"/>
  <c r="K200" i="2" s="1"/>
  <c r="G171" i="2"/>
  <c r="G170" i="2"/>
  <c r="G169" i="2"/>
  <c r="G168" i="2"/>
  <c r="G167" i="2"/>
  <c r="G166" i="2"/>
  <c r="G165" i="2"/>
  <c r="G163" i="2"/>
  <c r="G162" i="2"/>
  <c r="G161" i="2"/>
  <c r="G160" i="2"/>
  <c r="G159" i="2"/>
  <c r="G158" i="2"/>
  <c r="G157" i="2"/>
  <c r="G156" i="2"/>
  <c r="G155" i="2"/>
  <c r="G154" i="2"/>
  <c r="O153" i="2"/>
  <c r="G152" i="2"/>
  <c r="G150" i="2"/>
  <c r="G149" i="2"/>
  <c r="G148" i="2"/>
  <c r="G147" i="2"/>
  <c r="G146" i="2"/>
  <c r="G145" i="2"/>
  <c r="G144" i="2"/>
  <c r="G143" i="2"/>
  <c r="G142" i="2"/>
  <c r="G141" i="2"/>
  <c r="G140" i="2"/>
  <c r="G139" i="2"/>
  <c r="G137" i="2"/>
  <c r="G136" i="2"/>
  <c r="G135" i="2"/>
  <c r="G134" i="2"/>
  <c r="G133" i="2"/>
  <c r="G132" i="2"/>
  <c r="G131" i="2"/>
  <c r="G130" i="2"/>
  <c r="G129" i="2"/>
  <c r="G128" i="2"/>
  <c r="G127" i="2"/>
  <c r="G126" i="2"/>
  <c r="G125" i="2"/>
  <c r="G124" i="2"/>
  <c r="O123" i="2"/>
  <c r="G122" i="2"/>
  <c r="G121" i="2"/>
  <c r="G120" i="2"/>
  <c r="G119" i="2"/>
  <c r="G118" i="2"/>
  <c r="G117" i="2"/>
  <c r="O116" i="2"/>
  <c r="S94" i="2"/>
  <c r="N94" i="2"/>
  <c r="M94" i="2"/>
  <c r="K94" i="2"/>
  <c r="J94" i="2"/>
  <c r="I94" i="2"/>
  <c r="E94" i="2"/>
  <c r="G79" i="2"/>
  <c r="G78" i="2"/>
  <c r="G77" i="2"/>
  <c r="O76" i="2"/>
  <c r="O75" i="2"/>
  <c r="O74" i="2"/>
  <c r="O73" i="2"/>
  <c r="G72" i="2"/>
  <c r="L71" i="2"/>
  <c r="L94" i="2" s="1"/>
  <c r="F71" i="2"/>
  <c r="G70" i="2"/>
  <c r="G69" i="2"/>
  <c r="G67" i="2"/>
  <c r="G66" i="2"/>
  <c r="G65" i="2"/>
  <c r="G64" i="2"/>
  <c r="G62" i="2"/>
  <c r="G61" i="2"/>
  <c r="G60" i="2"/>
  <c r="G59" i="2"/>
  <c r="G58" i="2"/>
  <c r="G57" i="2"/>
  <c r="G56" i="2"/>
  <c r="G55" i="2"/>
  <c r="G54" i="2"/>
  <c r="G53" i="2"/>
  <c r="G52" i="2"/>
  <c r="G51" i="2"/>
  <c r="G50" i="2"/>
  <c r="G49" i="2"/>
  <c r="G48" i="2"/>
  <c r="G47" i="2"/>
  <c r="G46" i="2"/>
  <c r="G41" i="2"/>
  <c r="G39" i="2"/>
  <c r="G38" i="2"/>
  <c r="G37" i="2"/>
  <c r="G36" i="2"/>
  <c r="G35" i="2"/>
  <c r="G34" i="2"/>
  <c r="G31" i="2"/>
  <c r="G29" i="2"/>
  <c r="G27" i="2"/>
  <c r="G26" i="2"/>
  <c r="G25" i="2"/>
  <c r="G24" i="2"/>
  <c r="G19" i="2"/>
  <c r="G17" i="2"/>
  <c r="G15" i="2"/>
  <c r="G13" i="2"/>
  <c r="G12" i="2"/>
  <c r="G11" i="2"/>
  <c r="A11" i="2"/>
  <c r="A12" i="2" s="1"/>
  <c r="A13" i="2" s="1"/>
  <c r="A14" i="2" s="1"/>
  <c r="A15" i="2" s="1"/>
  <c r="A16" i="2" s="1"/>
  <c r="A17" i="2" s="1"/>
  <c r="A18" i="2" s="1"/>
  <c r="A19" i="2" s="1"/>
  <c r="A20" i="2" s="1"/>
  <c r="A21" i="2" s="1"/>
  <c r="A22" i="2" s="1"/>
  <c r="A23" i="2" s="1"/>
  <c r="A24" i="2" s="1"/>
  <c r="A25" i="2" s="1"/>
  <c r="A26" i="2" s="1"/>
  <c r="A27" i="2" s="1"/>
  <c r="A28" i="2" s="1"/>
  <c r="A29" i="2" s="1"/>
  <c r="A30" i="2" s="1"/>
  <c r="G9" i="2"/>
  <c r="P359" i="1"/>
  <c r="O359" i="1"/>
  <c r="N359" i="1"/>
  <c r="K359" i="1"/>
  <c r="J359" i="1"/>
  <c r="I359" i="1"/>
  <c r="H359" i="1"/>
  <c r="A347" i="1"/>
  <c r="A348" i="1" s="1"/>
  <c r="A339" i="1"/>
  <c r="A340" i="1" s="1"/>
  <c r="A341" i="1" s="1"/>
  <c r="A337" i="1"/>
  <c r="A332" i="1"/>
  <c r="A333" i="1" s="1"/>
  <c r="A334" i="1" s="1"/>
  <c r="P328" i="1"/>
  <c r="O328" i="1"/>
  <c r="N328" i="1"/>
  <c r="K328" i="1"/>
  <c r="J328" i="1"/>
  <c r="I328" i="1"/>
  <c r="H328" i="1"/>
  <c r="A216" i="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128" i="1"/>
  <c r="A129" i="1" s="1"/>
  <c r="A130" i="1" s="1"/>
  <c r="A131" i="1" s="1"/>
  <c r="A132" i="1" s="1"/>
  <c r="P105" i="1"/>
  <c r="O105" i="1"/>
  <c r="N105" i="1"/>
  <c r="K105" i="1"/>
  <c r="J105" i="1"/>
  <c r="H105" i="1"/>
  <c r="I92" i="1"/>
  <c r="A22" i="1"/>
  <c r="A23" i="1" s="1"/>
  <c r="A24" i="1" s="1"/>
  <c r="A25" i="1" s="1"/>
  <c r="A26" i="1" s="1"/>
  <c r="A27" i="1" s="1"/>
  <c r="A28" i="1" s="1"/>
  <c r="A29" i="1" s="1"/>
  <c r="A30" i="1" s="1"/>
  <c r="A31" i="1" s="1"/>
  <c r="A32" i="1" s="1"/>
  <c r="A33" i="1" s="1"/>
  <c r="A34" i="1" s="1"/>
  <c r="A35" i="1" s="1"/>
  <c r="A36" i="1" s="1"/>
  <c r="A37" i="1" s="1"/>
  <c r="A38" i="1" s="1"/>
  <c r="A39" i="1" s="1"/>
  <c r="A40" i="1" s="1"/>
  <c r="A41" i="1" s="1"/>
  <c r="L2552" i="5" l="1"/>
  <c r="L2472" i="5"/>
  <c r="V2472" i="5"/>
  <c r="R2487" i="5"/>
  <c r="V2487" i="5"/>
  <c r="R2516" i="5"/>
  <c r="W2516" i="5"/>
  <c r="R2520" i="5"/>
  <c r="W2520" i="5"/>
  <c r="L2525" i="5"/>
  <c r="W2525" i="5"/>
  <c r="R2529" i="5"/>
  <c r="W2529" i="5"/>
  <c r="L2533" i="5"/>
  <c r="W2533" i="5"/>
  <c r="R2537" i="5"/>
  <c r="W2537" i="5"/>
  <c r="R2541" i="5"/>
  <c r="W2541" i="5"/>
  <c r="L2480" i="5"/>
  <c r="V2480" i="5"/>
  <c r="R2512" i="5"/>
  <c r="W2512" i="5"/>
  <c r="R2517" i="5"/>
  <c r="W2517" i="5"/>
  <c r="L2521" i="5"/>
  <c r="W2521" i="5"/>
  <c r="L2530" i="5"/>
  <c r="W2530" i="5"/>
  <c r="R2534" i="5"/>
  <c r="W2534" i="5"/>
  <c r="R2538" i="5"/>
  <c r="W2538" i="5"/>
  <c r="R2542" i="5"/>
  <c r="W2542" i="5"/>
  <c r="R2546" i="5"/>
  <c r="W2546" i="5"/>
  <c r="L2478" i="5"/>
  <c r="V2478" i="5"/>
  <c r="R2481" i="5"/>
  <c r="V2481" i="5"/>
  <c r="R2518" i="5"/>
  <c r="W2518" i="5"/>
  <c r="R2523" i="5"/>
  <c r="W2523" i="5"/>
  <c r="R2535" i="5"/>
  <c r="W2535" i="5"/>
  <c r="R2539" i="5"/>
  <c r="W2539" i="5"/>
  <c r="L2543" i="5"/>
  <c r="W2543" i="5"/>
  <c r="R2484" i="5"/>
  <c r="V2484" i="5"/>
  <c r="R2519" i="5"/>
  <c r="W2519" i="5"/>
  <c r="L2524" i="5"/>
  <c r="W2524" i="5"/>
  <c r="L2528" i="5"/>
  <c r="W2528" i="5"/>
  <c r="R2536" i="5"/>
  <c r="W2536" i="5"/>
  <c r="R2540" i="5"/>
  <c r="W2540" i="5"/>
  <c r="R481" i="5"/>
  <c r="R49" i="5"/>
  <c r="Q4461" i="5"/>
  <c r="R4461" i="5"/>
  <c r="L2770" i="5"/>
  <c r="R2770" i="5"/>
  <c r="O4217" i="5"/>
  <c r="R4217" i="5"/>
  <c r="C320" i="2"/>
  <c r="C328" i="2"/>
  <c r="R342" i="1" s="1"/>
  <c r="A2840" i="5"/>
  <c r="A2842" i="5" s="1"/>
  <c r="A2844" i="5" s="1"/>
  <c r="A2846" i="5" s="1"/>
  <c r="A2843" i="5"/>
  <c r="A2845" i="5" s="1"/>
  <c r="A2860" i="5"/>
  <c r="A2861" i="5" s="1"/>
  <c r="A2862" i="5" s="1"/>
  <c r="S1750" i="5"/>
  <c r="R179" i="5"/>
  <c r="L481" i="5"/>
  <c r="L184" i="5"/>
  <c r="R190" i="5"/>
  <c r="L283" i="5"/>
  <c r="S283" i="5" s="1"/>
  <c r="L292" i="5"/>
  <c r="L309" i="5"/>
  <c r="S309" i="5" s="1"/>
  <c r="L49" i="5"/>
  <c r="R361" i="5"/>
  <c r="C335" i="2"/>
  <c r="A568" i="5"/>
  <c r="A569" i="5" s="1"/>
  <c r="A349" i="1"/>
  <c r="A350" i="1" s="1"/>
  <c r="A351" i="1" s="1"/>
  <c r="A352" i="1" s="1"/>
  <c r="A353" i="1" s="1"/>
  <c r="A354" i="1" s="1"/>
  <c r="R2295" i="5"/>
  <c r="L2295" i="5"/>
  <c r="S2295" i="5" s="1"/>
  <c r="H187" i="2"/>
  <c r="S1734" i="5"/>
  <c r="S1737" i="5"/>
  <c r="S1741" i="5"/>
  <c r="S1743" i="5"/>
  <c r="S1770" i="5"/>
  <c r="S1780" i="5"/>
  <c r="S1782" i="5"/>
  <c r="S1784" i="5"/>
  <c r="S1793" i="5"/>
  <c r="S1830" i="5"/>
  <c r="S1832" i="5"/>
  <c r="S1834" i="5"/>
  <c r="S1839" i="5"/>
  <c r="S1841" i="5"/>
  <c r="S1852" i="5"/>
  <c r="S1854" i="5"/>
  <c r="S1856" i="5"/>
  <c r="S1858" i="5"/>
  <c r="S1862" i="5"/>
  <c r="S1864" i="5"/>
  <c r="S1904" i="5"/>
  <c r="S1908" i="5"/>
  <c r="S1910" i="5"/>
  <c r="S1912" i="5"/>
  <c r="S1952" i="5"/>
  <c r="S1958" i="5"/>
  <c r="S1961" i="5"/>
  <c r="S1967" i="5"/>
  <c r="S1969" i="5"/>
  <c r="S1572" i="5"/>
  <c r="S1640" i="5"/>
  <c r="S1673" i="5"/>
  <c r="S1678" i="5"/>
  <c r="S1684" i="5"/>
  <c r="S1588" i="5"/>
  <c r="S1590" i="5"/>
  <c r="S1624" i="5"/>
  <c r="S1657" i="5"/>
  <c r="S1691" i="5"/>
  <c r="S1693" i="5"/>
  <c r="S1695" i="5"/>
  <c r="S1697" i="5"/>
  <c r="S1699" i="5"/>
  <c r="S1701" i="5"/>
  <c r="S1718" i="5"/>
  <c r="S1720" i="5"/>
  <c r="S1754" i="5"/>
  <c r="S1755" i="5"/>
  <c r="S1757" i="5"/>
  <c r="S1759" i="5"/>
  <c r="S1765" i="5"/>
  <c r="S1789" i="5"/>
  <c r="S1805" i="5"/>
  <c r="S1807" i="5"/>
  <c r="S1810" i="5"/>
  <c r="S1813" i="5"/>
  <c r="S1815" i="5"/>
  <c r="S1819" i="5"/>
  <c r="S1821" i="5"/>
  <c r="S1823" i="5"/>
  <c r="S1825" i="5"/>
  <c r="S1827" i="5"/>
  <c r="S1829" i="5"/>
  <c r="S1867" i="5"/>
  <c r="S1869" i="5"/>
  <c r="S1871" i="5"/>
  <c r="S1873" i="5"/>
  <c r="S1875" i="5"/>
  <c r="S1881" i="5"/>
  <c r="S1894" i="5"/>
  <c r="S1896" i="5"/>
  <c r="S1898" i="5"/>
  <c r="S1902" i="5"/>
  <c r="S1920" i="5"/>
  <c r="S1922" i="5"/>
  <c r="S1928" i="5"/>
  <c r="S1930" i="5"/>
  <c r="S1932" i="5"/>
  <c r="S1936" i="5"/>
  <c r="S1938" i="5"/>
  <c r="S1943" i="5"/>
  <c r="S1576" i="5"/>
  <c r="S1580" i="5"/>
  <c r="S1642" i="5"/>
  <c r="S1665" i="5"/>
  <c r="S1680" i="5"/>
  <c r="S1571" i="5"/>
  <c r="S1581" i="5"/>
  <c r="S1599" i="5"/>
  <c r="S1601" i="5"/>
  <c r="S1604" i="5"/>
  <c r="S1605" i="5"/>
  <c r="S1607" i="5"/>
  <c r="S1639" i="5"/>
  <c r="S1641" i="5"/>
  <c r="S1643" i="5"/>
  <c r="S1645" i="5"/>
  <c r="S1660" i="5"/>
  <c r="S1662" i="5"/>
  <c r="S1664" i="5"/>
  <c r="S1679" i="5"/>
  <c r="S1683" i="5"/>
  <c r="S1685" i="5"/>
  <c r="S1717" i="5"/>
  <c r="S1725" i="5"/>
  <c r="S1727" i="5"/>
  <c r="S1729" i="5"/>
  <c r="S1731" i="5"/>
  <c r="S1740" i="5"/>
  <c r="S1744" i="5"/>
  <c r="S1748" i="5"/>
  <c r="S1769" i="5"/>
  <c r="S1775" i="5"/>
  <c r="S1777" i="5"/>
  <c r="S1801" i="5"/>
  <c r="S1833" i="5"/>
  <c r="S1836" i="5"/>
  <c r="S1838" i="5"/>
  <c r="S1853" i="5"/>
  <c r="S1855" i="5"/>
  <c r="S1857" i="5"/>
  <c r="S1859" i="5"/>
  <c r="S1861" i="5"/>
  <c r="S1865" i="5"/>
  <c r="S1909" i="5"/>
  <c r="S1914" i="5"/>
  <c r="S1916" i="5"/>
  <c r="S1924" i="5"/>
  <c r="S1951" i="5"/>
  <c r="S1568" i="5"/>
  <c r="S1574" i="5"/>
  <c r="S1578" i="5"/>
  <c r="S1610" i="5"/>
  <c r="S1644" i="5"/>
  <c r="S1646" i="5"/>
  <c r="S1663" i="5"/>
  <c r="S1669" i="5"/>
  <c r="S1676" i="5"/>
  <c r="S1682" i="5"/>
  <c r="S1688" i="5"/>
  <c r="S1591" i="5"/>
  <c r="S1595" i="5"/>
  <c r="S1625" i="5"/>
  <c r="S1633" i="5"/>
  <c r="S1652" i="5"/>
  <c r="S1694" i="5"/>
  <c r="S1696" i="5"/>
  <c r="S1698" i="5"/>
  <c r="S1711" i="5"/>
  <c r="S1713" i="5"/>
  <c r="S1719" i="5"/>
  <c r="S1721" i="5"/>
  <c r="S1756" i="5"/>
  <c r="S1758" i="5"/>
  <c r="S1762" i="5"/>
  <c r="S1799" i="5"/>
  <c r="S1804" i="5"/>
  <c r="S1806" i="5"/>
  <c r="S1811" i="5"/>
  <c r="S1816" i="5"/>
  <c r="S1818" i="5"/>
  <c r="S1820" i="5"/>
  <c r="S1822" i="5"/>
  <c r="S1826" i="5"/>
  <c r="S1866" i="5"/>
  <c r="S1870" i="5"/>
  <c r="S1874" i="5"/>
  <c r="S1880" i="5"/>
  <c r="S1882" i="5"/>
  <c r="S1897" i="5"/>
  <c r="S1899" i="5"/>
  <c r="S1901" i="5"/>
  <c r="S1919" i="5"/>
  <c r="S1927" i="5"/>
  <c r="S1929" i="5"/>
  <c r="S1956" i="5"/>
  <c r="C321" i="2"/>
  <c r="C334" i="2"/>
  <c r="C325" i="2"/>
  <c r="R339" i="1" s="1"/>
  <c r="H72" i="2"/>
  <c r="S2767" i="5"/>
  <c r="M2793" i="5"/>
  <c r="S2771" i="5"/>
  <c r="S2766" i="5"/>
  <c r="S2768" i="5"/>
  <c r="A3561" i="5"/>
  <c r="A3562" i="5" s="1"/>
  <c r="A3563" i="5" s="1"/>
  <c r="A3564" i="5" s="1"/>
  <c r="A3565" i="5" s="1"/>
  <c r="A3566" i="5" s="1"/>
  <c r="A3567" i="5" s="1"/>
  <c r="A3568" i="5" s="1"/>
  <c r="A3569" i="5" s="1"/>
  <c r="A3570" i="5" s="1"/>
  <c r="A3571" i="5" s="1"/>
  <c r="A2240" i="5"/>
  <c r="A2241" i="5" s="1"/>
  <c r="A2242" i="5" s="1"/>
  <c r="A3417" i="5"/>
  <c r="A3418" i="5" s="1"/>
  <c r="A3419" i="5" s="1"/>
  <c r="A3420" i="5" s="1"/>
  <c r="A3421" i="5" s="1"/>
  <c r="A3422" i="5" s="1"/>
  <c r="A3423" i="5" s="1"/>
  <c r="S2437" i="5"/>
  <c r="J2081" i="5"/>
  <c r="P2081" i="5"/>
  <c r="A2770" i="5"/>
  <c r="A2771" i="5" s="1"/>
  <c r="A2772" i="5" s="1"/>
  <c r="A2773" i="5" s="1"/>
  <c r="A2774" i="5" s="1"/>
  <c r="A2775" i="5" s="1"/>
  <c r="A2776" i="5" s="1"/>
  <c r="A2777" i="5" s="1"/>
  <c r="S2648" i="5"/>
  <c r="H174" i="2"/>
  <c r="H145" i="2"/>
  <c r="A2342" i="5"/>
  <c r="A2343" i="5" s="1"/>
  <c r="L596" i="5"/>
  <c r="F276" i="2"/>
  <c r="A4159" i="5"/>
  <c r="A4160" i="5" s="1"/>
  <c r="A4161" i="5" s="1"/>
  <c r="A4162" i="5" s="1"/>
  <c r="A4163" i="5" s="1"/>
  <c r="A4164" i="5" s="1"/>
  <c r="A4165" i="5" s="1"/>
  <c r="A4166" i="5" s="1"/>
  <c r="A4167" i="5" s="1"/>
  <c r="A4168" i="5" s="1"/>
  <c r="A4169" i="5" s="1"/>
  <c r="A4170" i="5" s="1"/>
  <c r="A4171" i="5" s="1"/>
  <c r="A4172" i="5" s="1"/>
  <c r="A4174" i="5" s="1"/>
  <c r="A4175" i="5" s="1"/>
  <c r="A4176" i="5" s="1"/>
  <c r="C145" i="2"/>
  <c r="R2823" i="5"/>
  <c r="L2823" i="5"/>
  <c r="F225" i="2"/>
  <c r="L2818" i="5"/>
  <c r="L2821" i="5"/>
  <c r="R2817" i="5"/>
  <c r="L2817" i="5"/>
  <c r="C255" i="2"/>
  <c r="C133" i="2"/>
  <c r="M4177" i="5"/>
  <c r="C275" i="2"/>
  <c r="H127" i="2"/>
  <c r="A4343" i="5"/>
  <c r="A4344" i="5" s="1"/>
  <c r="A4345" i="5" s="1"/>
  <c r="A4346" i="5" s="1"/>
  <c r="A4347" i="5" s="1"/>
  <c r="I105" i="1"/>
  <c r="M1458" i="5"/>
  <c r="L3347" i="5"/>
  <c r="L2918" i="5"/>
  <c r="L2905" i="5"/>
  <c r="R3995" i="5"/>
  <c r="A2963" i="5"/>
  <c r="A2964" i="5" s="1"/>
  <c r="A2965" i="5" s="1"/>
  <c r="C122" i="2"/>
  <c r="H157" i="2"/>
  <c r="C231" i="2"/>
  <c r="C223" i="2"/>
  <c r="Q236" i="1" s="1"/>
  <c r="C247" i="2"/>
  <c r="C324" i="2"/>
  <c r="C331" i="2"/>
  <c r="C144" i="2"/>
  <c r="C284" i="2"/>
  <c r="R297" i="1" s="1"/>
  <c r="C333" i="2"/>
  <c r="A272" i="5"/>
  <c r="A273" i="5" s="1"/>
  <c r="A274" i="5" s="1"/>
  <c r="A275" i="5" s="1"/>
  <c r="A277" i="5" s="1"/>
  <c r="A279" i="5" s="1"/>
  <c r="A280" i="5" s="1"/>
  <c r="A281" i="5" s="1"/>
  <c r="A282" i="5" s="1"/>
  <c r="A283" i="5" s="1"/>
  <c r="A284" i="5" s="1"/>
  <c r="A285" i="5" s="1"/>
  <c r="A287" i="5" s="1"/>
  <c r="A288" i="5" s="1"/>
  <c r="A289" i="5" s="1"/>
  <c r="A290" i="5" s="1"/>
  <c r="A291" i="5" s="1"/>
  <c r="R3068" i="5"/>
  <c r="R3041" i="5"/>
  <c r="L3041" i="5"/>
  <c r="O3193" i="5"/>
  <c r="H77" i="2"/>
  <c r="N4139" i="5"/>
  <c r="P75" i="2"/>
  <c r="P73" i="2"/>
  <c r="C177" i="2"/>
  <c r="C157" i="2"/>
  <c r="M4139" i="5"/>
  <c r="S85" i="5"/>
  <c r="S88" i="5"/>
  <c r="S118" i="5"/>
  <c r="S291" i="5"/>
  <c r="S303" i="5"/>
  <c r="S310" i="5"/>
  <c r="S322" i="5"/>
  <c r="S353" i="5"/>
  <c r="S420" i="5"/>
  <c r="S430" i="5"/>
  <c r="S3396" i="5"/>
  <c r="S90" i="5"/>
  <c r="S125" i="5"/>
  <c r="S282" i="5"/>
  <c r="S305" i="5"/>
  <c r="S345" i="5"/>
  <c r="S422" i="5"/>
  <c r="S3393" i="5"/>
  <c r="S169" i="5"/>
  <c r="S280" i="5"/>
  <c r="S315" i="5"/>
  <c r="S326" i="5"/>
  <c r="S349" i="5"/>
  <c r="S418" i="5"/>
  <c r="S427" i="5"/>
  <c r="S3392" i="5"/>
  <c r="S3394" i="5"/>
  <c r="D183" i="2"/>
  <c r="C227" i="2"/>
  <c r="F267" i="2"/>
  <c r="H148" i="2"/>
  <c r="C174" i="2"/>
  <c r="O4156" i="5"/>
  <c r="C224" i="2"/>
  <c r="H69" i="2"/>
  <c r="C183" i="2"/>
  <c r="S2485" i="5"/>
  <c r="S2612" i="5"/>
  <c r="D138" i="2"/>
  <c r="C138" i="2"/>
  <c r="S2638" i="5"/>
  <c r="D164" i="2"/>
  <c r="C164" i="2"/>
  <c r="L3575" i="5"/>
  <c r="S1056" i="5"/>
  <c r="S1058" i="5"/>
  <c r="S1060" i="5"/>
  <c r="S1062" i="5"/>
  <c r="S1086" i="5"/>
  <c r="S1088" i="5"/>
  <c r="S1090" i="5"/>
  <c r="S1094" i="5"/>
  <c r="S1123" i="5"/>
  <c r="S1146" i="5"/>
  <c r="H11" i="2"/>
  <c r="S1150" i="5"/>
  <c r="C15" i="2"/>
  <c r="S1154" i="5"/>
  <c r="C19" i="2"/>
  <c r="S1158" i="5"/>
  <c r="D23" i="2"/>
  <c r="S1162" i="5"/>
  <c r="C27" i="2"/>
  <c r="S1166" i="5"/>
  <c r="C31" i="2"/>
  <c r="S1170" i="5"/>
  <c r="C35" i="2"/>
  <c r="S1174" i="5"/>
  <c r="H39" i="2"/>
  <c r="S1180" i="5"/>
  <c r="D45" i="2"/>
  <c r="S1183" i="5"/>
  <c r="H48" i="2"/>
  <c r="S1187" i="5"/>
  <c r="C52" i="2"/>
  <c r="S1191" i="5"/>
  <c r="H56" i="2"/>
  <c r="C79" i="2"/>
  <c r="Q90" i="1" s="1"/>
  <c r="S1391" i="5"/>
  <c r="S1445" i="5"/>
  <c r="M2829" i="5"/>
  <c r="O200" i="2"/>
  <c r="A2729" i="5"/>
  <c r="A2730" i="5" s="1"/>
  <c r="A2731" i="5" s="1"/>
  <c r="A2732" i="5" s="1"/>
  <c r="A2733" i="5" s="1"/>
  <c r="A2734" i="5" s="1"/>
  <c r="A2735" i="5" s="1"/>
  <c r="G200" i="2"/>
  <c r="D115" i="2"/>
  <c r="R2598" i="5"/>
  <c r="M2675" i="5"/>
  <c r="D2675" i="5"/>
  <c r="D2465" i="5" s="1"/>
  <c r="A133" i="1"/>
  <c r="A134" i="1" s="1"/>
  <c r="A135" i="1" s="1"/>
  <c r="A2595" i="5"/>
  <c r="A2596" i="5" s="1"/>
  <c r="A2597" i="5" s="1"/>
  <c r="A2598" i="5" s="1"/>
  <c r="A2599" i="5" s="1"/>
  <c r="A2600" i="5" s="1"/>
  <c r="A2601" i="5" s="1"/>
  <c r="A2602" i="5" s="1"/>
  <c r="A2603" i="5" s="1"/>
  <c r="A2604" i="5" s="1"/>
  <c r="A2605" i="5" s="1"/>
  <c r="M2566" i="5"/>
  <c r="R2533" i="5"/>
  <c r="M2548" i="5"/>
  <c r="L2471" i="5"/>
  <c r="M2493" i="5"/>
  <c r="S2392" i="5"/>
  <c r="L2431" i="5"/>
  <c r="L2193" i="5"/>
  <c r="A2147" i="5"/>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T4445" i="5"/>
  <c r="L2688" i="5"/>
  <c r="S4250" i="5"/>
  <c r="S2683" i="5"/>
  <c r="A4086" i="5"/>
  <c r="A4087" i="5" s="1"/>
  <c r="A4088" i="5" s="1"/>
  <c r="A4089" i="5" s="1"/>
  <c r="A4090" i="5" s="1"/>
  <c r="A3882" i="5"/>
  <c r="A3883" i="5" s="1"/>
  <c r="A3884" i="5" s="1"/>
  <c r="A2821" i="5"/>
  <c r="A2822" i="5" s="1"/>
  <c r="A2823" i="5" s="1"/>
  <c r="A2824" i="5" s="1"/>
  <c r="A1391" i="5"/>
  <c r="A1392" i="5" s="1"/>
  <c r="A1393" i="5" s="1"/>
  <c r="F89" i="2"/>
  <c r="C89" i="2"/>
  <c r="L2515" i="5"/>
  <c r="R2526" i="5"/>
  <c r="L2526" i="5"/>
  <c r="A1041" i="5"/>
  <c r="A1042" i="5" s="1"/>
  <c r="A1043" i="5" s="1"/>
  <c r="A1044" i="5" s="1"/>
  <c r="A1045" i="5" s="1"/>
  <c r="A1046" i="5" s="1"/>
  <c r="A1047" i="5" s="1"/>
  <c r="A1048" i="5" s="1"/>
  <c r="S4303" i="5"/>
  <c r="S3378" i="5"/>
  <c r="S2085" i="5"/>
  <c r="S2099" i="5"/>
  <c r="S2154" i="5"/>
  <c r="S2156" i="5"/>
  <c r="S2160" i="5"/>
  <c r="S2184" i="5"/>
  <c r="S2197" i="5"/>
  <c r="S2220" i="5"/>
  <c r="S2222" i="5"/>
  <c r="S2226" i="5"/>
  <c r="S2236" i="5"/>
  <c r="S2238" i="5"/>
  <c r="S2260" i="5"/>
  <c r="U2262" i="5"/>
  <c r="S2264" i="5"/>
  <c r="S2266" i="5"/>
  <c r="S2283" i="5"/>
  <c r="S2287" i="5"/>
  <c r="S2305" i="5"/>
  <c r="L2309" i="5"/>
  <c r="S2332" i="5"/>
  <c r="S2356" i="5"/>
  <c r="S2543" i="5"/>
  <c r="C18" i="2"/>
  <c r="C63" i="2"/>
  <c r="C71" i="2"/>
  <c r="S1161" i="5"/>
  <c r="C26" i="2"/>
  <c r="H26" i="2"/>
  <c r="S1165" i="5"/>
  <c r="C30" i="2"/>
  <c r="S1179" i="5"/>
  <c r="D44" i="2"/>
  <c r="H55" i="2"/>
  <c r="C55" i="2"/>
  <c r="F83" i="2"/>
  <c r="C83" i="2"/>
  <c r="S2096" i="5"/>
  <c r="S2284" i="5"/>
  <c r="D18" i="2"/>
  <c r="C44" i="2"/>
  <c r="C81" i="2"/>
  <c r="S1144" i="5"/>
  <c r="C9" i="2"/>
  <c r="S1149" i="5"/>
  <c r="P14" i="2"/>
  <c r="C14" i="2"/>
  <c r="S1173" i="5"/>
  <c r="C38" i="2"/>
  <c r="H38" i="2"/>
  <c r="S1177" i="5"/>
  <c r="P42" i="2"/>
  <c r="C42" i="2"/>
  <c r="H67" i="2"/>
  <c r="C67" i="2"/>
  <c r="F87" i="2"/>
  <c r="C87" i="2"/>
  <c r="R98" i="1" s="1"/>
  <c r="S2098" i="5"/>
  <c r="S2288" i="5"/>
  <c r="S2340" i="5"/>
  <c r="S2400" i="5"/>
  <c r="S2404" i="5"/>
  <c r="T2408" i="5"/>
  <c r="S2412" i="5"/>
  <c r="S2416" i="5"/>
  <c r="S2420" i="5"/>
  <c r="S2424" i="5"/>
  <c r="S2479" i="5"/>
  <c r="C85" i="2"/>
  <c r="R96" i="1" s="1"/>
  <c r="S1145" i="5"/>
  <c r="C10" i="2"/>
  <c r="S1157" i="5"/>
  <c r="D22" i="2"/>
  <c r="C22" i="2"/>
  <c r="S1169" i="5"/>
  <c r="C34" i="2"/>
  <c r="H34" i="2"/>
  <c r="H47" i="2"/>
  <c r="C47" i="2"/>
  <c r="H51" i="2"/>
  <c r="C51" i="2"/>
  <c r="H59" i="2"/>
  <c r="C59" i="2"/>
  <c r="S1374" i="5"/>
  <c r="S3382" i="5"/>
  <c r="T2344" i="5"/>
  <c r="S2394" i="5"/>
  <c r="S2396" i="5"/>
  <c r="S2402" i="5"/>
  <c r="T2406" i="5"/>
  <c r="S2410" i="5"/>
  <c r="S2414" i="5"/>
  <c r="S2418" i="5"/>
  <c r="S2591" i="5"/>
  <c r="C117" i="2"/>
  <c r="C163" i="2"/>
  <c r="H163" i="2"/>
  <c r="H9" i="2"/>
  <c r="C21" i="2"/>
  <c r="P74" i="2"/>
  <c r="C76" i="2"/>
  <c r="A115" i="5"/>
  <c r="A117" i="5" s="1"/>
  <c r="A118" i="5" s="1"/>
  <c r="A119" i="5" s="1"/>
  <c r="A121" i="5" s="1"/>
  <c r="A122" i="5" s="1"/>
  <c r="A123" i="5" s="1"/>
  <c r="A124" i="5" s="1"/>
  <c r="A125" i="5" s="1"/>
  <c r="A126" i="5" s="1"/>
  <c r="A127" i="5" s="1"/>
  <c r="A129" i="5" s="1"/>
  <c r="A130" i="5" s="1"/>
  <c r="A131" i="5" s="1"/>
  <c r="A84" i="5"/>
  <c r="A85" i="5" s="1"/>
  <c r="A86" i="5" s="1"/>
  <c r="A88" i="5" s="1"/>
  <c r="A89" i="5" s="1"/>
  <c r="A90" i="5" s="1"/>
  <c r="S94" i="5"/>
  <c r="S105" i="5"/>
  <c r="S137" i="5"/>
  <c r="S186" i="5"/>
  <c r="S188" i="5"/>
  <c r="S205" i="5"/>
  <c r="S208" i="5"/>
  <c r="S212" i="5"/>
  <c r="S93" i="5"/>
  <c r="S104" i="5"/>
  <c r="S134" i="5"/>
  <c r="S136" i="5"/>
  <c r="S273" i="5"/>
  <c r="S304" i="5"/>
  <c r="S306" i="5"/>
  <c r="S336" i="5"/>
  <c r="S490" i="5"/>
  <c r="L735" i="5"/>
  <c r="L890" i="5"/>
  <c r="H13" i="2"/>
  <c r="C13" i="2"/>
  <c r="H17" i="2"/>
  <c r="C17" i="2"/>
  <c r="H29" i="2"/>
  <c r="C29" i="2"/>
  <c r="S1205" i="5"/>
  <c r="C70" i="2"/>
  <c r="S2155" i="5"/>
  <c r="F208" i="2"/>
  <c r="F210" i="2"/>
  <c r="Q221" i="1"/>
  <c r="S1051" i="5"/>
  <c r="S1055" i="5"/>
  <c r="S1057" i="5"/>
  <c r="S1059" i="5"/>
  <c r="S1061" i="5"/>
  <c r="S1085" i="5"/>
  <c r="S1087" i="5"/>
  <c r="S1089" i="5"/>
  <c r="S1091" i="5"/>
  <c r="S1093" i="5"/>
  <c r="S1095" i="5"/>
  <c r="S1105" i="5"/>
  <c r="S1109" i="5"/>
  <c r="S1113" i="5"/>
  <c r="S1117" i="5"/>
  <c r="H25" i="2"/>
  <c r="C25" i="2"/>
  <c r="S1168" i="5"/>
  <c r="D33" i="2"/>
  <c r="S1172" i="5"/>
  <c r="C37" i="2"/>
  <c r="H37" i="2"/>
  <c r="S1176" i="5"/>
  <c r="C41" i="2"/>
  <c r="S1185" i="5"/>
  <c r="H50" i="2"/>
  <c r="C50" i="2"/>
  <c r="S1189" i="5"/>
  <c r="C54" i="2"/>
  <c r="H54" i="2"/>
  <c r="S1193" i="5"/>
  <c r="H58" i="2"/>
  <c r="C58" i="2"/>
  <c r="S1197" i="5"/>
  <c r="H62" i="2"/>
  <c r="S1201" i="5"/>
  <c r="H66" i="2"/>
  <c r="C66" i="2"/>
  <c r="C78" i="2"/>
  <c r="H78" i="2"/>
  <c r="C80" i="2"/>
  <c r="A4445" i="5"/>
  <c r="A4446" i="5" s="1"/>
  <c r="A4447" i="5" s="1"/>
  <c r="A4448" i="5" s="1"/>
  <c r="A4449" i="5" s="1"/>
  <c r="A4450" i="5" s="1"/>
  <c r="A4451" i="5" s="1"/>
  <c r="A4452" i="5" s="1"/>
  <c r="A4453" i="5" s="1"/>
  <c r="A4454" i="5" s="1"/>
  <c r="R3943" i="5"/>
  <c r="A3899" i="5"/>
  <c r="A3900" i="5" s="1"/>
  <c r="A3901" i="5" s="1"/>
  <c r="A3902" i="5" s="1"/>
  <c r="A3903" i="5" s="1"/>
  <c r="A3904" i="5" s="1"/>
  <c r="A3905" i="5" s="1"/>
  <c r="A3906" i="5" s="1"/>
  <c r="A3907" i="5" s="1"/>
  <c r="A3908" i="5" s="1"/>
  <c r="A3909" i="5" s="1"/>
  <c r="A3910" i="5" s="1"/>
  <c r="A3911" i="5" s="1"/>
  <c r="A3912" i="5" s="1"/>
  <c r="A318" i="1"/>
  <c r="A319" i="1" s="1"/>
  <c r="A320" i="1" s="1"/>
  <c r="A321" i="1" s="1"/>
  <c r="A322" i="1" s="1"/>
  <c r="A323" i="1" s="1"/>
  <c r="A301" i="2"/>
  <c r="A302" i="2" s="1"/>
  <c r="A303" i="2" s="1"/>
  <c r="A304" i="2" s="1"/>
  <c r="A305" i="2" s="1"/>
  <c r="A306" i="2" s="1"/>
  <c r="A307" i="2" s="1"/>
  <c r="A308" i="2" s="1"/>
  <c r="A309" i="2" s="1"/>
  <c r="A310" i="2" s="1"/>
  <c r="A4021" i="5"/>
  <c r="A4022" i="5" s="1"/>
  <c r="A4023" i="5" s="1"/>
  <c r="A4024" i="5" s="1"/>
  <c r="A4025" i="5" s="1"/>
  <c r="A4026" i="5" s="1"/>
  <c r="A4027" i="5" s="1"/>
  <c r="A4028" i="5" s="1"/>
  <c r="A4029" i="5" s="1"/>
  <c r="A4030" i="5" s="1"/>
  <c r="A730" i="5"/>
  <c r="A731" i="5" s="1"/>
  <c r="C69" i="2"/>
  <c r="C46" i="2"/>
  <c r="L4162" i="5"/>
  <c r="T3724" i="5"/>
  <c r="S3817" i="5"/>
  <c r="C209" i="2"/>
  <c r="C319" i="2"/>
  <c r="L4109" i="5"/>
  <c r="S4304" i="5"/>
  <c r="L4511" i="5"/>
  <c r="S2524" i="5"/>
  <c r="S2527" i="5"/>
  <c r="S2590" i="5"/>
  <c r="P116" i="2"/>
  <c r="C116" i="2"/>
  <c r="H141" i="2"/>
  <c r="C141" i="2"/>
  <c r="S2625" i="5"/>
  <c r="D151" i="2"/>
  <c r="C151" i="2"/>
  <c r="S2627" i="5"/>
  <c r="P153" i="2"/>
  <c r="S2677" i="5"/>
  <c r="S2681" i="5"/>
  <c r="F218" i="2"/>
  <c r="C218" i="2"/>
  <c r="C249" i="2"/>
  <c r="S4282" i="5"/>
  <c r="S4291" i="5"/>
  <c r="C323" i="2"/>
  <c r="C327" i="2"/>
  <c r="M4053" i="5"/>
  <c r="Q4056" i="5"/>
  <c r="L4056" i="5" s="1"/>
  <c r="S476" i="5"/>
  <c r="S486" i="5"/>
  <c r="S1053" i="5"/>
  <c r="S1066" i="5"/>
  <c r="S1081" i="5"/>
  <c r="S1096" i="5"/>
  <c r="S1155" i="5"/>
  <c r="C20" i="2"/>
  <c r="S1163" i="5"/>
  <c r="C28" i="2"/>
  <c r="S1192" i="5"/>
  <c r="H57" i="2"/>
  <c r="C57" i="2"/>
  <c r="S1196" i="5"/>
  <c r="H61" i="2"/>
  <c r="F84" i="2"/>
  <c r="C84" i="2"/>
  <c r="S1425" i="5"/>
  <c r="S1433" i="5"/>
  <c r="S1439" i="5"/>
  <c r="S2395" i="5"/>
  <c r="S2399" i="5"/>
  <c r="C61" i="2"/>
  <c r="S472" i="5"/>
  <c r="S482" i="5"/>
  <c r="S1064" i="5"/>
  <c r="S1079" i="5"/>
  <c r="S1159" i="5"/>
  <c r="C24" i="2"/>
  <c r="H24" i="2"/>
  <c r="D32" i="2"/>
  <c r="C32" i="2"/>
  <c r="C36" i="2"/>
  <c r="H36" i="2"/>
  <c r="S1188" i="5"/>
  <c r="H53" i="2"/>
  <c r="C53" i="2"/>
  <c r="S1200" i="5"/>
  <c r="H65" i="2"/>
  <c r="C65" i="2"/>
  <c r="C82" i="2"/>
  <c r="F82" i="2"/>
  <c r="F88" i="2"/>
  <c r="C88" i="2"/>
  <c r="S1427" i="5"/>
  <c r="S1431" i="5"/>
  <c r="S1437" i="5"/>
  <c r="S3381" i="5"/>
  <c r="S2282" i="5"/>
  <c r="S2393" i="5"/>
  <c r="S2397" i="5"/>
  <c r="P20" i="2"/>
  <c r="H40" i="2"/>
  <c r="S436" i="5"/>
  <c r="S464" i="5"/>
  <c r="S1077" i="5"/>
  <c r="S1083" i="5"/>
  <c r="S1098" i="5"/>
  <c r="S1118" i="5"/>
  <c r="S1130" i="5"/>
  <c r="S1147" i="5"/>
  <c r="C12" i="2"/>
  <c r="S1151" i="5"/>
  <c r="P16" i="2"/>
  <c r="C16" i="2"/>
  <c r="S1178" i="5"/>
  <c r="P43" i="2"/>
  <c r="C43" i="2"/>
  <c r="S1184" i="5"/>
  <c r="H49" i="2"/>
  <c r="C49" i="2"/>
  <c r="F86" i="2"/>
  <c r="C86" i="2"/>
  <c r="Q97" i="1" s="1"/>
  <c r="S1429" i="5"/>
  <c r="S1435" i="5"/>
  <c r="S3399" i="5"/>
  <c r="S2092" i="5"/>
  <c r="S2286" i="5"/>
  <c r="D28" i="2"/>
  <c r="T3417" i="5"/>
  <c r="C289" i="2"/>
  <c r="S4253" i="5"/>
  <c r="S4271" i="5"/>
  <c r="S4276" i="5"/>
  <c r="S4284" i="5"/>
  <c r="S4289" i="5"/>
  <c r="S4298" i="5"/>
  <c r="S4309" i="5"/>
  <c r="S4315" i="5"/>
  <c r="T4476" i="5"/>
  <c r="C317" i="2"/>
  <c r="C318" i="2"/>
  <c r="C322" i="2"/>
  <c r="C326" i="2"/>
  <c r="C330" i="2"/>
  <c r="C332" i="2"/>
  <c r="S2401" i="5"/>
  <c r="S2403" i="5"/>
  <c r="S2405" i="5"/>
  <c r="T2407" i="5"/>
  <c r="S2409" i="5"/>
  <c r="S2411" i="5"/>
  <c r="S2413" i="5"/>
  <c r="S2415" i="5"/>
  <c r="S2417" i="5"/>
  <c r="S2419" i="5"/>
  <c r="S2421" i="5"/>
  <c r="S2444" i="5"/>
  <c r="S2461" i="5"/>
  <c r="S2521" i="5"/>
  <c r="S2589" i="5"/>
  <c r="C115" i="2"/>
  <c r="H130" i="2"/>
  <c r="C130" i="2"/>
  <c r="S2610" i="5"/>
  <c r="H136" i="2"/>
  <c r="C136" i="2"/>
  <c r="C158" i="2"/>
  <c r="H158" i="2"/>
  <c r="S2634" i="5"/>
  <c r="C160" i="2"/>
  <c r="H160" i="2"/>
  <c r="S2643" i="5"/>
  <c r="H169" i="2"/>
  <c r="C169" i="2"/>
  <c r="S2653" i="5"/>
  <c r="H179" i="2"/>
  <c r="S2666" i="5"/>
  <c r="H192" i="2"/>
  <c r="C192" i="2"/>
  <c r="S2678" i="5"/>
  <c r="S2682" i="5"/>
  <c r="G2802" i="5"/>
  <c r="R139" i="1"/>
  <c r="E3620" i="5"/>
  <c r="Q238" i="1"/>
  <c r="A3829" i="5"/>
  <c r="A3830" i="5" s="1"/>
  <c r="A1335" i="5"/>
  <c r="A1336" i="5" s="1"/>
  <c r="A1337" i="5" s="1"/>
  <c r="A1338" i="5" s="1"/>
  <c r="A1339" i="5" s="1"/>
  <c r="A1340" i="5" s="1"/>
  <c r="A1341" i="5" s="1"/>
  <c r="A1342" i="5" s="1"/>
  <c r="A1343" i="5" s="1"/>
  <c r="A1344" i="5" s="1"/>
  <c r="A1345" i="5" s="1"/>
  <c r="A1346" i="5" s="1"/>
  <c r="A1347" i="5" s="1"/>
  <c r="A1348" i="5" s="1"/>
  <c r="A1349" i="5" s="1"/>
  <c r="A1350" i="5" s="1"/>
  <c r="A1351" i="5" s="1"/>
  <c r="A1352" i="5" s="1"/>
  <c r="A1353" i="5" s="1"/>
  <c r="A42" i="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31" i="2"/>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1166" i="5"/>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8" i="5" s="1"/>
  <c r="A4566" i="5"/>
  <c r="A4567" i="5" s="1"/>
  <c r="A4568" i="5" s="1"/>
  <c r="A4388" i="5"/>
  <c r="A4389" i="5" s="1"/>
  <c r="A4390" i="5" s="1"/>
  <c r="O3617" i="5"/>
  <c r="O3620" i="5" s="1"/>
  <c r="A3647" i="5"/>
  <c r="A3648" i="5" s="1"/>
  <c r="A3649" i="5" s="1"/>
  <c r="M4081" i="5"/>
  <c r="R4081" i="5" s="1"/>
  <c r="A2394" i="5"/>
  <c r="A2395" i="5" s="1"/>
  <c r="A2396" i="5" s="1"/>
  <c r="A2397" i="5" s="1"/>
  <c r="Q3955" i="5"/>
  <c r="N3917" i="5"/>
  <c r="A2315" i="5"/>
  <c r="A2316" i="5" s="1"/>
  <c r="A2317" i="5" s="1"/>
  <c r="A2318" i="5" s="1"/>
  <c r="A2319" i="5" s="1"/>
  <c r="A2320" i="5" s="1"/>
  <c r="A2321" i="5" s="1"/>
  <c r="A2322" i="5" s="1"/>
  <c r="A2323" i="5" s="1"/>
  <c r="A3611" i="5"/>
  <c r="A3612" i="5" s="1"/>
  <c r="A3613" i="5" s="1"/>
  <c r="A3614" i="5" s="1"/>
  <c r="A3615" i="5" s="1"/>
  <c r="A3616" i="5" s="1"/>
  <c r="A3594" i="5"/>
  <c r="A3595" i="5" s="1"/>
  <c r="A3596" i="5" s="1"/>
  <c r="R288" i="5"/>
  <c r="A2290" i="5"/>
  <c r="A2291" i="5" s="1"/>
  <c r="A4428" i="5"/>
  <c r="A4429" i="5" s="1"/>
  <c r="A4430" i="5" s="1"/>
  <c r="A4431" i="5" s="1"/>
  <c r="A4432" i="5" s="1"/>
  <c r="A2260" i="5"/>
  <c r="A2261" i="5" s="1"/>
  <c r="A2262" i="5" s="1"/>
  <c r="A2263" i="5" s="1"/>
  <c r="A2264" i="5" s="1"/>
  <c r="A2265" i="5" s="1"/>
  <c r="A2266" i="5" s="1"/>
  <c r="A2267" i="5" s="1"/>
  <c r="A2268" i="5" s="1"/>
  <c r="Q44" i="1"/>
  <c r="S1195" i="5"/>
  <c r="C60" i="2"/>
  <c r="S1199" i="5"/>
  <c r="H64" i="2"/>
  <c r="C64" i="2"/>
  <c r="S1203" i="5"/>
  <c r="D68" i="2"/>
  <c r="C68" i="2"/>
  <c r="S1424" i="5"/>
  <c r="S1426" i="5"/>
  <c r="S1428" i="5"/>
  <c r="S1430" i="5"/>
  <c r="S1432" i="5"/>
  <c r="S1434" i="5"/>
  <c r="S1436" i="5"/>
  <c r="S1438" i="5"/>
  <c r="S1440" i="5"/>
  <c r="S3395" i="5"/>
  <c r="S3397" i="5"/>
  <c r="S3377" i="5"/>
  <c r="S3194" i="5"/>
  <c r="S2146" i="5"/>
  <c r="S2147" i="5"/>
  <c r="S2149" i="5"/>
  <c r="S2175" i="5"/>
  <c r="S2181" i="5"/>
  <c r="S2221" i="5"/>
  <c r="S2223" i="5"/>
  <c r="S2227" i="5"/>
  <c r="S2233" i="5"/>
  <c r="S2235" i="5"/>
  <c r="S2237" i="5"/>
  <c r="R1364" i="5"/>
  <c r="P3405" i="5"/>
  <c r="P2882" i="5" s="1"/>
  <c r="O4634" i="5"/>
  <c r="A936" i="5"/>
  <c r="A937" i="5" s="1"/>
  <c r="A938" i="5" s="1"/>
  <c r="J3805" i="5"/>
  <c r="G515" i="5"/>
  <c r="G12" i="5" s="1"/>
  <c r="L248" i="5"/>
  <c r="A2381" i="5"/>
  <c r="A2382" i="5"/>
  <c r="Q3934" i="5"/>
  <c r="Q3937" i="5"/>
  <c r="L3937" i="5" s="1"/>
  <c r="L4119" i="5"/>
  <c r="L3528" i="5"/>
  <c r="A752" i="5"/>
  <c r="A753" i="5" s="1"/>
  <c r="A754" i="5" s="1"/>
  <c r="A755" i="5" s="1"/>
  <c r="A756" i="5" s="1"/>
  <c r="A757" i="5" s="1"/>
  <c r="A758" i="5" s="1"/>
  <c r="A759" i="5" s="1"/>
  <c r="A760" i="5" s="1"/>
  <c r="A761" i="5" s="1"/>
  <c r="L4116" i="5"/>
  <c r="D1178" i="5"/>
  <c r="L399" i="5"/>
  <c r="R2732" i="5"/>
  <c r="N2465" i="5"/>
  <c r="M2801" i="5"/>
  <c r="M2802" i="5" s="1"/>
  <c r="Q3943" i="5"/>
  <c r="L179" i="5"/>
  <c r="R755" i="5"/>
  <c r="E762" i="5"/>
  <c r="O3974" i="5"/>
  <c r="L3974" i="5" s="1"/>
  <c r="L3827" i="5"/>
  <c r="R3974" i="5"/>
  <c r="S23" i="5"/>
  <c r="S25" i="5"/>
  <c r="S27" i="5"/>
  <c r="S38" i="5"/>
  <c r="S56" i="5"/>
  <c r="S58" i="5"/>
  <c r="S60" i="5"/>
  <c r="S170" i="5"/>
  <c r="S172" i="5"/>
  <c r="S174" i="5"/>
  <c r="S176" i="5"/>
  <c r="S240" i="5"/>
  <c r="S242" i="5"/>
  <c r="S284" i="5"/>
  <c r="S288" i="5"/>
  <c r="S294" i="5"/>
  <c r="S296" i="5"/>
  <c r="S323" i="5"/>
  <c r="S355" i="5"/>
  <c r="S370" i="5"/>
  <c r="S378" i="5"/>
  <c r="S391" i="5"/>
  <c r="S400" i="5"/>
  <c r="S402" i="5"/>
  <c r="S409" i="5"/>
  <c r="S416" i="5"/>
  <c r="S429" i="5"/>
  <c r="S437" i="5"/>
  <c r="S445" i="5"/>
  <c r="S448" i="5"/>
  <c r="S461" i="5"/>
  <c r="S465" i="5"/>
  <c r="S469" i="5"/>
  <c r="S473" i="5"/>
  <c r="S477" i="5"/>
  <c r="S483" i="5"/>
  <c r="S22" i="5"/>
  <c r="S24" i="5"/>
  <c r="S26" i="5"/>
  <c r="S37" i="5"/>
  <c r="S55" i="5"/>
  <c r="S57" i="5"/>
  <c r="S59" i="5"/>
  <c r="S78" i="5"/>
  <c r="S83" i="5"/>
  <c r="S113" i="5"/>
  <c r="S171" i="5"/>
  <c r="S173" i="5"/>
  <c r="S175" i="5"/>
  <c r="S177" i="5"/>
  <c r="S191" i="5"/>
  <c r="S203" i="5"/>
  <c r="S206" i="5"/>
  <c r="S241" i="5"/>
  <c r="S245" i="5"/>
  <c r="S249" i="5"/>
  <c r="S293" i="5"/>
  <c r="S295" i="5"/>
  <c r="S302" i="5"/>
  <c r="S311" i="5"/>
  <c r="S317" i="5"/>
  <c r="S354" i="5"/>
  <c r="S356" i="5"/>
  <c r="S380" i="5"/>
  <c r="S383" i="5"/>
  <c r="S401" i="5"/>
  <c r="S407" i="5"/>
  <c r="S415" i="5"/>
  <c r="S417" i="5"/>
  <c r="S435" i="5"/>
  <c r="S463" i="5"/>
  <c r="S475" i="5"/>
  <c r="A611" i="5"/>
  <c r="A613" i="5" s="1"/>
  <c r="A614" i="5" s="1"/>
  <c r="A615" i="5" s="1"/>
  <c r="A616" i="5" s="1"/>
  <c r="A617" i="5" s="1"/>
  <c r="A618" i="5" s="1"/>
  <c r="A619" i="5" s="1"/>
  <c r="A620" i="5" s="1"/>
  <c r="A621" i="5" s="1"/>
  <c r="A622" i="5" s="1"/>
  <c r="A623" i="5" s="1"/>
  <c r="A624" i="5" s="1"/>
  <c r="A625" i="5" s="1"/>
  <c r="A626" i="5" s="1"/>
  <c r="A628" i="5" s="1"/>
  <c r="A629" i="5" s="1"/>
  <c r="A630" i="5" s="1"/>
  <c r="A632" i="5" s="1"/>
  <c r="A634" i="5" s="1"/>
  <c r="A636" i="5" s="1"/>
  <c r="A637" i="5" s="1"/>
  <c r="A638" i="5" s="1"/>
  <c r="A640" i="5" s="1"/>
  <c r="A642" i="5" s="1"/>
  <c r="A643" i="5" s="1"/>
  <c r="A644" i="5" s="1"/>
  <c r="R4618" i="5"/>
  <c r="R309" i="5"/>
  <c r="R2733" i="5"/>
  <c r="L4117" i="5"/>
  <c r="E4458" i="5"/>
  <c r="R834" i="5"/>
  <c r="R2872" i="5"/>
  <c r="Q3816" i="5"/>
  <c r="E784" i="5"/>
  <c r="D1177" i="5"/>
  <c r="L2278" i="5"/>
  <c r="Q289" i="1"/>
  <c r="O94" i="2"/>
  <c r="S49" i="5"/>
  <c r="L61" i="5"/>
  <c r="R184" i="5"/>
  <c r="L190" i="5"/>
  <c r="R283" i="5"/>
  <c r="R292" i="5"/>
  <c r="L361" i="5"/>
  <c r="J515" i="5"/>
  <c r="J12" i="5" s="1"/>
  <c r="R927" i="5"/>
  <c r="D2352" i="5"/>
  <c r="D2353" i="5" s="1"/>
  <c r="O3913" i="5"/>
  <c r="M515" i="5"/>
  <c r="M12" i="5" s="1"/>
  <c r="D654" i="5"/>
  <c r="D669" i="5" s="1"/>
  <c r="G835" i="5"/>
  <c r="M950" i="5"/>
  <c r="D2278" i="5"/>
  <c r="D2292" i="5" s="1"/>
  <c r="R2727" i="5"/>
  <c r="G4094" i="5"/>
  <c r="D782" i="5"/>
  <c r="D784" i="5" s="1"/>
  <c r="E1230" i="5"/>
  <c r="E1016" i="5" s="1"/>
  <c r="R1591" i="5"/>
  <c r="D4452" i="5"/>
  <c r="D4458" i="5" s="1"/>
  <c r="G2746" i="5"/>
  <c r="L4122" i="5"/>
  <c r="M4146" i="5"/>
  <c r="G4148" i="5"/>
  <c r="L3820" i="5"/>
  <c r="L4659" i="5"/>
  <c r="H30" i="2"/>
  <c r="S4290" i="5"/>
  <c r="L3314" i="5"/>
  <c r="P4327" i="5"/>
  <c r="L3313" i="5"/>
  <c r="R3306" i="5"/>
  <c r="N517" i="5"/>
  <c r="O3539" i="5"/>
  <c r="O3540" i="5" s="1"/>
  <c r="L3367" i="5"/>
  <c r="J3405" i="5"/>
  <c r="J1016" i="5"/>
  <c r="P1016" i="5"/>
  <c r="L3537" i="5"/>
  <c r="L4293" i="5"/>
  <c r="S4293" i="5" s="1"/>
  <c r="L4295" i="5"/>
  <c r="Q3900" i="5"/>
  <c r="L3900" i="5" s="1"/>
  <c r="L2560" i="5"/>
  <c r="S2560" i="5" s="1"/>
  <c r="D596" i="5"/>
  <c r="E677" i="5"/>
  <c r="L3222" i="5"/>
  <c r="R3225" i="5"/>
  <c r="D671" i="5"/>
  <c r="D677" i="5" s="1"/>
  <c r="L689" i="5"/>
  <c r="L690" i="5" s="1"/>
  <c r="O3010" i="5"/>
  <c r="O3068" i="5"/>
  <c r="R3082" i="5"/>
  <c r="O3360" i="5"/>
  <c r="L3360" i="5" s="1"/>
  <c r="O3363" i="5"/>
  <c r="L3363" i="5" s="1"/>
  <c r="R3008" i="5"/>
  <c r="L3339" i="5"/>
  <c r="O517" i="5"/>
  <c r="P517" i="5"/>
  <c r="L4160" i="5"/>
  <c r="Q517" i="5"/>
  <c r="J517" i="5"/>
  <c r="R2561" i="5"/>
  <c r="L2644" i="5"/>
  <c r="S351" i="5"/>
  <c r="O2292" i="5"/>
  <c r="R86" i="1"/>
  <c r="G1016" i="5"/>
  <c r="L3821" i="5"/>
  <c r="S3821" i="5" s="1"/>
  <c r="O2243" i="5"/>
  <c r="L2375" i="5"/>
  <c r="O3151" i="5"/>
  <c r="L3151" i="5" s="1"/>
  <c r="R3628" i="5"/>
  <c r="R4506" i="5"/>
  <c r="F290" i="2"/>
  <c r="C290" i="2"/>
  <c r="S2422" i="5"/>
  <c r="R3810" i="5"/>
  <c r="Q3854" i="5"/>
  <c r="L3854" i="5" s="1"/>
  <c r="Q3857" i="5"/>
  <c r="R4132" i="5"/>
  <c r="L2691" i="5"/>
  <c r="L3280" i="5"/>
  <c r="D3545" i="5"/>
  <c r="Q3608" i="5"/>
  <c r="L3608" i="5" s="1"/>
  <c r="R3614" i="5"/>
  <c r="Q4076" i="5"/>
  <c r="L4076" i="5" s="1"/>
  <c r="O4405" i="5"/>
  <c r="R4415" i="5"/>
  <c r="L4428" i="5"/>
  <c r="Q4506" i="5"/>
  <c r="L4506" i="5" s="1"/>
  <c r="N1016" i="5"/>
  <c r="S2095" i="5"/>
  <c r="L2834" i="5"/>
  <c r="L3133" i="5"/>
  <c r="L2017" i="5"/>
  <c r="D3669" i="5"/>
  <c r="Q3674" i="5"/>
  <c r="L3674" i="5" s="1"/>
  <c r="Q3976" i="5"/>
  <c r="L3976" i="5" s="1"/>
  <c r="Q3999" i="5"/>
  <c r="L3999" i="5" s="1"/>
  <c r="R4393" i="5"/>
  <c r="Q4406" i="5"/>
  <c r="L4406" i="5" s="1"/>
  <c r="O4414" i="5"/>
  <c r="L4426" i="5"/>
  <c r="L4429" i="5"/>
  <c r="N4439" i="5"/>
  <c r="N4440" i="5" s="1"/>
  <c r="L4507" i="5"/>
  <c r="J4583" i="5"/>
  <c r="S2148" i="5"/>
  <c r="L1423" i="5"/>
  <c r="R2472" i="5"/>
  <c r="L2562" i="5"/>
  <c r="R2749" i="5"/>
  <c r="R2845" i="5"/>
  <c r="R3878" i="5"/>
  <c r="Q3987" i="5"/>
  <c r="L3987" i="5" s="1"/>
  <c r="L4258" i="5"/>
  <c r="L4270" i="5"/>
  <c r="S4270" i="5" s="1"/>
  <c r="Q4336" i="5"/>
  <c r="L4336" i="5" s="1"/>
  <c r="Q4542" i="5"/>
  <c r="L4542" i="5" s="1"/>
  <c r="S2439" i="5"/>
  <c r="L2512" i="5"/>
  <c r="L2654" i="5"/>
  <c r="L2796" i="5"/>
  <c r="L3094" i="5"/>
  <c r="O3113" i="5"/>
  <c r="L3113" i="5" s="1"/>
  <c r="R3116" i="5"/>
  <c r="O3195" i="5"/>
  <c r="L3195" i="5" s="1"/>
  <c r="O3201" i="5"/>
  <c r="L3201" i="5" s="1"/>
  <c r="O3232" i="5"/>
  <c r="L3232" i="5" s="1"/>
  <c r="O3278" i="5"/>
  <c r="L3278" i="5" s="1"/>
  <c r="R3304" i="5"/>
  <c r="R3622" i="5"/>
  <c r="N3628" i="5"/>
  <c r="O3981" i="5"/>
  <c r="L3981" i="5" s="1"/>
  <c r="Q4187" i="5"/>
  <c r="L4187" i="5" s="1"/>
  <c r="Q4468" i="5"/>
  <c r="L4468" i="5" s="1"/>
  <c r="M4540" i="5"/>
  <c r="D2333" i="5"/>
  <c r="M2751" i="5"/>
  <c r="R3000" i="5"/>
  <c r="R3048" i="5"/>
  <c r="O3055" i="5"/>
  <c r="L3055" i="5" s="1"/>
  <c r="O3135" i="5"/>
  <c r="Q3946" i="5"/>
  <c r="L3946" i="5" s="1"/>
  <c r="R3981" i="5"/>
  <c r="R4156" i="5"/>
  <c r="R4199" i="5"/>
  <c r="R4538" i="5"/>
  <c r="R4575" i="5"/>
  <c r="L840" i="5"/>
  <c r="S840" i="5" s="1"/>
  <c r="R881" i="5"/>
  <c r="M1016" i="5"/>
  <c r="O2247" i="5"/>
  <c r="R2478" i="5"/>
  <c r="L2516" i="5"/>
  <c r="E2465" i="5"/>
  <c r="R2637" i="5"/>
  <c r="L2642" i="5"/>
  <c r="L2663" i="5"/>
  <c r="L3086" i="5"/>
  <c r="R3236" i="5"/>
  <c r="R3623" i="5"/>
  <c r="R4007" i="5"/>
  <c r="Q4220" i="5"/>
  <c r="S19" i="5"/>
  <c r="R535" i="5"/>
  <c r="R532" i="5"/>
  <c r="R553" i="5"/>
  <c r="R560" i="5"/>
  <c r="D2199" i="5"/>
  <c r="L2281" i="5"/>
  <c r="J2465" i="5"/>
  <c r="L2518" i="5"/>
  <c r="L2542" i="5"/>
  <c r="L2630" i="5"/>
  <c r="S2630" i="5" s="1"/>
  <c r="L3032" i="5"/>
  <c r="O3034" i="5"/>
  <c r="L3074" i="5"/>
  <c r="L3077" i="5"/>
  <c r="O3078" i="5"/>
  <c r="L3078" i="5" s="1"/>
  <c r="R3090" i="5"/>
  <c r="L3122" i="5"/>
  <c r="R3125" i="5"/>
  <c r="R3215" i="5"/>
  <c r="L3253" i="5"/>
  <c r="R3331" i="5"/>
  <c r="Q4158" i="5"/>
  <c r="M4471" i="5"/>
  <c r="L2831" i="5"/>
  <c r="O2971" i="5"/>
  <c r="R2980" i="5"/>
  <c r="R2991" i="5"/>
  <c r="O3004" i="5"/>
  <c r="L3004" i="5" s="1"/>
  <c r="R3032" i="5"/>
  <c r="O3234" i="5"/>
  <c r="L3238" i="5"/>
  <c r="O3241" i="5"/>
  <c r="L3241" i="5" s="1"/>
  <c r="L3249" i="5"/>
  <c r="O3251" i="5"/>
  <c r="O3306" i="5"/>
  <c r="L3306" i="5" s="1"/>
  <c r="D3620" i="5"/>
  <c r="R3616" i="5"/>
  <c r="Q3628" i="5"/>
  <c r="Q3629" i="5" s="1"/>
  <c r="Q3699" i="5"/>
  <c r="L3708" i="5"/>
  <c r="L3709" i="5" s="1"/>
  <c r="Q3852" i="5"/>
  <c r="L3852" i="5" s="1"/>
  <c r="Q3861" i="5"/>
  <c r="R3874" i="5"/>
  <c r="L3881" i="5"/>
  <c r="O3882" i="5"/>
  <c r="L3882" i="5" s="1"/>
  <c r="Q3902" i="5"/>
  <c r="L3902" i="5" s="1"/>
  <c r="Q3958" i="5"/>
  <c r="O3995" i="5"/>
  <c r="O4001" i="5"/>
  <c r="Q4006" i="5"/>
  <c r="Q4012" i="5"/>
  <c r="R4079" i="5"/>
  <c r="M4103" i="5"/>
  <c r="R4191" i="5"/>
  <c r="Q4197" i="5"/>
  <c r="L4197" i="5" s="1"/>
  <c r="L4219" i="5"/>
  <c r="O4220" i="5"/>
  <c r="Q4381" i="5"/>
  <c r="O4387" i="5"/>
  <c r="O4411" i="5"/>
  <c r="L4411" i="5" s="1"/>
  <c r="T4411" i="5" s="1"/>
  <c r="M4523" i="5"/>
  <c r="M4536" i="5"/>
  <c r="G4569" i="5"/>
  <c r="O4571" i="5"/>
  <c r="O4572" i="5" s="1"/>
  <c r="Q1415" i="5"/>
  <c r="L1448" i="5"/>
  <c r="Q1458" i="5"/>
  <c r="M2297" i="5"/>
  <c r="O2306" i="5"/>
  <c r="L2487" i="5"/>
  <c r="L2540" i="5"/>
  <c r="L2554" i="5"/>
  <c r="R2818" i="5"/>
  <c r="R2969" i="5"/>
  <c r="O3155" i="5"/>
  <c r="L3155" i="5" s="1"/>
  <c r="L3166" i="5"/>
  <c r="O3192" i="5"/>
  <c r="L3192" i="5" s="1"/>
  <c r="L3209" i="5"/>
  <c r="R3696" i="5"/>
  <c r="R3697" i="5"/>
  <c r="O3868" i="5"/>
  <c r="L3868" i="5" s="1"/>
  <c r="L784" i="5"/>
  <c r="S784" i="5" s="1"/>
  <c r="L789" i="5"/>
  <c r="S789" i="5" s="1"/>
  <c r="Q1246" i="5"/>
  <c r="M2247" i="5"/>
  <c r="L2350" i="5"/>
  <c r="S2350" i="5" s="1"/>
  <c r="L2872" i="5"/>
  <c r="L3170" i="5"/>
  <c r="O3173" i="5"/>
  <c r="L3173" i="5" s="1"/>
  <c r="R3213" i="5"/>
  <c r="O3215" i="5"/>
  <c r="L3215" i="5" s="1"/>
  <c r="R3224" i="5"/>
  <c r="L3312" i="5"/>
  <c r="R3326" i="5"/>
  <c r="L3693" i="5"/>
  <c r="E3696" i="5"/>
  <c r="E3697" i="5"/>
  <c r="O3851" i="5"/>
  <c r="L3851" i="5" s="1"/>
  <c r="R3866" i="5"/>
  <c r="R3920" i="5"/>
  <c r="Q3930" i="5"/>
  <c r="O3950" i="5"/>
  <c r="L3950" i="5" s="1"/>
  <c r="O3977" i="5"/>
  <c r="R4019" i="5"/>
  <c r="Q4067" i="5"/>
  <c r="L4067" i="5" s="1"/>
  <c r="L4125" i="5"/>
  <c r="Q4130" i="5"/>
  <c r="L4130" i="5" s="1"/>
  <c r="O4158" i="5"/>
  <c r="R4212" i="5"/>
  <c r="O4215" i="5"/>
  <c r="Q4217" i="5"/>
  <c r="L4217" i="5" s="1"/>
  <c r="L4268" i="5"/>
  <c r="O4410" i="5"/>
  <c r="N4469" i="5"/>
  <c r="O4538" i="5"/>
  <c r="N4549" i="5"/>
  <c r="N4583" i="5"/>
  <c r="Q4597" i="5"/>
  <c r="L4597" i="5" s="1"/>
  <c r="G94" i="2"/>
  <c r="S439" i="5"/>
  <c r="G884" i="5"/>
  <c r="S2172" i="5"/>
  <c r="S207" i="5"/>
  <c r="D685" i="5"/>
  <c r="S413" i="5"/>
  <c r="G804" i="5"/>
  <c r="L898" i="5"/>
  <c r="D968" i="5"/>
  <c r="D978" i="5"/>
  <c r="S2173" i="5"/>
  <c r="S15" i="5"/>
  <c r="S74" i="5"/>
  <c r="S76" i="5"/>
  <c r="S80" i="5"/>
  <c r="S97" i="5"/>
  <c r="S102" i="5"/>
  <c r="S214" i="5"/>
  <c r="S334" i="5"/>
  <c r="S337" i="5"/>
  <c r="R571" i="5"/>
  <c r="R802" i="5"/>
  <c r="S2159" i="5"/>
  <c r="S2097" i="5"/>
  <c r="L2306" i="5"/>
  <c r="L2520" i="5"/>
  <c r="L2523" i="5"/>
  <c r="L2600" i="5"/>
  <c r="R2601" i="5"/>
  <c r="R2604" i="5"/>
  <c r="R2618" i="5"/>
  <c r="L2640" i="5"/>
  <c r="R2661" i="5"/>
  <c r="L2842" i="5"/>
  <c r="R2878" i="5"/>
  <c r="R2977" i="5"/>
  <c r="R2994" i="5"/>
  <c r="L3000" i="5"/>
  <c r="O3002" i="5"/>
  <c r="L3008" i="5"/>
  <c r="R3024" i="5"/>
  <c r="L3029" i="5"/>
  <c r="R3038" i="5"/>
  <c r="R3040" i="5"/>
  <c r="L3045" i="5"/>
  <c r="R3047" i="5"/>
  <c r="R3063" i="5"/>
  <c r="O3066" i="5"/>
  <c r="O3211" i="5"/>
  <c r="R3211" i="5"/>
  <c r="L1401" i="5"/>
  <c r="D2206" i="5"/>
  <c r="D2299" i="5"/>
  <c r="D2300" i="5" s="1"/>
  <c r="S2299" i="5"/>
  <c r="R2314" i="5"/>
  <c r="R2332" i="5"/>
  <c r="S2336" i="5"/>
  <c r="L2481" i="5"/>
  <c r="L2539" i="5"/>
  <c r="L2546" i="5"/>
  <c r="L2647" i="5"/>
  <c r="L2795" i="5"/>
  <c r="R3045" i="5"/>
  <c r="R3054" i="5"/>
  <c r="R3073" i="5"/>
  <c r="O3088" i="5"/>
  <c r="R3093" i="5"/>
  <c r="L3095" i="5"/>
  <c r="R3109" i="5"/>
  <c r="R3118" i="5"/>
  <c r="R3131" i="5"/>
  <c r="R3133" i="5"/>
  <c r="L3143" i="5"/>
  <c r="R3145" i="5"/>
  <c r="R3156" i="5"/>
  <c r="R3166" i="5"/>
  <c r="O3169" i="5"/>
  <c r="L3169" i="5" s="1"/>
  <c r="L3180" i="5"/>
  <c r="L3189" i="5"/>
  <c r="R3196" i="5"/>
  <c r="R3201" i="5"/>
  <c r="L1399" i="5"/>
  <c r="L1455" i="5"/>
  <c r="S2145" i="5"/>
  <c r="T2327" i="5"/>
  <c r="R2330" i="5"/>
  <c r="R2515" i="5"/>
  <c r="L2998" i="5"/>
  <c r="O3012" i="5"/>
  <c r="R2012" i="5"/>
  <c r="L3079" i="5"/>
  <c r="O3082" i="5"/>
  <c r="L3082" i="5" s="1"/>
  <c r="L3091" i="5"/>
  <c r="L3152" i="5"/>
  <c r="R3172" i="5"/>
  <c r="L3174" i="5"/>
  <c r="R3180" i="5"/>
  <c r="O3197" i="5"/>
  <c r="L1304" i="5"/>
  <c r="L1306" i="5" s="1"/>
  <c r="S2161" i="5"/>
  <c r="R2204" i="5"/>
  <c r="L2315" i="5"/>
  <c r="L2556" i="5"/>
  <c r="L2844" i="5"/>
  <c r="L2846" i="5"/>
  <c r="R2880" i="5"/>
  <c r="R2961" i="5"/>
  <c r="R2982" i="5"/>
  <c r="R3016" i="5"/>
  <c r="L3085" i="5"/>
  <c r="L3096" i="5"/>
  <c r="O3099" i="5"/>
  <c r="L3099" i="5" s="1"/>
  <c r="R3122" i="5"/>
  <c r="L3125" i="5"/>
  <c r="O3127" i="5"/>
  <c r="R3152" i="5"/>
  <c r="R3174" i="5"/>
  <c r="L3176" i="5"/>
  <c r="O3179" i="5"/>
  <c r="L3179" i="5" s="1"/>
  <c r="R3242" i="5"/>
  <c r="R3296" i="5"/>
  <c r="O3623" i="5"/>
  <c r="L3623" i="5" s="1"/>
  <c r="O3634" i="5"/>
  <c r="Q3641" i="5"/>
  <c r="O3661" i="5"/>
  <c r="L3663" i="5"/>
  <c r="R3775" i="5"/>
  <c r="M3794" i="5"/>
  <c r="O3793" i="5"/>
  <c r="L3793" i="5" s="1"/>
  <c r="Q3837" i="5"/>
  <c r="Q3845" i="5"/>
  <c r="L3845" i="5" s="1"/>
  <c r="R3847" i="5"/>
  <c r="Q3849" i="5"/>
  <c r="L3849" i="5" s="1"/>
  <c r="R3850" i="5"/>
  <c r="R3851" i="5"/>
  <c r="O3866" i="5"/>
  <c r="L3866" i="5" s="1"/>
  <c r="O3874" i="5"/>
  <c r="L3874" i="5" s="1"/>
  <c r="Q3879" i="5"/>
  <c r="L3879" i="5" s="1"/>
  <c r="M3917" i="5"/>
  <c r="R3913" i="5"/>
  <c r="D4035" i="5"/>
  <c r="D3805" i="5" s="1"/>
  <c r="R3938" i="5"/>
  <c r="Q3954" i="5"/>
  <c r="O3955" i="5"/>
  <c r="Q3961" i="5"/>
  <c r="L3961" i="5" s="1"/>
  <c r="Q3966" i="5"/>
  <c r="L3966" i="5" s="1"/>
  <c r="R3971" i="5"/>
  <c r="R3978" i="5"/>
  <c r="O3984" i="5"/>
  <c r="O4006" i="5"/>
  <c r="Q4011" i="5"/>
  <c r="Q4052" i="5"/>
  <c r="L4052" i="5" s="1"/>
  <c r="R4067" i="5"/>
  <c r="Q4131" i="5"/>
  <c r="L4131" i="5" s="1"/>
  <c r="Q4147" i="5"/>
  <c r="L4147" i="5" s="1"/>
  <c r="Q4156" i="5"/>
  <c r="O4157" i="5"/>
  <c r="M4233" i="5"/>
  <c r="L4249" i="5"/>
  <c r="L4261" i="5"/>
  <c r="S4261" i="5" s="1"/>
  <c r="N4338" i="5"/>
  <c r="N4340" i="5"/>
  <c r="L4340" i="5" s="1"/>
  <c r="Q4341" i="5"/>
  <c r="O4384" i="5"/>
  <c r="L4384" i="5" s="1"/>
  <c r="Q4408" i="5"/>
  <c r="L4408" i="5" s="1"/>
  <c r="Q4454" i="5"/>
  <c r="L4454" i="5" s="1"/>
  <c r="Q4455" i="5"/>
  <c r="L4455" i="5" s="1"/>
  <c r="Q4463" i="5"/>
  <c r="L4463" i="5" s="1"/>
  <c r="Q4530" i="5"/>
  <c r="M4649" i="5"/>
  <c r="L3343" i="5"/>
  <c r="Q3622" i="5"/>
  <c r="L3622" i="5" s="1"/>
  <c r="M3778" i="5"/>
  <c r="R3793" i="5"/>
  <c r="O3810" i="5"/>
  <c r="L3810" i="5" s="1"/>
  <c r="L3818" i="5"/>
  <c r="R3849" i="5"/>
  <c r="Q4202" i="5"/>
  <c r="L4202" i="5" s="1"/>
  <c r="Q4204" i="5"/>
  <c r="L4204" i="5" s="1"/>
  <c r="R4206" i="5"/>
  <c r="Q4208" i="5"/>
  <c r="L4208" i="5" s="1"/>
  <c r="Q4210" i="5"/>
  <c r="L4210" i="5" s="1"/>
  <c r="R4340" i="5"/>
  <c r="R4454" i="5"/>
  <c r="R4455" i="5"/>
  <c r="D4550" i="5"/>
  <c r="D4569" i="5" s="1"/>
  <c r="Q4585" i="5"/>
  <c r="L4585" i="5" s="1"/>
  <c r="E4583" i="5"/>
  <c r="P4583" i="5"/>
  <c r="Q4599" i="5"/>
  <c r="L4599" i="5" s="1"/>
  <c r="D4631" i="5"/>
  <c r="D4583" i="5" s="1"/>
  <c r="R4633" i="5"/>
  <c r="R3233" i="5"/>
  <c r="O3246" i="5"/>
  <c r="L3246" i="5" s="1"/>
  <c r="O3296" i="5"/>
  <c r="L3296" i="5" s="1"/>
  <c r="L3297" i="5"/>
  <c r="L3311" i="5"/>
  <c r="L3326" i="5"/>
  <c r="R3534" i="5"/>
  <c r="Q3612" i="5"/>
  <c r="L3612" i="5" s="1"/>
  <c r="R3922" i="5"/>
  <c r="O3933" i="5"/>
  <c r="L3933" i="5" s="1"/>
  <c r="Q3948" i="5"/>
  <c r="L3948" i="5" s="1"/>
  <c r="Q3975" i="5"/>
  <c r="L3975" i="5" s="1"/>
  <c r="R3987" i="5"/>
  <c r="N3990" i="5"/>
  <c r="N4035" i="5" s="1"/>
  <c r="Q3995" i="5"/>
  <c r="Q4002" i="5"/>
  <c r="L4002" i="5" s="1"/>
  <c r="R4013" i="5"/>
  <c r="O4017" i="5"/>
  <c r="Q4073" i="5"/>
  <c r="L4073" i="5" s="1"/>
  <c r="R4112" i="5"/>
  <c r="R4114" i="5"/>
  <c r="Q4153" i="5"/>
  <c r="R4202" i="5"/>
  <c r="R4204" i="5"/>
  <c r="R4208" i="5"/>
  <c r="L4252" i="5"/>
  <c r="S4254" i="5"/>
  <c r="R4342" i="5"/>
  <c r="Q4385" i="5"/>
  <c r="L4385" i="5" s="1"/>
  <c r="Q4393" i="5"/>
  <c r="Q4395" i="5" s="1"/>
  <c r="L4397" i="5"/>
  <c r="R4411" i="5"/>
  <c r="L4432" i="5"/>
  <c r="L4433" i="5"/>
  <c r="R4445" i="5"/>
  <c r="R4473" i="5"/>
  <c r="Q4576" i="5"/>
  <c r="L4576" i="5" s="1"/>
  <c r="R4585" i="5"/>
  <c r="O3237" i="5"/>
  <c r="L3237" i="5" s="1"/>
  <c r="L3242" i="5"/>
  <c r="R3246" i="5"/>
  <c r="G3470" i="5"/>
  <c r="R3607" i="5"/>
  <c r="Q3610" i="5"/>
  <c r="L3610" i="5" s="1"/>
  <c r="Q3679" i="5"/>
  <c r="L3679" i="5" s="1"/>
  <c r="Q3685" i="5"/>
  <c r="N3775" i="5"/>
  <c r="N3778" i="5" s="1"/>
  <c r="L3839" i="5"/>
  <c r="O3847" i="5"/>
  <c r="L3847" i="5" s="1"/>
  <c r="O3850" i="5"/>
  <c r="L3850" i="5" s="1"/>
  <c r="R3867" i="5"/>
  <c r="R3882" i="5"/>
  <c r="Q3898" i="5"/>
  <c r="L3898" i="5" s="1"/>
  <c r="R3990" i="5"/>
  <c r="R4153" i="5"/>
  <c r="M4516" i="5"/>
  <c r="N4515" i="5"/>
  <c r="R4518" i="5"/>
  <c r="O4530" i="5"/>
  <c r="Q4538" i="5"/>
  <c r="Q4575" i="5"/>
  <c r="L4575" i="5" s="1"/>
  <c r="R4576" i="5"/>
  <c r="Q4655" i="5"/>
  <c r="S4655" i="5" s="1"/>
  <c r="R85" i="1"/>
  <c r="R84" i="1"/>
  <c r="S285" i="5"/>
  <c r="S403" i="5"/>
  <c r="M690" i="5"/>
  <c r="Q1455" i="5"/>
  <c r="S2100" i="5"/>
  <c r="S2380" i="5"/>
  <c r="S70" i="5"/>
  <c r="S127" i="5"/>
  <c r="S381" i="5"/>
  <c r="R953" i="5"/>
  <c r="S1124" i="5"/>
  <c r="S2176" i="5"/>
  <c r="S2232" i="5"/>
  <c r="S46" i="5"/>
  <c r="S145" i="5"/>
  <c r="S228" i="5"/>
  <c r="S250" i="5"/>
  <c r="L884" i="5"/>
  <c r="S884" i="5" s="1"/>
  <c r="R883" i="5"/>
  <c r="L1230" i="5"/>
  <c r="Q1259" i="5"/>
  <c r="Q1306" i="5"/>
  <c r="Q1310" i="5"/>
  <c r="Q1354" i="5"/>
  <c r="S3398" i="5"/>
  <c r="S3386" i="5"/>
  <c r="S2180" i="5"/>
  <c r="S366" i="5"/>
  <c r="S470" i="5"/>
  <c r="R799" i="5"/>
  <c r="L804" i="5"/>
  <c r="L1300" i="5"/>
  <c r="Q1371" i="5"/>
  <c r="S2177" i="5"/>
  <c r="S2168" i="5"/>
  <c r="S2169" i="5"/>
  <c r="O2251" i="5"/>
  <c r="L2667" i="5"/>
  <c r="R2667" i="5"/>
  <c r="O2122" i="5"/>
  <c r="S2185" i="5"/>
  <c r="L2208" i="5"/>
  <c r="R2250" i="5"/>
  <c r="S2261" i="5"/>
  <c r="S2262" i="5"/>
  <c r="D2306" i="5"/>
  <c r="M2324" i="5"/>
  <c r="L2311" i="5"/>
  <c r="D2344" i="5"/>
  <c r="D2347" i="5" s="1"/>
  <c r="S2344" i="5"/>
  <c r="E2448" i="5"/>
  <c r="E2081" i="5" s="1"/>
  <c r="M2453" i="5"/>
  <c r="L2452" i="5"/>
  <c r="R2521" i="5"/>
  <c r="R2524" i="5"/>
  <c r="L2532" i="5"/>
  <c r="L2534" i="5"/>
  <c r="L2537" i="5"/>
  <c r="S2537" i="5" s="1"/>
  <c r="R2543" i="5"/>
  <c r="R2544" i="5"/>
  <c r="L2595" i="5"/>
  <c r="S2595" i="5" s="1"/>
  <c r="R2596" i="5"/>
  <c r="L2614" i="5"/>
  <c r="R2615" i="5"/>
  <c r="L2621" i="5"/>
  <c r="R2622" i="5"/>
  <c r="R2625" i="5"/>
  <c r="L2646" i="5"/>
  <c r="R2651" i="5"/>
  <c r="Q2122" i="5"/>
  <c r="Q2081" i="5" s="1"/>
  <c r="S2144" i="5"/>
  <c r="S2151" i="5"/>
  <c r="S2152" i="5"/>
  <c r="R2311" i="5"/>
  <c r="R2331" i="5"/>
  <c r="L2338" i="5"/>
  <c r="S2341" i="5"/>
  <c r="L2357" i="5"/>
  <c r="S2364" i="5"/>
  <c r="S2406" i="5"/>
  <c r="L2450" i="5"/>
  <c r="S2450" i="5" s="1"/>
  <c r="R2452" i="5"/>
  <c r="L2484" i="5"/>
  <c r="L2517" i="5"/>
  <c r="L2519" i="5"/>
  <c r="R2530" i="5"/>
  <c r="L2541" i="5"/>
  <c r="L2557" i="5"/>
  <c r="R2558" i="5"/>
  <c r="L2594" i="5"/>
  <c r="L2606" i="5"/>
  <c r="S2606" i="5" s="1"/>
  <c r="R2607" i="5"/>
  <c r="L2613" i="5"/>
  <c r="R2632" i="5"/>
  <c r="L2639" i="5"/>
  <c r="L2660" i="5"/>
  <c r="S2150" i="5"/>
  <c r="M2206" i="5"/>
  <c r="L2219" i="5"/>
  <c r="S2458" i="5"/>
  <c r="L2529" i="5"/>
  <c r="L2538" i="5"/>
  <c r="L2597" i="5"/>
  <c r="L2649" i="5"/>
  <c r="R2664" i="5"/>
  <c r="L2664" i="5"/>
  <c r="O2709" i="5"/>
  <c r="M2709" i="5"/>
  <c r="R2797" i="5"/>
  <c r="M2836" i="5"/>
  <c r="R3006" i="5"/>
  <c r="R3014" i="5"/>
  <c r="L3016" i="5"/>
  <c r="R3020" i="5"/>
  <c r="L3038" i="5"/>
  <c r="L3048" i="5"/>
  <c r="R3060" i="5"/>
  <c r="R3071" i="5"/>
  <c r="O3075" i="5"/>
  <c r="L3075" i="5" s="1"/>
  <c r="L3080" i="5"/>
  <c r="O3084" i="5"/>
  <c r="O3097" i="5"/>
  <c r="L3097" i="5" s="1"/>
  <c r="R3103" i="5"/>
  <c r="R3104" i="5"/>
  <c r="O3107" i="5"/>
  <c r="L3107" i="5" s="1"/>
  <c r="R3114" i="5"/>
  <c r="L3116" i="5"/>
  <c r="R3119" i="5"/>
  <c r="O3123" i="5"/>
  <c r="L3123" i="5" s="1"/>
  <c r="R3129" i="5"/>
  <c r="L3131" i="5"/>
  <c r="R3137" i="5"/>
  <c r="R3138" i="5"/>
  <c r="O3144" i="5"/>
  <c r="L3144" i="5" s="1"/>
  <c r="L3146" i="5"/>
  <c r="O3157" i="5"/>
  <c r="L3168" i="5"/>
  <c r="O3171" i="5"/>
  <c r="L3171" i="5" s="1"/>
  <c r="O3177" i="5"/>
  <c r="L3177" i="5" s="1"/>
  <c r="O3199" i="5"/>
  <c r="L3202" i="5"/>
  <c r="O3206" i="5"/>
  <c r="L3208" i="5"/>
  <c r="O3217" i="5"/>
  <c r="L3220" i="5"/>
  <c r="R3238" i="5"/>
  <c r="L3240" i="5"/>
  <c r="O3243" i="5"/>
  <c r="L3243" i="5" s="1"/>
  <c r="L3254" i="5"/>
  <c r="R3278" i="5"/>
  <c r="R3282" i="5"/>
  <c r="L3282" i="5"/>
  <c r="L3284" i="5"/>
  <c r="O3295" i="5"/>
  <c r="L3295" i="5" s="1"/>
  <c r="R3309" i="5"/>
  <c r="O3309" i="5"/>
  <c r="L2662" i="5"/>
  <c r="M2692" i="5"/>
  <c r="R2822" i="5"/>
  <c r="M2847" i="5"/>
  <c r="R2839" i="5"/>
  <c r="O2967" i="5"/>
  <c r="L2975" i="5"/>
  <c r="L2992" i="5"/>
  <c r="O3153" i="5"/>
  <c r="L3153" i="5" s="1"/>
  <c r="R3159" i="5"/>
  <c r="O3162" i="5"/>
  <c r="R3168" i="5"/>
  <c r="L3186" i="5"/>
  <c r="R3193" i="5"/>
  <c r="O3212" i="5"/>
  <c r="L3212" i="5" s="1"/>
  <c r="L3214" i="5"/>
  <c r="L3219" i="5"/>
  <c r="L2926" i="5"/>
  <c r="R3240" i="5"/>
  <c r="R3279" i="5"/>
  <c r="R3284" i="5"/>
  <c r="O3287" i="5"/>
  <c r="R3294" i="5"/>
  <c r="R3310" i="5"/>
  <c r="O3310" i="5"/>
  <c r="M2696" i="5"/>
  <c r="Q2746" i="5"/>
  <c r="M2757" i="5"/>
  <c r="M2798" i="5"/>
  <c r="R2819" i="5"/>
  <c r="L2833" i="5"/>
  <c r="L2835" i="5"/>
  <c r="R2838" i="5"/>
  <c r="M2881" i="5"/>
  <c r="R2877" i="5"/>
  <c r="R2879" i="5"/>
  <c r="O2969" i="5"/>
  <c r="L2969" i="5" s="1"/>
  <c r="L2974" i="5"/>
  <c r="O2980" i="5"/>
  <c r="L2980" i="5" s="1"/>
  <c r="L2994" i="5"/>
  <c r="L2996" i="5"/>
  <c r="O3006" i="5"/>
  <c r="L3006" i="5" s="1"/>
  <c r="O3014" i="5"/>
  <c r="L3014" i="5" s="1"/>
  <c r="O3020" i="5"/>
  <c r="L3020" i="5" s="1"/>
  <c r="L3044" i="5"/>
  <c r="O3060" i="5"/>
  <c r="L3060" i="5" s="1"/>
  <c r="O3062" i="5"/>
  <c r="L3062" i="5" s="1"/>
  <c r="O3071" i="5"/>
  <c r="L3071" i="5" s="1"/>
  <c r="L3076" i="5"/>
  <c r="R3079" i="5"/>
  <c r="O3104" i="5"/>
  <c r="R3108" i="5"/>
  <c r="L3112" i="5"/>
  <c r="O3115" i="5"/>
  <c r="L3115" i="5" s="1"/>
  <c r="L3120" i="5"/>
  <c r="R3124" i="5"/>
  <c r="O3129" i="5"/>
  <c r="L3129" i="5" s="1"/>
  <c r="O3137" i="5"/>
  <c r="L3137" i="5" s="1"/>
  <c r="O3167" i="5"/>
  <c r="L3167" i="5" s="1"/>
  <c r="R3170" i="5"/>
  <c r="L3172" i="5"/>
  <c r="L3175" i="5"/>
  <c r="R3176" i="5"/>
  <c r="L3178" i="5"/>
  <c r="L3181" i="5"/>
  <c r="L3190" i="5"/>
  <c r="O3223" i="5"/>
  <c r="L3223" i="5" s="1"/>
  <c r="O3239" i="5"/>
  <c r="L3239" i="5" s="1"/>
  <c r="R3244" i="5"/>
  <c r="L3247" i="5"/>
  <c r="O3250" i="5"/>
  <c r="L3250" i="5" s="1"/>
  <c r="O3279" i="5"/>
  <c r="O3285" i="5"/>
  <c r="R3287" i="5"/>
  <c r="O3294" i="5"/>
  <c r="R3307" i="5"/>
  <c r="O3307" i="5"/>
  <c r="L2832" i="5"/>
  <c r="L2843" i="5"/>
  <c r="L2856" i="5"/>
  <c r="R2974" i="5"/>
  <c r="L2978" i="5"/>
  <c r="L2982" i="5"/>
  <c r="R3022" i="5"/>
  <c r="L3024" i="5"/>
  <c r="R3028" i="5"/>
  <c r="O3046" i="5"/>
  <c r="L3046" i="5" s="1"/>
  <c r="R3076" i="5"/>
  <c r="L3110" i="5"/>
  <c r="L3114" i="5"/>
  <c r="O3117" i="5"/>
  <c r="L3117" i="5" s="1"/>
  <c r="L3138" i="5"/>
  <c r="L3147" i="5"/>
  <c r="R3178" i="5"/>
  <c r="R3308" i="5"/>
  <c r="O3308" i="5"/>
  <c r="O2960" i="5"/>
  <c r="L3324" i="5"/>
  <c r="L2018" i="5"/>
  <c r="O3346" i="5"/>
  <c r="L3346" i="5" s="1"/>
  <c r="R3532" i="5"/>
  <c r="Q3534" i="5"/>
  <c r="L3534" i="5" s="1"/>
  <c r="L3588" i="5"/>
  <c r="O3600" i="5"/>
  <c r="R3625" i="5"/>
  <c r="R3632" i="5"/>
  <c r="L3639" i="5"/>
  <c r="Q3661" i="5"/>
  <c r="L3655" i="5"/>
  <c r="L3656" i="5"/>
  <c r="R3674" i="5"/>
  <c r="N3685" i="5"/>
  <c r="N3686" i="5" s="1"/>
  <c r="E3754" i="5"/>
  <c r="R3773" i="5"/>
  <c r="Q3855" i="5"/>
  <c r="O3867" i="5"/>
  <c r="L3867" i="5" s="1"/>
  <c r="R3871" i="5"/>
  <c r="R3876" i="5"/>
  <c r="R3906" i="5"/>
  <c r="Q3919" i="5"/>
  <c r="L3919" i="5" s="1"/>
  <c r="O3920" i="5"/>
  <c r="L3920" i="5" s="1"/>
  <c r="Q3921" i="5"/>
  <c r="Q3924" i="5"/>
  <c r="L3924" i="5" s="1"/>
  <c r="O3929" i="5"/>
  <c r="L3929" i="5" s="1"/>
  <c r="R3933" i="5"/>
  <c r="O3943" i="5"/>
  <c r="R3946" i="5"/>
  <c r="R3949" i="5"/>
  <c r="O3953" i="5"/>
  <c r="L3953" i="5" s="1"/>
  <c r="R3959" i="5"/>
  <c r="Q4001" i="5"/>
  <c r="R4002" i="5"/>
  <c r="Q4007" i="5"/>
  <c r="L4007" i="5" s="1"/>
  <c r="O4011" i="5"/>
  <c r="O4012" i="5"/>
  <c r="Q4018" i="5"/>
  <c r="L4018" i="5" s="1"/>
  <c r="R4085" i="5"/>
  <c r="L4085" i="5"/>
  <c r="Q4126" i="5"/>
  <c r="L4126" i="5" s="1"/>
  <c r="O3315" i="5"/>
  <c r="O3316" i="5"/>
  <c r="L3316" i="5" s="1"/>
  <c r="O3317" i="5"/>
  <c r="Q3578" i="5"/>
  <c r="M4057" i="5"/>
  <c r="R4055" i="5"/>
  <c r="Q4055" i="5"/>
  <c r="L4055" i="5" s="1"/>
  <c r="S4251" i="5"/>
  <c r="R3316" i="5"/>
  <c r="O3333" i="5"/>
  <c r="L3333" i="5" s="1"/>
  <c r="O3340" i="5"/>
  <c r="L3340" i="5" s="1"/>
  <c r="O3350" i="5"/>
  <c r="L3350" i="5" s="1"/>
  <c r="O3368" i="5"/>
  <c r="L3368" i="5" s="1"/>
  <c r="N3532" i="5"/>
  <c r="L3532" i="5" s="1"/>
  <c r="Q3539" i="5"/>
  <c r="R3609" i="5"/>
  <c r="Q3615" i="5"/>
  <c r="L3615" i="5" s="1"/>
  <c r="O3625" i="5"/>
  <c r="L3625" i="5" s="1"/>
  <c r="O3632" i="5"/>
  <c r="L3632" i="5" s="1"/>
  <c r="Q3634" i="5"/>
  <c r="R3653" i="5"/>
  <c r="M3675" i="5"/>
  <c r="Q3677" i="5"/>
  <c r="L3677" i="5" s="1"/>
  <c r="L3692" i="5"/>
  <c r="O3773" i="5"/>
  <c r="D3778" i="5"/>
  <c r="L3819" i="5"/>
  <c r="Q3835" i="5"/>
  <c r="Q3841" i="5"/>
  <c r="L3841" i="5" s="1"/>
  <c r="Q3843" i="5"/>
  <c r="L3843" i="5" s="1"/>
  <c r="Q3859" i="5"/>
  <c r="O3865" i="5"/>
  <c r="L3865" i="5" s="1"/>
  <c r="O3870" i="5"/>
  <c r="L3870" i="5" s="1"/>
  <c r="Q3872" i="5"/>
  <c r="L3872" i="5" s="1"/>
  <c r="O3876" i="5"/>
  <c r="L3876" i="5" s="1"/>
  <c r="Q3904" i="5"/>
  <c r="L3904" i="5" s="1"/>
  <c r="O3906" i="5"/>
  <c r="Q3907" i="5"/>
  <c r="L3907" i="5" s="1"/>
  <c r="Q3909" i="5"/>
  <c r="L3909" i="5" s="1"/>
  <c r="Q3911" i="5"/>
  <c r="L3911" i="5" s="1"/>
  <c r="R3931" i="5"/>
  <c r="Q3936" i="5"/>
  <c r="L3936" i="5" s="1"/>
  <c r="Q3951" i="5"/>
  <c r="L3951" i="5" s="1"/>
  <c r="O3957" i="5"/>
  <c r="L3957" i="5" s="1"/>
  <c r="Q3963" i="5"/>
  <c r="L3963" i="5" s="1"/>
  <c r="R3964" i="5"/>
  <c r="O3980" i="5"/>
  <c r="R3982" i="5"/>
  <c r="Q3986" i="5"/>
  <c r="L3986" i="5" s="1"/>
  <c r="L3989" i="5"/>
  <c r="O3992" i="5"/>
  <c r="Q3997" i="5"/>
  <c r="L3997" i="5" s="1"/>
  <c r="R4004" i="5"/>
  <c r="R4056" i="5"/>
  <c r="Q4063" i="5"/>
  <c r="Q4083" i="5"/>
  <c r="L4083" i="5" s="1"/>
  <c r="Q4115" i="5"/>
  <c r="L4115" i="5" s="1"/>
  <c r="R4115" i="5"/>
  <c r="O3302" i="5"/>
  <c r="L3302" i="5" s="1"/>
  <c r="L3319" i="5"/>
  <c r="L3549" i="5"/>
  <c r="Q3600" i="5"/>
  <c r="Q3604" i="5"/>
  <c r="Q3606" i="5"/>
  <c r="L3606" i="5" s="1"/>
  <c r="M3637" i="5"/>
  <c r="L3644" i="5"/>
  <c r="L3648" i="5"/>
  <c r="R3650" i="5"/>
  <c r="R3652" i="5"/>
  <c r="D3771" i="5"/>
  <c r="Q3773" i="5"/>
  <c r="M3895" i="5"/>
  <c r="R3865" i="5"/>
  <c r="M4035" i="5"/>
  <c r="L3978" i="5"/>
  <c r="Q3992" i="5"/>
  <c r="M4106" i="5"/>
  <c r="R4105" i="5"/>
  <c r="Q4111" i="5"/>
  <c r="R4111" i="5"/>
  <c r="L4124" i="5"/>
  <c r="L4143" i="5"/>
  <c r="R4186" i="5"/>
  <c r="Q4200" i="5"/>
  <c r="L4200" i="5" s="1"/>
  <c r="R4210" i="5"/>
  <c r="Q4215" i="5"/>
  <c r="Q4230" i="5"/>
  <c r="S4244" i="5"/>
  <c r="S4257" i="5"/>
  <c r="Q4335" i="5"/>
  <c r="L4335" i="5" s="1"/>
  <c r="Q4339" i="5"/>
  <c r="L4339" i="5" s="1"/>
  <c r="T4339" i="5" s="1"/>
  <c r="E4379" i="5"/>
  <c r="M4391" i="5"/>
  <c r="R4384" i="5"/>
  <c r="J4327" i="5"/>
  <c r="Q4415" i="5"/>
  <c r="L4415" i="5" s="1"/>
  <c r="N4452" i="5"/>
  <c r="E4471" i="5"/>
  <c r="M4491" i="5"/>
  <c r="R4520" i="5"/>
  <c r="M4572" i="5"/>
  <c r="O4578" i="5"/>
  <c r="M4581" i="5"/>
  <c r="M4635" i="5"/>
  <c r="Q4658" i="5"/>
  <c r="M4195" i="5"/>
  <c r="Q4212" i="5"/>
  <c r="L4212" i="5" s="1"/>
  <c r="R4230" i="5"/>
  <c r="L4243" i="5"/>
  <c r="L4245" i="5"/>
  <c r="L4247" i="5"/>
  <c r="S4247" i="5" s="1"/>
  <c r="S4255" i="5"/>
  <c r="R4335" i="5"/>
  <c r="R4336" i="5"/>
  <c r="R4339" i="5"/>
  <c r="O4341" i="5"/>
  <c r="Q4342" i="5"/>
  <c r="L4342" i="5" s="1"/>
  <c r="L4427" i="5"/>
  <c r="L4430" i="5"/>
  <c r="N4450" i="5"/>
  <c r="D4465" i="5"/>
  <c r="R4463" i="5"/>
  <c r="R4468" i="5"/>
  <c r="N4470" i="5"/>
  <c r="N4474" i="5"/>
  <c r="N4477" i="5" s="1"/>
  <c r="N4490" i="5"/>
  <c r="M4521" i="5"/>
  <c r="Q4594" i="5"/>
  <c r="M4144" i="5"/>
  <c r="L4159" i="5"/>
  <c r="M4224" i="5"/>
  <c r="N4404" i="5"/>
  <c r="N4412" i="5" s="1"/>
  <c r="Q4405" i="5"/>
  <c r="R4406" i="5"/>
  <c r="M4412" i="5"/>
  <c r="O4417" i="5"/>
  <c r="G4458" i="5"/>
  <c r="Q4470" i="5"/>
  <c r="O4487" i="5"/>
  <c r="N4489" i="5"/>
  <c r="Q4490" i="5"/>
  <c r="T4510" i="5"/>
  <c r="Q4515" i="5"/>
  <c r="O4520" i="5"/>
  <c r="L4520" i="5" s="1"/>
  <c r="R4530" i="5"/>
  <c r="N4546" i="5"/>
  <c r="N4552" i="5"/>
  <c r="Q4571" i="5"/>
  <c r="Q4572" i="5" s="1"/>
  <c r="Q4580" i="5"/>
  <c r="Q4581" i="5" s="1"/>
  <c r="O4662" i="5"/>
  <c r="O4663" i="5" s="1"/>
  <c r="M4050" i="5"/>
  <c r="M4063" i="5"/>
  <c r="L4068" i="5"/>
  <c r="L4070" i="5"/>
  <c r="R4072" i="5"/>
  <c r="L4074" i="5"/>
  <c r="L4077" i="5"/>
  <c r="L4080" i="5"/>
  <c r="R4082" i="5"/>
  <c r="Q4086" i="5"/>
  <c r="L4086" i="5" s="1"/>
  <c r="R4121" i="5"/>
  <c r="Q4141" i="5"/>
  <c r="L4141" i="5" s="1"/>
  <c r="Q4142" i="5"/>
  <c r="L4142" i="5" s="1"/>
  <c r="G4379" i="5"/>
  <c r="O4383" i="5"/>
  <c r="R4385" i="5"/>
  <c r="L4431" i="5"/>
  <c r="L4451" i="5"/>
  <c r="O4519" i="5"/>
  <c r="M4524" i="5"/>
  <c r="R4580" i="5"/>
  <c r="O4586" i="5"/>
  <c r="S4631" i="5"/>
  <c r="G4583" i="5"/>
  <c r="Q4662" i="5"/>
  <c r="Q4663" i="5" s="1"/>
  <c r="S95" i="5"/>
  <c r="S2153" i="5"/>
  <c r="S2224" i="5"/>
  <c r="T2381" i="5"/>
  <c r="S2381" i="5"/>
  <c r="S2456" i="5"/>
  <c r="S2472" i="5"/>
  <c r="S2480" i="5"/>
  <c r="S2486" i="5"/>
  <c r="S2525" i="5"/>
  <c r="Q94" i="2"/>
  <c r="G315" i="2"/>
  <c r="S73" i="5"/>
  <c r="S91" i="5"/>
  <c r="S107" i="5"/>
  <c r="S835" i="5"/>
  <c r="S866" i="5"/>
  <c r="L1246" i="5"/>
  <c r="S2157" i="5"/>
  <c r="S2162" i="5"/>
  <c r="S2174" i="5"/>
  <c r="S2187" i="5"/>
  <c r="S2229" i="5"/>
  <c r="S2313" i="5"/>
  <c r="L2463" i="5"/>
  <c r="S2455" i="5"/>
  <c r="S2459" i="5"/>
  <c r="S2544" i="5"/>
  <c r="S48" i="5"/>
  <c r="S52" i="5"/>
  <c r="S96" i="5"/>
  <c r="S99" i="5"/>
  <c r="S869" i="5"/>
  <c r="L1259" i="5"/>
  <c r="L1310" i="5"/>
  <c r="S2091" i="5"/>
  <c r="S2093" i="5"/>
  <c r="S2178" i="5"/>
  <c r="S2196" i="5"/>
  <c r="S2225" i="5"/>
  <c r="S2290" i="5"/>
  <c r="T2423" i="5"/>
  <c r="S2423" i="5"/>
  <c r="S2530" i="5"/>
  <c r="S28" i="5"/>
  <c r="S39" i="5"/>
  <c r="S43" i="5"/>
  <c r="S110" i="5"/>
  <c r="S2182" i="5"/>
  <c r="S2186" i="5"/>
  <c r="S2228" i="5"/>
  <c r="S2234" i="5"/>
  <c r="S2300" i="5"/>
  <c r="S2314" i="5"/>
  <c r="S2353" i="5"/>
  <c r="S2478" i="5"/>
  <c r="S2528" i="5"/>
  <c r="S2555" i="5"/>
  <c r="S680" i="5"/>
  <c r="L739" i="5"/>
  <c r="L846" i="5"/>
  <c r="L876" i="5"/>
  <c r="G968" i="5"/>
  <c r="S1386" i="5"/>
  <c r="O1394" i="5"/>
  <c r="O1016" i="5" s="1"/>
  <c r="T2305" i="5"/>
  <c r="R2313" i="5"/>
  <c r="L2328" i="5"/>
  <c r="G2333" i="5"/>
  <c r="L2373" i="5"/>
  <c r="T2380" i="5"/>
  <c r="O2384" i="5"/>
  <c r="L2440" i="5"/>
  <c r="O2463" i="5"/>
  <c r="O2493" i="5"/>
  <c r="R2480" i="5"/>
  <c r="L2513" i="5"/>
  <c r="L2522" i="5"/>
  <c r="R2525" i="5"/>
  <c r="R2528" i="5"/>
  <c r="L2531" i="5"/>
  <c r="L2545" i="5"/>
  <c r="R2555" i="5"/>
  <c r="R2559" i="5"/>
  <c r="L2559" i="5"/>
  <c r="S2561" i="5"/>
  <c r="L2593" i="5"/>
  <c r="R2593" i="5"/>
  <c r="R2611" i="5"/>
  <c r="L2611" i="5"/>
  <c r="L2620" i="5"/>
  <c r="R2620" i="5"/>
  <c r="L2629" i="5"/>
  <c r="R2629" i="5"/>
  <c r="L2636" i="5"/>
  <c r="R2636" i="5"/>
  <c r="S2637" i="5"/>
  <c r="S384" i="5"/>
  <c r="S444" i="5"/>
  <c r="S450" i="5"/>
  <c r="S452" i="5"/>
  <c r="S454" i="5"/>
  <c r="S467" i="5"/>
  <c r="S489" i="5"/>
  <c r="S491" i="5"/>
  <c r="R557" i="5"/>
  <c r="R572" i="5"/>
  <c r="R795" i="5"/>
  <c r="R798" i="5"/>
  <c r="R952" i="5"/>
  <c r="S1206" i="5"/>
  <c r="L1248" i="5"/>
  <c r="L1367" i="5"/>
  <c r="S1383" i="5"/>
  <c r="R1590" i="5"/>
  <c r="S2163" i="5"/>
  <c r="S2164" i="5"/>
  <c r="S2165" i="5"/>
  <c r="S2166" i="5"/>
  <c r="S2170" i="5"/>
  <c r="O2199" i="5"/>
  <c r="L2245" i="5"/>
  <c r="S2267" i="5"/>
  <c r="S2302" i="5"/>
  <c r="R2303" i="5"/>
  <c r="R2308" i="5"/>
  <c r="G2309" i="5"/>
  <c r="R2312" i="5"/>
  <c r="L2330" i="5"/>
  <c r="S2335" i="5"/>
  <c r="S2337" i="5"/>
  <c r="S2342" i="5"/>
  <c r="S2343" i="5"/>
  <c r="O2347" i="5"/>
  <c r="S2352" i="5"/>
  <c r="S2355" i="5"/>
  <c r="M2362" i="5"/>
  <c r="S2371" i="5"/>
  <c r="S2376" i="5"/>
  <c r="L2384" i="5"/>
  <c r="S2407" i="5"/>
  <c r="T2417" i="5"/>
  <c r="S2438" i="5"/>
  <c r="L2442" i="5"/>
  <c r="R2451" i="5"/>
  <c r="R2471" i="5"/>
  <c r="R2473" i="5"/>
  <c r="R2513" i="5"/>
  <c r="R2522" i="5"/>
  <c r="R2531" i="5"/>
  <c r="L2535" i="5"/>
  <c r="L2536" i="5"/>
  <c r="R2545" i="5"/>
  <c r="O2566" i="5"/>
  <c r="L2603" i="5"/>
  <c r="R2603" i="5"/>
  <c r="S2604" i="5"/>
  <c r="L2609" i="5"/>
  <c r="R2609" i="5"/>
  <c r="L2617" i="5"/>
  <c r="R2617" i="5"/>
  <c r="S2618" i="5"/>
  <c r="S2632" i="5"/>
  <c r="S2661" i="5"/>
  <c r="L3578" i="5"/>
  <c r="S108" i="5"/>
  <c r="S111" i="5"/>
  <c r="S119" i="5"/>
  <c r="S156" i="5"/>
  <c r="S180" i="5"/>
  <c r="S192" i="5"/>
  <c r="S195" i="5"/>
  <c r="S216" i="5"/>
  <c r="S220" i="5"/>
  <c r="S238" i="5"/>
  <c r="S257" i="5"/>
  <c r="S261" i="5"/>
  <c r="S267" i="5"/>
  <c r="S269" i="5"/>
  <c r="S275" i="5"/>
  <c r="S307" i="5"/>
  <c r="S327" i="5"/>
  <c r="S333" i="5"/>
  <c r="S340" i="5"/>
  <c r="S362" i="5"/>
  <c r="S425" i="5"/>
  <c r="S457" i="5"/>
  <c r="S459" i="5"/>
  <c r="S487" i="5"/>
  <c r="R562" i="5"/>
  <c r="R569" i="5"/>
  <c r="L669" i="5"/>
  <c r="L732" i="5"/>
  <c r="S732" i="5" s="1"/>
  <c r="L766" i="5"/>
  <c r="D791" i="5"/>
  <c r="D792" i="5" s="1"/>
  <c r="L792" i="5"/>
  <c r="R794" i="5"/>
  <c r="R797" i="5"/>
  <c r="S1121" i="5"/>
  <c r="S1122" i="5"/>
  <c r="S1126" i="5"/>
  <c r="S1127" i="5"/>
  <c r="S1208" i="5"/>
  <c r="L1250" i="5"/>
  <c r="Q1253" i="5"/>
  <c r="L1313" i="5"/>
  <c r="L1361" i="5"/>
  <c r="S1376" i="5"/>
  <c r="S1377" i="5"/>
  <c r="S1378" i="5"/>
  <c r="S1379" i="5"/>
  <c r="S1388" i="5"/>
  <c r="S1389" i="5"/>
  <c r="S1390" i="5"/>
  <c r="S1417" i="5"/>
  <c r="S1418" i="5"/>
  <c r="S1419" i="5"/>
  <c r="S1420" i="5"/>
  <c r="S1421" i="5"/>
  <c r="S1422" i="5"/>
  <c r="S1441" i="5"/>
  <c r="S1442" i="5"/>
  <c r="S1443" i="5"/>
  <c r="S1444" i="5"/>
  <c r="S3390" i="5"/>
  <c r="S3376" i="5"/>
  <c r="S3387" i="5"/>
  <c r="S3388" i="5"/>
  <c r="S3389" i="5"/>
  <c r="S2094" i="5"/>
  <c r="S2101" i="5"/>
  <c r="S2102" i="5"/>
  <c r="S2103" i="5"/>
  <c r="S2104" i="5"/>
  <c r="S2105" i="5"/>
  <c r="S2106" i="5"/>
  <c r="S2158" i="5"/>
  <c r="S2167" i="5"/>
  <c r="S2171" i="5"/>
  <c r="S2179" i="5"/>
  <c r="S2183" i="5"/>
  <c r="S2188" i="5"/>
  <c r="S2189" i="5"/>
  <c r="S2190" i="5"/>
  <c r="L2199" i="5"/>
  <c r="S2201" i="5"/>
  <c r="L2206" i="5"/>
  <c r="S2211" i="5"/>
  <c r="S2212" i="5"/>
  <c r="S2213" i="5"/>
  <c r="S2214" i="5"/>
  <c r="S2215" i="5"/>
  <c r="S2216" i="5"/>
  <c r="S2217" i="5"/>
  <c r="S2218" i="5"/>
  <c r="S2230" i="5"/>
  <c r="S2231" i="5"/>
  <c r="S2253" i="5"/>
  <c r="S2254" i="5"/>
  <c r="S2255" i="5"/>
  <c r="S2256" i="5"/>
  <c r="S2257" i="5"/>
  <c r="S2258" i="5"/>
  <c r="S2259" i="5"/>
  <c r="S2274" i="5"/>
  <c r="L2276" i="5"/>
  <c r="S2285" i="5"/>
  <c r="R2294" i="5"/>
  <c r="S2303" i="5"/>
  <c r="S2304" i="5"/>
  <c r="S2308" i="5"/>
  <c r="S2327" i="5"/>
  <c r="L2347" i="5"/>
  <c r="S2365" i="5"/>
  <c r="R2367" i="5"/>
  <c r="S2379" i="5"/>
  <c r="L2387" i="5"/>
  <c r="L2388" i="5" s="1"/>
  <c r="S2398" i="5"/>
  <c r="S2408" i="5"/>
  <c r="S2425" i="5"/>
  <c r="S2445" i="5"/>
  <c r="S2446" i="5"/>
  <c r="S2457" i="5"/>
  <c r="L2470" i="5"/>
  <c r="S2470" i="5" s="1"/>
  <c r="S2474" i="5"/>
  <c r="S2475" i="5"/>
  <c r="S2476" i="5"/>
  <c r="S2477" i="5"/>
  <c r="S2482" i="5"/>
  <c r="S2483" i="5"/>
  <c r="S2488" i="5"/>
  <c r="R2511" i="5"/>
  <c r="R2552" i="5"/>
  <c r="R2553" i="5"/>
  <c r="S2558" i="5"/>
  <c r="S2601" i="5"/>
  <c r="S2607" i="5"/>
  <c r="S2615" i="5"/>
  <c r="L2624" i="5"/>
  <c r="R2624" i="5"/>
  <c r="S2651" i="5"/>
  <c r="S115" i="5"/>
  <c r="S132" i="5"/>
  <c r="S139" i="5"/>
  <c r="S182" i="5"/>
  <c r="S194" i="5"/>
  <c r="S197" i="5"/>
  <c r="S215" i="5"/>
  <c r="S218" i="5"/>
  <c r="S219" i="5"/>
  <c r="S243" i="5"/>
  <c r="S260" i="5"/>
  <c r="S264" i="5"/>
  <c r="S266" i="5"/>
  <c r="S3401" i="5"/>
  <c r="S274" i="5"/>
  <c r="S277" i="5"/>
  <c r="S312" i="5"/>
  <c r="S329" i="5"/>
  <c r="S339" i="5"/>
  <c r="S342" i="5"/>
  <c r="S357" i="5"/>
  <c r="L685" i="5"/>
  <c r="G800" i="5"/>
  <c r="S887" i="5"/>
  <c r="L894" i="5"/>
  <c r="L2087" i="5"/>
  <c r="S2202" i="5"/>
  <c r="G2306" i="5"/>
  <c r="T2418" i="5"/>
  <c r="S2596" i="5"/>
  <c r="L2599" i="5"/>
  <c r="R2599" i="5"/>
  <c r="L2605" i="5"/>
  <c r="R2605" i="5"/>
  <c r="S2622" i="5"/>
  <c r="L2641" i="5"/>
  <c r="R2641" i="5"/>
  <c r="N3626" i="5"/>
  <c r="L2602" i="5"/>
  <c r="L2608" i="5"/>
  <c r="L2616" i="5"/>
  <c r="L2623" i="5"/>
  <c r="L2626" i="5"/>
  <c r="L2628" i="5"/>
  <c r="L2633" i="5"/>
  <c r="L2635" i="5"/>
  <c r="R2645" i="5"/>
  <c r="R2650" i="5"/>
  <c r="R2655" i="5"/>
  <c r="L2658" i="5"/>
  <c r="R2659" i="5"/>
  <c r="L2668" i="5"/>
  <c r="R2669" i="5"/>
  <c r="L2690" i="5"/>
  <c r="R2694" i="5"/>
  <c r="L2739" i="5"/>
  <c r="L2769" i="5"/>
  <c r="L2772" i="5"/>
  <c r="R2800" i="5"/>
  <c r="L2838" i="5"/>
  <c r="R2841" i="5"/>
  <c r="O2870" i="5"/>
  <c r="L2876" i="5"/>
  <c r="R2886" i="5"/>
  <c r="L2965" i="5"/>
  <c r="L2966" i="5"/>
  <c r="L2968" i="5"/>
  <c r="L2970" i="5"/>
  <c r="L2972" i="5"/>
  <c r="L2976" i="5"/>
  <c r="L2979" i="5"/>
  <c r="R2981" i="5"/>
  <c r="L2983" i="5"/>
  <c r="R2988" i="5"/>
  <c r="L2999" i="5"/>
  <c r="L3001" i="5"/>
  <c r="L3003" i="5"/>
  <c r="L3005" i="5"/>
  <c r="L3007" i="5"/>
  <c r="L3009" i="5"/>
  <c r="L3011" i="5"/>
  <c r="L3013" i="5"/>
  <c r="L3015" i="5"/>
  <c r="L3017" i="5"/>
  <c r="R3021" i="5"/>
  <c r="L3026" i="5"/>
  <c r="R3027" i="5"/>
  <c r="L3030" i="5"/>
  <c r="L3031" i="5"/>
  <c r="L3033" i="5"/>
  <c r="L3035" i="5"/>
  <c r="L2010" i="5"/>
  <c r="R2011" i="5"/>
  <c r="R3046" i="5"/>
  <c r="L3049" i="5"/>
  <c r="L3051" i="5"/>
  <c r="R3055" i="5"/>
  <c r="L3059" i="5"/>
  <c r="R3062" i="5"/>
  <c r="L3065" i="5"/>
  <c r="L3067" i="5"/>
  <c r="R3072" i="5"/>
  <c r="R3075" i="5"/>
  <c r="R3078" i="5"/>
  <c r="L3081" i="5"/>
  <c r="L3083" i="5"/>
  <c r="L3087" i="5"/>
  <c r="R3089" i="5"/>
  <c r="R3097" i="5"/>
  <c r="R3099" i="5"/>
  <c r="L3106" i="5"/>
  <c r="R3107" i="5"/>
  <c r="L3111" i="5"/>
  <c r="R3113" i="5"/>
  <c r="R3115" i="5"/>
  <c r="R3117" i="5"/>
  <c r="R3121" i="5"/>
  <c r="R3123" i="5"/>
  <c r="L3126" i="5"/>
  <c r="L3128" i="5"/>
  <c r="L3130" i="5"/>
  <c r="L3132" i="5"/>
  <c r="L3134" i="5"/>
  <c r="L3136" i="5"/>
  <c r="R2015" i="5"/>
  <c r="L3140" i="5"/>
  <c r="L3141" i="5"/>
  <c r="R3144" i="5"/>
  <c r="L3148" i="5"/>
  <c r="R3151" i="5"/>
  <c r="R3153" i="5"/>
  <c r="R3155" i="5"/>
  <c r="R3158" i="5"/>
  <c r="L3161" i="5"/>
  <c r="R3163" i="5"/>
  <c r="R3167" i="5"/>
  <c r="R3169" i="5"/>
  <c r="R3171" i="5"/>
  <c r="R3173" i="5"/>
  <c r="R2016" i="5"/>
  <c r="R3177" i="5"/>
  <c r="R3179" i="5"/>
  <c r="L3185" i="5"/>
  <c r="L3187" i="5"/>
  <c r="L3188" i="5"/>
  <c r="R3192" i="5"/>
  <c r="R3195" i="5"/>
  <c r="L3198" i="5"/>
  <c r="L3200" i="5"/>
  <c r="L3205" i="5"/>
  <c r="R3210" i="5"/>
  <c r="R3212" i="5"/>
  <c r="L3216" i="5"/>
  <c r="L3218" i="5"/>
  <c r="L3221" i="5"/>
  <c r="R3223" i="5"/>
  <c r="R3226" i="5"/>
  <c r="R3230" i="5"/>
  <c r="R3232" i="5"/>
  <c r="L3235" i="5"/>
  <c r="R3237" i="5"/>
  <c r="R3239" i="5"/>
  <c r="R3241" i="5"/>
  <c r="R3243" i="5"/>
  <c r="L3248" i="5"/>
  <c r="R3250" i="5"/>
  <c r="L3252" i="5"/>
  <c r="L3257" i="5"/>
  <c r="L3259" i="5"/>
  <c r="L3261" i="5"/>
  <c r="L3263" i="5"/>
  <c r="L3265" i="5"/>
  <c r="L3273" i="5"/>
  <c r="L3275" i="5"/>
  <c r="R3277" i="5"/>
  <c r="R3283" i="5"/>
  <c r="R3295" i="5"/>
  <c r="L3298" i="5"/>
  <c r="R3300" i="5"/>
  <c r="R3320" i="5"/>
  <c r="R3322" i="5"/>
  <c r="R3325" i="5"/>
  <c r="L3327" i="5"/>
  <c r="R3349" i="5"/>
  <c r="R3353" i="5"/>
  <c r="R3361" i="5"/>
  <c r="R3364" i="5"/>
  <c r="Q3533" i="5"/>
  <c r="Q3538" i="5"/>
  <c r="L3592" i="5"/>
  <c r="R3611" i="5"/>
  <c r="Q3617" i="5"/>
  <c r="Q3624" i="5"/>
  <c r="D3637" i="5"/>
  <c r="Q3631" i="5"/>
  <c r="Q3633" i="5"/>
  <c r="L3633" i="5" s="1"/>
  <c r="Q3635" i="5"/>
  <c r="L3635" i="5" s="1"/>
  <c r="O4094" i="5"/>
  <c r="S4301" i="5"/>
  <c r="R2589" i="5"/>
  <c r="L2645" i="5"/>
  <c r="L2650" i="5"/>
  <c r="L2652" i="5"/>
  <c r="L2655" i="5"/>
  <c r="L2659" i="5"/>
  <c r="L2665" i="5"/>
  <c r="L2669" i="5"/>
  <c r="L2698" i="5"/>
  <c r="L2699" i="5"/>
  <c r="L2700" i="5"/>
  <c r="M2701" i="5"/>
  <c r="L2741" i="5"/>
  <c r="L2753" i="5"/>
  <c r="M2754" i="5"/>
  <c r="L2804" i="5"/>
  <c r="M2805" i="5"/>
  <c r="L2841" i="5"/>
  <c r="L2873" i="5"/>
  <c r="M2874" i="5"/>
  <c r="R2965" i="5"/>
  <c r="R2966" i="5"/>
  <c r="R2968" i="5"/>
  <c r="R2970" i="5"/>
  <c r="R2972" i="5"/>
  <c r="R2976" i="5"/>
  <c r="R2979" i="5"/>
  <c r="L2981" i="5"/>
  <c r="L2988" i="5"/>
  <c r="R3001" i="5"/>
  <c r="R3003" i="5"/>
  <c r="R3005" i="5"/>
  <c r="R3007" i="5"/>
  <c r="R3009" i="5"/>
  <c r="R3011" i="5"/>
  <c r="R3013" i="5"/>
  <c r="R3015" i="5"/>
  <c r="R3017" i="5"/>
  <c r="L3021" i="5"/>
  <c r="L3027" i="5"/>
  <c r="R3031" i="5"/>
  <c r="R3033" i="5"/>
  <c r="R3035" i="5"/>
  <c r="L2011" i="5"/>
  <c r="R3049" i="5"/>
  <c r="R3051" i="5"/>
  <c r="R3059" i="5"/>
  <c r="R3065" i="5"/>
  <c r="R3067" i="5"/>
  <c r="L3072" i="5"/>
  <c r="R3081" i="5"/>
  <c r="R3083" i="5"/>
  <c r="R3087" i="5"/>
  <c r="L3089" i="5"/>
  <c r="R3106" i="5"/>
  <c r="R3111" i="5"/>
  <c r="L3121" i="5"/>
  <c r="R3126" i="5"/>
  <c r="R3128" i="5"/>
  <c r="R3130" i="5"/>
  <c r="R3132" i="5"/>
  <c r="R3134" i="5"/>
  <c r="R3136" i="5"/>
  <c r="L2015" i="5"/>
  <c r="R3141" i="5"/>
  <c r="R3148" i="5"/>
  <c r="L3158" i="5"/>
  <c r="R3161" i="5"/>
  <c r="L3163" i="5"/>
  <c r="L2016" i="5"/>
  <c r="R3185" i="5"/>
  <c r="R3188" i="5"/>
  <c r="R3198" i="5"/>
  <c r="R3200" i="5"/>
  <c r="R3205" i="5"/>
  <c r="L3210" i="5"/>
  <c r="R3216" i="5"/>
  <c r="R3218" i="5"/>
  <c r="R3221" i="5"/>
  <c r="L3226" i="5"/>
  <c r="L3230" i="5"/>
  <c r="R3235" i="5"/>
  <c r="R3248" i="5"/>
  <c r="R3252" i="5"/>
  <c r="R3257" i="5"/>
  <c r="L3258" i="5"/>
  <c r="R3259" i="5"/>
  <c r="O3260" i="5"/>
  <c r="L3260" i="5" s="1"/>
  <c r="R3261" i="5"/>
  <c r="O3262" i="5"/>
  <c r="R3263" i="5"/>
  <c r="R3265" i="5"/>
  <c r="L3270" i="5"/>
  <c r="R3273" i="5"/>
  <c r="O3274" i="5"/>
  <c r="L3274" i="5" s="1"/>
  <c r="R3275" i="5"/>
  <c r="O3276" i="5"/>
  <c r="L3277" i="5"/>
  <c r="L3281" i="5"/>
  <c r="L3283" i="5"/>
  <c r="R3298" i="5"/>
  <c r="O3299" i="5"/>
  <c r="L3300" i="5"/>
  <c r="O3318" i="5"/>
  <c r="L3320" i="5"/>
  <c r="L3322" i="5"/>
  <c r="L3325" i="5"/>
  <c r="R3327" i="5"/>
  <c r="O3328" i="5"/>
  <c r="O3332" i="5"/>
  <c r="L3332" i="5" s="1"/>
  <c r="O3337" i="5"/>
  <c r="L3337" i="5" s="1"/>
  <c r="L3349" i="5"/>
  <c r="L3353" i="5"/>
  <c r="L3361" i="5"/>
  <c r="L3364" i="5"/>
  <c r="R3533" i="5"/>
  <c r="M3535" i="5"/>
  <c r="R3538" i="5"/>
  <c r="M3540" i="5"/>
  <c r="L3572" i="5"/>
  <c r="L3602" i="5"/>
  <c r="L3611" i="5"/>
  <c r="R3617" i="5"/>
  <c r="M3620" i="5"/>
  <c r="R3624" i="5"/>
  <c r="M3626" i="5"/>
  <c r="D3628" i="5"/>
  <c r="D3629" i="5" s="1"/>
  <c r="R3631" i="5"/>
  <c r="R3633" i="5"/>
  <c r="R3635" i="5"/>
  <c r="S3826" i="5"/>
  <c r="L3412" i="5"/>
  <c r="R3640" i="5"/>
  <c r="O3675" i="5"/>
  <c r="L3702" i="5"/>
  <c r="S4097" i="5"/>
  <c r="S4240" i="5"/>
  <c r="O2696" i="5"/>
  <c r="R2748" i="5"/>
  <c r="L2886" i="5"/>
  <c r="O3203" i="5"/>
  <c r="R3318" i="5"/>
  <c r="L3545" i="5"/>
  <c r="O3631" i="5"/>
  <c r="G3641" i="5"/>
  <c r="R3639" i="5"/>
  <c r="S3825" i="5"/>
  <c r="S4287" i="5"/>
  <c r="T4518" i="5"/>
  <c r="R3643" i="5"/>
  <c r="R3646" i="5"/>
  <c r="Q3671" i="5"/>
  <c r="N3672" i="5"/>
  <c r="R3685" i="5"/>
  <c r="G3699" i="5"/>
  <c r="Q3702" i="5"/>
  <c r="D3754" i="5"/>
  <c r="R3808" i="5"/>
  <c r="R3811" i="5"/>
  <c r="R3813" i="5"/>
  <c r="R3815" i="5"/>
  <c r="O3822" i="5"/>
  <c r="Q3823" i="5"/>
  <c r="L3823" i="5" s="1"/>
  <c r="R3824" i="5"/>
  <c r="M3831" i="5"/>
  <c r="Q3834" i="5"/>
  <c r="Q3836" i="5"/>
  <c r="L3836" i="5" s="1"/>
  <c r="R3838" i="5"/>
  <c r="R3842" i="5"/>
  <c r="R3846" i="5"/>
  <c r="R3853" i="5"/>
  <c r="Q3856" i="5"/>
  <c r="L3856" i="5" s="1"/>
  <c r="Q3858" i="5"/>
  <c r="L3858" i="5" s="1"/>
  <c r="Q3860" i="5"/>
  <c r="L3860" i="5" s="1"/>
  <c r="Q3862" i="5"/>
  <c r="L3862" i="5" s="1"/>
  <c r="R3864" i="5"/>
  <c r="R3868" i="5"/>
  <c r="R3870" i="5"/>
  <c r="O3871" i="5"/>
  <c r="L3871" i="5" s="1"/>
  <c r="Q3873" i="5"/>
  <c r="L3873" i="5" s="1"/>
  <c r="Q3875" i="5"/>
  <c r="L3875" i="5" s="1"/>
  <c r="Q3877" i="5"/>
  <c r="L3877" i="5" s="1"/>
  <c r="Q3880" i="5"/>
  <c r="L3880" i="5" s="1"/>
  <c r="R3897" i="5"/>
  <c r="R3901" i="5"/>
  <c r="R3905" i="5"/>
  <c r="R3908" i="5"/>
  <c r="R3912" i="5"/>
  <c r="O3922" i="5"/>
  <c r="L3922" i="5" s="1"/>
  <c r="Q3923" i="5"/>
  <c r="L3923" i="5" s="1"/>
  <c r="Q3928" i="5"/>
  <c r="L3928" i="5" s="1"/>
  <c r="R3929" i="5"/>
  <c r="O3931" i="5"/>
  <c r="L3931" i="5" s="1"/>
  <c r="Q3932" i="5"/>
  <c r="L3932" i="5" s="1"/>
  <c r="O3938" i="5"/>
  <c r="L3938" i="5" s="1"/>
  <c r="Q3939" i="5"/>
  <c r="Q3947" i="5"/>
  <c r="L3947" i="5" s="1"/>
  <c r="R3950" i="5"/>
  <c r="Q3952" i="5"/>
  <c r="L3952" i="5" s="1"/>
  <c r="R3953" i="5"/>
  <c r="Q3956" i="5"/>
  <c r="L3956" i="5" s="1"/>
  <c r="R3957" i="5"/>
  <c r="O3959" i="5"/>
  <c r="L3959" i="5" s="1"/>
  <c r="Q3960" i="5"/>
  <c r="L3960" i="5" s="1"/>
  <c r="Q3962" i="5"/>
  <c r="L3962" i="5" s="1"/>
  <c r="O3964" i="5"/>
  <c r="L3964" i="5" s="1"/>
  <c r="R3968" i="5"/>
  <c r="Q3970" i="5"/>
  <c r="L3970" i="5" s="1"/>
  <c r="Q3998" i="5"/>
  <c r="L3998" i="5" s="1"/>
  <c r="O4000" i="5"/>
  <c r="O4005" i="5"/>
  <c r="O4021" i="5"/>
  <c r="Q4048" i="5"/>
  <c r="L4048" i="5" s="1"/>
  <c r="Q4049" i="5"/>
  <c r="L4049" i="5" s="1"/>
  <c r="R4052" i="5"/>
  <c r="Q4066" i="5"/>
  <c r="L4066" i="5" s="1"/>
  <c r="R4068" i="5"/>
  <c r="R4070" i="5"/>
  <c r="Q4071" i="5"/>
  <c r="L4071" i="5" s="1"/>
  <c r="R4074" i="5"/>
  <c r="Q4075" i="5"/>
  <c r="L4075" i="5" s="1"/>
  <c r="R4077" i="5"/>
  <c r="Q4078" i="5"/>
  <c r="L4078" i="5" s="1"/>
  <c r="R4080" i="5"/>
  <c r="L4082" i="5"/>
  <c r="R4083" i="5"/>
  <c r="Q4084" i="5"/>
  <c r="L4084" i="5" s="1"/>
  <c r="R4086" i="5"/>
  <c r="Q4099" i="5"/>
  <c r="L4105" i="5"/>
  <c r="L4112" i="5"/>
  <c r="O4118" i="5"/>
  <c r="O4120" i="5"/>
  <c r="R4124" i="5"/>
  <c r="R4126" i="5"/>
  <c r="R4141" i="5"/>
  <c r="R4142" i="5"/>
  <c r="R4143" i="5"/>
  <c r="Q4157" i="5"/>
  <c r="R4159" i="5"/>
  <c r="R4188" i="5"/>
  <c r="Q4188" i="5"/>
  <c r="L4188" i="5" s="1"/>
  <c r="R4211" i="5"/>
  <c r="Q4211" i="5"/>
  <c r="L4211" i="5" s="1"/>
  <c r="R4218" i="5"/>
  <c r="Q4218" i="5"/>
  <c r="L4218" i="5" s="1"/>
  <c r="L4226" i="5"/>
  <c r="O4228" i="5"/>
  <c r="Q4227" i="5"/>
  <c r="Q4228" i="5" s="1"/>
  <c r="L4241" i="5"/>
  <c r="S4256" i="5"/>
  <c r="S4266" i="5"/>
  <c r="S4272" i="5"/>
  <c r="S4278" i="5"/>
  <c r="S4288" i="5"/>
  <c r="S4292" i="5"/>
  <c r="S4300" i="5"/>
  <c r="S4313" i="5"/>
  <c r="R3451" i="5"/>
  <c r="R4407" i="5"/>
  <c r="Q4407" i="5"/>
  <c r="O4407" i="5"/>
  <c r="R4416" i="5"/>
  <c r="Q4416" i="5"/>
  <c r="O4416" i="5"/>
  <c r="L4420" i="5"/>
  <c r="L4424" i="5"/>
  <c r="N4437" i="5"/>
  <c r="R4449" i="5"/>
  <c r="Q4449" i="5"/>
  <c r="N4449" i="5"/>
  <c r="R4453" i="5"/>
  <c r="Q4453" i="5"/>
  <c r="N4453" i="5"/>
  <c r="T4462" i="5"/>
  <c r="D4471" i="5"/>
  <c r="M4482" i="5"/>
  <c r="R4479" i="5"/>
  <c r="Q4479" i="5"/>
  <c r="R4513" i="5"/>
  <c r="Q4513" i="5"/>
  <c r="O4513" i="5"/>
  <c r="O4516" i="5" s="1"/>
  <c r="R4527" i="5"/>
  <c r="M4528" i="5"/>
  <c r="Q4527" i="5"/>
  <c r="Q4528" i="5" s="1"/>
  <c r="O4527" i="5"/>
  <c r="O4528" i="5" s="1"/>
  <c r="R4539" i="5"/>
  <c r="Q4539" i="5"/>
  <c r="O4539" i="5"/>
  <c r="M4578" i="5"/>
  <c r="L4655" i="5"/>
  <c r="R3657" i="5"/>
  <c r="G3661" i="5"/>
  <c r="R3671" i="5"/>
  <c r="Q3672" i="5"/>
  <c r="N3673" i="5"/>
  <c r="R3677" i="5"/>
  <c r="Q3678" i="5"/>
  <c r="L3678" i="5" s="1"/>
  <c r="M3680" i="5"/>
  <c r="L3682" i="5"/>
  <c r="L3690" i="5"/>
  <c r="O3694" i="5"/>
  <c r="L3696" i="5"/>
  <c r="O3709" i="5"/>
  <c r="N3711" i="5"/>
  <c r="N3712" i="5" s="1"/>
  <c r="M3712" i="5"/>
  <c r="O3774" i="5"/>
  <c r="L3789" i="5"/>
  <c r="Q3791" i="5"/>
  <c r="L3791" i="5" s="1"/>
  <c r="O3792" i="5"/>
  <c r="L3803" i="5"/>
  <c r="L3808" i="5"/>
  <c r="O3809" i="5"/>
  <c r="L3811" i="5"/>
  <c r="Q3812" i="5"/>
  <c r="L3812" i="5" s="1"/>
  <c r="L3813" i="5"/>
  <c r="Q3814" i="5"/>
  <c r="L3814" i="5" s="1"/>
  <c r="L3815" i="5"/>
  <c r="O3816" i="5"/>
  <c r="Q3822" i="5"/>
  <c r="R3823" i="5"/>
  <c r="Q3828" i="5"/>
  <c r="L3828" i="5" s="1"/>
  <c r="R3834" i="5"/>
  <c r="O3835" i="5"/>
  <c r="R3836" i="5"/>
  <c r="O3837" i="5"/>
  <c r="L3838" i="5"/>
  <c r="Q3840" i="5"/>
  <c r="L3840" i="5" s="1"/>
  <c r="L3842" i="5"/>
  <c r="Q3844" i="5"/>
  <c r="L3844" i="5" s="1"/>
  <c r="L3846" i="5"/>
  <c r="L3853" i="5"/>
  <c r="O3855" i="5"/>
  <c r="R3856" i="5"/>
  <c r="O3857" i="5"/>
  <c r="R3858" i="5"/>
  <c r="O3859" i="5"/>
  <c r="R3860" i="5"/>
  <c r="O3861" i="5"/>
  <c r="R3862" i="5"/>
  <c r="O3863" i="5"/>
  <c r="L3864" i="5"/>
  <c r="R3873" i="5"/>
  <c r="R3875" i="5"/>
  <c r="R3877" i="5"/>
  <c r="R3880" i="5"/>
  <c r="Q3899" i="5"/>
  <c r="L3899" i="5" s="1"/>
  <c r="L3901" i="5"/>
  <c r="Q3903" i="5"/>
  <c r="L3903" i="5" s="1"/>
  <c r="L3905" i="5"/>
  <c r="L3908" i="5"/>
  <c r="Q3910" i="5"/>
  <c r="L3910" i="5" s="1"/>
  <c r="R3919" i="5"/>
  <c r="O3921" i="5"/>
  <c r="R3923" i="5"/>
  <c r="R3928" i="5"/>
  <c r="O3930" i="5"/>
  <c r="R3932" i="5"/>
  <c r="O3934" i="5"/>
  <c r="R3939" i="5"/>
  <c r="R3947" i="5"/>
  <c r="R3952" i="5"/>
  <c r="O3954" i="5"/>
  <c r="R3956" i="5"/>
  <c r="O3958" i="5"/>
  <c r="R3960" i="5"/>
  <c r="L3968" i="5"/>
  <c r="Q3969" i="5"/>
  <c r="L3969" i="5" s="1"/>
  <c r="R3970" i="5"/>
  <c r="O3972" i="5"/>
  <c r="Q3977" i="5"/>
  <c r="O3979" i="5"/>
  <c r="Q3980" i="5"/>
  <c r="O3983" i="5"/>
  <c r="Q3984" i="5"/>
  <c r="R3986" i="5"/>
  <c r="O3988" i="5"/>
  <c r="R3989" i="5"/>
  <c r="Q3991" i="5"/>
  <c r="L3991" i="5" s="1"/>
  <c r="R3998" i="5"/>
  <c r="Q4000" i="5"/>
  <c r="O4004" i="5"/>
  <c r="L4004" i="5" s="1"/>
  <c r="Q4005" i="5"/>
  <c r="O4010" i="5"/>
  <c r="O4014" i="5"/>
  <c r="O4016" i="5"/>
  <c r="Q4017" i="5"/>
  <c r="R4018" i="5"/>
  <c r="O4020" i="5"/>
  <c r="Q4021" i="5"/>
  <c r="R4048" i="5"/>
  <c r="R4049" i="5"/>
  <c r="R4066" i="5"/>
  <c r="R4071" i="5"/>
  <c r="R4075" i="5"/>
  <c r="R4078" i="5"/>
  <c r="R4084" i="5"/>
  <c r="R4099" i="5"/>
  <c r="O4114" i="5"/>
  <c r="Q4118" i="5"/>
  <c r="Q4120" i="5"/>
  <c r="O4121" i="5"/>
  <c r="L4121" i="5" s="1"/>
  <c r="R4209" i="5"/>
  <c r="Q4209" i="5"/>
  <c r="L4209" i="5" s="1"/>
  <c r="R4232" i="5"/>
  <c r="Q4232" i="5"/>
  <c r="L4232" i="5" s="1"/>
  <c r="S4246" i="5"/>
  <c r="S4260" i="5"/>
  <c r="S4265" i="5"/>
  <c r="S4267" i="5"/>
  <c r="S4280" i="5"/>
  <c r="S4305" i="5"/>
  <c r="S4307" i="5"/>
  <c r="S4311" i="5"/>
  <c r="R4337" i="5"/>
  <c r="Q4337" i="5"/>
  <c r="O4337" i="5"/>
  <c r="R4386" i="5"/>
  <c r="Q4386" i="5"/>
  <c r="O4386" i="5"/>
  <c r="R4409" i="5"/>
  <c r="Q4409" i="5"/>
  <c r="O4409" i="5"/>
  <c r="Q4437" i="5"/>
  <c r="R4448" i="5"/>
  <c r="Q4448" i="5"/>
  <c r="N4448" i="5"/>
  <c r="M4465" i="5"/>
  <c r="L4461" i="5"/>
  <c r="R4467" i="5"/>
  <c r="Q4467" i="5"/>
  <c r="N4467" i="5"/>
  <c r="T4473" i="5"/>
  <c r="T4475" i="5"/>
  <c r="M4484" i="5"/>
  <c r="G4487" i="5"/>
  <c r="T4494" i="5"/>
  <c r="R4551" i="5"/>
  <c r="Q4551" i="5"/>
  <c r="O4551" i="5"/>
  <c r="O4569" i="5" s="1"/>
  <c r="R4587" i="5"/>
  <c r="Q4587" i="5"/>
  <c r="L4587" i="5" s="1"/>
  <c r="M4591" i="5"/>
  <c r="M4601" i="5"/>
  <c r="R4593" i="5"/>
  <c r="Q4593" i="5"/>
  <c r="L4593" i="5" s="1"/>
  <c r="S4600" i="5"/>
  <c r="R4640" i="5"/>
  <c r="M4641" i="5"/>
  <c r="Q4640" i="5"/>
  <c r="Q4641" i="5" s="1"/>
  <c r="L3643" i="5"/>
  <c r="R3644" i="5"/>
  <c r="M3666" i="5"/>
  <c r="R3667" i="5"/>
  <c r="G3669" i="5"/>
  <c r="Q3673" i="5"/>
  <c r="R3678" i="5"/>
  <c r="Q3709" i="5"/>
  <c r="Q3711" i="5"/>
  <c r="Q3712" i="5" s="1"/>
  <c r="L3715" i="5"/>
  <c r="T3719" i="5"/>
  <c r="T3720" i="5"/>
  <c r="Q3774" i="5"/>
  <c r="R3791" i="5"/>
  <c r="Q3792" i="5"/>
  <c r="Q3809" i="5"/>
  <c r="O3824" i="5"/>
  <c r="L3824" i="5" s="1"/>
  <c r="R3828" i="5"/>
  <c r="Q3863" i="5"/>
  <c r="O3971" i="5"/>
  <c r="L3971" i="5" s="1"/>
  <c r="Q3972" i="5"/>
  <c r="Q3979" i="5"/>
  <c r="O3982" i="5"/>
  <c r="L3982" i="5" s="1"/>
  <c r="Q3983" i="5"/>
  <c r="Q3988" i="5"/>
  <c r="R3991" i="5"/>
  <c r="Q4010" i="5"/>
  <c r="O4013" i="5"/>
  <c r="L4013" i="5" s="1"/>
  <c r="Q4014" i="5"/>
  <c r="Q4016" i="5"/>
  <c r="O4019" i="5"/>
  <c r="L4019" i="5" s="1"/>
  <c r="Q4020" i="5"/>
  <c r="R4118" i="5"/>
  <c r="R4184" i="5"/>
  <c r="Q4184" i="5"/>
  <c r="L4184" i="5" s="1"/>
  <c r="Q4190" i="5"/>
  <c r="O4190" i="5"/>
  <c r="R4201" i="5"/>
  <c r="Q4201" i="5"/>
  <c r="L4201" i="5" s="1"/>
  <c r="Q4214" i="5"/>
  <c r="O4214" i="5"/>
  <c r="Q4216" i="5"/>
  <c r="O4216" i="5"/>
  <c r="R4223" i="5"/>
  <c r="Q4223" i="5"/>
  <c r="L4223" i="5" s="1"/>
  <c r="L4231" i="5"/>
  <c r="R4231" i="5"/>
  <c r="S4264" i="5"/>
  <c r="S4274" i="5"/>
  <c r="S4286" i="5"/>
  <c r="S4314" i="5"/>
  <c r="M4379" i="5"/>
  <c r="R4421" i="5"/>
  <c r="Q4421" i="5"/>
  <c r="Q4422" i="5" s="1"/>
  <c r="R4442" i="5"/>
  <c r="Q4442" i="5"/>
  <c r="N4442" i="5"/>
  <c r="M4444" i="5"/>
  <c r="R4447" i="5"/>
  <c r="Q4447" i="5"/>
  <c r="N4447" i="5"/>
  <c r="R4464" i="5"/>
  <c r="Q4464" i="5"/>
  <c r="O4464" i="5"/>
  <c r="O4465" i="5" s="1"/>
  <c r="T4502" i="5"/>
  <c r="R4543" i="5"/>
  <c r="Q4543" i="5"/>
  <c r="M4546" i="5"/>
  <c r="O4543" i="5"/>
  <c r="O4546" i="5" s="1"/>
  <c r="R4548" i="5"/>
  <c r="Q4548" i="5"/>
  <c r="N4548" i="5"/>
  <c r="Q4638" i="5"/>
  <c r="S4638" i="5" s="1"/>
  <c r="L4637" i="5"/>
  <c r="R3668" i="5"/>
  <c r="L3705" i="5"/>
  <c r="L3754" i="5"/>
  <c r="L3771" i="5"/>
  <c r="S3807" i="5"/>
  <c r="S3833" i="5"/>
  <c r="O3834" i="5"/>
  <c r="Q3897" i="5"/>
  <c r="L3897" i="5" s="1"/>
  <c r="Q3912" i="5"/>
  <c r="R4014" i="5"/>
  <c r="L4046" i="5"/>
  <c r="R4161" i="5"/>
  <c r="Q4161" i="5"/>
  <c r="L4161" i="5" s="1"/>
  <c r="R4205" i="5"/>
  <c r="Q4205" i="5"/>
  <c r="L4205" i="5" s="1"/>
  <c r="L4213" i="5"/>
  <c r="R4213" i="5"/>
  <c r="R4227" i="5"/>
  <c r="L4239" i="5"/>
  <c r="S4263" i="5"/>
  <c r="S4297" i="5"/>
  <c r="S4306" i="5"/>
  <c r="S4308" i="5"/>
  <c r="S4310" i="5"/>
  <c r="S4317" i="5"/>
  <c r="L4316" i="5"/>
  <c r="R4343" i="5"/>
  <c r="Q4343" i="5"/>
  <c r="N4343" i="5"/>
  <c r="R4382" i="5"/>
  <c r="Q4382" i="5"/>
  <c r="O4382" i="5"/>
  <c r="R4446" i="5"/>
  <c r="Q4446" i="5"/>
  <c r="N4446" i="5"/>
  <c r="R4499" i="5"/>
  <c r="M4504" i="5"/>
  <c r="Q4499" i="5"/>
  <c r="Q4504" i="5" s="1"/>
  <c r="N4499" i="5"/>
  <c r="N4504" i="5" s="1"/>
  <c r="R4577" i="5"/>
  <c r="Q4577" i="5"/>
  <c r="N4577" i="5"/>
  <c r="N4578" i="5" s="1"/>
  <c r="R4644" i="5"/>
  <c r="Q4644" i="5"/>
  <c r="M4645" i="5"/>
  <c r="Q4334" i="5"/>
  <c r="L4334" i="5" s="1"/>
  <c r="Q4338" i="5"/>
  <c r="Q4383" i="5"/>
  <c r="Q4387" i="5"/>
  <c r="M4395" i="5"/>
  <c r="Q4404" i="5"/>
  <c r="Q4410" i="5"/>
  <c r="Q4414" i="5"/>
  <c r="Q4417" i="5"/>
  <c r="M4418" i="5"/>
  <c r="R4420" i="5"/>
  <c r="M4422" i="5"/>
  <c r="L4425" i="5"/>
  <c r="Q4439" i="5"/>
  <c r="Q4440" i="5" s="1"/>
  <c r="M4440" i="5"/>
  <c r="M4443" i="5"/>
  <c r="Q4450" i="5"/>
  <c r="R4451" i="5"/>
  <c r="Q4452" i="5"/>
  <c r="Q4460" i="5"/>
  <c r="L4460" i="5" s="1"/>
  <c r="Q4469" i="5"/>
  <c r="Q4474" i="5"/>
  <c r="Q4477" i="5" s="1"/>
  <c r="M4477" i="5"/>
  <c r="Q4489" i="5"/>
  <c r="L4514" i="5"/>
  <c r="Q4519" i="5"/>
  <c r="Q4521" i="5" s="1"/>
  <c r="G4525" i="5"/>
  <c r="Q4549" i="5"/>
  <c r="M4550" i="5"/>
  <c r="M4569" i="5" s="1"/>
  <c r="Q4552" i="5"/>
  <c r="Q4574" i="5"/>
  <c r="Q4586" i="5"/>
  <c r="Q4596" i="5"/>
  <c r="L4596" i="5" s="1"/>
  <c r="L4631" i="5"/>
  <c r="Q4652" i="5"/>
  <c r="S4652" i="5" s="1"/>
  <c r="L4651" i="5"/>
  <c r="Q4189" i="5"/>
  <c r="S4242" i="5"/>
  <c r="R4334" i="5"/>
  <c r="O4381" i="5"/>
  <c r="R4460" i="5"/>
  <c r="T4501" i="5"/>
  <c r="R4574" i="5"/>
  <c r="O4594" i="5"/>
  <c r="R4595" i="5"/>
  <c r="O4595" i="5"/>
  <c r="L4595" i="5" s="1"/>
  <c r="R4596" i="5"/>
  <c r="R4647" i="5"/>
  <c r="Q4647" i="5"/>
  <c r="T4332" i="5"/>
  <c r="G4508" i="5"/>
  <c r="Q4598" i="5"/>
  <c r="L4598" i="5" s="1"/>
  <c r="R4648" i="5"/>
  <c r="Q4648" i="5"/>
  <c r="L4648" i="5" s="1"/>
  <c r="Q4634" i="5"/>
  <c r="Q4635" i="5" s="1"/>
  <c r="O4657" i="5"/>
  <c r="O4660" i="5" s="1"/>
  <c r="R4662" i="5"/>
  <c r="O4633" i="5"/>
  <c r="Q4643" i="5"/>
  <c r="Q4657" i="5"/>
  <c r="M4660" i="5"/>
  <c r="R4643" i="5"/>
  <c r="S1384" i="5"/>
  <c r="S1385" i="5"/>
  <c r="S1382" i="5"/>
  <c r="S1380" i="5"/>
  <c r="L1394" i="5"/>
  <c r="S1375" i="5"/>
  <c r="L1365" i="5"/>
  <c r="Q1365" i="5"/>
  <c r="S1262" i="5"/>
  <c r="L1268" i="5"/>
  <c r="S1261" i="5"/>
  <c r="S1264" i="5"/>
  <c r="S1266" i="5"/>
  <c r="S1263" i="5"/>
  <c r="S1265" i="5"/>
  <c r="S1267" i="5"/>
  <c r="L950" i="5"/>
  <c r="L1119" i="5"/>
  <c r="Q1268" i="5"/>
  <c r="S123" i="5"/>
  <c r="S168" i="5"/>
  <c r="S443" i="5"/>
  <c r="L526" i="5"/>
  <c r="G596" i="5"/>
  <c r="L800" i="5"/>
  <c r="L832" i="5"/>
  <c r="L968" i="5"/>
  <c r="S1076" i="5"/>
  <c r="S1103" i="5"/>
  <c r="S1107" i="5"/>
  <c r="S1111" i="5"/>
  <c r="S1115" i="5"/>
  <c r="S1216" i="5"/>
  <c r="S1217" i="5"/>
  <c r="S1218" i="5"/>
  <c r="S1219" i="5"/>
  <c r="S1220" i="5"/>
  <c r="S1221" i="5"/>
  <c r="S1222" i="5"/>
  <c r="S1223" i="5"/>
  <c r="S1224" i="5"/>
  <c r="S1225" i="5"/>
  <c r="S35" i="5"/>
  <c r="S41" i="5"/>
  <c r="S42" i="5"/>
  <c r="S69" i="5"/>
  <c r="S82" i="5"/>
  <c r="S114" i="5"/>
  <c r="S121" i="5"/>
  <c r="S122" i="5"/>
  <c r="S142" i="5"/>
  <c r="S143" i="5"/>
  <c r="S144" i="5"/>
  <c r="S159" i="5"/>
  <c r="S160" i="5"/>
  <c r="S161" i="5"/>
  <c r="S162" i="5"/>
  <c r="S163" i="5"/>
  <c r="S164" i="5"/>
  <c r="S165" i="5"/>
  <c r="S166" i="5"/>
  <c r="S167" i="5"/>
  <c r="S202" i="5"/>
  <c r="S223" i="5"/>
  <c r="S224" i="5"/>
  <c r="S225" i="5"/>
  <c r="S226" i="5"/>
  <c r="S227" i="5"/>
  <c r="S251" i="5"/>
  <c r="S252" i="5"/>
  <c r="S253" i="5"/>
  <c r="S254" i="5"/>
  <c r="S255" i="5"/>
  <c r="S256" i="5"/>
  <c r="S301" i="5"/>
  <c r="S321" i="5"/>
  <c r="S325" i="5"/>
  <c r="S374" i="5"/>
  <c r="S375" i="5"/>
  <c r="S376" i="5"/>
  <c r="S377" i="5"/>
  <c r="S405" i="5"/>
  <c r="S406" i="5"/>
  <c r="S428" i="5"/>
  <c r="S434" i="5"/>
  <c r="S438" i="5"/>
  <c r="S442" i="5"/>
  <c r="S447" i="5"/>
  <c r="S462" i="5"/>
  <c r="S466" i="5"/>
  <c r="S474" i="5"/>
  <c r="S479" i="5"/>
  <c r="S480" i="5"/>
  <c r="S485" i="5"/>
  <c r="R542" i="5"/>
  <c r="R544" i="5"/>
  <c r="L677" i="5"/>
  <c r="L863" i="5"/>
  <c r="L991" i="5"/>
  <c r="L999" i="5"/>
  <c r="S1018" i="5"/>
  <c r="S1019" i="5"/>
  <c r="S1020" i="5"/>
  <c r="S1021" i="5"/>
  <c r="S1022" i="5"/>
  <c r="S1023" i="5"/>
  <c r="S1024" i="5"/>
  <c r="S1025" i="5"/>
  <c r="S1026" i="5"/>
  <c r="S1027" i="5"/>
  <c r="S1028" i="5"/>
  <c r="S1029" i="5"/>
  <c r="S1030" i="5"/>
  <c r="S1031" i="5"/>
  <c r="S1032" i="5"/>
  <c r="S1033" i="5"/>
  <c r="S1034" i="5"/>
  <c r="S1035" i="5"/>
  <c r="S1036" i="5"/>
  <c r="S1037" i="5"/>
  <c r="S1038" i="5"/>
  <c r="S1039" i="5"/>
  <c r="S1040" i="5"/>
  <c r="S1041" i="5"/>
  <c r="S1042" i="5"/>
  <c r="S1043" i="5"/>
  <c r="S1044" i="5"/>
  <c r="S1068" i="5"/>
  <c r="S1069" i="5"/>
  <c r="S1070" i="5"/>
  <c r="S1071" i="5"/>
  <c r="S1072" i="5"/>
  <c r="S1073" i="5"/>
  <c r="S1074" i="5"/>
  <c r="S1075" i="5"/>
  <c r="S1102" i="5"/>
  <c r="S1106" i="5"/>
  <c r="S1110" i="5"/>
  <c r="S1114" i="5"/>
  <c r="S1131" i="5"/>
  <c r="S1132" i="5"/>
  <c r="S1133" i="5"/>
  <c r="S1134" i="5"/>
  <c r="S1135" i="5"/>
  <c r="S1136" i="5"/>
  <c r="S1137" i="5"/>
  <c r="S1148" i="5"/>
  <c r="S1152" i="5"/>
  <c r="S1156" i="5"/>
  <c r="S1160" i="5"/>
  <c r="S1164" i="5"/>
  <c r="S1167" i="5"/>
  <c r="S1171" i="5"/>
  <c r="S1175" i="5"/>
  <c r="S1181" i="5"/>
  <c r="S1182" i="5"/>
  <c r="S1186" i="5"/>
  <c r="S1190" i="5"/>
  <c r="S1194" i="5"/>
  <c r="S1198" i="5"/>
  <c r="S1202" i="5"/>
  <c r="S1209" i="5"/>
  <c r="S1210" i="5"/>
  <c r="S1211" i="5"/>
  <c r="S1212" i="5"/>
  <c r="S1213" i="5"/>
  <c r="S1214" i="5"/>
  <c r="S30" i="5"/>
  <c r="S31" i="5"/>
  <c r="S32" i="5"/>
  <c r="S33" i="5"/>
  <c r="S34" i="5"/>
  <c r="S129" i="5"/>
  <c r="S130" i="5"/>
  <c r="S131" i="5"/>
  <c r="S141" i="5"/>
  <c r="S147" i="5"/>
  <c r="S148" i="5"/>
  <c r="S149" i="5"/>
  <c r="S150" i="5"/>
  <c r="S151" i="5"/>
  <c r="S152" i="5"/>
  <c r="S153" i="5"/>
  <c r="S154" i="5"/>
  <c r="S155" i="5"/>
  <c r="S158" i="5"/>
  <c r="S199" i="5"/>
  <c r="S200" i="5"/>
  <c r="S201" i="5"/>
  <c r="S230" i="5"/>
  <c r="S231" i="5"/>
  <c r="S232" i="5"/>
  <c r="S233" i="5"/>
  <c r="S236" i="5"/>
  <c r="S237" i="5"/>
  <c r="S246" i="5"/>
  <c r="S247" i="5"/>
  <c r="S287" i="5"/>
  <c r="S299" i="5"/>
  <c r="S300" i="5"/>
  <c r="S318" i="5"/>
  <c r="S319" i="5"/>
  <c r="S359" i="5"/>
  <c r="S360" i="5"/>
  <c r="S386" i="5"/>
  <c r="S387" i="5"/>
  <c r="S388" i="5"/>
  <c r="S389" i="5"/>
  <c r="S390" i="5"/>
  <c r="S396" i="5"/>
  <c r="S397" i="5"/>
  <c r="S398" i="5"/>
  <c r="S410" i="5"/>
  <c r="S411" i="5"/>
  <c r="S412" i="5"/>
  <c r="S478" i="5"/>
  <c r="L762" i="5"/>
  <c r="L978" i="5"/>
  <c r="L1014" i="5"/>
  <c r="L1049" i="5"/>
  <c r="L1142" i="5"/>
  <c r="L1242" i="5"/>
  <c r="L1354" i="5"/>
  <c r="S1215" i="5"/>
  <c r="L1298" i="5"/>
  <c r="Q280" i="1" l="1"/>
  <c r="S481" i="5"/>
  <c r="S292" i="5"/>
  <c r="S2770" i="5"/>
  <c r="A4348" i="5"/>
  <c r="A4349" i="5" s="1"/>
  <c r="A4350" i="5" s="1"/>
  <c r="A4351" i="5" s="1"/>
  <c r="A4352" i="5" s="1"/>
  <c r="A4353" i="5" s="1"/>
  <c r="A4354" i="5" s="1"/>
  <c r="A4355" i="5" s="1"/>
  <c r="A4356" i="5" s="1"/>
  <c r="A4357" i="5" s="1"/>
  <c r="A4358" i="5" s="1"/>
  <c r="A4359" i="5" s="1"/>
  <c r="A4360" i="5" s="1"/>
  <c r="A4361" i="5" s="1"/>
  <c r="A4362" i="5" s="1"/>
  <c r="A4363" i="5" s="1"/>
  <c r="A4364" i="5" s="1"/>
  <c r="A4365" i="5" s="1"/>
  <c r="A4366" i="5" s="1"/>
  <c r="S184" i="5"/>
  <c r="A3597" i="5"/>
  <c r="A3598" i="5" s="1"/>
  <c r="A3599" i="5" s="1"/>
  <c r="S2471" i="5"/>
  <c r="O2829" i="5"/>
  <c r="S2829" i="5" s="1"/>
  <c r="S2515" i="5"/>
  <c r="A570" i="5"/>
  <c r="A571" i="5" s="1"/>
  <c r="A572" i="5" s="1"/>
  <c r="A573" i="5" s="1"/>
  <c r="A355" i="1"/>
  <c r="A356" i="1" s="1"/>
  <c r="A357" i="1" s="1"/>
  <c r="A358" i="1" s="1"/>
  <c r="T4431" i="5"/>
  <c r="T4430" i="5"/>
  <c r="T4433" i="5"/>
  <c r="T4432" i="5"/>
  <c r="L4099" i="5"/>
  <c r="S2010" i="5"/>
  <c r="S2018" i="5"/>
  <c r="L3934" i="5"/>
  <c r="S2015" i="5"/>
  <c r="S2011" i="5"/>
  <c r="S2017" i="5"/>
  <c r="S2016" i="5"/>
  <c r="S2772" i="5"/>
  <c r="S2769" i="5"/>
  <c r="G2081" i="5"/>
  <c r="A3424" i="5"/>
  <c r="A3425" i="5" s="1"/>
  <c r="A3426" i="5" s="1"/>
  <c r="A3427" i="5" s="1"/>
  <c r="A3428" i="5" s="1"/>
  <c r="A3429" i="5" s="1"/>
  <c r="A3430" i="5" s="1"/>
  <c r="A3431" i="5" s="1"/>
  <c r="A3432" i="5" s="1"/>
  <c r="A3433" i="5" s="1"/>
  <c r="A3434" i="5" s="1"/>
  <c r="A3435" i="5" s="1"/>
  <c r="A3436" i="5" s="1"/>
  <c r="A3437" i="5" s="1"/>
  <c r="A3438" i="5" s="1"/>
  <c r="M2081" i="5"/>
  <c r="D2081" i="5"/>
  <c r="D1456" i="5" s="1"/>
  <c r="L2079" i="5"/>
  <c r="Y2079" i="5" s="1"/>
  <c r="R223" i="1"/>
  <c r="Q223" i="1"/>
  <c r="A2344" i="5"/>
  <c r="A2345" i="5" s="1"/>
  <c r="A2346" i="5" s="1"/>
  <c r="L4549" i="5"/>
  <c r="T4549" i="5" s="1"/>
  <c r="L2822" i="5"/>
  <c r="O4177" i="5"/>
  <c r="Q4177" i="5"/>
  <c r="R260" i="1"/>
  <c r="R347" i="1"/>
  <c r="A2825" i="5"/>
  <c r="A2826" i="5" s="1"/>
  <c r="A2827" i="5" s="1"/>
  <c r="A2828" i="5" s="1"/>
  <c r="A324" i="1"/>
  <c r="L3104" i="5"/>
  <c r="L2959" i="5"/>
  <c r="Q156" i="1"/>
  <c r="A2966" i="5"/>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311" i="2"/>
  <c r="A312" i="2" s="1"/>
  <c r="A313" i="2" s="1"/>
  <c r="A314" i="2" s="1"/>
  <c r="A4031" i="5"/>
  <c r="A4032" i="5" s="1"/>
  <c r="A4033" i="5" s="1"/>
  <c r="A4034" i="5" s="1"/>
  <c r="H277" i="2"/>
  <c r="L3995" i="5"/>
  <c r="A292" i="5"/>
  <c r="A293" i="5" s="1"/>
  <c r="A294" i="5" s="1"/>
  <c r="A295" i="5" s="1"/>
  <c r="A296" i="5" s="1"/>
  <c r="A297" i="5" s="1"/>
  <c r="A299" i="5" s="1"/>
  <c r="A300" i="5" s="1"/>
  <c r="A301" i="5" s="1"/>
  <c r="A302" i="5" s="1"/>
  <c r="A303" i="5" s="1"/>
  <c r="A304" i="5" s="1"/>
  <c r="A305" i="5" s="1"/>
  <c r="A306" i="5" s="1"/>
  <c r="A307" i="5" s="1"/>
  <c r="A309" i="5" s="1"/>
  <c r="A310" i="5" s="1"/>
  <c r="A311" i="5" s="1"/>
  <c r="A312" i="5" s="1"/>
  <c r="A315" i="5" s="1"/>
  <c r="A316" i="5" s="1"/>
  <c r="A317" i="5" s="1"/>
  <c r="A318" i="5" s="1"/>
  <c r="A319" i="5" s="1"/>
  <c r="A321" i="5" s="1"/>
  <c r="A322" i="5" s="1"/>
  <c r="A323" i="5" s="1"/>
  <c r="A324" i="5" s="1"/>
  <c r="A325" i="5" s="1"/>
  <c r="A326" i="5" s="1"/>
  <c r="A327" i="5" s="1"/>
  <c r="A329" i="5" s="1"/>
  <c r="A331" i="5" s="1"/>
  <c r="A332" i="5" s="1"/>
  <c r="A333" i="5" s="1"/>
  <c r="A334" i="5" s="1"/>
  <c r="A336" i="5" s="1"/>
  <c r="A337" i="5" s="1"/>
  <c r="A338" i="5" s="1"/>
  <c r="A339" i="5" s="1"/>
  <c r="A340" i="5" s="1"/>
  <c r="A342" i="5" s="1"/>
  <c r="A344" i="5" s="1"/>
  <c r="A345" i="5" s="1"/>
  <c r="A346" i="5" s="1"/>
  <c r="A347" i="5" s="1"/>
  <c r="A348" i="5" s="1"/>
  <c r="A349" i="5" s="1"/>
  <c r="A350" i="5" s="1"/>
  <c r="A351" i="5" s="1"/>
  <c r="A353" i="5" s="1"/>
  <c r="A354" i="5" s="1"/>
  <c r="A355" i="5" s="1"/>
  <c r="A356" i="5" s="1"/>
  <c r="A357" i="5" s="1"/>
  <c r="A359" i="5" s="1"/>
  <c r="A360" i="5" s="1"/>
  <c r="A361" i="5" s="1"/>
  <c r="A362" i="5" s="1"/>
  <c r="A366" i="5" s="1"/>
  <c r="A370" i="5" s="1"/>
  <c r="A371" i="5" s="1"/>
  <c r="A372" i="5" s="1"/>
  <c r="A374" i="5" s="1"/>
  <c r="A375" i="5" s="1"/>
  <c r="A376" i="5" s="1"/>
  <c r="A377" i="5" s="1"/>
  <c r="A378" i="5" s="1"/>
  <c r="A379" i="5" s="1"/>
  <c r="A380" i="5" s="1"/>
  <c r="A381" i="5" s="1"/>
  <c r="A383" i="5" s="1"/>
  <c r="A384" i="5" s="1"/>
  <c r="A386" i="5" s="1"/>
  <c r="A387" i="5" s="1"/>
  <c r="A388" i="5" s="1"/>
  <c r="A389" i="5" s="1"/>
  <c r="A390" i="5" s="1"/>
  <c r="A391" i="5" s="1"/>
  <c r="A392" i="5" s="1"/>
  <c r="A393" i="5" s="1"/>
  <c r="A394" i="5" s="1"/>
  <c r="A395" i="5" s="1"/>
  <c r="A396" i="5" s="1"/>
  <c r="A397" i="5" s="1"/>
  <c r="A398" i="5" s="1"/>
  <c r="A399" i="5" s="1"/>
  <c r="A400" i="5" s="1"/>
  <c r="A401" i="5" s="1"/>
  <c r="A402" i="5" s="1"/>
  <c r="A403" i="5" s="1"/>
  <c r="A405" i="5" s="1"/>
  <c r="A406" i="5" s="1"/>
  <c r="A407" i="5" s="1"/>
  <c r="A408" i="5" s="1"/>
  <c r="A409" i="5" s="1"/>
  <c r="A410" i="5" s="1"/>
  <c r="A411" i="5" s="1"/>
  <c r="A412" i="5" s="1"/>
  <c r="A413" i="5" s="1"/>
  <c r="A415" i="5" s="1"/>
  <c r="A416" i="5" s="1"/>
  <c r="A417" i="5" s="1"/>
  <c r="A418" i="5" s="1"/>
  <c r="A419" i="5" s="1"/>
  <c r="A420" i="5" s="1"/>
  <c r="A421" i="5" s="1"/>
  <c r="A422" i="5" s="1"/>
  <c r="A423" i="5" s="1"/>
  <c r="A425" i="5" s="1"/>
  <c r="A427" i="5" s="1"/>
  <c r="A428" i="5" s="1"/>
  <c r="A429" i="5" s="1"/>
  <c r="A430" i="5" s="1"/>
  <c r="A431" i="5" s="1"/>
  <c r="A433" i="5" s="1"/>
  <c r="A434" i="5" s="1"/>
  <c r="A435" i="5" s="1"/>
  <c r="A436" i="5" s="1"/>
  <c r="A437" i="5" s="1"/>
  <c r="A438" i="5" s="1"/>
  <c r="A439" i="5" s="1"/>
  <c r="A442" i="5" s="1"/>
  <c r="A443" i="5" s="1"/>
  <c r="A444" i="5" s="1"/>
  <c r="A445" i="5" s="1"/>
  <c r="A446" i="5" s="1"/>
  <c r="A447" i="5" s="1"/>
  <c r="A448" i="5" s="1"/>
  <c r="A449" i="5" s="1"/>
  <c r="A450" i="5" s="1"/>
  <c r="A451" i="5" s="1"/>
  <c r="A452" i="5" s="1"/>
  <c r="A453" i="5" s="1"/>
  <c r="A454" i="5" s="1"/>
  <c r="A456" i="5" s="1"/>
  <c r="A457" i="5" s="1"/>
  <c r="A458" i="5" s="1"/>
  <c r="A459" i="5" s="1"/>
  <c r="A461" i="5" s="1"/>
  <c r="A462" i="5" s="1"/>
  <c r="A463" i="5" s="1"/>
  <c r="A464" i="5" s="1"/>
  <c r="A465" i="5" s="1"/>
  <c r="A466" i="5" s="1"/>
  <c r="A467" i="5" s="1"/>
  <c r="A469" i="5" s="1"/>
  <c r="A470" i="5" s="1"/>
  <c r="A472" i="5" s="1"/>
  <c r="A473" i="5" s="1"/>
  <c r="A474" i="5" s="1"/>
  <c r="A475" i="5" s="1"/>
  <c r="A476" i="5" s="1"/>
  <c r="A477" i="5" s="1"/>
  <c r="A478" i="5" s="1"/>
  <c r="A479" i="5" s="1"/>
  <c r="A480" i="5" s="1"/>
  <c r="A481" i="5" s="1"/>
  <c r="A482" i="5" s="1"/>
  <c r="A483" i="5" s="1"/>
  <c r="A484" i="5" s="1"/>
  <c r="A485" i="5" s="1"/>
  <c r="A486" i="5" s="1"/>
  <c r="A487" i="5" s="1"/>
  <c r="A489" i="5" s="1"/>
  <c r="A490" i="5" s="1"/>
  <c r="A491" i="5" s="1"/>
  <c r="A492" i="5" s="1"/>
  <c r="A493" i="5" s="1"/>
  <c r="A494" i="5" s="1"/>
  <c r="A496" i="5" s="1"/>
  <c r="A497" i="5" s="1"/>
  <c r="A498" i="5" s="1"/>
  <c r="A499" i="5" s="1"/>
  <c r="A500" i="5" s="1"/>
  <c r="A501" i="5" s="1"/>
  <c r="A502" i="5" s="1"/>
  <c r="A503" i="5" s="1"/>
  <c r="A504" i="5" s="1"/>
  <c r="A505" i="5" s="1"/>
  <c r="A506" i="5" s="1"/>
  <c r="A507" i="5" s="1"/>
  <c r="A508" i="5" s="1"/>
  <c r="A509" i="5" s="1"/>
  <c r="A510" i="5" s="1"/>
  <c r="L3193" i="5"/>
  <c r="Q244" i="1"/>
  <c r="S3827" i="5"/>
  <c r="L3068" i="5"/>
  <c r="L3318" i="5"/>
  <c r="A3885" i="5"/>
  <c r="A3886" i="5" s="1"/>
  <c r="A3887" i="5" s="1"/>
  <c r="A3888" i="5" s="1"/>
  <c r="A3889" i="5" s="1"/>
  <c r="A3890" i="5" s="1"/>
  <c r="A3891" i="5" s="1"/>
  <c r="A3892" i="5" s="1"/>
  <c r="A3893" i="5" s="1"/>
  <c r="A3894" i="5" s="1"/>
  <c r="A2606" i="5"/>
  <c r="A2607" i="5" s="1"/>
  <c r="A2608" i="5" s="1"/>
  <c r="A2609" i="5" s="1"/>
  <c r="O4139" i="5"/>
  <c r="L4405" i="5"/>
  <c r="L4111" i="5"/>
  <c r="Q4139" i="5"/>
  <c r="R49" i="1"/>
  <c r="L4156" i="5"/>
  <c r="D226" i="2"/>
  <c r="A2778" i="5"/>
  <c r="A2779" i="5" s="1"/>
  <c r="A2780" i="5" s="1"/>
  <c r="A2781" i="5" s="1"/>
  <c r="L4387" i="5"/>
  <c r="L3857" i="5"/>
  <c r="Q3535" i="5"/>
  <c r="S2600" i="5"/>
  <c r="L3958" i="5"/>
  <c r="L3855" i="5"/>
  <c r="S2309" i="5"/>
  <c r="Q4081" i="5"/>
  <c r="L4081" i="5" s="1"/>
  <c r="M4094" i="5"/>
  <c r="L3955" i="5"/>
  <c r="S2375" i="5"/>
  <c r="Q38" i="1"/>
  <c r="L4338" i="5"/>
  <c r="T4428" i="5"/>
  <c r="Q46" i="1"/>
  <c r="M4148" i="5"/>
  <c r="R4146" i="5"/>
  <c r="Q4146" i="5"/>
  <c r="R88" i="1"/>
  <c r="Q4523" i="5"/>
  <c r="R4523" i="5"/>
  <c r="N4523" i="5"/>
  <c r="L3529" i="5"/>
  <c r="T4511" i="5"/>
  <c r="L3954" i="5"/>
  <c r="C236" i="2" s="1"/>
  <c r="L3921" i="5"/>
  <c r="C204" i="2" s="1"/>
  <c r="R176" i="1"/>
  <c r="C345" i="2"/>
  <c r="Q42" i="1"/>
  <c r="G2465" i="5"/>
  <c r="T4426" i="5"/>
  <c r="S890" i="5"/>
  <c r="S735" i="5"/>
  <c r="L3617" i="5"/>
  <c r="L515" i="5"/>
  <c r="J2882" i="5"/>
  <c r="R150" i="1"/>
  <c r="R238" i="1"/>
  <c r="L4469" i="5"/>
  <c r="L3816" i="5"/>
  <c r="L4414" i="5"/>
  <c r="T4414" i="5" s="1"/>
  <c r="S4243" i="5"/>
  <c r="Q98" i="1"/>
  <c r="Q96" i="1"/>
  <c r="J4235" i="5"/>
  <c r="L2598" i="5"/>
  <c r="O2675" i="5"/>
  <c r="A136" i="1"/>
  <c r="A137" i="1" s="1"/>
  <c r="A138" i="1" s="1"/>
  <c r="A139" i="1" s="1"/>
  <c r="A140" i="1" s="1"/>
  <c r="A141" i="1" s="1"/>
  <c r="A142" i="1" s="1"/>
  <c r="L4552" i="5"/>
  <c r="Q3540" i="5"/>
  <c r="O2548" i="5"/>
  <c r="L3775" i="5"/>
  <c r="Q66" i="1"/>
  <c r="R289" i="1"/>
  <c r="R90" i="1"/>
  <c r="T4451" i="5"/>
  <c r="T4455" i="5"/>
  <c r="T4454" i="5"/>
  <c r="Q74" i="1"/>
  <c r="Q29" i="1"/>
  <c r="Q88" i="1"/>
  <c r="Q83" i="1"/>
  <c r="Q100" i="1"/>
  <c r="R100" i="1"/>
  <c r="R55" i="1"/>
  <c r="Q70" i="1"/>
  <c r="R21" i="1"/>
  <c r="R78" i="1"/>
  <c r="Q25" i="1"/>
  <c r="Q67" i="1"/>
  <c r="R67" i="1"/>
  <c r="Q34" i="1"/>
  <c r="R34" i="1"/>
  <c r="Q348" i="1"/>
  <c r="R348" i="1"/>
  <c r="Q339" i="1"/>
  <c r="Q37" i="1"/>
  <c r="R93" i="1"/>
  <c r="R236" i="1"/>
  <c r="L4383" i="5"/>
  <c r="Q20" i="1"/>
  <c r="R221" i="1"/>
  <c r="R165" i="1"/>
  <c r="Q165" i="1"/>
  <c r="R97" i="1"/>
  <c r="S2660" i="5"/>
  <c r="R28" i="1"/>
  <c r="S669" i="5"/>
  <c r="L1415" i="5"/>
  <c r="R37" i="1"/>
  <c r="Q55" i="1"/>
  <c r="Q81" i="1"/>
  <c r="R153" i="1"/>
  <c r="Q27" i="1"/>
  <c r="Q50" i="1"/>
  <c r="R50" i="1"/>
  <c r="D80" i="2"/>
  <c r="R32" i="1"/>
  <c r="R64" i="1"/>
  <c r="P10" i="5"/>
  <c r="L3328" i="5"/>
  <c r="D1230" i="5"/>
  <c r="D1016" i="5" s="1"/>
  <c r="Q35" i="1"/>
  <c r="R83" i="1"/>
  <c r="Q93" i="1"/>
  <c r="R44" i="1"/>
  <c r="R94" i="2"/>
  <c r="Q343" i="1"/>
  <c r="R343" i="1"/>
  <c r="Q340" i="1"/>
  <c r="R340" i="1"/>
  <c r="Q23" i="1"/>
  <c r="R148" i="1"/>
  <c r="R172" i="1"/>
  <c r="A4455" i="5"/>
  <c r="A4456" i="5" s="1"/>
  <c r="A4457" i="5" s="1"/>
  <c r="A3617" i="5"/>
  <c r="A3618" i="5" s="1"/>
  <c r="A3619" i="5" s="1"/>
  <c r="L3943" i="5"/>
  <c r="C226" i="2" s="1"/>
  <c r="Q128" i="1"/>
  <c r="P94" i="2"/>
  <c r="R199" i="1"/>
  <c r="Q199" i="1"/>
  <c r="S4109" i="5"/>
  <c r="Q297" i="1"/>
  <c r="S1361" i="5"/>
  <c r="S3820" i="5"/>
  <c r="L4489" i="5"/>
  <c r="R99" i="1"/>
  <c r="Q99" i="1"/>
  <c r="Q43" i="1"/>
  <c r="F315" i="2"/>
  <c r="L4538" i="5"/>
  <c r="F94" i="2"/>
  <c r="R39" i="1"/>
  <c r="S4268" i="5"/>
  <c r="L3930" i="5"/>
  <c r="S2642" i="5"/>
  <c r="T4542" i="5"/>
  <c r="O4540" i="5"/>
  <c r="Q204" i="1"/>
  <c r="R142" i="1"/>
  <c r="Q60" i="1"/>
  <c r="R334" i="1"/>
  <c r="Q73" i="1"/>
  <c r="R73" i="1"/>
  <c r="Q47" i="1"/>
  <c r="R47" i="1"/>
  <c r="R191" i="1"/>
  <c r="Q191" i="1"/>
  <c r="Q62" i="1"/>
  <c r="R62" i="1"/>
  <c r="R280" i="1"/>
  <c r="Q338" i="1"/>
  <c r="R338" i="1"/>
  <c r="Q51" i="1"/>
  <c r="R95" i="1"/>
  <c r="Q95" i="1"/>
  <c r="L4057" i="5"/>
  <c r="T4427" i="5"/>
  <c r="N3629" i="5"/>
  <c r="L3628" i="5"/>
  <c r="R2801" i="5"/>
  <c r="Q4536" i="5"/>
  <c r="L3861" i="5"/>
  <c r="L4452" i="5"/>
  <c r="M517" i="5"/>
  <c r="M10" i="5" s="1"/>
  <c r="L4006" i="5"/>
  <c r="Q52" i="1"/>
  <c r="R52" i="1"/>
  <c r="R129" i="1"/>
  <c r="Q129" i="1"/>
  <c r="R160" i="1"/>
  <c r="Q160" i="1"/>
  <c r="Q59" i="1"/>
  <c r="R59" i="1"/>
  <c r="Q56" i="1"/>
  <c r="R56" i="1"/>
  <c r="R175" i="1"/>
  <c r="Q175" i="1"/>
  <c r="Q22" i="1"/>
  <c r="R22" i="1"/>
  <c r="Q139" i="1"/>
  <c r="Q334" i="1"/>
  <c r="Q342" i="1"/>
  <c r="R51" i="1"/>
  <c r="A84" i="1"/>
  <c r="A85" i="1" s="1"/>
  <c r="A86" i="1" s="1"/>
  <c r="A87" i="1" s="1"/>
  <c r="A88" i="1" s="1"/>
  <c r="A89" i="1" s="1"/>
  <c r="A90" i="1" s="1"/>
  <c r="A91" i="1" s="1"/>
  <c r="A92" i="1" s="1"/>
  <c r="A93" i="1" s="1"/>
  <c r="A94" i="1" s="1"/>
  <c r="A95" i="1" s="1"/>
  <c r="A96" i="1" s="1"/>
  <c r="A97" i="1" s="1"/>
  <c r="A98" i="1" s="1"/>
  <c r="A99" i="1" s="1"/>
  <c r="A73" i="2"/>
  <c r="A74" i="2" s="1"/>
  <c r="A75" i="2" s="1"/>
  <c r="A76" i="2" s="1"/>
  <c r="A77" i="2" s="1"/>
  <c r="A78" i="2" s="1"/>
  <c r="A79" i="2" s="1"/>
  <c r="A80" i="2" s="1"/>
  <c r="A81" i="2" s="1"/>
  <c r="A82" i="2" s="1"/>
  <c r="A83" i="2" s="1"/>
  <c r="A84" i="2" s="1"/>
  <c r="A85" i="2" s="1"/>
  <c r="A86" i="2" s="1"/>
  <c r="A87" i="2" s="1"/>
  <c r="A88" i="2" s="1"/>
  <c r="A1209" i="5"/>
  <c r="A1210" i="5" s="1"/>
  <c r="A1211" i="5" s="1"/>
  <c r="A1212" i="5" s="1"/>
  <c r="A1213" i="5" s="1"/>
  <c r="A1214" i="5" s="1"/>
  <c r="A1215" i="5" s="1"/>
  <c r="A1216" i="5" s="1"/>
  <c r="A1217" i="5" s="1"/>
  <c r="A1218" i="5" s="1"/>
  <c r="A1219" i="5" s="1"/>
  <c r="A1220" i="5" s="1"/>
  <c r="A1221" i="5" s="1"/>
  <c r="A1222" i="5" s="1"/>
  <c r="A1223" i="5" s="1"/>
  <c r="A1224" i="5" s="1"/>
  <c r="S248" i="5"/>
  <c r="A4433" i="5"/>
  <c r="L2971" i="5"/>
  <c r="A3650" i="5"/>
  <c r="A3651" i="5" s="1"/>
  <c r="A3652" i="5" s="1"/>
  <c r="A3653" i="5" s="1"/>
  <c r="A3654" i="5" s="1"/>
  <c r="A3655" i="5" s="1"/>
  <c r="A3656" i="5" s="1"/>
  <c r="A3657" i="5" s="1"/>
  <c r="A3658" i="5" s="1"/>
  <c r="A3659" i="5" s="1"/>
  <c r="A3660" i="5" s="1"/>
  <c r="M4458" i="5"/>
  <c r="A2398" i="5"/>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L3711" i="5"/>
  <c r="L3988" i="5"/>
  <c r="N4516" i="5"/>
  <c r="Q4591" i="5"/>
  <c r="L4158" i="5"/>
  <c r="L4005" i="5"/>
  <c r="L4515" i="5"/>
  <c r="J1456" i="5"/>
  <c r="H94" i="2"/>
  <c r="S399" i="5"/>
  <c r="A2269" i="5"/>
  <c r="A2270" i="5" s="1"/>
  <c r="A2271" i="5" s="1"/>
  <c r="S4663" i="5"/>
  <c r="L3135" i="5"/>
  <c r="A939" i="5"/>
  <c r="A940" i="5" s="1"/>
  <c r="A941" i="5" s="1"/>
  <c r="A942" i="5" s="1"/>
  <c r="A943" i="5" s="1"/>
  <c r="A944" i="5" s="1"/>
  <c r="A945" i="5" s="1"/>
  <c r="A946" i="5" s="1"/>
  <c r="A947" i="5" s="1"/>
  <c r="A948" i="5" s="1"/>
  <c r="A949" i="5" s="1"/>
  <c r="C220" i="2"/>
  <c r="L3792" i="5"/>
  <c r="A645" i="5"/>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L4393" i="5"/>
  <c r="L3992" i="5"/>
  <c r="S2306" i="5"/>
  <c r="L4001" i="5"/>
  <c r="L3234" i="5"/>
  <c r="E517" i="5"/>
  <c r="E10" i="5" s="1"/>
  <c r="S179" i="5"/>
  <c r="Q3686" i="5"/>
  <c r="L3685" i="5"/>
  <c r="S4252" i="5"/>
  <c r="S2664" i="5"/>
  <c r="S2613" i="5"/>
  <c r="S2646" i="5"/>
  <c r="S2667" i="5"/>
  <c r="O2847" i="5"/>
  <c r="L2840" i="5"/>
  <c r="T4631" i="5"/>
  <c r="L4230" i="5"/>
  <c r="L4233" i="5" s="1"/>
  <c r="Q4233" i="5"/>
  <c r="S4295" i="5"/>
  <c r="S4245" i="5"/>
  <c r="S3810" i="5"/>
  <c r="T4408" i="5"/>
  <c r="Q4053" i="5"/>
  <c r="S2562" i="5"/>
  <c r="T4507" i="5"/>
  <c r="L4017" i="5"/>
  <c r="L3980" i="5"/>
  <c r="L4016" i="5"/>
  <c r="Q4482" i="5"/>
  <c r="L3276" i="5"/>
  <c r="E4327" i="5"/>
  <c r="E4235" i="5" s="1"/>
  <c r="L3251" i="5"/>
  <c r="P4235" i="5"/>
  <c r="O3778" i="5"/>
  <c r="L2798" i="5"/>
  <c r="L3002" i="5"/>
  <c r="L4220" i="5"/>
  <c r="J10" i="5"/>
  <c r="L3279" i="5"/>
  <c r="L3088" i="5"/>
  <c r="G3805" i="5"/>
  <c r="L4120" i="5"/>
  <c r="L4215" i="5"/>
  <c r="G517" i="5"/>
  <c r="G10" i="5" s="1"/>
  <c r="M4525" i="5"/>
  <c r="Q4524" i="5"/>
  <c r="S596" i="5"/>
  <c r="L3162" i="5"/>
  <c r="L3262" i="5"/>
  <c r="T4385" i="5"/>
  <c r="T4415" i="5"/>
  <c r="Q4540" i="5"/>
  <c r="L4398" i="5"/>
  <c r="Q4154" i="5"/>
  <c r="L4153" i="5"/>
  <c r="L4154" i="5" s="1"/>
  <c r="L3664" i="5"/>
  <c r="L2292" i="5"/>
  <c r="S2292" i="5" s="1"/>
  <c r="S2644" i="5"/>
  <c r="Q41" i="1"/>
  <c r="R41" i="1"/>
  <c r="S4258" i="5"/>
  <c r="L1446" i="5"/>
  <c r="S1446" i="5" s="1"/>
  <c r="T4429" i="5"/>
  <c r="D4327" i="5"/>
  <c r="O3917" i="5"/>
  <c r="L3010" i="5"/>
  <c r="S61" i="5"/>
  <c r="L4450" i="5"/>
  <c r="L3539" i="5"/>
  <c r="T4655" i="5"/>
  <c r="L4157" i="5"/>
  <c r="S190" i="5"/>
  <c r="N4471" i="5"/>
  <c r="L3837" i="5"/>
  <c r="S361" i="5"/>
  <c r="O10" i="5"/>
  <c r="Q1016" i="5"/>
  <c r="Q10" i="5" s="1"/>
  <c r="L2870" i="5"/>
  <c r="S2597" i="5"/>
  <c r="S2594" i="5"/>
  <c r="S2621" i="5"/>
  <c r="S2532" i="5"/>
  <c r="S2208" i="5"/>
  <c r="L2209" i="5"/>
  <c r="S2209" i="5" s="1"/>
  <c r="S804" i="5"/>
  <c r="S3819" i="5"/>
  <c r="Q4057" i="5"/>
  <c r="S2540" i="5"/>
  <c r="Q3620" i="5"/>
  <c r="L4586" i="5"/>
  <c r="O4591" i="5"/>
  <c r="T4576" i="5"/>
  <c r="S3818" i="5"/>
  <c r="S4249" i="5"/>
  <c r="L4410" i="5"/>
  <c r="L3834" i="5"/>
  <c r="L3859" i="5"/>
  <c r="L3299" i="5"/>
  <c r="L3012" i="5"/>
  <c r="Q4578" i="5"/>
  <c r="O4412" i="5"/>
  <c r="O3794" i="5"/>
  <c r="O4418" i="5"/>
  <c r="L3600" i="5"/>
  <c r="O2453" i="5"/>
  <c r="L3211" i="5"/>
  <c r="S1455" i="5"/>
  <c r="O4536" i="5"/>
  <c r="L4020" i="5"/>
  <c r="Q3831" i="5"/>
  <c r="L3984" i="5"/>
  <c r="L3977" i="5"/>
  <c r="C259" i="2" s="1"/>
  <c r="O3637" i="5"/>
  <c r="Q3626" i="5"/>
  <c r="L3084" i="5"/>
  <c r="L3308" i="5"/>
  <c r="N10" i="5"/>
  <c r="T4463" i="5"/>
  <c r="L3197" i="5"/>
  <c r="T4336" i="5"/>
  <c r="L3315" i="5"/>
  <c r="O4224" i="5"/>
  <c r="L4470" i="5"/>
  <c r="T4470" i="5" s="1"/>
  <c r="L3983" i="5"/>
  <c r="L3863" i="5"/>
  <c r="L3672" i="5"/>
  <c r="L3206" i="5"/>
  <c r="Q4491" i="5"/>
  <c r="L4417" i="5"/>
  <c r="L4404" i="5"/>
  <c r="T4520" i="5"/>
  <c r="S2614" i="5"/>
  <c r="L2272" i="5"/>
  <c r="L3034" i="5"/>
  <c r="L3066" i="5"/>
  <c r="Q4660" i="5"/>
  <c r="S4660" i="5" s="1"/>
  <c r="L4662" i="5"/>
  <c r="L3694" i="5"/>
  <c r="L3835" i="5"/>
  <c r="T4406" i="5"/>
  <c r="L2250" i="5"/>
  <c r="S1399" i="5"/>
  <c r="N4491" i="5"/>
  <c r="L4571" i="5"/>
  <c r="Q3778" i="5"/>
  <c r="L4118" i="5"/>
  <c r="L2243" i="5"/>
  <c r="N2324" i="5"/>
  <c r="N2081" i="5" s="1"/>
  <c r="O4521" i="5"/>
  <c r="L4012" i="5"/>
  <c r="L3127" i="5"/>
  <c r="L3774" i="5"/>
  <c r="L3972" i="5"/>
  <c r="C254" i="2" s="1"/>
  <c r="L4634" i="5"/>
  <c r="L4000" i="5"/>
  <c r="C281" i="2" s="1"/>
  <c r="L4011" i="5"/>
  <c r="C292" i="2" s="1"/>
  <c r="E1456" i="5"/>
  <c r="L3538" i="5"/>
  <c r="L3634" i="5"/>
  <c r="L3317" i="5"/>
  <c r="C170" i="2"/>
  <c r="H170" i="2"/>
  <c r="L3307" i="5"/>
  <c r="L2377" i="5"/>
  <c r="L4337" i="5"/>
  <c r="C280" i="2"/>
  <c r="D517" i="5"/>
  <c r="C258" i="2"/>
  <c r="Q303" i="1"/>
  <c r="S2512" i="5"/>
  <c r="S2663" i="5"/>
  <c r="D189" i="2"/>
  <c r="C189" i="2"/>
  <c r="S2516" i="5"/>
  <c r="C168" i="2"/>
  <c r="H168" i="2"/>
  <c r="S2654" i="5"/>
  <c r="D180" i="2"/>
  <c r="C180" i="2"/>
  <c r="S1423" i="5"/>
  <c r="L4216" i="5"/>
  <c r="L4010" i="5"/>
  <c r="C291" i="2" s="1"/>
  <c r="S2542" i="5"/>
  <c r="L3773" i="5"/>
  <c r="L3285" i="5"/>
  <c r="L3990" i="5"/>
  <c r="C272" i="2" s="1"/>
  <c r="S2487" i="5"/>
  <c r="S2281" i="5"/>
  <c r="L3624" i="5"/>
  <c r="L3310" i="5"/>
  <c r="L1449" i="5"/>
  <c r="L3304" i="5"/>
  <c r="S2518" i="5"/>
  <c r="L2967" i="5"/>
  <c r="L4530" i="5"/>
  <c r="E3699" i="5"/>
  <c r="E3405" i="5" s="1"/>
  <c r="S2554" i="5"/>
  <c r="C263" i="2"/>
  <c r="H156" i="2"/>
  <c r="C156" i="2"/>
  <c r="G3405" i="5"/>
  <c r="Q4465" i="5"/>
  <c r="L4448" i="5"/>
  <c r="L4449" i="5"/>
  <c r="L4519" i="5"/>
  <c r="T4519" i="5" s="1"/>
  <c r="L4548" i="5"/>
  <c r="L4447" i="5"/>
  <c r="Q4050" i="5"/>
  <c r="L3809" i="5"/>
  <c r="L4442" i="5"/>
  <c r="L4407" i="5"/>
  <c r="L3533" i="5"/>
  <c r="S2534" i="5"/>
  <c r="Q4144" i="5"/>
  <c r="L3294" i="5"/>
  <c r="C256" i="2"/>
  <c r="S2546" i="5"/>
  <c r="S2520" i="5"/>
  <c r="S2639" i="5"/>
  <c r="S2357" i="5"/>
  <c r="L3309" i="5"/>
  <c r="S2539" i="5"/>
  <c r="S2640" i="5"/>
  <c r="H166" i="2"/>
  <c r="C166" i="2"/>
  <c r="C126" i="2"/>
  <c r="H126" i="2"/>
  <c r="C248" i="2"/>
  <c r="S2481" i="5"/>
  <c r="S898" i="5"/>
  <c r="S2556" i="5"/>
  <c r="L4341" i="5"/>
  <c r="T4397" i="5"/>
  <c r="C257" i="2"/>
  <c r="C216" i="2"/>
  <c r="S2315" i="5"/>
  <c r="S2647" i="5"/>
  <c r="C173" i="2"/>
  <c r="H173" i="2"/>
  <c r="S2523" i="5"/>
  <c r="C278" i="2"/>
  <c r="S2311" i="5"/>
  <c r="Q4391" i="5"/>
  <c r="N4379" i="5"/>
  <c r="L4343" i="5"/>
  <c r="T4342" i="5"/>
  <c r="C202" i="2"/>
  <c r="Q4649" i="5"/>
  <c r="S4649" i="5" s="1"/>
  <c r="L4574" i="5"/>
  <c r="C268" i="2"/>
  <c r="C219" i="2"/>
  <c r="S2452" i="5"/>
  <c r="L4464" i="5"/>
  <c r="S4641" i="5"/>
  <c r="O4035" i="5"/>
  <c r="L4479" i="5"/>
  <c r="L4453" i="5"/>
  <c r="D3405" i="5"/>
  <c r="D2882" i="5" s="1"/>
  <c r="L4490" i="5"/>
  <c r="L4580" i="5"/>
  <c r="C288" i="2"/>
  <c r="L4063" i="5"/>
  <c r="C233" i="2"/>
  <c r="N3535" i="5"/>
  <c r="C269" i="2"/>
  <c r="L3906" i="5"/>
  <c r="L3641" i="5"/>
  <c r="L3157" i="5"/>
  <c r="S2529" i="5"/>
  <c r="C120" i="2"/>
  <c r="H120" i="2"/>
  <c r="L4382" i="5"/>
  <c r="T4382" i="5" s="1"/>
  <c r="G4327" i="5"/>
  <c r="G4235" i="5" s="1"/>
  <c r="L4527" i="5"/>
  <c r="L4513" i="5"/>
  <c r="L2746" i="5"/>
  <c r="S2746" i="5" s="1"/>
  <c r="M2465" i="5"/>
  <c r="O3626" i="5"/>
  <c r="C271" i="2"/>
  <c r="C228" i="2"/>
  <c r="C207" i="2"/>
  <c r="S2662" i="5"/>
  <c r="D188" i="2"/>
  <c r="C188" i="2"/>
  <c r="L3217" i="5"/>
  <c r="L3199" i="5"/>
  <c r="C190" i="2"/>
  <c r="H190" i="2"/>
  <c r="C123" i="2"/>
  <c r="P123" i="2"/>
  <c r="P200" i="2" s="1"/>
  <c r="H139" i="2"/>
  <c r="C139" i="2"/>
  <c r="S2338" i="5"/>
  <c r="C147" i="2"/>
  <c r="H147" i="2"/>
  <c r="H121" i="2"/>
  <c r="C121" i="2"/>
  <c r="L4543" i="5"/>
  <c r="L4546" i="5" s="1"/>
  <c r="L4214" i="5"/>
  <c r="L4386" i="5"/>
  <c r="T4386" i="5" s="1"/>
  <c r="L4416" i="5"/>
  <c r="Q4035" i="5"/>
  <c r="N3675" i="5"/>
  <c r="O2324" i="5"/>
  <c r="L2473" i="5"/>
  <c r="L2493" i="5" s="1"/>
  <c r="S2493" i="5" s="1"/>
  <c r="C260" i="2"/>
  <c r="C283" i="2"/>
  <c r="C245" i="2"/>
  <c r="L3287" i="5"/>
  <c r="S2538" i="5"/>
  <c r="S2557" i="5"/>
  <c r="S2519" i="5"/>
  <c r="S2484" i="5"/>
  <c r="L172" i="2"/>
  <c r="L200" i="2" s="1"/>
  <c r="C172" i="2"/>
  <c r="L4446" i="5"/>
  <c r="Q3917" i="5"/>
  <c r="D295" i="2"/>
  <c r="L3979" i="5"/>
  <c r="C261" i="2" s="1"/>
  <c r="O4379" i="5"/>
  <c r="L4021" i="5"/>
  <c r="Q3675" i="5"/>
  <c r="R4524" i="5"/>
  <c r="N4524" i="5"/>
  <c r="L2836" i="5"/>
  <c r="S2649" i="5"/>
  <c r="C175" i="2"/>
  <c r="D175" i="2"/>
  <c r="S2219" i="5"/>
  <c r="H186" i="2"/>
  <c r="C186" i="2"/>
  <c r="H165" i="2"/>
  <c r="C165" i="2"/>
  <c r="C132" i="2"/>
  <c r="H132" i="2"/>
  <c r="S2541" i="5"/>
  <c r="S2517" i="5"/>
  <c r="C140" i="2"/>
  <c r="H140" i="2"/>
  <c r="H193" i="2"/>
  <c r="C193" i="2"/>
  <c r="L2122" i="5"/>
  <c r="L1301" i="5"/>
  <c r="S3824" i="5"/>
  <c r="L3680" i="5"/>
  <c r="S3823" i="5"/>
  <c r="S2605" i="5"/>
  <c r="H131" i="2"/>
  <c r="C131" i="2"/>
  <c r="S2636" i="5"/>
  <c r="H162" i="2"/>
  <c r="C162" i="2"/>
  <c r="S2545" i="5"/>
  <c r="S3812" i="5"/>
  <c r="C279" i="2"/>
  <c r="C238" i="2"/>
  <c r="S2599" i="5"/>
  <c r="H125" i="2"/>
  <c r="C125" i="2"/>
  <c r="S2624" i="5"/>
  <c r="C150" i="2"/>
  <c r="H150" i="2"/>
  <c r="S2617" i="5"/>
  <c r="C143" i="2"/>
  <c r="H143" i="2"/>
  <c r="S2629" i="5"/>
  <c r="C155" i="2"/>
  <c r="H155" i="2"/>
  <c r="S2641" i="5"/>
  <c r="C167" i="2"/>
  <c r="H167" i="2"/>
  <c r="S2620" i="5"/>
  <c r="C146" i="2"/>
  <c r="H146" i="2"/>
  <c r="S2531" i="5"/>
  <c r="S2513" i="5"/>
  <c r="S3828" i="5"/>
  <c r="S3814" i="5"/>
  <c r="S2609" i="5"/>
  <c r="H135" i="2"/>
  <c r="C135" i="2"/>
  <c r="S2522" i="5"/>
  <c r="L4647" i="5"/>
  <c r="L4189" i="5"/>
  <c r="L4195" i="5" s="1"/>
  <c r="Q4508" i="5"/>
  <c r="N4508" i="5"/>
  <c r="Q4443" i="5"/>
  <c r="N4443" i="5"/>
  <c r="R4443" i="5"/>
  <c r="Q4418" i="5"/>
  <c r="Q4379" i="5"/>
  <c r="L4577" i="5"/>
  <c r="L4499" i="5"/>
  <c r="S4316" i="5"/>
  <c r="S4239" i="5"/>
  <c r="S4046" i="5"/>
  <c r="L4014" i="5"/>
  <c r="O4444" i="5"/>
  <c r="O4458" i="5" s="1"/>
  <c r="R4444" i="5"/>
  <c r="Q4444" i="5"/>
  <c r="L4103" i="5"/>
  <c r="C264" i="2"/>
  <c r="L4640" i="5"/>
  <c r="L4641" i="5" s="1"/>
  <c r="L4467" i="5"/>
  <c r="C250" i="2"/>
  <c r="C234" i="2"/>
  <c r="L3939" i="5"/>
  <c r="C206" i="2"/>
  <c r="O3831" i="5"/>
  <c r="Q3794" i="5"/>
  <c r="L3683" i="5"/>
  <c r="L3673" i="5"/>
  <c r="T4575" i="5"/>
  <c r="L4539" i="5"/>
  <c r="T4420" i="5"/>
  <c r="L3451" i="5"/>
  <c r="S4241" i="5"/>
  <c r="C244" i="2"/>
  <c r="C235" i="2"/>
  <c r="C230" i="2"/>
  <c r="L3912" i="5"/>
  <c r="L3604" i="5"/>
  <c r="L2805" i="5"/>
  <c r="L2751" i="5"/>
  <c r="L2694" i="5"/>
  <c r="S2659" i="5"/>
  <c r="H185" i="2"/>
  <c r="C185" i="2"/>
  <c r="S2652" i="5"/>
  <c r="H178" i="2"/>
  <c r="C178" i="2"/>
  <c r="S2645" i="5"/>
  <c r="H171" i="2"/>
  <c r="C171" i="2"/>
  <c r="C212" i="2"/>
  <c r="S2633" i="5"/>
  <c r="C159" i="2"/>
  <c r="H159" i="2"/>
  <c r="S2626" i="5"/>
  <c r="H152" i="2"/>
  <c r="C152" i="2"/>
  <c r="S2087" i="5"/>
  <c r="S685" i="5"/>
  <c r="T2387" i="5"/>
  <c r="S2387" i="5"/>
  <c r="S2205" i="5"/>
  <c r="S1313" i="5"/>
  <c r="S2535" i="5"/>
  <c r="L2294" i="5"/>
  <c r="O2297" i="5"/>
  <c r="O3403" i="5"/>
  <c r="O2884" i="5" s="1"/>
  <c r="S2373" i="5"/>
  <c r="S2328" i="5"/>
  <c r="O2362" i="5"/>
  <c r="L4643" i="5"/>
  <c r="Q4645" i="5"/>
  <c r="S4645" i="5" s="1"/>
  <c r="O4635" i="5"/>
  <c r="S4635" i="5" s="1"/>
  <c r="L4633" i="5"/>
  <c r="L4657" i="5"/>
  <c r="O4601" i="5"/>
  <c r="L4594" i="5"/>
  <c r="T4552" i="5"/>
  <c r="L4439" i="5"/>
  <c r="L4652" i="5"/>
  <c r="Q4550" i="5"/>
  <c r="Q4569" i="5" s="1"/>
  <c r="N4550" i="5"/>
  <c r="R4550" i="5"/>
  <c r="T4506" i="5"/>
  <c r="L4227" i="5"/>
  <c r="O4195" i="5"/>
  <c r="C217" i="2"/>
  <c r="O3895" i="5"/>
  <c r="S3754" i="5"/>
  <c r="Q4546" i="5"/>
  <c r="T4384" i="5"/>
  <c r="Q4224" i="5"/>
  <c r="L4551" i="5"/>
  <c r="Q4484" i="5"/>
  <c r="Q4487" i="5" s="1"/>
  <c r="M4487" i="5"/>
  <c r="R4484" i="5"/>
  <c r="L4409" i="5"/>
  <c r="L4114" i="5"/>
  <c r="C285" i="2"/>
  <c r="S3813" i="5"/>
  <c r="S3808" i="5"/>
  <c r="Q4516" i="5"/>
  <c r="L4106" i="5"/>
  <c r="N4094" i="5"/>
  <c r="N3805" i="5" s="1"/>
  <c r="C243" i="2"/>
  <c r="C239" i="2"/>
  <c r="C214" i="2"/>
  <c r="C205" i="2"/>
  <c r="Q3895" i="5"/>
  <c r="L3203" i="5"/>
  <c r="S2688" i="5"/>
  <c r="S2650" i="5"/>
  <c r="C176" i="2"/>
  <c r="H176" i="2"/>
  <c r="L2756" i="5"/>
  <c r="Q2757" i="5"/>
  <c r="S2668" i="5"/>
  <c r="C194" i="2"/>
  <c r="H194" i="2"/>
  <c r="S2628" i="5"/>
  <c r="H154" i="2"/>
  <c r="C154" i="2"/>
  <c r="S2608" i="5"/>
  <c r="H134" i="2"/>
  <c r="C134" i="2"/>
  <c r="L2709" i="5"/>
  <c r="S2193" i="5"/>
  <c r="S690" i="5"/>
  <c r="S2533" i="5"/>
  <c r="L2247" i="5"/>
  <c r="T2245" i="5"/>
  <c r="S2245" i="5"/>
  <c r="L1371" i="5"/>
  <c r="S2559" i="5"/>
  <c r="S846" i="5"/>
  <c r="S739" i="5"/>
  <c r="L2451" i="5"/>
  <c r="S1310" i="5"/>
  <c r="S1246" i="5"/>
  <c r="L2312" i="5"/>
  <c r="T4460" i="5"/>
  <c r="T4334" i="5"/>
  <c r="L4638" i="5"/>
  <c r="T4638" i="5" s="1"/>
  <c r="L4050" i="5"/>
  <c r="H299" i="2"/>
  <c r="C299" i="2"/>
  <c r="C294" i="2"/>
  <c r="L3661" i="5"/>
  <c r="T4461" i="5"/>
  <c r="C252" i="2"/>
  <c r="C242" i="2"/>
  <c r="C229" i="2"/>
  <c r="C211" i="2"/>
  <c r="T4340" i="5"/>
  <c r="C203" i="2"/>
  <c r="C273" i="2"/>
  <c r="Q3680" i="5"/>
  <c r="C251" i="2"/>
  <c r="L2701" i="5"/>
  <c r="S2669" i="5"/>
  <c r="C195" i="2"/>
  <c r="H195" i="2"/>
  <c r="L2881" i="5"/>
  <c r="S2616" i="5"/>
  <c r="H142" i="2"/>
  <c r="C142" i="2"/>
  <c r="S2388" i="5"/>
  <c r="S2276" i="5"/>
  <c r="S2199" i="5"/>
  <c r="S792" i="5"/>
  <c r="S2603" i="5"/>
  <c r="H129" i="2"/>
  <c r="C129" i="2"/>
  <c r="S2553" i="5"/>
  <c r="L2566" i="5"/>
  <c r="L2448" i="5"/>
  <c r="S2442" i="5"/>
  <c r="L2367" i="5"/>
  <c r="O2369" i="5"/>
  <c r="L2333" i="5"/>
  <c r="S2330" i="5"/>
  <c r="L1253" i="5"/>
  <c r="L2874" i="5"/>
  <c r="S876" i="5"/>
  <c r="S1259" i="5"/>
  <c r="T4514" i="5"/>
  <c r="Q4497" i="5"/>
  <c r="L4474" i="5"/>
  <c r="L4381" i="5"/>
  <c r="O4391" i="5"/>
  <c r="T4425" i="5"/>
  <c r="Q4412" i="5"/>
  <c r="T4468" i="5"/>
  <c r="L4421" i="5"/>
  <c r="T4335" i="5"/>
  <c r="Q4195" i="5"/>
  <c r="C253" i="2"/>
  <c r="O3666" i="5"/>
  <c r="O3669" i="5" s="1"/>
  <c r="M3669" i="5"/>
  <c r="M3405" i="5" s="1"/>
  <c r="R3666" i="5"/>
  <c r="Q3666" i="5"/>
  <c r="Q3669" i="5" s="1"/>
  <c r="Q4601" i="5"/>
  <c r="M4583" i="5"/>
  <c r="Q4471" i="5"/>
  <c r="L4400" i="5"/>
  <c r="L4144" i="5"/>
  <c r="L4053" i="5"/>
  <c r="H298" i="2"/>
  <c r="C298" i="2"/>
  <c r="C215" i="2"/>
  <c r="S3815" i="5"/>
  <c r="S3811" i="5"/>
  <c r="L3699" i="5"/>
  <c r="L3671" i="5"/>
  <c r="M4508" i="5"/>
  <c r="L4437" i="5"/>
  <c r="T4437" i="5" s="1"/>
  <c r="T4424" i="5"/>
  <c r="Q4103" i="5"/>
  <c r="C246" i="2"/>
  <c r="C241" i="2"/>
  <c r="C232" i="2"/>
  <c r="C221" i="2"/>
  <c r="L3822" i="5"/>
  <c r="Q3403" i="5"/>
  <c r="Q2884" i="5" s="1"/>
  <c r="L3631" i="5"/>
  <c r="L2754" i="5"/>
  <c r="S2665" i="5"/>
  <c r="C191" i="2"/>
  <c r="D191" i="2"/>
  <c r="S2655" i="5"/>
  <c r="H181" i="2"/>
  <c r="C181" i="2"/>
  <c r="Q3637" i="5"/>
  <c r="L2692" i="5"/>
  <c r="S2658" i="5"/>
  <c r="D184" i="2"/>
  <c r="C184" i="2"/>
  <c r="S2635" i="5"/>
  <c r="H161" i="2"/>
  <c r="C161" i="2"/>
  <c r="S2623" i="5"/>
  <c r="C149" i="2"/>
  <c r="H149" i="2"/>
  <c r="S2602" i="5"/>
  <c r="C128" i="2"/>
  <c r="H128" i="2"/>
  <c r="L2592" i="5"/>
  <c r="S894" i="5"/>
  <c r="S2347" i="5"/>
  <c r="S2206" i="5"/>
  <c r="S2536" i="5"/>
  <c r="S2526" i="5"/>
  <c r="L2511" i="5"/>
  <c r="S2384" i="5"/>
  <c r="S2611" i="5"/>
  <c r="C137" i="2"/>
  <c r="H137" i="2"/>
  <c r="S2593" i="5"/>
  <c r="C119" i="2"/>
  <c r="H119" i="2"/>
  <c r="L2362" i="5"/>
  <c r="S1306" i="5"/>
  <c r="S1394" i="5"/>
  <c r="S1365" i="5"/>
  <c r="S1142" i="5"/>
  <c r="S762" i="5"/>
  <c r="S950" i="5"/>
  <c r="S1049" i="5"/>
  <c r="S978" i="5"/>
  <c r="S677" i="5"/>
  <c r="S968" i="5"/>
  <c r="S800" i="5"/>
  <c r="S526" i="5"/>
  <c r="L517" i="5"/>
  <c r="S1119" i="5"/>
  <c r="S1014" i="5"/>
  <c r="S991" i="5"/>
  <c r="S832" i="5"/>
  <c r="S1268" i="5"/>
  <c r="S1242" i="5"/>
  <c r="S999" i="5"/>
  <c r="S863" i="5"/>
  <c r="S1354" i="5"/>
  <c r="S1230" i="5"/>
  <c r="S1298" i="5"/>
  <c r="Q349" i="1" l="1"/>
  <c r="R349" i="1"/>
  <c r="R157" i="1"/>
  <c r="A2610" i="5"/>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Q157" i="1"/>
  <c r="A4367" i="5"/>
  <c r="A4368" i="5" s="1"/>
  <c r="A4369" i="5" s="1"/>
  <c r="S2511" i="5"/>
  <c r="A574" i="5"/>
  <c r="A575" i="5" s="1"/>
  <c r="A576" i="5" s="1"/>
  <c r="R195" i="1"/>
  <c r="Q195" i="1"/>
  <c r="R193" i="1"/>
  <c r="Q193" i="1"/>
  <c r="R197" i="1"/>
  <c r="Q197" i="1"/>
  <c r="Q192" i="1"/>
  <c r="R192" i="1"/>
  <c r="R196" i="1"/>
  <c r="Q196" i="1"/>
  <c r="A143" i="1"/>
  <c r="A144" i="1" s="1"/>
  <c r="L4402" i="5"/>
  <c r="A4434" i="5"/>
  <c r="A4435" i="5" s="1"/>
  <c r="A4436" i="5" s="1"/>
  <c r="Q335" i="1"/>
  <c r="R335" i="1"/>
  <c r="T4405" i="5"/>
  <c r="L2829" i="5"/>
  <c r="L1458" i="5"/>
  <c r="A3439" i="5"/>
  <c r="A3440" i="5" s="1"/>
  <c r="A3441" i="5" s="1"/>
  <c r="A3442" i="5" s="1"/>
  <c r="A3443" i="5" s="1"/>
  <c r="A3444" i="5" s="1"/>
  <c r="A3445" i="5" s="1"/>
  <c r="A3446" i="5" s="1"/>
  <c r="A3447" i="5" s="1"/>
  <c r="A3448" i="5" s="1"/>
  <c r="O2081" i="5"/>
  <c r="A2782" i="5"/>
  <c r="A2783" i="5" s="1"/>
  <c r="A2784" i="5" s="1"/>
  <c r="A2785" i="5" s="1"/>
  <c r="A2786" i="5" s="1"/>
  <c r="R288" i="1"/>
  <c r="Q288" i="1"/>
  <c r="Q231" i="1"/>
  <c r="Q240" i="1"/>
  <c r="Q237" i="1"/>
  <c r="Q222" i="1"/>
  <c r="Q268" i="1"/>
  <c r="R186" i="1"/>
  <c r="A325" i="1"/>
  <c r="A326" i="1" s="1"/>
  <c r="A327" i="1" s="1"/>
  <c r="C296" i="2"/>
  <c r="C237" i="2"/>
  <c r="T4338" i="5"/>
  <c r="R268" i="1"/>
  <c r="T4387" i="5"/>
  <c r="Q145" i="1"/>
  <c r="R145" i="1"/>
  <c r="S2798" i="5"/>
  <c r="Q260" i="1"/>
  <c r="L4177" i="5"/>
  <c r="Q347" i="1"/>
  <c r="Q4094" i="5"/>
  <c r="Q134" i="1"/>
  <c r="R134" i="1"/>
  <c r="L3470" i="5"/>
  <c r="R156" i="1"/>
  <c r="Q169" i="1"/>
  <c r="A2991" i="5"/>
  <c r="A2992" i="5" s="1"/>
  <c r="A2993" i="5" s="1"/>
  <c r="A2994" i="5" s="1"/>
  <c r="R169" i="1"/>
  <c r="R244" i="1"/>
  <c r="R189" i="1"/>
  <c r="Q345" i="1"/>
  <c r="R345" i="1"/>
  <c r="H296" i="2"/>
  <c r="Q189" i="1"/>
  <c r="R237" i="1"/>
  <c r="D315" i="2"/>
  <c r="L4540" i="5"/>
  <c r="C240" i="2"/>
  <c r="L4523" i="5"/>
  <c r="T4489" i="5"/>
  <c r="Q186" i="1"/>
  <c r="Q49" i="1"/>
  <c r="T4548" i="5"/>
  <c r="L4139" i="5"/>
  <c r="R240" i="1"/>
  <c r="L12" i="5"/>
  <c r="S12" i="5" s="1"/>
  <c r="Q4525" i="5"/>
  <c r="S515" i="5"/>
  <c r="C270" i="2"/>
  <c r="L4491" i="5"/>
  <c r="T4538" i="5"/>
  <c r="R53" i="1"/>
  <c r="R42" i="1"/>
  <c r="R33" i="1"/>
  <c r="R46" i="1"/>
  <c r="Q33" i="1"/>
  <c r="L4395" i="5"/>
  <c r="L3620" i="5"/>
  <c r="Q176" i="1"/>
  <c r="L4146" i="5"/>
  <c r="Q4148" i="5"/>
  <c r="Q63" i="1"/>
  <c r="R63" i="1"/>
  <c r="Q30" i="1"/>
  <c r="R30" i="1"/>
  <c r="R38" i="1"/>
  <c r="L2847" i="5"/>
  <c r="S3816" i="5"/>
  <c r="G1456" i="5"/>
  <c r="S4591" i="5"/>
  <c r="Q53" i="1"/>
  <c r="C286" i="2"/>
  <c r="R74" i="1"/>
  <c r="Q26" i="1"/>
  <c r="R26" i="1"/>
  <c r="C213" i="2"/>
  <c r="H300" i="2"/>
  <c r="C300" i="2"/>
  <c r="R48" i="1"/>
  <c r="T4469" i="5"/>
  <c r="T4383" i="5"/>
  <c r="Q150" i="1"/>
  <c r="S2598" i="5"/>
  <c r="C124" i="2"/>
  <c r="H124" i="2"/>
  <c r="L2675" i="5"/>
  <c r="R89" i="1"/>
  <c r="Q127" i="1"/>
  <c r="R66" i="1"/>
  <c r="Q87" i="1"/>
  <c r="L2548" i="5"/>
  <c r="R24" i="1"/>
  <c r="Q89" i="1"/>
  <c r="R87" i="1"/>
  <c r="T4447" i="5"/>
  <c r="T4453" i="5"/>
  <c r="T4448" i="5"/>
  <c r="T4452" i="5"/>
  <c r="T4450" i="5"/>
  <c r="T4446" i="5"/>
  <c r="T4449" i="5"/>
  <c r="R29" i="1"/>
  <c r="Q78" i="1"/>
  <c r="R40" i="1"/>
  <c r="Q40" i="1"/>
  <c r="Q48" i="1"/>
  <c r="Q82" i="1"/>
  <c r="Q24" i="1"/>
  <c r="Q21" i="1"/>
  <c r="R25" i="1"/>
  <c r="Q170" i="1"/>
  <c r="R82" i="1"/>
  <c r="Q32" i="1"/>
  <c r="A100" i="1"/>
  <c r="A101" i="1" s="1"/>
  <c r="A102" i="1" s="1"/>
  <c r="A89" i="2"/>
  <c r="A90" i="2" s="1"/>
  <c r="A91" i="2" s="1"/>
  <c r="A92" i="2" s="1"/>
  <c r="A93" i="2" s="1"/>
  <c r="A1225" i="5"/>
  <c r="A1226" i="5" s="1"/>
  <c r="A1227" i="5" s="1"/>
  <c r="A1228" i="5" s="1"/>
  <c r="A1229" i="5" s="1"/>
  <c r="Q346" i="1"/>
  <c r="R70" i="1"/>
  <c r="Q58" i="1"/>
  <c r="R58" i="1"/>
  <c r="R94" i="1"/>
  <c r="Q94" i="1"/>
  <c r="A4302" i="5"/>
  <c r="A4303" i="5" s="1"/>
  <c r="A4304" i="5" s="1"/>
  <c r="A4305" i="5" s="1"/>
  <c r="A4306" i="5" s="1"/>
  <c r="A4307" i="5" s="1"/>
  <c r="A4308" i="5" s="1"/>
  <c r="A4309" i="5" s="1"/>
  <c r="A4310" i="5" s="1"/>
  <c r="A4311" i="5" s="1"/>
  <c r="A4312" i="5" s="1"/>
  <c r="A4313" i="5" s="1"/>
  <c r="A4314" i="5" s="1"/>
  <c r="A4315" i="5" s="1"/>
  <c r="A4316" i="5" s="1"/>
  <c r="R81" i="1"/>
  <c r="L3626" i="5"/>
  <c r="L3794" i="5"/>
  <c r="D10" i="5"/>
  <c r="D9" i="5" s="1"/>
  <c r="R346" i="1"/>
  <c r="R27" i="1"/>
  <c r="Q153" i="1"/>
  <c r="S1415" i="5"/>
  <c r="Q28" i="1"/>
  <c r="Q61" i="1"/>
  <c r="R61" i="1"/>
  <c r="Q45" i="1"/>
  <c r="R45" i="1"/>
  <c r="R20" i="1"/>
  <c r="Q333" i="1"/>
  <c r="R333" i="1"/>
  <c r="Q92" i="1"/>
  <c r="R92" i="1"/>
  <c r="R222" i="1"/>
  <c r="Q54" i="1"/>
  <c r="R54" i="1"/>
  <c r="D94" i="2"/>
  <c r="S2362" i="5"/>
  <c r="L4482" i="5"/>
  <c r="Q36" i="1"/>
  <c r="R36" i="1"/>
  <c r="R91" i="1"/>
  <c r="Q91" i="1"/>
  <c r="Q64" i="1"/>
  <c r="Q181" i="1"/>
  <c r="R35" i="1"/>
  <c r="T4574" i="5"/>
  <c r="T4393" i="5"/>
  <c r="R231" i="1"/>
  <c r="Q68" i="1"/>
  <c r="R68" i="1"/>
  <c r="Q65" i="1"/>
  <c r="R65" i="1"/>
  <c r="Q69" i="1"/>
  <c r="R69" i="1"/>
  <c r="Q77" i="1"/>
  <c r="R77" i="1"/>
  <c r="R337" i="1"/>
  <c r="Q337" i="1"/>
  <c r="Q148" i="1"/>
  <c r="R170" i="1"/>
  <c r="Q172" i="1"/>
  <c r="R76" i="1"/>
  <c r="Q76" i="1"/>
  <c r="Q163" i="1"/>
  <c r="R163" i="1"/>
  <c r="Q332" i="1"/>
  <c r="R23" i="1"/>
  <c r="R181" i="1"/>
  <c r="R332" i="1"/>
  <c r="R127" i="1"/>
  <c r="C301" i="2"/>
  <c r="H301" i="2"/>
  <c r="R31" i="1"/>
  <c r="Q31" i="1"/>
  <c r="Q262" i="1"/>
  <c r="R262" i="1"/>
  <c r="R128" i="1"/>
  <c r="R344" i="1"/>
  <c r="Q142" i="1"/>
  <c r="R60" i="1"/>
  <c r="R43" i="1"/>
  <c r="Q57" i="1"/>
  <c r="R57" i="1"/>
  <c r="Q344" i="1"/>
  <c r="Q80" i="1"/>
  <c r="R80" i="1"/>
  <c r="Q39" i="1"/>
  <c r="R204" i="1"/>
  <c r="C287" i="2"/>
  <c r="L4591" i="5"/>
  <c r="Q331" i="1"/>
  <c r="R341" i="1"/>
  <c r="Q341" i="1"/>
  <c r="C282" i="2"/>
  <c r="L4524" i="5"/>
  <c r="C277" i="2"/>
  <c r="Q336" i="1"/>
  <c r="Q72" i="1"/>
  <c r="R72" i="1"/>
  <c r="R336" i="1"/>
  <c r="L4516" i="5"/>
  <c r="L4572" i="5"/>
  <c r="T4572" i="5" s="1"/>
  <c r="T4571" i="5"/>
  <c r="T4404" i="5"/>
  <c r="L3712" i="5"/>
  <c r="Q2802" i="5"/>
  <c r="Q2465" i="5" s="1"/>
  <c r="Q1456" i="5" s="1"/>
  <c r="L2801" i="5"/>
  <c r="L3629" i="5"/>
  <c r="R331" i="1"/>
  <c r="T4337" i="5"/>
  <c r="C274" i="2"/>
  <c r="C266" i="2"/>
  <c r="R302" i="1"/>
  <c r="Q302" i="1"/>
  <c r="T4527" i="5"/>
  <c r="G2882" i="5"/>
  <c r="H297" i="2"/>
  <c r="C297" i="2"/>
  <c r="S2243" i="5"/>
  <c r="C293" i="2"/>
  <c r="T1310" i="5"/>
  <c r="U1310" i="5" s="1"/>
  <c r="T1361" i="5"/>
  <c r="U1361" i="5" s="1"/>
  <c r="L3686" i="5"/>
  <c r="C262" i="2"/>
  <c r="L3540" i="5"/>
  <c r="T4543" i="5"/>
  <c r="S2870" i="5"/>
  <c r="T4398" i="5"/>
  <c r="L3895" i="5"/>
  <c r="L3831" i="5"/>
  <c r="O4327" i="5"/>
  <c r="S2473" i="5"/>
  <c r="J9" i="5"/>
  <c r="N1456" i="5"/>
  <c r="A2428" i="5"/>
  <c r="A2429" i="5" s="1"/>
  <c r="A2430" i="5" s="1"/>
  <c r="L4444" i="5"/>
  <c r="U4515" i="5"/>
  <c r="M1456" i="5"/>
  <c r="S2272" i="5"/>
  <c r="Q75" i="1"/>
  <c r="R75" i="1"/>
  <c r="T1313" i="5"/>
  <c r="U1313" i="5" s="1"/>
  <c r="Q71" i="1"/>
  <c r="R71" i="1"/>
  <c r="R79" i="1"/>
  <c r="Q79" i="1"/>
  <c r="N3405" i="5"/>
  <c r="N2882" i="5" s="1"/>
  <c r="T4641" i="5"/>
  <c r="T4343" i="5"/>
  <c r="L4521" i="5"/>
  <c r="T4521" i="5" s="1"/>
  <c r="L2251" i="5"/>
  <c r="S2250" i="5"/>
  <c r="L4663" i="5"/>
  <c r="T4417" i="5"/>
  <c r="L4465" i="5"/>
  <c r="T4464" i="5"/>
  <c r="C265" i="2"/>
  <c r="T4410" i="5"/>
  <c r="O3405" i="5"/>
  <c r="L3917" i="5"/>
  <c r="S3917" i="5" s="1"/>
  <c r="L4035" i="5"/>
  <c r="S4601" i="5"/>
  <c r="Q4458" i="5"/>
  <c r="L1016" i="5"/>
  <c r="U4513" i="5"/>
  <c r="T4442" i="5"/>
  <c r="L3778" i="5"/>
  <c r="O4583" i="5"/>
  <c r="L10" i="5"/>
  <c r="Q3405" i="5"/>
  <c r="T4479" i="5"/>
  <c r="L4528" i="5"/>
  <c r="L4379" i="5"/>
  <c r="S3809" i="5"/>
  <c r="L4418" i="5"/>
  <c r="L3535" i="5"/>
  <c r="S2377" i="5"/>
  <c r="R303" i="1"/>
  <c r="L4443" i="5"/>
  <c r="T4530" i="5"/>
  <c r="S1449" i="5"/>
  <c r="L4550" i="5"/>
  <c r="T4341" i="5"/>
  <c r="N4458" i="5"/>
  <c r="N4569" i="5"/>
  <c r="T4416" i="5"/>
  <c r="S2836" i="5"/>
  <c r="M4327" i="5"/>
  <c r="T4546" i="5"/>
  <c r="L4224" i="5"/>
  <c r="S1301" i="5"/>
  <c r="T4490" i="5"/>
  <c r="O2465" i="5"/>
  <c r="L4484" i="5"/>
  <c r="L4487" i="5" s="1"/>
  <c r="T4487" i="5" s="1"/>
  <c r="S2122" i="5"/>
  <c r="C94" i="2"/>
  <c r="D200" i="2"/>
  <c r="T4580" i="5"/>
  <c r="L4581" i="5"/>
  <c r="N4525" i="5"/>
  <c r="S2592" i="5"/>
  <c r="H118" i="2"/>
  <c r="C118" i="2"/>
  <c r="S2754" i="5"/>
  <c r="L4391" i="5"/>
  <c r="T4381" i="5"/>
  <c r="T4474" i="5"/>
  <c r="L4477" i="5"/>
  <c r="S1253" i="5"/>
  <c r="S2881" i="5"/>
  <c r="S2701" i="5"/>
  <c r="S2312" i="5"/>
  <c r="L2757" i="5"/>
  <c r="T4551" i="5"/>
  <c r="L4660" i="5"/>
  <c r="T3451" i="5"/>
  <c r="T4539" i="5"/>
  <c r="C222" i="2"/>
  <c r="S4103" i="5"/>
  <c r="Q239" i="1"/>
  <c r="L4504" i="5"/>
  <c r="T4499" i="5"/>
  <c r="S4053" i="5"/>
  <c r="L4497" i="5"/>
  <c r="S2333" i="5"/>
  <c r="S4154" i="5"/>
  <c r="T4409" i="5"/>
  <c r="S2751" i="5"/>
  <c r="L4228" i="5"/>
  <c r="O3805" i="5"/>
  <c r="Q4583" i="5"/>
  <c r="L2324" i="5"/>
  <c r="S2692" i="5"/>
  <c r="L3637" i="5"/>
  <c r="L3675" i="5"/>
  <c r="S4144" i="5"/>
  <c r="L3666" i="5"/>
  <c r="L4536" i="5"/>
  <c r="S2874" i="5"/>
  <c r="S2367" i="5"/>
  <c r="L2369" i="5"/>
  <c r="T2367" i="5"/>
  <c r="S4050" i="5"/>
  <c r="S1371" i="5"/>
  <c r="S2709" i="5"/>
  <c r="S4106" i="5"/>
  <c r="S4063" i="5"/>
  <c r="T4439" i="5"/>
  <c r="L4440" i="5"/>
  <c r="L2696" i="5"/>
  <c r="S2805" i="5"/>
  <c r="L4471" i="5"/>
  <c r="U4467" i="5"/>
  <c r="T4467" i="5"/>
  <c r="S4195" i="5"/>
  <c r="C295" i="2"/>
  <c r="T4577" i="5"/>
  <c r="L4601" i="5"/>
  <c r="T4652" i="5"/>
  <c r="S2431" i="5"/>
  <c r="S3822" i="5"/>
  <c r="T4400" i="5"/>
  <c r="T4421" i="5"/>
  <c r="L4094" i="5"/>
  <c r="S2552" i="5"/>
  <c r="S4233" i="5"/>
  <c r="S2451" i="5"/>
  <c r="L2453" i="5"/>
  <c r="S2247" i="5"/>
  <c r="L4412" i="5"/>
  <c r="L4635" i="5"/>
  <c r="L4645" i="5"/>
  <c r="S2294" i="5"/>
  <c r="L2297" i="5"/>
  <c r="T2294" i="5"/>
  <c r="L4422" i="5"/>
  <c r="L4578" i="5"/>
  <c r="L4649" i="5"/>
  <c r="T1246" i="5"/>
  <c r="U1246" i="5" s="1"/>
  <c r="S517" i="5"/>
  <c r="A577" i="5" l="1"/>
  <c r="A578" i="5" s="1"/>
  <c r="A579" i="5" s="1"/>
  <c r="A580" i="5" s="1"/>
  <c r="A2107" i="5"/>
  <c r="A2108" i="5" s="1"/>
  <c r="A2109" i="5" s="1"/>
  <c r="A2110" i="5" s="1"/>
  <c r="A2111" i="5" s="1"/>
  <c r="A2112" i="5" s="1"/>
  <c r="A2113" i="5" s="1"/>
  <c r="A2114" i="5" s="1"/>
  <c r="A2115" i="5" s="1"/>
  <c r="A2116" i="5" s="1"/>
  <c r="A2117" i="5" s="1"/>
  <c r="A2118" i="5" s="1"/>
  <c r="A2119" i="5" s="1"/>
  <c r="A2120" i="5" s="1"/>
  <c r="A2121" i="5" s="1"/>
  <c r="S1458" i="5"/>
  <c r="A145" i="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3449" i="5"/>
  <c r="A3450" i="5" s="1"/>
  <c r="A3451" i="5" s="1"/>
  <c r="A3452" i="5" s="1"/>
  <c r="A3453" i="5" s="1"/>
  <c r="A3454" i="5" s="1"/>
  <c r="A3455" i="5" s="1"/>
  <c r="A3456" i="5" s="1"/>
  <c r="A3457" i="5" s="1"/>
  <c r="A3458" i="5" s="1"/>
  <c r="A3459" i="5" s="1"/>
  <c r="A3460" i="5" s="1"/>
  <c r="A3461" i="5" s="1"/>
  <c r="A3462" i="5" s="1"/>
  <c r="L2081" i="5"/>
  <c r="T1399" i="5"/>
  <c r="U1399" i="5" s="1"/>
  <c r="T4395" i="5"/>
  <c r="A2996" i="5"/>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1" i="5" s="1"/>
  <c r="A3103" i="5" s="1"/>
  <c r="A3104"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T4540" i="5"/>
  <c r="A512" i="5"/>
  <c r="A513" i="5" s="1"/>
  <c r="A514" i="5" s="1"/>
  <c r="T4523" i="5"/>
  <c r="G9" i="5"/>
  <c r="S2847" i="5"/>
  <c r="T4482" i="5"/>
  <c r="T4491" i="5"/>
  <c r="T4465" i="5"/>
  <c r="Q4327" i="5"/>
  <c r="H200" i="2"/>
  <c r="S4516" i="5"/>
  <c r="L4148" i="5"/>
  <c r="T4516" i="5"/>
  <c r="T2829" i="5"/>
  <c r="T4591" i="5"/>
  <c r="C200" i="2"/>
  <c r="T4443" i="5"/>
  <c r="T4444" i="5"/>
  <c r="T1394" i="5"/>
  <c r="U1394" i="5" s="1"/>
  <c r="A103" i="1"/>
  <c r="A104" i="1" s="1"/>
  <c r="T4097" i="5"/>
  <c r="U4097" i="5" s="1"/>
  <c r="T1268" i="5"/>
  <c r="U1268" i="5" s="1"/>
  <c r="Q300" i="1"/>
  <c r="R306" i="1"/>
  <c r="T1242" i="5"/>
  <c r="U1242" i="5" s="1"/>
  <c r="R314" i="1"/>
  <c r="Q314" i="1"/>
  <c r="T4046" i="5"/>
  <c r="U4046" i="5" s="1"/>
  <c r="H315" i="2"/>
  <c r="Q290" i="1"/>
  <c r="L4525" i="5"/>
  <c r="T1259" i="5"/>
  <c r="U1259" i="5" s="1"/>
  <c r="T4109" i="5"/>
  <c r="U4109" i="5" s="1"/>
  <c r="S4177" i="5"/>
  <c r="S4224" i="5"/>
  <c r="O2882" i="5"/>
  <c r="T2688" i="5"/>
  <c r="U2688" i="5" s="1"/>
  <c r="L2802" i="5"/>
  <c r="S3895" i="5"/>
  <c r="S4035" i="5"/>
  <c r="S3831" i="5"/>
  <c r="Q275" i="1"/>
  <c r="T4484" i="5"/>
  <c r="T4550" i="5"/>
  <c r="T4663" i="5"/>
  <c r="T4379" i="5"/>
  <c r="N9" i="5"/>
  <c r="T1298" i="5"/>
  <c r="U1298" i="5" s="1"/>
  <c r="L4458" i="5"/>
  <c r="Q233" i="1"/>
  <c r="R233" i="1"/>
  <c r="T1354" i="5"/>
  <c r="U1354" i="5" s="1"/>
  <c r="S4057" i="5"/>
  <c r="S2251" i="5"/>
  <c r="S1016" i="5"/>
  <c r="S10" i="5"/>
  <c r="T4528" i="5"/>
  <c r="L4569" i="5"/>
  <c r="O1456" i="5"/>
  <c r="T4418" i="5"/>
  <c r="C315" i="2"/>
  <c r="R182" i="1"/>
  <c r="Q182" i="1"/>
  <c r="T1455" i="5"/>
  <c r="U1455" i="5" s="1"/>
  <c r="Q271" i="1"/>
  <c r="R271" i="1"/>
  <c r="Q293" i="1"/>
  <c r="R293" i="1"/>
  <c r="R180" i="1"/>
  <c r="Q180" i="1"/>
  <c r="R201" i="1"/>
  <c r="Q201" i="1"/>
  <c r="R168" i="1"/>
  <c r="Q168" i="1"/>
  <c r="Q276" i="1"/>
  <c r="R276" i="1"/>
  <c r="R138" i="1"/>
  <c r="Q138" i="1"/>
  <c r="Q229" i="1"/>
  <c r="R229" i="1"/>
  <c r="R178" i="1"/>
  <c r="Q178" i="1"/>
  <c r="Q285" i="1"/>
  <c r="R285" i="1"/>
  <c r="Q270" i="1"/>
  <c r="R270" i="1"/>
  <c r="R185" i="1"/>
  <c r="Q185" i="1"/>
  <c r="Q269" i="1"/>
  <c r="R269" i="1"/>
  <c r="Q261" i="1"/>
  <c r="R261" i="1"/>
  <c r="Q220" i="1"/>
  <c r="R220" i="1"/>
  <c r="R187" i="1"/>
  <c r="Q187" i="1"/>
  <c r="R205" i="1"/>
  <c r="Q205" i="1"/>
  <c r="Q281" i="1"/>
  <c r="R281" i="1"/>
  <c r="Q301" i="1"/>
  <c r="R301" i="1"/>
  <c r="R151" i="1"/>
  <c r="Q151" i="1"/>
  <c r="N4327" i="5"/>
  <c r="N4235" i="5" s="1"/>
  <c r="R177" i="1"/>
  <c r="Q177" i="1"/>
  <c r="Q291" i="1"/>
  <c r="R291" i="1"/>
  <c r="Q215" i="1"/>
  <c r="R215" i="1"/>
  <c r="Q282" i="1"/>
  <c r="R282" i="1"/>
  <c r="R144" i="1"/>
  <c r="Q144" i="1"/>
  <c r="Q284" i="1"/>
  <c r="R284" i="1"/>
  <c r="R135" i="1"/>
  <c r="Q135" i="1"/>
  <c r="Q258" i="1"/>
  <c r="R258" i="1"/>
  <c r="Q305" i="1"/>
  <c r="R305" i="1"/>
  <c r="R198" i="1"/>
  <c r="Q198" i="1"/>
  <c r="Q232" i="1"/>
  <c r="R232" i="1"/>
  <c r="R200" i="1"/>
  <c r="Q200" i="1"/>
  <c r="R159" i="1"/>
  <c r="Q159" i="1"/>
  <c r="R152" i="1"/>
  <c r="Q152" i="1"/>
  <c r="Q246" i="1"/>
  <c r="R246" i="1"/>
  <c r="Q241" i="1"/>
  <c r="R241" i="1"/>
  <c r="R202" i="1"/>
  <c r="Q202" i="1"/>
  <c r="Q273" i="1"/>
  <c r="R273" i="1"/>
  <c r="Q296" i="1"/>
  <c r="R296" i="1"/>
  <c r="T4581" i="5"/>
  <c r="R133" i="1"/>
  <c r="Q133" i="1"/>
  <c r="R184" i="1"/>
  <c r="Q184" i="1"/>
  <c r="R132" i="1"/>
  <c r="Q132" i="1"/>
  <c r="R190" i="1"/>
  <c r="Q190" i="1"/>
  <c r="Q274" i="1"/>
  <c r="R274" i="1"/>
  <c r="S2696" i="5"/>
  <c r="R188" i="1"/>
  <c r="Q188" i="1"/>
  <c r="R141" i="1"/>
  <c r="Q141" i="1"/>
  <c r="S2369" i="5"/>
  <c r="R158" i="1"/>
  <c r="Q158" i="1"/>
  <c r="Q267" i="1"/>
  <c r="R267" i="1"/>
  <c r="R161" i="1"/>
  <c r="Q161" i="1"/>
  <c r="Q251" i="1"/>
  <c r="R251" i="1"/>
  <c r="R167" i="1"/>
  <c r="Q167" i="1"/>
  <c r="T4578" i="5"/>
  <c r="T4422" i="5"/>
  <c r="S2297" i="5"/>
  <c r="Q265" i="1"/>
  <c r="R265" i="1"/>
  <c r="Q242" i="1"/>
  <c r="R242" i="1"/>
  <c r="T4402" i="5"/>
  <c r="R140" i="1"/>
  <c r="Q140" i="1"/>
  <c r="R137" i="1"/>
  <c r="Q137" i="1"/>
  <c r="T4471" i="5"/>
  <c r="R146" i="1"/>
  <c r="Q146" i="1"/>
  <c r="Q307" i="1"/>
  <c r="R307" i="1"/>
  <c r="Q217" i="1"/>
  <c r="R217" i="1"/>
  <c r="Q294" i="1"/>
  <c r="R294" i="1"/>
  <c r="R203" i="1"/>
  <c r="Q203" i="1"/>
  <c r="R143" i="1"/>
  <c r="Q143" i="1"/>
  <c r="Q227" i="1"/>
  <c r="R227" i="1"/>
  <c r="S2548" i="5"/>
  <c r="R239" i="1"/>
  <c r="Q248" i="1"/>
  <c r="R248" i="1"/>
  <c r="Q226" i="1"/>
  <c r="R226" i="1"/>
  <c r="R154" i="1"/>
  <c r="Q154" i="1"/>
  <c r="T4477" i="5"/>
  <c r="Q234" i="1"/>
  <c r="R234" i="1"/>
  <c r="S2675" i="5"/>
  <c r="T4440" i="5"/>
  <c r="S4228" i="5"/>
  <c r="T4660" i="5"/>
  <c r="R147" i="1"/>
  <c r="Q147" i="1"/>
  <c r="T4649" i="5"/>
  <c r="Q263" i="1"/>
  <c r="R263" i="1"/>
  <c r="R164" i="1"/>
  <c r="Q164" i="1"/>
  <c r="T4412" i="5"/>
  <c r="R206" i="1"/>
  <c r="Q206" i="1"/>
  <c r="Q216" i="1"/>
  <c r="R216" i="1"/>
  <c r="R131" i="1"/>
  <c r="Q131" i="1"/>
  <c r="R183" i="1"/>
  <c r="Q183" i="1"/>
  <c r="Q225" i="1"/>
  <c r="R225" i="1"/>
  <c r="Q298" i="1"/>
  <c r="R298" i="1"/>
  <c r="R207" i="1"/>
  <c r="Q207" i="1"/>
  <c r="L4583" i="5"/>
  <c r="L3669" i="5"/>
  <c r="Q311" i="1"/>
  <c r="R311" i="1"/>
  <c r="Q259" i="1"/>
  <c r="R259" i="1"/>
  <c r="S2324" i="5"/>
  <c r="Q292" i="1"/>
  <c r="R292" i="1"/>
  <c r="R155" i="1"/>
  <c r="Q155" i="1"/>
  <c r="Q287" i="1"/>
  <c r="R287" i="1"/>
  <c r="Q247" i="1"/>
  <c r="R247" i="1"/>
  <c r="R171" i="1"/>
  <c r="Q171" i="1"/>
  <c r="Q256" i="1"/>
  <c r="R256" i="1"/>
  <c r="Q224" i="1"/>
  <c r="R224" i="1"/>
  <c r="T4497" i="5"/>
  <c r="R179" i="1"/>
  <c r="Q179" i="1"/>
  <c r="T4504" i="5"/>
  <c r="Q312" i="1"/>
  <c r="R312" i="1"/>
  <c r="Q272" i="1"/>
  <c r="R272" i="1"/>
  <c r="Q254" i="1"/>
  <c r="R254" i="1"/>
  <c r="T4601" i="5"/>
  <c r="S2566" i="5"/>
  <c r="R162" i="1"/>
  <c r="Q162" i="1"/>
  <c r="T4536" i="5"/>
  <c r="Q277" i="1"/>
  <c r="R277" i="1"/>
  <c r="S2757" i="5"/>
  <c r="R166" i="1"/>
  <c r="Q166" i="1"/>
  <c r="R174" i="1"/>
  <c r="Q174" i="1"/>
  <c r="Q249" i="1"/>
  <c r="R249" i="1"/>
  <c r="Q252" i="1"/>
  <c r="R252" i="1"/>
  <c r="Q218" i="1"/>
  <c r="R218" i="1"/>
  <c r="S4094" i="5"/>
  <c r="Q308" i="1"/>
  <c r="Q219" i="1"/>
  <c r="R219" i="1"/>
  <c r="Q257" i="1"/>
  <c r="R257" i="1"/>
  <c r="Q243" i="1"/>
  <c r="R243" i="1"/>
  <c r="S4139" i="5"/>
  <c r="Q230" i="1"/>
  <c r="R230" i="1"/>
  <c r="Q286" i="1"/>
  <c r="R286" i="1"/>
  <c r="Q264" i="1"/>
  <c r="R264" i="1"/>
  <c r="Q266" i="1"/>
  <c r="R266" i="1"/>
  <c r="Q245" i="1"/>
  <c r="R245" i="1"/>
  <c r="L4508" i="5"/>
  <c r="Q255" i="1"/>
  <c r="R255" i="1"/>
  <c r="T4635" i="5"/>
  <c r="Q304" i="1"/>
  <c r="R304" i="1"/>
  <c r="T4391" i="5"/>
  <c r="Q228" i="1"/>
  <c r="R228" i="1"/>
  <c r="R173" i="1"/>
  <c r="Q173" i="1"/>
  <c r="R149" i="1"/>
  <c r="Q149" i="1"/>
  <c r="T4645" i="5"/>
  <c r="T1365" i="5"/>
  <c r="U1365" i="5" s="1"/>
  <c r="R250" i="1" l="1"/>
  <c r="A581" i="5"/>
  <c r="A582" i="5" s="1"/>
  <c r="A583" i="5" s="1"/>
  <c r="A584" i="5" s="1"/>
  <c r="A585" i="5" s="1"/>
  <c r="A586" i="5" s="1"/>
  <c r="A587" i="5" s="1"/>
  <c r="A588" i="5" s="1"/>
  <c r="A589" i="5" s="1"/>
  <c r="A590" i="5" s="1"/>
  <c r="A591" i="5" s="1"/>
  <c r="A592" i="5" s="1"/>
  <c r="A593" i="5" s="1"/>
  <c r="A594" i="5" s="1"/>
  <c r="A595" i="5" s="1"/>
  <c r="A183" i="1"/>
  <c r="A184" i="1" s="1"/>
  <c r="A185" i="1" s="1"/>
  <c r="A186" i="1" s="1"/>
  <c r="A187" i="1" s="1"/>
  <c r="A188" i="1" s="1"/>
  <c r="A189" i="1" s="1"/>
  <c r="A190" i="1" s="1"/>
  <c r="A191" i="1" s="1"/>
  <c r="A192" i="1" s="1"/>
  <c r="A193" i="1" s="1"/>
  <c r="Q250" i="1"/>
  <c r="R309" i="1"/>
  <c r="Q309" i="1"/>
  <c r="A2787" i="5"/>
  <c r="A2788" i="5" s="1"/>
  <c r="A2789" i="5" s="1"/>
  <c r="A2790" i="5" s="1"/>
  <c r="A2791" i="5" s="1"/>
  <c r="A2792" i="5" s="1"/>
  <c r="A3463" i="5"/>
  <c r="A3464" i="5" s="1"/>
  <c r="A3465" i="5" s="1"/>
  <c r="A3466" i="5" s="1"/>
  <c r="A3467" i="5" s="1"/>
  <c r="A3468" i="5" s="1"/>
  <c r="A3469" i="5" s="1"/>
  <c r="T4094" i="5"/>
  <c r="U4094" i="5" s="1"/>
  <c r="R253" i="1"/>
  <c r="Q253" i="1"/>
  <c r="A3138" i="5"/>
  <c r="A3139" i="5" s="1"/>
  <c r="A3140" i="5" s="1"/>
  <c r="A3141" i="5" s="1"/>
  <c r="A3142" i="5" s="1"/>
  <c r="R283" i="1"/>
  <c r="Q283" i="1"/>
  <c r="R313" i="1"/>
  <c r="Q136" i="1"/>
  <c r="R212" i="1"/>
  <c r="Q299" i="1"/>
  <c r="S4148" i="5"/>
  <c r="R136" i="1"/>
  <c r="T4525" i="5"/>
  <c r="R299" i="1"/>
  <c r="Q313" i="1"/>
  <c r="O9" i="5"/>
  <c r="R300" i="1"/>
  <c r="Q295" i="1"/>
  <c r="R295" i="1"/>
  <c r="Q306" i="1"/>
  <c r="R310" i="1"/>
  <c r="R290" i="1"/>
  <c r="R279" i="1"/>
  <c r="Q279" i="1"/>
  <c r="Q310" i="1"/>
  <c r="S2802" i="5"/>
  <c r="R275" i="1"/>
  <c r="T4458" i="5"/>
  <c r="Q278" i="1"/>
  <c r="R278" i="1"/>
  <c r="T1016" i="5"/>
  <c r="U1016" i="5" s="1"/>
  <c r="T515" i="5"/>
  <c r="U515" i="5" s="1"/>
  <c r="T4569" i="5"/>
  <c r="T1446" i="5"/>
  <c r="U1446" i="5" s="1"/>
  <c r="T1449" i="5"/>
  <c r="U1449" i="5" s="1"/>
  <c r="T1415" i="5"/>
  <c r="U1415" i="5" s="1"/>
  <c r="T1306" i="5"/>
  <c r="U1306" i="5" s="1"/>
  <c r="T2836" i="5"/>
  <c r="U2836" i="5" s="1"/>
  <c r="T1301" i="5"/>
  <c r="U1301" i="5" s="1"/>
  <c r="R105" i="1"/>
  <c r="T1230" i="5"/>
  <c r="U1230" i="5" s="1"/>
  <c r="Q105" i="1"/>
  <c r="T2754" i="5"/>
  <c r="U2754" i="5" s="1"/>
  <c r="T1253" i="5"/>
  <c r="U1253" i="5" s="1"/>
  <c r="T4233" i="5"/>
  <c r="U4233" i="5" s="1"/>
  <c r="T4106" i="5"/>
  <c r="U4106" i="5" s="1"/>
  <c r="T2701" i="5"/>
  <c r="U2701" i="5" s="1"/>
  <c r="T2692" i="5"/>
  <c r="U2692" i="5" s="1"/>
  <c r="T4195" i="5"/>
  <c r="U4195" i="5" s="1"/>
  <c r="R308" i="1"/>
  <c r="T2751" i="5"/>
  <c r="U2751" i="5" s="1"/>
  <c r="L3405" i="5"/>
  <c r="T4228" i="5"/>
  <c r="U4228" i="5" s="1"/>
  <c r="S2081" i="5"/>
  <c r="T1371" i="5"/>
  <c r="U1371" i="5" s="1"/>
  <c r="T2798" i="5"/>
  <c r="U2798" i="5" s="1"/>
  <c r="T2805" i="5"/>
  <c r="U2805" i="5" s="1"/>
  <c r="T2709" i="5"/>
  <c r="U2709" i="5" s="1"/>
  <c r="T4050" i="5"/>
  <c r="U4050" i="5" s="1"/>
  <c r="R130" i="1"/>
  <c r="Q130" i="1"/>
  <c r="Q235" i="1"/>
  <c r="R235" i="1"/>
  <c r="S4583" i="5"/>
  <c r="T4508" i="5"/>
  <c r="T4053" i="5"/>
  <c r="U4053" i="5" s="1"/>
  <c r="T4144" i="5"/>
  <c r="U4144" i="5" s="1"/>
  <c r="T2847" i="5"/>
  <c r="U2847" i="5" s="1"/>
  <c r="L4327" i="5"/>
  <c r="T4057" i="5"/>
  <c r="U4057" i="5" s="1"/>
  <c r="T4103" i="5"/>
  <c r="U4103" i="5" s="1"/>
  <c r="A194" i="1" l="1"/>
  <c r="A195" i="1" s="1"/>
  <c r="A196" i="1" s="1"/>
  <c r="A197" i="1" s="1"/>
  <c r="A198" i="1" s="1"/>
  <c r="A199" i="1" s="1"/>
  <c r="A200" i="1" s="1"/>
  <c r="A201" i="1" s="1"/>
  <c r="A202" i="1" s="1"/>
  <c r="R359" i="1"/>
  <c r="Q359" i="1"/>
  <c r="U2081" i="5"/>
  <c r="T2081" i="5" s="1"/>
  <c r="Q328" i="1"/>
  <c r="A3143" i="5"/>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5" i="5" s="1"/>
  <c r="A3196" i="5" s="1"/>
  <c r="A3197" i="5" s="1"/>
  <c r="A3198" i="5" s="1"/>
  <c r="A3199" i="5" s="1"/>
  <c r="A3200" i="5" s="1"/>
  <c r="A3201" i="5" s="1"/>
  <c r="A3202" i="5" s="1"/>
  <c r="A3203" i="5" s="1"/>
  <c r="Q212" i="1"/>
  <c r="Q213" i="1" s="1"/>
  <c r="T2746" i="5"/>
  <c r="U2746" i="5" s="1"/>
  <c r="T2493" i="5"/>
  <c r="U2493" i="5" s="1"/>
  <c r="T4177" i="5"/>
  <c r="U4177" i="5" s="1"/>
  <c r="T4224" i="5"/>
  <c r="U4224" i="5" s="1"/>
  <c r="T3831" i="5"/>
  <c r="U3831" i="5" s="1"/>
  <c r="T4063" i="5"/>
  <c r="U4063" i="5" s="1"/>
  <c r="T3895" i="5"/>
  <c r="U3895" i="5" s="1"/>
  <c r="T4154" i="5"/>
  <c r="U4154" i="5" s="1"/>
  <c r="T4139" i="5"/>
  <c r="U4139" i="5" s="1"/>
  <c r="T10" i="5"/>
  <c r="U10" i="5" s="1"/>
  <c r="T12" i="5"/>
  <c r="U12" i="5" s="1"/>
  <c r="T4035" i="5"/>
  <c r="U4035" i="5" s="1"/>
  <c r="R328" i="1"/>
  <c r="T517" i="5"/>
  <c r="U517" i="5" s="1"/>
  <c r="S3405" i="5"/>
  <c r="T2757" i="5"/>
  <c r="U2757" i="5" s="1"/>
  <c r="T3917" i="5"/>
  <c r="U3917" i="5" s="1"/>
  <c r="S4327" i="5"/>
  <c r="T2566" i="5"/>
  <c r="U2566" i="5" s="1"/>
  <c r="T2696" i="5"/>
  <c r="U2696" i="5" s="1"/>
  <c r="A3206" i="5" l="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6" i="5" s="1"/>
  <c r="A3307" i="5" s="1"/>
  <c r="A3308" i="5" s="1"/>
  <c r="A3309" i="5" s="1"/>
  <c r="A3310" i="5" s="1"/>
  <c r="A3311" i="5" s="1"/>
  <c r="A3312" i="5" s="1"/>
  <c r="A3313" i="5" s="1"/>
  <c r="A3314" i="5" s="1"/>
  <c r="A3315" i="5" s="1"/>
  <c r="A3316" i="5" s="1"/>
  <c r="A3317" i="5" s="1"/>
  <c r="A3318" i="5" s="1"/>
  <c r="A3319" i="5" s="1"/>
  <c r="A3320" i="5" s="1"/>
  <c r="A3321" i="5" s="1"/>
  <c r="A203" i="1"/>
  <c r="A204" i="1" s="1"/>
  <c r="A205" i="1" s="1"/>
  <c r="R213" i="1"/>
  <c r="T2675" i="5"/>
  <c r="U2675" i="5" s="1"/>
  <c r="T4148" i="5"/>
  <c r="U4148" i="5" s="1"/>
  <c r="T2548" i="5"/>
  <c r="U2548" i="5" s="1"/>
  <c r="T2802" i="5"/>
  <c r="U2802" i="5" s="1"/>
  <c r="T4583" i="5"/>
  <c r="U4583" i="5" s="1"/>
  <c r="A206" i="1" l="1"/>
  <c r="A207" i="1" s="1"/>
  <c r="A3322" i="5"/>
  <c r="T3405" i="5"/>
  <c r="U3405" i="5" s="1"/>
  <c r="T4327" i="5"/>
  <c r="U4327" i="5" s="1"/>
  <c r="A208" i="1" l="1"/>
  <c r="A209" i="1" s="1"/>
  <c r="A210" i="1" s="1"/>
  <c r="A211" i="1" s="1"/>
  <c r="A2670" i="5"/>
  <c r="A2671" i="5" s="1"/>
  <c r="A2674" i="5" s="1"/>
  <c r="A3323" i="5"/>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3"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S2079" i="5"/>
  <c r="T2079" i="5" s="1"/>
  <c r="T1458" i="5" l="1"/>
  <c r="U1458" i="5" s="1"/>
  <c r="A1551" i="5" l="1"/>
  <c r="A1553" i="5" l="1"/>
  <c r="A1555" i="5" s="1"/>
  <c r="A1557" i="5" l="1"/>
  <c r="A1559" i="5" l="1"/>
  <c r="A1561" i="5" s="1"/>
  <c r="A1563"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4" i="5" s="1"/>
  <c r="A1586" i="5" s="1"/>
  <c r="A1588" i="5" s="1"/>
  <c r="A1589" i="5" s="1"/>
  <c r="A1590" i="5" s="1"/>
  <c r="A1591" i="5" s="1"/>
  <c r="A1592" i="5" s="1"/>
  <c r="A1593" i="5" s="1"/>
  <c r="A1595" i="5" s="1"/>
  <c r="A1596" i="5" s="1"/>
  <c r="A1597" i="5" s="1"/>
  <c r="A1599" i="5" s="1"/>
  <c r="A1600" i="5" s="1"/>
  <c r="A1601" i="5" s="1"/>
  <c r="A1602" i="5" s="1"/>
  <c r="A1603" i="5" s="1"/>
  <c r="A1604" i="5" s="1"/>
  <c r="A1605" i="5" l="1"/>
  <c r="A1606" i="5" s="1"/>
  <c r="A1607" i="5" s="1"/>
  <c r="A1608" i="5" s="1"/>
  <c r="A1609" i="5" s="1"/>
  <c r="A1610" i="5" s="1"/>
  <c r="A1611" i="5" s="1"/>
  <c r="A1612" i="5" s="1"/>
  <c r="A1613" i="5" s="1"/>
  <c r="A1616" i="5" s="1"/>
  <c r="A1617" i="5" s="1"/>
  <c r="A1618" i="5" s="1"/>
  <c r="A1620" i="5" l="1"/>
  <c r="P2465" i="5"/>
  <c r="P1456" i="5" s="1"/>
  <c r="P9" i="5" s="1"/>
  <c r="A1621" i="5" l="1"/>
  <c r="A1624" i="5" s="1"/>
  <c r="A1625" i="5" s="1"/>
  <c r="A1626" i="5" s="1"/>
  <c r="A1627" i="5" s="1"/>
  <c r="A1628" i="5" s="1"/>
  <c r="A1629" i="5" s="1"/>
  <c r="A1630" i="5" s="1"/>
  <c r="A1631" i="5" s="1"/>
  <c r="A1632" i="5" s="1"/>
  <c r="A1633" i="5" s="1"/>
  <c r="A1634" i="5" s="1"/>
  <c r="A1635" i="5" s="1"/>
  <c r="A1636" i="5" s="1"/>
  <c r="A1637" i="5" s="1"/>
  <c r="A1639" i="5" s="1"/>
  <c r="A1640" i="5" s="1"/>
  <c r="A1641" i="5" s="1"/>
  <c r="A1642" i="5" s="1"/>
  <c r="A1643" i="5" s="1"/>
  <c r="A1644" i="5" s="1"/>
  <c r="A1645" i="5" s="1"/>
  <c r="A1646" i="5" s="1"/>
  <c r="A1647" i="5" s="1"/>
  <c r="A1648" i="5" s="1"/>
  <c r="A1649" i="5" s="1"/>
  <c r="A1650" i="5" s="1"/>
  <c r="A1652" i="5" s="1"/>
  <c r="A1653" i="5" s="1"/>
  <c r="A1654" i="5" s="1"/>
  <c r="A1655" i="5" s="1"/>
  <c r="L2793" i="5"/>
  <c r="S2793" i="5" s="1"/>
  <c r="A1656" i="5" l="1"/>
  <c r="A1657" i="5" s="1"/>
  <c r="A1658"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1" i="5" s="1"/>
  <c r="A1693" i="5" s="1"/>
  <c r="A1694" i="5" s="1"/>
  <c r="A1695" i="5" s="1"/>
  <c r="A1696" i="5" s="1"/>
  <c r="A1697" i="5" s="1"/>
  <c r="A1698" i="5" s="1"/>
  <c r="A1699" i="5" s="1"/>
  <c r="A1700" i="5" s="1"/>
  <c r="A1701" i="5" s="1"/>
  <c r="A1702" i="5" s="1"/>
  <c r="A1704" i="5" s="1"/>
  <c r="A1705" i="5" s="1"/>
  <c r="A1708" i="5" s="1"/>
  <c r="A1709" i="5" s="1"/>
  <c r="A1710" i="5" s="1"/>
  <c r="A1711" i="5" s="1"/>
  <c r="A1712" i="5" s="1"/>
  <c r="A1713" i="5" s="1"/>
  <c r="A1714" i="5" s="1"/>
  <c r="A1716" i="5" s="1"/>
  <c r="A1717" i="5" s="1"/>
  <c r="A1718" i="5" s="1"/>
  <c r="A1719" i="5" s="1"/>
  <c r="A1720" i="5" s="1"/>
  <c r="A1721" i="5" s="1"/>
  <c r="A1722" i="5" s="1"/>
  <c r="A1723" i="5" s="1"/>
  <c r="A1725" i="5" s="1"/>
  <c r="A1726" i="5" s="1"/>
  <c r="A1727" i="5" s="1"/>
  <c r="A1728" i="5" s="1"/>
  <c r="A1729" i="5" s="1"/>
  <c r="A1730" i="5" s="1"/>
  <c r="A1731" i="5" s="1"/>
  <c r="A1732" i="5" s="1"/>
  <c r="A1734" i="5" s="1"/>
  <c r="A1736" i="5" s="1"/>
  <c r="A1737" i="5" s="1"/>
  <c r="A1738" i="5" s="1"/>
  <c r="A1739" i="5" s="1"/>
  <c r="A1740" i="5" s="1"/>
  <c r="A1741" i="5" s="1"/>
  <c r="A1742" i="5" s="1"/>
  <c r="A1743" i="5" s="1"/>
  <c r="A1744" i="5" s="1"/>
  <c r="A1745" i="5" s="1"/>
  <c r="A1746" i="5" s="1"/>
  <c r="A1747" i="5" s="1"/>
  <c r="A1748" i="5" s="1"/>
  <c r="A1749" i="5" s="1"/>
  <c r="A1750"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9" i="5" s="1"/>
  <c r="A1780" i="5" s="1"/>
  <c r="A1781" i="5" s="1"/>
  <c r="A1782" i="5" s="1"/>
  <c r="A1783" i="5" s="1"/>
  <c r="A1784" i="5" s="1"/>
  <c r="A1785" i="5" s="1"/>
  <c r="A1786" i="5" s="1"/>
  <c r="A1787" i="5" s="1"/>
  <c r="A1788" i="5" s="1"/>
  <c r="A1789" i="5" s="1"/>
  <c r="A1790" i="5" s="1"/>
  <c r="A1791" i="5" s="1"/>
  <c r="A1793" i="5" s="1"/>
  <c r="A1794" i="5" s="1"/>
  <c r="A1795" i="5" s="1"/>
  <c r="A1796" i="5" s="1"/>
  <c r="A1797" i="5" s="1"/>
  <c r="A1798" i="5" s="1"/>
  <c r="A1799" i="5" s="1"/>
  <c r="A1801" i="5" s="1"/>
  <c r="A1803" i="5" s="1"/>
  <c r="A1804" i="5" s="1"/>
  <c r="A1805" i="5" s="1"/>
  <c r="A1806" i="5" s="1"/>
  <c r="A1807" i="5" s="1"/>
  <c r="A1809" i="5" s="1"/>
  <c r="A1810" i="5" s="1"/>
  <c r="A1811"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6" i="5" s="1"/>
  <c r="A1837" i="5" s="1"/>
  <c r="A1838" i="5" s="1"/>
  <c r="A1839" i="5" s="1"/>
  <c r="A1840" i="5" s="1"/>
  <c r="A1841" i="5" s="1"/>
  <c r="A1842" i="5" s="1"/>
  <c r="A1843" i="5" s="1"/>
  <c r="A1844" i="5" s="1"/>
  <c r="A1846" i="5" s="1"/>
  <c r="A1847" i="5" s="1"/>
  <c r="A1848" i="5" s="1"/>
  <c r="A1849"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L2465" i="5"/>
  <c r="A1901" i="5" l="1"/>
  <c r="A1902" i="5" s="1"/>
  <c r="A1904" i="5" s="1"/>
  <c r="A1905" i="5" s="1"/>
  <c r="A1906" i="5" s="1"/>
  <c r="A1907" i="5" s="1"/>
  <c r="A1908" i="5" s="1"/>
  <c r="A1909" i="5" s="1"/>
  <c r="A1910" i="5" s="1"/>
  <c r="A1911" i="5" s="1"/>
  <c r="A1912" i="5" s="1"/>
  <c r="A1913" i="5" s="1"/>
  <c r="A1914" i="5" s="1"/>
  <c r="A1915" i="5" s="1"/>
  <c r="A1916" i="5" s="1"/>
  <c r="A1917" i="5" s="1"/>
  <c r="A1919" i="5" s="1"/>
  <c r="A1920" i="5" s="1"/>
  <c r="A1921" i="5" s="1"/>
  <c r="A1922" i="5" s="1"/>
  <c r="A1923" i="5" s="1"/>
  <c r="A1924" i="5" s="1"/>
  <c r="A1925" i="5" s="1"/>
  <c r="A1927" i="5" s="1"/>
  <c r="A1928" i="5" s="1"/>
  <c r="A1929" i="5" s="1"/>
  <c r="A1930" i="5" s="1"/>
  <c r="A1931" i="5" s="1"/>
  <c r="A1932" i="5" s="1"/>
  <c r="A1933" i="5" s="1"/>
  <c r="A1934" i="5" s="1"/>
  <c r="A1935" i="5" s="1"/>
  <c r="A1936" i="5" s="1"/>
  <c r="A1937" i="5" s="1"/>
  <c r="A1938" i="5" s="1"/>
  <c r="A1939" i="5" s="1"/>
  <c r="A1940" i="5" s="1"/>
  <c r="A1941" i="5" s="1"/>
  <c r="A1943" i="5" s="1"/>
  <c r="A1945" i="5" s="1"/>
  <c r="A1946" i="5" s="1"/>
  <c r="A1948" i="5" s="1"/>
  <c r="A1950" i="5" s="1"/>
  <c r="A1951" i="5" s="1"/>
  <c r="L1456" i="5"/>
  <c r="S2465" i="5"/>
  <c r="A1952" i="5" l="1"/>
  <c r="S1456" i="5"/>
  <c r="A1954" i="5" l="1"/>
  <c r="A1955" i="5" s="1"/>
  <c r="A1956" i="5" s="1"/>
  <c r="A1957" i="5" s="1"/>
  <c r="T2793" i="5"/>
  <c r="U2793" i="5" s="1"/>
  <c r="A1958" i="5" l="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1" i="5" s="1"/>
  <c r="A1983" i="5" s="1"/>
  <c r="A1985" i="5" s="1"/>
  <c r="A1987" i="5" s="1"/>
  <c r="A1988" i="5" s="1"/>
  <c r="A1989" i="5" s="1"/>
  <c r="A1991" i="5" s="1"/>
  <c r="A1992" i="5" s="1"/>
  <c r="T2465" i="5"/>
  <c r="U2465" i="5" s="1"/>
  <c r="A1994" i="5" l="1"/>
  <c r="T1456" i="5"/>
  <c r="U1456" i="5" s="1"/>
  <c r="A1995" i="5" l="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Q4181" i="5" l="1"/>
  <c r="L4181" i="5" s="1"/>
  <c r="M4182" i="5"/>
  <c r="M3805" i="5" s="1"/>
  <c r="Q4180" i="5" l="1"/>
  <c r="L4180" i="5" s="1"/>
  <c r="Q4179" i="5"/>
  <c r="L4179" i="5" l="1"/>
  <c r="Q4182" i="5"/>
  <c r="Q3805" i="5" s="1"/>
  <c r="Q2882" i="5" s="1"/>
  <c r="Q9" i="5" l="1"/>
  <c r="L4182" i="5"/>
  <c r="S4182" i="5" l="1"/>
  <c r="L3805" i="5"/>
  <c r="S3805" i="5" l="1"/>
  <c r="T4182" i="5" l="1"/>
  <c r="U4182" i="5" s="1"/>
  <c r="T3805" i="5" l="1"/>
  <c r="U3805" i="5" s="1"/>
  <c r="L3341" i="5" l="1"/>
  <c r="L3358" i="5" l="1"/>
  <c r="M3403" i="5" l="1"/>
  <c r="M2884" i="5" s="1"/>
  <c r="M2882" i="5" s="1"/>
  <c r="M9" i="5" l="1"/>
  <c r="L2882" i="5"/>
  <c r="L3371" i="5"/>
  <c r="L3403" i="5" l="1"/>
  <c r="S2882" i="5"/>
  <c r="L9" i="5"/>
  <c r="S9" i="5" l="1"/>
  <c r="S3403" i="5"/>
  <c r="L2884" i="5"/>
  <c r="S2884" i="5" l="1"/>
  <c r="T3403" i="5" l="1"/>
  <c r="U3403" i="5" s="1"/>
  <c r="T2884" i="5" l="1"/>
  <c r="U2884" i="5" s="1"/>
  <c r="T2882" i="5" l="1"/>
  <c r="U2882" i="5" s="1"/>
  <c r="T9" i="5" l="1"/>
  <c r="U9" i="5" s="1"/>
  <c r="O4273" i="5" l="1"/>
  <c r="O4325" i="5" s="1"/>
  <c r="O4237" i="5" s="1"/>
  <c r="O4235" i="5" s="1"/>
  <c r="Q4273" i="5"/>
  <c r="Q4325" i="5" s="1"/>
  <c r="Q4237" i="5" s="1"/>
  <c r="Q4235" i="5" s="1"/>
  <c r="L4273" i="5" l="1"/>
  <c r="M4325" i="5"/>
  <c r="M4237" i="5" s="1"/>
  <c r="M4235" i="5" s="1"/>
  <c r="L4325" i="5" l="1"/>
  <c r="L4237" i="5" l="1"/>
  <c r="S4325" i="5"/>
  <c r="S4237" i="5" l="1"/>
  <c r="L4235" i="5"/>
  <c r="T4325" i="5" l="1"/>
  <c r="U4325" i="5" s="1"/>
  <c r="S4235" i="5"/>
  <c r="T4237" i="5" l="1"/>
  <c r="U4237" i="5" s="1"/>
  <c r="T4235" i="5" l="1"/>
  <c r="U4235" i="5" s="1"/>
  <c r="E4103" i="5"/>
  <c r="E3805" i="5"/>
  <c r="E2882" i="5"/>
  <c r="E9" i="5"/>
</calcChain>
</file>

<file path=xl/comments1.xml><?xml version="1.0" encoding="utf-8"?>
<comments xmlns="http://schemas.openxmlformats.org/spreadsheetml/2006/main">
  <authors>
    <author>Автор</author>
    <author>User</author>
  </authors>
  <commentList>
    <comment ref="P264" authorId="0" shapeId="0">
      <text>
        <r>
          <rPr>
            <b/>
            <i/>
            <sz val="9"/>
            <color indexed="81"/>
            <rFont val="Tahoma"/>
            <family val="2"/>
            <charset val="204"/>
          </rPr>
          <t>Автор:</t>
        </r>
        <r>
          <rPr>
            <sz val="9"/>
            <color indexed="81"/>
            <rFont val="Tahoma"/>
            <family val="2"/>
            <charset val="204"/>
          </rPr>
          <t xml:space="preserve">
Согласно приказа №2 от 25.06.2014г применять по сметной стоимости до 150 000-</t>
        </r>
        <r>
          <rPr>
            <b/>
            <i/>
            <sz val="9"/>
            <color indexed="81"/>
            <rFont val="Tahoma"/>
            <family val="2"/>
            <charset val="204"/>
          </rPr>
          <t>3800</t>
        </r>
        <r>
          <rPr>
            <sz val="9"/>
            <color indexed="81"/>
            <rFont val="Tahoma"/>
            <family val="2"/>
            <charset val="204"/>
          </rPr>
          <t xml:space="preserve"> руб.,
от 150 001 до 300 000-</t>
        </r>
        <r>
          <rPr>
            <b/>
            <i/>
            <sz val="9"/>
            <color indexed="81"/>
            <rFont val="Tahoma"/>
            <family val="2"/>
            <charset val="204"/>
          </rPr>
          <t>7800</t>
        </r>
        <r>
          <rPr>
            <sz val="9"/>
            <color indexed="81"/>
            <rFont val="Tahoma"/>
            <family val="2"/>
            <charset val="204"/>
          </rPr>
          <t xml:space="preserve"> руб.
от 300 001 до 700 000-</t>
        </r>
        <r>
          <rPr>
            <b/>
            <i/>
            <sz val="9"/>
            <color indexed="81"/>
            <rFont val="Tahoma"/>
            <family val="2"/>
            <charset val="204"/>
          </rPr>
          <t>11800</t>
        </r>
        <r>
          <rPr>
            <sz val="9"/>
            <color indexed="81"/>
            <rFont val="Tahoma"/>
            <family val="2"/>
            <charset val="204"/>
          </rPr>
          <t xml:space="preserve"> руб.
от 700 001 ----- </t>
        </r>
        <r>
          <rPr>
            <b/>
            <i/>
            <sz val="9"/>
            <color indexed="81"/>
            <rFont val="Tahoma"/>
            <family val="2"/>
            <charset val="204"/>
          </rPr>
          <t>20 00</t>
        </r>
        <r>
          <rPr>
            <sz val="9"/>
            <color indexed="81"/>
            <rFont val="Tahoma"/>
            <family val="2"/>
            <charset val="204"/>
          </rPr>
          <t>0 руб.</t>
        </r>
      </text>
    </comment>
    <comment ref="P266" authorId="0" shapeId="0">
      <text>
        <r>
          <rPr>
            <b/>
            <i/>
            <sz val="9"/>
            <color indexed="81"/>
            <rFont val="Tahoma"/>
            <family val="2"/>
            <charset val="204"/>
          </rPr>
          <t>Автор:</t>
        </r>
        <r>
          <rPr>
            <sz val="9"/>
            <color indexed="81"/>
            <rFont val="Tahoma"/>
            <family val="2"/>
            <charset val="204"/>
          </rPr>
          <t xml:space="preserve">
Согласно приказа №2 от 25.06.2014г применять по сметной стоимости до 150 000-</t>
        </r>
        <r>
          <rPr>
            <b/>
            <i/>
            <sz val="9"/>
            <color indexed="81"/>
            <rFont val="Tahoma"/>
            <family val="2"/>
            <charset val="204"/>
          </rPr>
          <t>3800</t>
        </r>
        <r>
          <rPr>
            <sz val="9"/>
            <color indexed="81"/>
            <rFont val="Tahoma"/>
            <family val="2"/>
            <charset val="204"/>
          </rPr>
          <t xml:space="preserve"> руб.,
от 150 001 до 300 000-</t>
        </r>
        <r>
          <rPr>
            <b/>
            <i/>
            <sz val="9"/>
            <color indexed="81"/>
            <rFont val="Tahoma"/>
            <family val="2"/>
            <charset val="204"/>
          </rPr>
          <t>7800</t>
        </r>
        <r>
          <rPr>
            <sz val="9"/>
            <color indexed="81"/>
            <rFont val="Tahoma"/>
            <family val="2"/>
            <charset val="204"/>
          </rPr>
          <t xml:space="preserve"> руб.
от 300 001 до 700 000-</t>
        </r>
        <r>
          <rPr>
            <b/>
            <i/>
            <sz val="9"/>
            <color indexed="81"/>
            <rFont val="Tahoma"/>
            <family val="2"/>
            <charset val="204"/>
          </rPr>
          <t>11800</t>
        </r>
        <r>
          <rPr>
            <sz val="9"/>
            <color indexed="81"/>
            <rFont val="Tahoma"/>
            <family val="2"/>
            <charset val="204"/>
          </rPr>
          <t xml:space="preserve"> руб.
от 700 001 ----- </t>
        </r>
        <r>
          <rPr>
            <b/>
            <i/>
            <sz val="9"/>
            <color indexed="81"/>
            <rFont val="Tahoma"/>
            <family val="2"/>
            <charset val="204"/>
          </rPr>
          <t>20 00</t>
        </r>
        <r>
          <rPr>
            <sz val="9"/>
            <color indexed="81"/>
            <rFont val="Tahoma"/>
            <family val="2"/>
            <charset val="204"/>
          </rPr>
          <t>0 руб.</t>
        </r>
      </text>
    </comment>
    <comment ref="B493" authorId="1" shapeId="0">
      <text>
        <r>
          <rPr>
            <b/>
            <sz val="9"/>
            <color indexed="81"/>
            <rFont val="Tahoma"/>
            <family val="2"/>
            <charset val="204"/>
          </rPr>
          <t>User:</t>
        </r>
        <r>
          <rPr>
            <sz val="9"/>
            <color indexed="81"/>
            <rFont val="Tahoma"/>
            <family val="2"/>
            <charset val="204"/>
          </rPr>
          <t xml:space="preserve">
Памятник </t>
        </r>
      </text>
    </comment>
    <comment ref="B494" authorId="1" shapeId="0">
      <text>
        <r>
          <rPr>
            <b/>
            <sz val="9"/>
            <color indexed="81"/>
            <rFont val="Tahoma"/>
            <family val="2"/>
            <charset val="204"/>
          </rPr>
          <t>User:</t>
        </r>
        <r>
          <rPr>
            <sz val="9"/>
            <color indexed="81"/>
            <rFont val="Tahoma"/>
            <family val="2"/>
            <charset val="204"/>
          </rPr>
          <t xml:space="preserve">
Памятник</t>
        </r>
      </text>
    </comment>
    <comment ref="B1988" authorId="1" shapeId="0">
      <text>
        <r>
          <rPr>
            <b/>
            <sz val="9"/>
            <color indexed="81"/>
            <rFont val="Tahoma"/>
            <family val="2"/>
            <charset val="204"/>
          </rPr>
          <t>User:</t>
        </r>
        <r>
          <rPr>
            <sz val="9"/>
            <color indexed="81"/>
            <rFont val="Tahoma"/>
            <family val="2"/>
            <charset val="204"/>
          </rPr>
          <t xml:space="preserve">
памятник  архитектуры</t>
        </r>
      </text>
    </comment>
  </commentList>
</comments>
</file>

<file path=xl/sharedStrings.xml><?xml version="1.0" encoding="utf-8"?>
<sst xmlns="http://schemas.openxmlformats.org/spreadsheetml/2006/main" count="19766" uniqueCount="4367">
  <si>
    <t xml:space="preserve">
</t>
  </si>
  <si>
    <t>№ п/п</t>
  </si>
  <si>
    <t>Адрес МКД</t>
  </si>
  <si>
    <t>Год</t>
  </si>
  <si>
    <t>Материал стен</t>
  </si>
  <si>
    <t>Количество этажей</t>
  </si>
  <si>
    <t>Количество подъездов</t>
  </si>
  <si>
    <t>Общая площадь МКД, всего</t>
  </si>
  <si>
    <t>Площадь помещений МКД:</t>
  </si>
  <si>
    <t>Количество жителей, зарегистрированных в МКД на дату утверждения краткосрочного плана</t>
  </si>
  <si>
    <t>Вид ремонта</t>
  </si>
  <si>
    <t>Стоимость капитального ремонта</t>
  </si>
  <si>
    <t>Удельная стоимость капитального ремонта 1 кв. м общей площади помещений МКД</t>
  </si>
  <si>
    <t>Предельная стоимость капитального ремонта 1 кв. м общей площади помещений МКД</t>
  </si>
  <si>
    <t>Плановая дата завершения работ</t>
  </si>
  <si>
    <t>ввода в эксплуатацию</t>
  </si>
  <si>
    <t>завершение последнего капитального ремонта</t>
  </si>
  <si>
    <t>всего:</t>
  </si>
  <si>
    <t>в том числе жилых помещений, находящихся в собственности граждан</t>
  </si>
  <si>
    <t>в том числе:</t>
  </si>
  <si>
    <t>за счет средств Фонда</t>
  </si>
  <si>
    <t>за счет средств бюджета Республики Башкортостан</t>
  </si>
  <si>
    <t>за счет средств местного бюджета</t>
  </si>
  <si>
    <t>за счет взносов собственников помещений в МКД</t>
  </si>
  <si>
    <t>кв.м</t>
  </si>
  <si>
    <t>чел.</t>
  </si>
  <si>
    <t>руб.</t>
  </si>
  <si>
    <t>руб./кв.м</t>
  </si>
  <si>
    <t>Х</t>
  </si>
  <si>
    <t>Городской округ город Агидель Республики Башкортостан</t>
  </si>
  <si>
    <t>ремонт водоснабжения, водоотведения</t>
  </si>
  <si>
    <t>Итого по городскому округу город Агидель Республики Башкортостан</t>
  </si>
  <si>
    <t>Муниципальный район Благовещенский район Республики Башкортостан</t>
  </si>
  <si>
    <t>ремонт крыши</t>
  </si>
  <si>
    <t>Итого по муниципальному району Благовещенский район Республики Башкортостан</t>
  </si>
  <si>
    <t>Городской округ город Нефтекамск Республики Башкортостан</t>
  </si>
  <si>
    <t xml:space="preserve">Итого по городскому округу город Нефтекамск Республики Башкортостан </t>
  </si>
  <si>
    <t>Городской округ город Октябрьский Республики Башкортостан</t>
  </si>
  <si>
    <t>ремонт фасада</t>
  </si>
  <si>
    <t>Итого по городскому округу город Октябрьский Республики Башкортостан</t>
  </si>
  <si>
    <t>Муниципальный район Туймазинский район Республики Башкортостан</t>
  </si>
  <si>
    <t>Итого по муниципальному району Туймазинский район Республики Башкортостан</t>
  </si>
  <si>
    <t>Муниципальный район Альшеевский район Республики Башкортостан</t>
  </si>
  <si>
    <t>Итого по муниципальному району Альшеевский район Республики Башкортостан</t>
  </si>
  <si>
    <t>Муниципальный район Аскинский район Республики Башкортостан</t>
  </si>
  <si>
    <t>Муниципальный район Бакалинский район Республики Башкортостан</t>
  </si>
  <si>
    <t xml:space="preserve"> </t>
  </si>
  <si>
    <t>Итого по муниципальному району Бакалинский район Республики Башкортостан</t>
  </si>
  <si>
    <t>Муниципальный район Балтачевский район Республики Башкортостан</t>
  </si>
  <si>
    <t>Муниципальный район Белебеевский район Республики Башкортостан</t>
  </si>
  <si>
    <t>Итого по муниципальному району Белебеевский район Республики Башкортостан</t>
  </si>
  <si>
    <t>Муниципальный район Белокатайский район Республики Башкортостан</t>
  </si>
  <si>
    <t>Муниципальный район Бижбулякский район Республики Башкортостан</t>
  </si>
  <si>
    <t>Итого по муниципальному району Бижбулякский район Республики Башкортостан</t>
  </si>
  <si>
    <t>Муниципальный район Бирский район Республики Башкортостан</t>
  </si>
  <si>
    <t>Муниципальный район Благоварский район Республики Башкортостан</t>
  </si>
  <si>
    <t>Итого по муниципальному району Благоварский район Республики Башкортостан</t>
  </si>
  <si>
    <t>Муниципальный район Буздякский район Республики Башкортостан</t>
  </si>
  <si>
    <t>Итого по муниципальному району Буздякский район Республики Башкортостан</t>
  </si>
  <si>
    <t>Муниципальный район Бураевский район Республики Башкортостан</t>
  </si>
  <si>
    <t>Итого по муниципальному району Бураевский район Республики Башкортостан</t>
  </si>
  <si>
    <t>Муниципальный район Давлекановский район Республики Башкортостан</t>
  </si>
  <si>
    <t>Итого по муниципальному району Давлекановский район Республики Башкортостан</t>
  </si>
  <si>
    <t>Муниципальный район Дуванский район Республики Башкортостан</t>
  </si>
  <si>
    <t>Итого по муниципальному району Дуванский район Республики Башкортостан</t>
  </si>
  <si>
    <t>Муниципальный район Дюртюлинский район Республики Башкортостан</t>
  </si>
  <si>
    <t>Итого по муниципальному району Дюртюлинский район Республики Башкортостан</t>
  </si>
  <si>
    <t>Муниципальный район Ермекеевский район Республики Башкортостан</t>
  </si>
  <si>
    <t>Итого по муниципальному району Ермекеевский район Республики Башкортостан</t>
  </si>
  <si>
    <t>Муниципальный район Илишевский район Республики Башкортостан</t>
  </si>
  <si>
    <t>Итого по муниципальному району Илишевский район Республики Башкортостан</t>
  </si>
  <si>
    <t>Муниципальный район Калтасинский район Республики Башкортостан</t>
  </si>
  <si>
    <t>Итого по муниципальному району Калтасинский район Республики Башкортостан</t>
  </si>
  <si>
    <t>Итого по муниципальному району Караидельский район Республики Башкортостан</t>
  </si>
  <si>
    <t>Муниципальный район Кигинский район Республики Башкортостан</t>
  </si>
  <si>
    <t>Муниципальный район Краснокамский район Республики Башкортостан</t>
  </si>
  <si>
    <t>Муниципальный район Кушнаренковский район Республики Башкортостан</t>
  </si>
  <si>
    <t>Итого по муниципальному району Кушнаренковский район Республики Башкортостан</t>
  </si>
  <si>
    <t>Муниципальный район Мечетлинский район Республики Башкортостан</t>
  </si>
  <si>
    <t xml:space="preserve"> Муниципальный район Мишкинский район Республики Башкортостан</t>
  </si>
  <si>
    <t>Муниципальный район Нуримановский район Республики Башкортостан</t>
  </si>
  <si>
    <t>Муниципальный район Татышлинский район Республики Башкортостан</t>
  </si>
  <si>
    <t>Муниципальный район Уфимский район Республики Башкортостан</t>
  </si>
  <si>
    <t>Итого по муниципальному району Уфимский район Республики Башкортостан</t>
  </si>
  <si>
    <t>Муниципальный район Чекмагушевский район Республики Башкортостан</t>
  </si>
  <si>
    <t>Муниципальный район Чишминский район Республики Башкортостан</t>
  </si>
  <si>
    <t>Итого по муниципальному району Чишминский район Республики Башкортостан</t>
  </si>
  <si>
    <t>Муниципальный район Шаранский район Республики Башкортостан</t>
  </si>
  <si>
    <t>Итого по муниципальному району Шаранский район Республики Башкортостан</t>
  </si>
  <si>
    <t>Муниципальный район Янаульский район Республики Башкортостан</t>
  </si>
  <si>
    <t>Резервный перечень</t>
  </si>
  <si>
    <t>Итого по городскому округу город Нефтекамск Республики Башкортостан</t>
  </si>
  <si>
    <t>Муниципальный район Иглинский район Республики Башкортостан</t>
  </si>
  <si>
    <t>№ п\п</t>
  </si>
  <si>
    <t>Стоимость капитального ремонта, всего</t>
  </si>
  <si>
    <t>Виды, установленные ч.1 ст.166 Жилищного Кодекса РФ</t>
  </si>
  <si>
    <t>Виды, установленные постановлением Правительства Республики Башкортостан от 19.11.2013г.№ 558</t>
  </si>
  <si>
    <t>ремонт внутридомовых инженерных систем</t>
  </si>
  <si>
    <t>ремонт или замена лифтового оборудования</t>
  </si>
  <si>
    <t>ремонт подвальных помещений</t>
  </si>
  <si>
    <t>ремонт фундамента</t>
  </si>
  <si>
    <t>утепление  фасадов</t>
  </si>
  <si>
    <t>переустройству невентилируемой крыши на вентилируемую крышу, устройству выходов на кровлю</t>
  </si>
  <si>
    <t>установка коллективных (общедомовых) ПУ и УУ</t>
  </si>
  <si>
    <t>ед.</t>
  </si>
  <si>
    <t>кв.м.</t>
  </si>
  <si>
    <t>куб.м.</t>
  </si>
  <si>
    <t>V строительный дома, м3</t>
  </si>
  <si>
    <t>S фасада, м2</t>
  </si>
  <si>
    <t>Материал крыши</t>
  </si>
  <si>
    <t>S крыши, м2</t>
  </si>
  <si>
    <t>Количество квартир</t>
  </si>
  <si>
    <t>Средняя стоимость капитального ремонта от СМР</t>
  </si>
  <si>
    <t>СМР</t>
  </si>
  <si>
    <t>Смета РО 0,3%</t>
  </si>
  <si>
    <t>Проверка дост. сметной документации</t>
  </si>
  <si>
    <t xml:space="preserve">Итого по городскому округу город Агидель Республики Башкортостан </t>
  </si>
  <si>
    <t xml:space="preserve">Итого по муниципальному району Туймазинский район Республики Башкортостан </t>
  </si>
  <si>
    <t xml:space="preserve">Итого по муниципальному району Аскинский район Республики Башкортостан </t>
  </si>
  <si>
    <t xml:space="preserve">Итого по муниципальному району Балтачевский район Республики Башкортостан </t>
  </si>
  <si>
    <t xml:space="preserve">Итого по муниципальному району Белокатайский район Республики Башкортостан </t>
  </si>
  <si>
    <t xml:space="preserve">Итого по муниципальному району Бирский район Республики Башкортостан </t>
  </si>
  <si>
    <t xml:space="preserve">Итого по муниципальному району Дуванский район Республики Башкортостан </t>
  </si>
  <si>
    <t xml:space="preserve">Итого по муниципальному району Иглинский район Республики Башкортостан </t>
  </si>
  <si>
    <t xml:space="preserve">  Муниципальный район Караидельский район Республики Башкортостан</t>
  </si>
  <si>
    <t xml:space="preserve">Итого по муниципальному району Караидельский район Республики Башкортостан </t>
  </si>
  <si>
    <t xml:space="preserve">Итого по муниципальному району Кигинский район Республики Башкортостан </t>
  </si>
  <si>
    <t xml:space="preserve">Итого по муниципальному району Краснокамский район Республики Башкортостан </t>
  </si>
  <si>
    <t xml:space="preserve">Итого по муниципальному району Мечетлинский район Республики Башкортостан </t>
  </si>
  <si>
    <t xml:space="preserve">Итого по муниципальному району Мишкинский район Республики Башкортостан </t>
  </si>
  <si>
    <t xml:space="preserve"> Муниципальный район Миякинский район Республики Башкортостан</t>
  </si>
  <si>
    <t xml:space="preserve">Итого по муниципальному району Миякинский район Республики Башкортостан </t>
  </si>
  <si>
    <t xml:space="preserve">Итого по муниципальному району Нуримановский район Республики Башкортостан </t>
  </si>
  <si>
    <t xml:space="preserve">Итого по муниципальному району Татышлинский район Республики Башкортостан </t>
  </si>
  <si>
    <t xml:space="preserve">Итого по муниципальному району Уфимский район Республики Башкортостан </t>
  </si>
  <si>
    <t>Итого по муниципальному району Чекмагушевкий район Республики Башкортостан</t>
  </si>
  <si>
    <t xml:space="preserve">Итого по муниципальному району Янаульский район Республики Башкортостан </t>
  </si>
  <si>
    <t>Итого по северной зоне</t>
  </si>
  <si>
    <t>Северная зона</t>
  </si>
  <si>
    <t>Городской округ город Уфа Республики Башкортостан</t>
  </si>
  <si>
    <t>Центральная зона</t>
  </si>
  <si>
    <t>Городской округ город Кумертау Республики Башкортостан</t>
  </si>
  <si>
    <t>Итого по городскому округу город Кумертау Республики Башкортостан</t>
  </si>
  <si>
    <t xml:space="preserve">Итого по городскому округу город Салават Республики Башкортостан </t>
  </si>
  <si>
    <t>Итого по городскому округу город Сибай Республики Башкортостан</t>
  </si>
  <si>
    <t>Городской округ город Стерлитамак Республики Башкортостан</t>
  </si>
  <si>
    <t>Итого по городскому округу город Стерлитамак Республики Башкортостан</t>
  </si>
  <si>
    <t>ЗАТО Межгорье Республики Башкортостан</t>
  </si>
  <si>
    <t>Итого по ЗАТО Межгорье Республики Башкортостан</t>
  </si>
  <si>
    <t>Муниципальный район Белорецкий район Республики Башкортостан</t>
  </si>
  <si>
    <t>Итого по муниципальному району Белорецкий район Республики Башкортостан</t>
  </si>
  <si>
    <t>Итого по муниципальному району Ишимбайский район Республики Башкортостан</t>
  </si>
  <si>
    <t>Муниципальный район Кармаскалинский район Республики Башкортостан</t>
  </si>
  <si>
    <t>Итого по муниципальному району Кармаскалинский район Республики Башкортостан</t>
  </si>
  <si>
    <t>Муниципальный район Куюргазинский район Республики Башкортостан</t>
  </si>
  <si>
    <t>Итого по муниципальному району Куюргазинский район Республики Башкортостан</t>
  </si>
  <si>
    <t>Итого по муниципальному району Мелеузовский район Республики Башкортостан</t>
  </si>
  <si>
    <t>Итого по муниципальному району Стерлитамакский район Республики Башкортостан</t>
  </si>
  <si>
    <t>Муниципальный район Учалинский район Республики Башкортостан</t>
  </si>
  <si>
    <t>Итого по муниципальному району Учалинский район Республики Башкортостан</t>
  </si>
  <si>
    <t>Южная зона</t>
  </si>
  <si>
    <t>Итого по Южной зоне</t>
  </si>
  <si>
    <t>Итого по Центральной зоне</t>
  </si>
  <si>
    <t>Городской округ город Кумертау</t>
  </si>
  <si>
    <t>Городской округ город Салават</t>
  </si>
  <si>
    <t>Городской округ город Сибай</t>
  </si>
  <si>
    <t xml:space="preserve">Городской округ город Стерлитамак </t>
  </si>
  <si>
    <t xml:space="preserve">Итого по городскому округу город Стерлитамак Республика Башкортостан </t>
  </si>
  <si>
    <t>ЗАТО Межгорье</t>
  </si>
  <si>
    <t xml:space="preserve">Итого по ЗАТО Межгорье Республики Башкортостан </t>
  </si>
  <si>
    <t>Муниципальный район Абзелиловский район</t>
  </si>
  <si>
    <t xml:space="preserve">Итого по муниципальному району Абзелиловский район Республики Башкортостан </t>
  </si>
  <si>
    <t>Муниципальный район Архангельский район</t>
  </si>
  <si>
    <t xml:space="preserve">Итого по муниципальному району Архангельский район Республики Башкортостан </t>
  </si>
  <si>
    <t xml:space="preserve">Муниципальный район Аургазинский район    </t>
  </si>
  <si>
    <t xml:space="preserve">Итого по муниципальному району Аургазинский район Республики Башкортостан </t>
  </si>
  <si>
    <t>Муниципальный район Баймакский район</t>
  </si>
  <si>
    <t xml:space="preserve">Итого по муниципальному району Баймакский район Республики Башкортостан </t>
  </si>
  <si>
    <t>Муниципальный район Белорецкий район</t>
  </si>
  <si>
    <t xml:space="preserve">Итого по муниципальному району Белорецкий район Республики Башкортостан </t>
  </si>
  <si>
    <t>Муниципальный район Бурзянский район</t>
  </si>
  <si>
    <t xml:space="preserve">Итого по муниципальному району Бурзянский район Республики Башкортостан </t>
  </si>
  <si>
    <t>Муниципальный район Гафурийский район</t>
  </si>
  <si>
    <t xml:space="preserve">Итого по муниципальному району Гафурийский район Республики Башкортостан </t>
  </si>
  <si>
    <t>Муниципальный район Зианчуринский район</t>
  </si>
  <si>
    <t xml:space="preserve">Итого по муниципальному району Зианчуринский район Республики Башкортостан </t>
  </si>
  <si>
    <t>Муниципальный район Зилаирский район</t>
  </si>
  <si>
    <t xml:space="preserve">Итого по муниципальному району Зилаирский район Республики Башкортостан </t>
  </si>
  <si>
    <t xml:space="preserve">Муниципальный район Ишимбайский район </t>
  </si>
  <si>
    <t>Муниципальный район Кармаскалинский район</t>
  </si>
  <si>
    <t xml:space="preserve">Итого по муниципальному району Кармаскалинский район Республики Башкортостан </t>
  </si>
  <si>
    <t>Муниципальный район Кугарчинский район</t>
  </si>
  <si>
    <t xml:space="preserve">Итого по муниципальному району Кугарчинский район Республики Башкортостан </t>
  </si>
  <si>
    <t>Муниципальный район Куюргазинский район</t>
  </si>
  <si>
    <t xml:space="preserve">Итого по муниципальному району Куюргазинский район Республики Башкортостан </t>
  </si>
  <si>
    <t xml:space="preserve"> Муниципальный район Мелеузовский район </t>
  </si>
  <si>
    <t>Итого по муниципальному району Мелеузовский  район Республики Башкортостан</t>
  </si>
  <si>
    <t>Муниципальный район Стерлибашевский район</t>
  </si>
  <si>
    <t xml:space="preserve">Итого по муниципальному району Стерлибашевский район Республики Башкортостан </t>
  </si>
  <si>
    <t>Муниципальный район Стерлитамакский район</t>
  </si>
  <si>
    <t>Муниципальный район Учалинский район</t>
  </si>
  <si>
    <t xml:space="preserve">Итого по муниципальному району Учалинский район Республики Башкортостан </t>
  </si>
  <si>
    <t xml:space="preserve"> Муниципальный район Федоровский район</t>
  </si>
  <si>
    <t xml:space="preserve">Итого по муниципальному району Федоровский район Республики Башкортостан </t>
  </si>
  <si>
    <t>Муниципальный район Хайбуллинский район</t>
  </si>
  <si>
    <t xml:space="preserve">Итого по муниципальному району Хайбуллинский район Республики Башкортостан </t>
  </si>
  <si>
    <t>Генеральный директор НОФ "Региональный оператор РБ"                                                                                                                             Б.П. Герасимов</t>
  </si>
  <si>
    <t>Генеральный директор НОФ "Региональный оператор РБ"                                                                                    Б.П. Герасимов</t>
  </si>
  <si>
    <t xml:space="preserve">Итого по городскому округу город Уфа Республики Башкортостан </t>
  </si>
  <si>
    <t>Итого по Республике Башкортостан на 2017 год</t>
  </si>
  <si>
    <t>Итого по Республике Башкортостан на 2017 - 2019 годы</t>
  </si>
  <si>
    <t xml:space="preserve">Краткосрочный план реализации Республиканской программы капитального ремонта общего имущества в многоквартирных домах, расположенных на территории Республики Башкортостан, на 2017 - 2019 годы </t>
  </si>
  <si>
    <t>Итого по Республике Башкортостан на 2018 год</t>
  </si>
  <si>
    <t>Итого по Республике Башкортостан на 2019 год</t>
  </si>
  <si>
    <t>Муниципальный район Салаватский район Республики Башкортостан</t>
  </si>
  <si>
    <t xml:space="preserve">Итого по муниципальному району Салаватский район Республики Башкортостан </t>
  </si>
  <si>
    <t xml:space="preserve">Таблица 2. Реестр многоквартирных домов, расположенных на территории Республики Башкортостан, в отношении которых в 2017 - 2019 годах планируется проведение капитального ремонта общего имущества, по видам работ по капитальному ремонту </t>
  </si>
  <si>
    <t>панельные</t>
  </si>
  <si>
    <t>рулонный</t>
  </si>
  <si>
    <t>замена лифтового оборудования</t>
  </si>
  <si>
    <t>12.2017</t>
  </si>
  <si>
    <t>каменные, кирпичные</t>
  </si>
  <si>
    <t>шиферная</t>
  </si>
  <si>
    <t>плоская</t>
  </si>
  <si>
    <t>ремонт электроснабжения</t>
  </si>
  <si>
    <t>ремонт теплоснабжения (розлив)</t>
  </si>
  <si>
    <t>утепление фасада</t>
  </si>
  <si>
    <t>мягкая</t>
  </si>
  <si>
    <t>профнастил</t>
  </si>
  <si>
    <t>деревянные</t>
  </si>
  <si>
    <t>металлическая</t>
  </si>
  <si>
    <t xml:space="preserve">ремонт теплоснабжения </t>
  </si>
  <si>
    <t>12.2018</t>
  </si>
  <si>
    <t>рулонная</t>
  </si>
  <si>
    <t xml:space="preserve">ремонт крыши </t>
  </si>
  <si>
    <t>ремонт крыши с усилением</t>
  </si>
  <si>
    <t xml:space="preserve">ремонт крыши
</t>
  </si>
  <si>
    <t xml:space="preserve">ремонт водоснабжения, водоотведения </t>
  </si>
  <si>
    <t>ремонт теплоснабжения</t>
  </si>
  <si>
    <t>блочные</t>
  </si>
  <si>
    <t xml:space="preserve">ремонт крыши с утеплением
</t>
  </si>
  <si>
    <t xml:space="preserve">шиферная </t>
  </si>
  <si>
    <t>ремонт крыши на профнастил (шатровая с полной заменой обрешетки с утеплением)</t>
  </si>
  <si>
    <t>ремонт водоотведения (замена стояков, копка траншеи и укладка трубы до шамбо)</t>
  </si>
  <si>
    <t xml:space="preserve">ремонт фасада с металлосайдингом </t>
  </si>
  <si>
    <t>ремонт водоотведения</t>
  </si>
  <si>
    <t xml:space="preserve">ремонт фасада </t>
  </si>
  <si>
    <t>ремонт крыши  (мягкая с утеплением)</t>
  </si>
  <si>
    <t>ремонт крыши (шатровая с полной заменой обрешетки с утеплением)</t>
  </si>
  <si>
    <t>комбинированная (шиферная/плоская) делаем только шатровую часть</t>
  </si>
  <si>
    <t>переустройство невентилируемой крыши на вентилируемую крышу</t>
  </si>
  <si>
    <t>шифер</t>
  </si>
  <si>
    <t>переустройство крыши</t>
  </si>
  <si>
    <t>бикрост</t>
  </si>
  <si>
    <t>ПСД-2015г.</t>
  </si>
  <si>
    <t>ремонт крыши (с шифера на профнастил с утеплением)</t>
  </si>
  <si>
    <t>ремонт крыши
 (с шифера на профнастил без утепления)</t>
  </si>
  <si>
    <t>ремонт крыши
 (с шифера на профнастил с утеплением)</t>
  </si>
  <si>
    <t>2015,           2016</t>
  </si>
  <si>
    <t xml:space="preserve">утепление фасада </t>
  </si>
  <si>
    <t>ремонт крыши  с заменой утеплителя</t>
  </si>
  <si>
    <t xml:space="preserve">переустройство крыши </t>
  </si>
  <si>
    <t>ремонт крыши (с шифера на профнастил)</t>
  </si>
  <si>
    <t>ремонт фасада (оштукатуривание и покраска)</t>
  </si>
  <si>
    <t>г. Янаул, ул. Советская, д.20</t>
  </si>
  <si>
    <t xml:space="preserve"> шиферная</t>
  </si>
  <si>
    <t>шатровая</t>
  </si>
  <si>
    <t>ремонт фасада (сайдинг, без утепления)</t>
  </si>
  <si>
    <t>ремонт водоснабжения</t>
  </si>
  <si>
    <t>ремонт водоснабжения, водоотведения (стояки)</t>
  </si>
  <si>
    <t>12.2019</t>
  </si>
  <si>
    <t xml:space="preserve">каменные, кирпичные </t>
  </si>
  <si>
    <t>ремонт фасада с заменой экранов</t>
  </si>
  <si>
    <t>ремонт водоснабжения, водоотведения (без ГВС )</t>
  </si>
  <si>
    <t>ремонт крыши (с шифера на профнастил, без утепления)</t>
  </si>
  <si>
    <t>ремонт оштукатуренного фасада с акриловой покраской</t>
  </si>
  <si>
    <t>ремонт крыши (мягкая с утеплением)</t>
  </si>
  <si>
    <t>X</t>
  </si>
  <si>
    <t>Итого по муниципальному району Иглинский  район Республики Башкортостан</t>
  </si>
  <si>
    <t xml:space="preserve">ремонт теплоснабжения, установка коллективных (общедомовых) теплосчетчика </t>
  </si>
  <si>
    <t>руллонная</t>
  </si>
  <si>
    <t xml:space="preserve">ремонт теплоснабжения             </t>
  </si>
  <si>
    <t>кирпич</t>
  </si>
  <si>
    <t>панельн.</t>
  </si>
  <si>
    <t>ремонт фасада с утеплением</t>
  </si>
  <si>
    <t>рубероид                          бикрост</t>
  </si>
  <si>
    <t>рубероид,   бикрост</t>
  </si>
  <si>
    <t>унифлекс</t>
  </si>
  <si>
    <t>стальная</t>
  </si>
  <si>
    <t xml:space="preserve">профнастил </t>
  </si>
  <si>
    <t>рубероид</t>
  </si>
  <si>
    <t>шиферная скатная</t>
  </si>
  <si>
    <t>кирпичный</t>
  </si>
  <si>
    <t>блочный</t>
  </si>
  <si>
    <t>крупноблочные</t>
  </si>
  <si>
    <t>шлакоблочн</t>
  </si>
  <si>
    <t>панельный</t>
  </si>
  <si>
    <t>переустройство с мягкой на шатровую</t>
  </si>
  <si>
    <t>каменные 
кирпичные</t>
  </si>
  <si>
    <t>каменные,
кирпичные</t>
  </si>
  <si>
    <t xml:space="preserve"> ремонт электроснабжения</t>
  </si>
  <si>
    <t>железо</t>
  </si>
  <si>
    <t>крупнопанельные</t>
  </si>
  <si>
    <t>мягкая кровля</t>
  </si>
  <si>
    <t>метал</t>
  </si>
  <si>
    <t>каменные , кирпичные</t>
  </si>
  <si>
    <t>рубленные из брусьев</t>
  </si>
  <si>
    <t>ремонт крыши (без утепления)</t>
  </si>
  <si>
    <t>замена лифтового оборудования (1 лифт)</t>
  </si>
  <si>
    <t>рулон</t>
  </si>
  <si>
    <t>каменные, каменные, кирпичныеные</t>
  </si>
  <si>
    <t>1982/панельные</t>
  </si>
  <si>
    <t>1990 / каменные, кирпичные</t>
  </si>
  <si>
    <t>металл</t>
  </si>
  <si>
    <t>кирпичные</t>
  </si>
  <si>
    <t>шиферная, скатная</t>
  </si>
  <si>
    <t>профлист</t>
  </si>
  <si>
    <t>рулонная мягкая</t>
  </si>
  <si>
    <t xml:space="preserve"> кирпичные</t>
  </si>
  <si>
    <t>фасад с кап.рем.балКарлаплит, цоколь</t>
  </si>
  <si>
    <t>фасад с кап.рем.балКарлаплит</t>
  </si>
  <si>
    <t>кирпичное</t>
  </si>
  <si>
    <t>блочно-панельный</t>
  </si>
  <si>
    <t>железобетонные</t>
  </si>
  <si>
    <t>478.5</t>
  </si>
  <si>
    <t>кирпичные, каменные</t>
  </si>
  <si>
    <t>1974/каменные, кирпичные</t>
  </si>
  <si>
    <t>1980/каменные, кирпичные</t>
  </si>
  <si>
    <t>1975/каменные, кирпичные</t>
  </si>
  <si>
    <t>1976/каменные, кирпичные</t>
  </si>
  <si>
    <t>1970/каменные, кирпичные</t>
  </si>
  <si>
    <t>1979 / каменные, кирпичные</t>
  </si>
  <si>
    <t>1981/каменные, кирпичные</t>
  </si>
  <si>
    <t>1974  / каменные, кирпичные</t>
  </si>
  <si>
    <t>1983/панельные</t>
  </si>
  <si>
    <t>1989 / каменные, кирпичные</t>
  </si>
  <si>
    <t>1992 / каменные, кирпичные</t>
  </si>
  <si>
    <t>крупно панель.</t>
  </si>
  <si>
    <t>шиферная,скатная</t>
  </si>
  <si>
    <t>ремонт газоснабжения</t>
  </si>
  <si>
    <t>плоская мягкая кровля</t>
  </si>
  <si>
    <t>утепление цоколя</t>
  </si>
  <si>
    <t>блочно-панельные</t>
  </si>
  <si>
    <t>проф.лист</t>
  </si>
  <si>
    <t>шлакоблок</t>
  </si>
  <si>
    <t>шлокоблок</t>
  </si>
  <si>
    <t>591.5</t>
  </si>
  <si>
    <t>замена лифтового оборудования(2й подъезд)</t>
  </si>
  <si>
    <t xml:space="preserve">кирпич </t>
  </si>
  <si>
    <t>1991/каменные, кирпичные</t>
  </si>
  <si>
    <t>1971/каменные, кирпичные</t>
  </si>
  <si>
    <t>1997/каменные, кирпичные</t>
  </si>
  <si>
    <t>1988 / каменные, кирпичные</t>
  </si>
  <si>
    <t>1989/каменные, кирпичные</t>
  </si>
  <si>
    <t>1991 / каменные, кирпичные</t>
  </si>
  <si>
    <t>метал-лическая</t>
  </si>
  <si>
    <t>шиферная,   скатная</t>
  </si>
  <si>
    <t>Мягкая кровля</t>
  </si>
  <si>
    <t>12.2020</t>
  </si>
  <si>
    <t>Муниципальный район Гафурийский район Республики Башкортостан</t>
  </si>
  <si>
    <t>Итого по муниципальному району Гафурийский район Республики Башкортостан</t>
  </si>
  <si>
    <t>Итого по городскому округу город Салават Республики Башкортостан</t>
  </si>
  <si>
    <t>сил. кирпич</t>
  </si>
  <si>
    <t>ремонт крыши (с утеплением)</t>
  </si>
  <si>
    <t>Муниципальный район Мелеузовский район РБ</t>
  </si>
  <si>
    <t>1961 / каменные, кирпичные</t>
  </si>
  <si>
    <t xml:space="preserve">замена лифтового оборудования </t>
  </si>
  <si>
    <t>1960 / каменные, кирпичные</t>
  </si>
  <si>
    <t xml:space="preserve"> ремонт водоснабжения, водоотведения</t>
  </si>
  <si>
    <t>брусчатые</t>
  </si>
  <si>
    <t>ремонт и утепление фасада</t>
  </si>
  <si>
    <t xml:space="preserve">металлическая </t>
  </si>
  <si>
    <t>мелкоблочные</t>
  </si>
  <si>
    <t>шиферная, рулонная</t>
  </si>
  <si>
    <t>ремонт фасада с восстановлением балконов</t>
  </si>
  <si>
    <t>2500</t>
  </si>
  <si>
    <t>2501</t>
  </si>
  <si>
    <t xml:space="preserve"> ремонт крыши</t>
  </si>
  <si>
    <t>замена лифтового оборудования, ремонт водоснабжения, водоотведения</t>
  </si>
  <si>
    <t xml:space="preserve"> ремонт фасада с утеплением</t>
  </si>
  <si>
    <t>ремонт фасада с утепленим</t>
  </si>
  <si>
    <t>ремонт водоснабжения, водоотведения (ХВС)</t>
  </si>
  <si>
    <t>техноэласт</t>
  </si>
  <si>
    <t>каменные, 
кирпичные</t>
  </si>
  <si>
    <t>1977/ панельные</t>
  </si>
  <si>
    <t>1973/ каменные, кирпичные</t>
  </si>
  <si>
    <t>1977/ каменные, кирпичные</t>
  </si>
  <si>
    <t>1980/панельные</t>
  </si>
  <si>
    <t>1968 / каменные, кирпичные</t>
  </si>
  <si>
    <t>1984/каменные, кирпичные</t>
  </si>
  <si>
    <t>1985/каменные, кирпичные</t>
  </si>
  <si>
    <t>каменные, каменные</t>
  </si>
  <si>
    <t>1986/каменные, кирпичные</t>
  </si>
  <si>
    <t>1987/каменные, кирпичные</t>
  </si>
  <si>
    <t xml:space="preserve">утепление фасада с металлосайдингом </t>
  </si>
  <si>
    <t>сбор.щитовой</t>
  </si>
  <si>
    <t>шл.блочный</t>
  </si>
  <si>
    <t xml:space="preserve">ремонт фасада     </t>
  </si>
  <si>
    <t>ремонт крыши (на шифер)</t>
  </si>
  <si>
    <t>черепица</t>
  </si>
  <si>
    <t>панельные, обл. кирпич.</t>
  </si>
  <si>
    <t>брусч.</t>
  </si>
  <si>
    <t>гипсобл.</t>
  </si>
  <si>
    <t>карк.зас.</t>
  </si>
  <si>
    <t xml:space="preserve">ремонт водоснабжения (ХВС), водоотведения </t>
  </si>
  <si>
    <t>брус</t>
  </si>
  <si>
    <t xml:space="preserve">каменные кирпичные </t>
  </si>
  <si>
    <t>рулонная, совмещенная</t>
  </si>
  <si>
    <t>стеновые жб панель</t>
  </si>
  <si>
    <t>панель</t>
  </si>
  <si>
    <t>331,4</t>
  </si>
  <si>
    <t>682</t>
  </si>
  <si>
    <t>1034</t>
  </si>
  <si>
    <t>523</t>
  </si>
  <si>
    <t>467</t>
  </si>
  <si>
    <t>ремонт фасада (укрепление плит)</t>
  </si>
  <si>
    <t xml:space="preserve">Итого по муниципальный район Зилаирский район Республики Башкортостан </t>
  </si>
  <si>
    <t>х</t>
  </si>
  <si>
    <t>Краткосрочный план реализации Республиканской программы капитального ремонта общего имущества в многоквартирных домах, расположенных на территории Республики Башкортостан, на 2017-2019 годы</t>
  </si>
  <si>
    <t xml:space="preserve"> каменные, кирпичные  </t>
  </si>
  <si>
    <t xml:space="preserve">Таблица 1 . Адресный перечень многоквартирных домов, расположенных на территории Республики Башкортостан, в отношении которых в 2017-2019 годах планируется проведение капитального ремонта общего имущества </t>
  </si>
  <si>
    <t>ремонт водоснабжения, водоотведения (без ГВС)</t>
  </si>
  <si>
    <t>вн. ливневка</t>
  </si>
  <si>
    <t>Итого по городскому округу город Нефтекамск  Республики Башкортостан</t>
  </si>
  <si>
    <t xml:space="preserve">2015-лифт </t>
  </si>
  <si>
    <t>2016 лифт</t>
  </si>
  <si>
    <t>2015 вода</t>
  </si>
  <si>
    <t>2015 крыша</t>
  </si>
  <si>
    <t>2014 вода</t>
  </si>
  <si>
    <t>2015 элект</t>
  </si>
  <si>
    <t>2016г. Элект</t>
  </si>
  <si>
    <t>2014г.</t>
  </si>
  <si>
    <t>вода</t>
  </si>
  <si>
    <t>2014г. Электр</t>
  </si>
  <si>
    <t>утепление фасада (торцы)</t>
  </si>
  <si>
    <t>хотят  крышу</t>
  </si>
  <si>
    <t>6765 / 224</t>
  </si>
  <si>
    <t>Таблица 5. Адресный перечень многоквартирных домов, расположенных на территории Республики Башкортостан, в отношении которых в 2017-2019 гоах планируется проведение капитального ремонта общего имущества с раскладкой на СМР, ПСД, строительный контроль (технический надзор)</t>
  </si>
  <si>
    <t>г. Уфа, б-р Дуванский, д.22 корп.1</t>
  </si>
  <si>
    <t>г. Уфа, б-р Ибрагимова, д.47</t>
  </si>
  <si>
    <t>г. Уфа, б-р Ибрагимова, д.47 корп.1</t>
  </si>
  <si>
    <t>г. Уфа, б-р Ибрагимова, д.49 корп.1</t>
  </si>
  <si>
    <t>г. Уфа, б-р Ибрагимова, д.53</t>
  </si>
  <si>
    <t>г. Уфа, б-р Славы, д.15</t>
  </si>
  <si>
    <t>г. Уфа, б-р Славы, д.2 корп.3</t>
  </si>
  <si>
    <t>г. Уфа, б-р Славы, д.3</t>
  </si>
  <si>
    <t>г. Уфа, б-р Тухвата Янаби, д.49 корп.1</t>
  </si>
  <si>
    <t>г. Уфа, б-р Хадии Давлетшиной, д.20 корп.1</t>
  </si>
  <si>
    <t>г. Уфа, б-р Тюлькина, д.3</t>
  </si>
  <si>
    <t>г. Уфа, пер. Пархоменко, д.10</t>
  </si>
  <si>
    <t>г. Уфа, пер. Пархоменко, д.6 корп.1</t>
  </si>
  <si>
    <t>г. Уфа, пр-кт Октября, д.105 корп.3</t>
  </si>
  <si>
    <t>г. Уфа, пр-кт Октября, д.109 корп.2</t>
  </si>
  <si>
    <t>г. Уфа, пр-кт Октября, д.12 корп.2</t>
  </si>
  <si>
    <t>г. Уфа, пр-кт Октября, д.16 корп.3</t>
  </si>
  <si>
    <t>г. Уфа, пр-кт Октября, д.166 корп.1</t>
  </si>
  <si>
    <t>г. Уфа, пр-кт Октября, д.176</t>
  </si>
  <si>
    <t>г. Уфа, пр-кт Октября, д.176 корп.1</t>
  </si>
  <si>
    <t>г. Уфа, пр-кт Октября, д.21 корп.4</t>
  </si>
  <si>
    <t>г. Уфа, пр-кт Октября, д.22 корп.1</t>
  </si>
  <si>
    <t>г. Уфа, пр-кт Октября, д.23 корп.5</t>
  </si>
  <si>
    <t>г. Уфа, пр-кт Октября, д.26 корп.2</t>
  </si>
  <si>
    <t>г. Уфа, пр-кт Октября, д.37</t>
  </si>
  <si>
    <t>г. Уфа, пр-кт Октября, д.37 корп.3</t>
  </si>
  <si>
    <t>г. Уфа, пр-кт Октября, д.46 корп.1</t>
  </si>
  <si>
    <t>г. Уфа, пр-кт Октября, д.48</t>
  </si>
  <si>
    <t>г. Уфа, пр-кт Октября, д.63 корп.2</t>
  </si>
  <si>
    <t>г. Уфа, пр-кт Октября, д.64</t>
  </si>
  <si>
    <t>г. Уфа, пр-кт Октября, д.64 корп.1</t>
  </si>
  <si>
    <t>г. Уфа, пр-кт Октября, д.66 корп.2</t>
  </si>
  <si>
    <t>г. Уфа, пр-кт Октября, д.68 корп.1</t>
  </si>
  <si>
    <t>г. Уфа, пр-кт Октября, д.8 корп.2</t>
  </si>
  <si>
    <t>г. Уфа, пр-кт Октября, д.87</t>
  </si>
  <si>
    <t>г. Уфа, пр-кт Октября, д.87 корп.3</t>
  </si>
  <si>
    <t>г. Уфа, ул. 40 лет Октября, д.16</t>
  </si>
  <si>
    <t>г. Уфа, ул. 40 лет Октября, д.18</t>
  </si>
  <si>
    <t>г. Уфа, ул. 40 лет Октября, д.9</t>
  </si>
  <si>
    <t>г. Уфа, ул. 50 лет СССР, д.43 корп.1</t>
  </si>
  <si>
    <t>г. Уфа, ул. 50-летия Октября, д.11</t>
  </si>
  <si>
    <t>г. Уфа, ул. 50-летия Октября, д.2</t>
  </si>
  <si>
    <t>г. Уфа, ул. 50-летия Октября, д.20</t>
  </si>
  <si>
    <t>г. Уфа, ул. 50-летия Октября, д.7</t>
  </si>
  <si>
    <t>г. Уфа, ул. 8 Марта, д.13</t>
  </si>
  <si>
    <t>г. Уфа, ул. 8 Марта, д.20</t>
  </si>
  <si>
    <t>г. Уфа, ул. 8 Марта, д.26</t>
  </si>
  <si>
    <t>г. Уфа, ул. 8 Марта, д.5</t>
  </si>
  <si>
    <t>г. Уфа, ул. Авроры, д.27</t>
  </si>
  <si>
    <t>г. Уфа, ул. Авроры, д.31</t>
  </si>
  <si>
    <t>г. Уфа, ул. Авроры, д.7 корп.5</t>
  </si>
  <si>
    <t>г. Уфа, ул. Адмирала Макарова, д.14</t>
  </si>
  <si>
    <t>г. Уфа, ул. Адмирала Макарова, д.14 корп.1</t>
  </si>
  <si>
    <t>г. Уфа, ул. Адмирала Ушакова, д.56</t>
  </si>
  <si>
    <t>г. Уфа, ул. Адмирала Ушакова, д.62 корп.1</t>
  </si>
  <si>
    <t>г. Уфа, ул. Адмирала Ушакова, д.68</t>
  </si>
  <si>
    <t>г. Уфа, ул. Адмирала Ушакова, д.70</t>
  </si>
  <si>
    <t>г. Уфа, ул. Адмирала Ушакова, д.70 корп.1</t>
  </si>
  <si>
    <t>г. Уфа, ул. Адмирала Ушакова, д.74</t>
  </si>
  <si>
    <t>г. Уфа, ул. Адмирала Ушакова, д.88 корп.1</t>
  </si>
  <si>
    <t>г. Уфа, ул. Айская, д.63</t>
  </si>
  <si>
    <t>г. Уфа, ул. Айская, д.69 корп.1</t>
  </si>
  <si>
    <t>г. Уфа, ул. Айская, д.78</t>
  </si>
  <si>
    <t>г. Уфа, ул. Айская, д.79</t>
  </si>
  <si>
    <t>г. Уфа, ул. Айская, д.83</t>
  </si>
  <si>
    <t>г. Уфа, ул. Айская, д.91</t>
  </si>
  <si>
    <t>г. Уфа, ул. Акназарова, д.20</t>
  </si>
  <si>
    <t>г. Уфа, ул. Акназарова, д.27</t>
  </si>
  <si>
    <t>г. Уфа, ул. Александра Невского, д.11</t>
  </si>
  <si>
    <t>г. Уфа, ул. Александра Невского, д.25</t>
  </si>
  <si>
    <t>г. Уфа, ул. Антонова, д.2</t>
  </si>
  <si>
    <t>г. Уфа, ул. Архитектурная, д.10</t>
  </si>
  <si>
    <t>г. Уфа, ул. Архитектурная, д.4</t>
  </si>
  <si>
    <t>г. Уфа, ул. Архитектурная, д.8</t>
  </si>
  <si>
    <t>г. Уфа, ул. Ахметова, д.318</t>
  </si>
  <si>
    <t>г. Уфа, ул. Бабушкина, д.21 корп.1</t>
  </si>
  <si>
    <t>г. Уфа, ул. Бакалинская, д.38</t>
  </si>
  <si>
    <t>г. Уфа, ул. Бакалинская, д.62</t>
  </si>
  <si>
    <t>г. Уфа, ул. Батумская, д.1</t>
  </si>
  <si>
    <t>г. Уфа, ул. Батумская, д.3</t>
  </si>
  <si>
    <t>г. Уфа, ул. Батырская, д.10</t>
  </si>
  <si>
    <t>г. Уфа, ул. Батырская, д.10 корп.1</t>
  </si>
  <si>
    <t>г. Уфа, ул. Батырская, д.14 корп.1</t>
  </si>
  <si>
    <t>г. Уфа, ул. Батырская, д.14 корп.2</t>
  </si>
  <si>
    <t>г. Уфа, ул. Батырская, д.16</t>
  </si>
  <si>
    <t>г. Уфа, ул. Батырская, д.4</t>
  </si>
  <si>
    <t>г. Уфа, ул. Батырская, д.4 корп.1</t>
  </si>
  <si>
    <t>г. Уфа, ул. Баязита Бикбая, д.24 корп.2</t>
  </si>
  <si>
    <t>г. Уфа, ул. Белякова, д.82</t>
  </si>
  <si>
    <t>г. Уфа, ул. Блюхера, д.17</t>
  </si>
  <si>
    <t>г. Уфа, ул. Блюхера, д.3 корп.1</t>
  </si>
  <si>
    <t>г. Уфа, ул. Блюхера, д.32</t>
  </si>
  <si>
    <t>г. Уфа, ул. Блюхера, д.46</t>
  </si>
  <si>
    <t>г. Уфа, ул. Блюхера, д.6а</t>
  </si>
  <si>
    <t>г. Уфа, ул. Блюхера, д.8</t>
  </si>
  <si>
    <t>г. Уфа, ул. Богдана Хмельницкого, д.123</t>
  </si>
  <si>
    <t>г. Уфа, ул. Богдана Хмельницкого, д.45</t>
  </si>
  <si>
    <t>г. Уфа, ул. Богдана Хмельницкого, д.49 корп.1</t>
  </si>
  <si>
    <t>г. Уфа, ул. Богдана Хмельницкого, д.55</t>
  </si>
  <si>
    <t xml:space="preserve">г. Уфа, ул. Богдана Хмельницкого, д.57 </t>
  </si>
  <si>
    <t>г. Уфа, ул. Богдана Хмельницкого, д.59</t>
  </si>
  <si>
    <t>г. Уфа, ул. Богдана Хмельницкого, д.88 корп.1</t>
  </si>
  <si>
    <t>г. Уфа, ул. Борисоглебская, д.10</t>
  </si>
  <si>
    <t>г. Уфа, ул. Борисоглебская, д.12</t>
  </si>
  <si>
    <t>г. Уфа, ул. Владивостокская, д.13 корп.1</t>
  </si>
  <si>
    <t>г. Уфа, ул. Вологодская, д.21 корп.1</t>
  </si>
  <si>
    <t>г. Уфа, ул. Вологодская, д.77</t>
  </si>
  <si>
    <t>г. Уфа, ул. Гафури, д.72</t>
  </si>
  <si>
    <t>г. Уфа, ул. Георгия Мушникова, д.11 корп.3</t>
  </si>
  <si>
    <t>г. Уфа, ул. Гончарова, д.26</t>
  </si>
  <si>
    <t>г. Уфа, ул. Минигали Губайдуллина, д.19 корп.4</t>
  </si>
  <si>
    <t>г. Уфа, ул. Дагестанская, д.13 корп.1</t>
  </si>
  <si>
    <t xml:space="preserve">г. Уфа, ул. Даута Юлтыя, д.7 </t>
  </si>
  <si>
    <t>г. Уфа, ул. Дмитрия Донского, д.38</t>
  </si>
  <si>
    <t>г. Уфа, ул. Достоевского, д.112</t>
  </si>
  <si>
    <t>г. Уфа, ул. Достоевского, д.68</t>
  </si>
  <si>
    <t>г. Уфа, ул. Достоевского, д.83</t>
  </si>
  <si>
    <t>г. Уфа, ул. Жуковского, д.18</t>
  </si>
  <si>
    <t>г. Уфа, ул. Заводская, д.15</t>
  </si>
  <si>
    <t>г. Уфа, ул. Заводская, д.16</t>
  </si>
  <si>
    <t>г. Уфа, пер. Запорожский, д.32</t>
  </si>
  <si>
    <t>г. Уфа, ул. Запотоцкого, д.8</t>
  </si>
  <si>
    <t>г. Уфа, ул. Интернациональная, д.105</t>
  </si>
  <si>
    <t>г. Уфа, ул. Интернациональная, д.153 корп.1</t>
  </si>
  <si>
    <t>г. Уфа, ул. Интернациональная, д.165</t>
  </si>
  <si>
    <t>г. Уфа, ул. Интернациональная, д.179 корп.1</t>
  </si>
  <si>
    <t>г. Уфа, ул. Интернациональная, д.63</t>
  </si>
  <si>
    <t>г. Уфа, ул. Интернациональная, д.91 корп.1</t>
  </si>
  <si>
    <t>г. Уфа, ул. Калинина, д.18</t>
  </si>
  <si>
    <t>г. Уфа, ул. Калинина, д.20</t>
  </si>
  <si>
    <t>г. Уфа, ул. Калинина, д.22</t>
  </si>
  <si>
    <t>г. Уфа, ул. Калинина, д.61</t>
  </si>
  <si>
    <t>г. Уфа, ул. Калинина, д.84</t>
  </si>
  <si>
    <t>г. Уфа, ул. Карла Маркса, д.26</t>
  </si>
  <si>
    <t>г. Уфа, ул. Карла Маркса, д.32</t>
  </si>
  <si>
    <t>г. Уфа, ул. Карла Маркса, д.33</t>
  </si>
  <si>
    <t>г. Уфа, ул. Карла Маркса, д.54</t>
  </si>
  <si>
    <t>г. Уфа, ул. Кирова, д.101</t>
  </si>
  <si>
    <t>г. Уфа, ул. Кирова, д.39</t>
  </si>
  <si>
    <t>г. Уфа, ул. Клавдии Абрамовой, д.6</t>
  </si>
  <si>
    <t>г. Уфа, ул. Кольцевая, д.104</t>
  </si>
  <si>
    <t>г. Уфа, ул. Кольцевая, д.130</t>
  </si>
  <si>
    <t>г. Уфа, ул. Кольцевая, д.140</t>
  </si>
  <si>
    <t>г. Уфа, ул. Кольцевая, д.168 корп.1</t>
  </si>
  <si>
    <t>г. Уфа, ул. Кольцевая, д.187</t>
  </si>
  <si>
    <t>г. Уфа, ул. Кольцевая, д.191</t>
  </si>
  <si>
    <t>г. Уфа, ул. Кольцевая, д.200</t>
  </si>
  <si>
    <t>г. Уфа, ул. Кольцевая, д.204</t>
  </si>
  <si>
    <t>г. Уфа, ул. Кольцевая, д.33</t>
  </si>
  <si>
    <t>г. Уфа, ул. Кольцевая, д.36</t>
  </si>
  <si>
    <t>г. Уфа, ул. Коммунаров, д.22</t>
  </si>
  <si>
    <t>г. Уфа, ул. Коммунаров, д.55</t>
  </si>
  <si>
    <t>г. Уфа, ул. Коммунаров, д.59</t>
  </si>
  <si>
    <t>г. Уфа, ул. Коммунаров, д.6</t>
  </si>
  <si>
    <t>г. Уфа, ул. Коммунаров, д.67</t>
  </si>
  <si>
    <t>г. Уфа, ул. Коммунистическая, д.40а</t>
  </si>
  <si>
    <t>г. Уфа, ул. Коммунистическая, д.82</t>
  </si>
  <si>
    <t>г. Уфа, ул. Коммунистическая, д.89</t>
  </si>
  <si>
    <t>г. Уфа, ул. Комсомольская, д.100 корп.1</t>
  </si>
  <si>
    <t>г. Уфа, ул. Комсомольская, д.137 корп.2</t>
  </si>
  <si>
    <t>г. Уфа, ул. Комсомольская, д.157 корп.1</t>
  </si>
  <si>
    <t>г. Уфа, ул. Комсомольская, д.163 корп.1</t>
  </si>
  <si>
    <t>г. Уфа, ул. Комсомольская, д.167 корп.2</t>
  </si>
  <si>
    <t>г. Уфа, ул. Комсомольская, д.167 корп.3</t>
  </si>
  <si>
    <t>г. Уфа, ул. Комсомольская, д.26</t>
  </si>
  <si>
    <t>г. Уфа, ул. Космонавтов, д.18</t>
  </si>
  <si>
    <t>г. Уфа, ул. Красина, д.13</t>
  </si>
  <si>
    <t>г. Уфа, ул. Кремлевская, д.31</t>
  </si>
  <si>
    <t>г. Уфа, ул. Кремлевская, д.65</t>
  </si>
  <si>
    <t>г. Уфа, ул. Левитана, д.14 корп.3</t>
  </si>
  <si>
    <t>г. Уфа, ул. Левитана, д.15</t>
  </si>
  <si>
    <t>г. Уфа, ул. Левитана, д.17</t>
  </si>
  <si>
    <t>г. Уфа, ул. Левитана, д.19</t>
  </si>
  <si>
    <t>г. Уфа, ул. Левитана, д.22</t>
  </si>
  <si>
    <t>г. Уфа, ул. Левитана, д.41</t>
  </si>
  <si>
    <t>г. Уфа, ул. Левитана, д.41б</t>
  </si>
  <si>
    <t>г. Уфа, ул. Левченко, д.4</t>
  </si>
  <si>
    <t>г. Уфа, ул. Ленина, д.148</t>
  </si>
  <si>
    <t>г. Уфа, ул. Ленина, д.150 корп.2</t>
  </si>
  <si>
    <t>г. Уфа, ул. Ленина, д.162</t>
  </si>
  <si>
    <t>г. Уфа, ул. Ленина, д.65</t>
  </si>
  <si>
    <t>г. Уфа, ул. Лесотехникума, д.20</t>
  </si>
  <si>
    <t>г. Уфа, ул. Лесотехникума, д.26</t>
  </si>
  <si>
    <t>г. Уфа, ул. Летчиков, д.4 корп.1</t>
  </si>
  <si>
    <t>г. Уфа, ул. Магистральная, д.36</t>
  </si>
  <si>
    <t>г. Уфа, ул. Магистральная, д.7</t>
  </si>
  <si>
    <t>г. Уфа, ул. Максима Рыльского, д.10 корп.1</t>
  </si>
  <si>
    <t>г. Уфа, ул. Максима Рыльского, д.18</t>
  </si>
  <si>
    <t>г. Уфа, ул. Матвея Пинского, д.10</t>
  </si>
  <si>
    <t>г. Уфа, ул. Матвея Пинского, д.3</t>
  </si>
  <si>
    <t>г. Уфа, ул. Машиностроителей, д.9</t>
  </si>
  <si>
    <t>г. Уфа, ул. Маяковского, д.10 корп.2</t>
  </si>
  <si>
    <t>г. Уфа, ул. Маяковского, д.16</t>
  </si>
  <si>
    <t>г. Уфа, ул. Маяковского, д.4</t>
  </si>
  <si>
    <t>г. Уфа, ул. Мелеузовская, д.19</t>
  </si>
  <si>
    <t>г. Уфа, ул. Менделеева, д.155 корп.1</t>
  </si>
  <si>
    <t>г. Уфа, ул. Менделеева, д.155 корп.2</t>
  </si>
  <si>
    <t>г. Уфа, ул. Менделеева, д.155 корп.3</t>
  </si>
  <si>
    <t>г. Уфа, ул. Менделеева, д.155 корп.4</t>
  </si>
  <si>
    <t>г. Уфа, ул. Менделеева, д.171 корп.2</t>
  </si>
  <si>
    <t>г. Уфа, ул. Менделеева, д.175б</t>
  </si>
  <si>
    <t>г. Уфа, ул. Менделеева, д.189</t>
  </si>
  <si>
    <t>г. Уфа, ул. Менделеева, д.189в</t>
  </si>
  <si>
    <t>г. Уфа, ул. Менделеева, д.199</t>
  </si>
  <si>
    <t>г. Уфа, ул. Менделеева, д.207</t>
  </si>
  <si>
    <t>г. Уфа, ул. Менделеева, д.211</t>
  </si>
  <si>
    <t>г. Уфа, ул. Мингажева, д.123</t>
  </si>
  <si>
    <t>г. Уфа, ул. Мингажева, д.127</t>
  </si>
  <si>
    <t>г. Уфа, ул. Мингажева, д.156</t>
  </si>
  <si>
    <t>г. Уфа, ул. Мира, д.22</t>
  </si>
  <si>
    <t>г. Уфа, ул. Мира, д.24а</t>
  </si>
  <si>
    <t>г. Уфа, ул. Мира, д.3</t>
  </si>
  <si>
    <t>г. Уфа, ул. Мира, д.30</t>
  </si>
  <si>
    <t>г. Уфа, ул. Мира, д.9</t>
  </si>
  <si>
    <t>г. Уфа, ул. Мубарякова, д.4 корп.1</t>
  </si>
  <si>
    <t>г. Уфа, ул. Мусоргского, д.9а</t>
  </si>
  <si>
    <t>г. Уфа, ул. Мустая Карима, д.43</t>
  </si>
  <si>
    <t>г. Уфа, ул. Набережная реки Уфы, д.51</t>
  </si>
  <si>
    <t>г. Уфа, ул. Натальи Ковшовой, д.11</t>
  </si>
  <si>
    <t>г. Уфа, ул. Натальи Ковшовой, д.7</t>
  </si>
  <si>
    <t>г. Уфа, ул. Нежинская, д.39</t>
  </si>
  <si>
    <t>г. Уфа, ул. Николая Дмитриева, д.9</t>
  </si>
  <si>
    <t>г. Уфа, ул. Новороссийская, д.10</t>
  </si>
  <si>
    <t>г. Уфа, ул. Новороссийская, д.8</t>
  </si>
  <si>
    <t>г. Уфа, ул. Обская, д.6</t>
  </si>
  <si>
    <t>г. Уфа, ул. Орджоникидзе, д.20 корп.1</t>
  </si>
  <si>
    <t>г. Уфа, ул. Пархоменко, д.106 корп.2</t>
  </si>
  <si>
    <t>г. Уфа, ул. Пархоменко, д.117</t>
  </si>
  <si>
    <t>г. Уфа, ул. Первомайская, д.38</t>
  </si>
  <si>
    <t>г. Уфа, ул. Первомайская, д.42</t>
  </si>
  <si>
    <t>г. Уфа, ул. Первомайская, д.4а</t>
  </si>
  <si>
    <t>г. Уфа, ул. Первомайская, д.55</t>
  </si>
  <si>
    <t>г. Уфа, ул. Первомайская, д.56</t>
  </si>
  <si>
    <t>г. Уфа, ул. Первомайская, д.59</t>
  </si>
  <si>
    <t>г. Уфа, ул. Первомайская, д.63</t>
  </si>
  <si>
    <t>г. Уфа, ул. Первомайская, д.66</t>
  </si>
  <si>
    <t>г. Уфа, ул. Первомайская, д.68 корп.1</t>
  </si>
  <si>
    <t>г. Уфа, ул. Первомайская, д.75а</t>
  </si>
  <si>
    <t>г. Уфа, ул. Первомайская, д.83</t>
  </si>
  <si>
    <t>г. Уфа, ул. Первомайская, д.92</t>
  </si>
  <si>
    <t>г. Уфа, ул. Первомайская, д.94</t>
  </si>
  <si>
    <t>г. Уфа, ул. Петрозаводская, д.10б</t>
  </si>
  <si>
    <t>г. Уфа, ул. Петрозаводская, д.8</t>
  </si>
  <si>
    <t>г. Уфа, ул. Петрозаводская, д.8г</t>
  </si>
  <si>
    <t>г. Уфа, ул. Петропавловская, д.51</t>
  </si>
  <si>
    <t>г. Уфа, ул. Пионерская, д.13 корп.1</t>
  </si>
  <si>
    <t>г. Уфа, ул. Пионерская, д.16 корп.1</t>
  </si>
  <si>
    <t>г. Уфа, ул. Победы, д.20</t>
  </si>
  <si>
    <t>г. Уфа, ул. Победы, д.9 корп.1</t>
  </si>
  <si>
    <t>г. Уфа, ул. Правды, д.11</t>
  </si>
  <si>
    <t>г. Уфа, ул. Пушкина, д.54 корп.1</t>
  </si>
  <si>
    <t>г. Уфа, ул. Рабкоров, д.3</t>
  </si>
  <si>
    <t>г. Уфа, ул. Рабкоров, д.8</t>
  </si>
  <si>
    <t>г. Уфа, ул. Революционная, д.90</t>
  </si>
  <si>
    <t>г. Уфа, ул. Революционная, д.90 корп.1</t>
  </si>
  <si>
    <t>г. Уфа, ул. Революционная, д.97</t>
  </si>
  <si>
    <t>г. Уфа, ул. Революционная, д.97 корп.99</t>
  </si>
  <si>
    <t>г. Уфа, ул. Рихарда Зорге, д.11</t>
  </si>
  <si>
    <t>г. Уфа, ул. Рихарда Зорге, д.20</t>
  </si>
  <si>
    <t>г. Уфа, ул. Рихарда Зорге, д.24</t>
  </si>
  <si>
    <t>г. Уфа, ул. Рихарда Зорге, д.26 корп.1</t>
  </si>
  <si>
    <t>г. Уфа, ул. Рихарда Зорге, д.28</t>
  </si>
  <si>
    <t>г. Уфа, ул. Рихарда Зорге, д.31</t>
  </si>
  <si>
    <t>г. Уфа, ул. Рихарда Зорге, д.31 корп.3</t>
  </si>
  <si>
    <t>г. Уфа, ул. Рихарда Зорге, д.32 корп.1</t>
  </si>
  <si>
    <t>г. Уфа, ул. Рихарда Зорге, д.34 корп.3</t>
  </si>
  <si>
    <t>г. Уфа, ул. Рихарда Зорге, д.35</t>
  </si>
  <si>
    <t>г. Уфа, ул. Рихарда Зорге, д.37</t>
  </si>
  <si>
    <t>г. Уфа, ул. Рихарда Зорге, д.45 корп.1</t>
  </si>
  <si>
    <t>г. Уфа, ул. Рихарда Зорге, д.47</t>
  </si>
  <si>
    <t>г. Уфа, ул. Рихарда Зорге, д.49</t>
  </si>
  <si>
    <t>г. Уфа, ул. Российская, д.106 корп.1</t>
  </si>
  <si>
    <t>г. Уфа, ул. Российская, д.151</t>
  </si>
  <si>
    <t>г. Уфа, ул. Российская, д.161 корп.3</t>
  </si>
  <si>
    <t>г. Уфа, ул. Российская, д.33 корп.2</t>
  </si>
  <si>
    <t>г. Уфа, ул. Российская, д.39</t>
  </si>
  <si>
    <t>г. Уфа, ул. Российская, д.41 корп.2</t>
  </si>
  <si>
    <t>г. Уфа, ул. Российская, д.43 корп.11</t>
  </si>
  <si>
    <t>г. Уфа, ул. Российская, д.43 корп.2</t>
  </si>
  <si>
    <t>г. Уфа, ул. Российская, д.7</t>
  </si>
  <si>
    <t>г. Уфа, ул. Российская, д.78</t>
  </si>
  <si>
    <t>г. Уфа, ул. Российская, д.96 корп.1</t>
  </si>
  <si>
    <t>г. Уфа, ул. Российская, д.98</t>
  </si>
  <si>
    <t>г. Уфа, ул. Ростовская, д.26</t>
  </si>
  <si>
    <t>г. Уфа, ул. Рядовая, д.10</t>
  </si>
  <si>
    <t>г. Уфа, ул. Рядовая, д.11</t>
  </si>
  <si>
    <t>г. Уфа, ул. Рядовая, д.13</t>
  </si>
  <si>
    <t>г. Уфа, ул. Рядовая, д.15</t>
  </si>
  <si>
    <t>г. Уфа, ул. Рядовая, д.2</t>
  </si>
  <si>
    <t>г. Уфа, ул. Рядовая, д.9</t>
  </si>
  <si>
    <t>г. Уфа, ул. Рязанская, д.1 корп.1</t>
  </si>
  <si>
    <t>г. Уфа, ул. Рязанская, д.7</t>
  </si>
  <si>
    <t>г. Уфа, ул. Сагита Агиша, д.14 корп.1</t>
  </si>
  <si>
    <t>г. Уфа, ул. Свердлова, д.47</t>
  </si>
  <si>
    <t>г. Уфа, ул. Свободы, д.15</t>
  </si>
  <si>
    <t>г. Уфа, ул. Свободы, д.33</t>
  </si>
  <si>
    <t>г. Уфа, ул. Сельская Богородская, д.15</t>
  </si>
  <si>
    <t>г. Уфа, ул. Сельская Богородская, д.15б</t>
  </si>
  <si>
    <t>г. Уфа, ул. Сельская Богородская, д.15в</t>
  </si>
  <si>
    <t>г. Уфа, ул. Сельская Богородская, д.15г</t>
  </si>
  <si>
    <t>г. Уфа, ул. Сергея Вострецова, д.3</t>
  </si>
  <si>
    <t>г. Уфа, ул. Сергея Вострецова, д.5</t>
  </si>
  <si>
    <t>г. Уфа, ул. Советская, д.21</t>
  </si>
  <si>
    <t>г. Уфа, ул. Сосновская, д.34а</t>
  </si>
  <si>
    <t>г. Уфа, ул. Сосновская, д.44а</t>
  </si>
  <si>
    <t>г. Уфа, ул. Сосновская, д.48</t>
  </si>
  <si>
    <t>г. Уфа, ул. Сосновская, д.50</t>
  </si>
  <si>
    <t>г. Уфа, ул. Сосновская, д.52</t>
  </si>
  <si>
    <t>г. Уфа, ул. Степана Злобина, д.20</t>
  </si>
  <si>
    <t>г. Уфа, ул. Степана Злобина, д.32 корп.2</t>
  </si>
  <si>
    <t>г. Уфа, ул. Степана Злобина, д.34</t>
  </si>
  <si>
    <t>г. Уфа, ул. Степана Злобина, д.34 корп.1</t>
  </si>
  <si>
    <t>г. Уфа, ул. Степана Злобина, д.42</t>
  </si>
  <si>
    <t>г. Уфа, ул. Степана Кувыкина, д.14 корп.4</t>
  </si>
  <si>
    <t>г. Уфа, ул. Степана Кувыкина, д.14 корп.5</t>
  </si>
  <si>
    <t>г. Уфа, ул. Вологодская, д.11</t>
  </si>
  <si>
    <t>г. Уфа, ул. Степана Кувыкина, д.20</t>
  </si>
  <si>
    <t>г. Уфа, ул. Степана Кувыкина, д.21 корп.1</t>
  </si>
  <si>
    <t>г. Уфа, ул. Степана Халтурина, д.41 корп.1</t>
  </si>
  <si>
    <t>г. Уфа, ул. Степана Халтурина, д.43</t>
  </si>
  <si>
    <t>г. Уфа, ул. Степана Халтурина, д.44</t>
  </si>
  <si>
    <t>г. Уфа, ул. Степана Халтурина, д.46</t>
  </si>
  <si>
    <t>г. Уфа, ул. Степана Халтурина, д.59</t>
  </si>
  <si>
    <t>г. Уфа, ул. Султанова, д.8</t>
  </si>
  <si>
    <t>г. Уфа, б-р Тухвата Янаби, д.63</t>
  </si>
  <si>
    <t>г. Уфа, ул. Таллинская, д.23б</t>
  </si>
  <si>
    <t>г. Уфа, ул. Таллинская, д.26</t>
  </si>
  <si>
    <t>г. Уфа, ул. Татышлинская, д.2</t>
  </si>
  <si>
    <t>г. Уфа, ул. Татышлинская, д.4</t>
  </si>
  <si>
    <t>г. Уфа, ул. Татышлинская, д.6</t>
  </si>
  <si>
    <t>г. Уфа, ул. Ульяновых, д.20</t>
  </si>
  <si>
    <t>г. Уфа, ул. Ульяновых, д.33</t>
  </si>
  <si>
    <t>г. Уфа, ул. Ульяновых, д.36</t>
  </si>
  <si>
    <t>г. Уфа, ул. Ульяновых, д.37</t>
  </si>
  <si>
    <t>г. Уфа, ул. Ульяновых, д.46</t>
  </si>
  <si>
    <t>г. Уфа, ул. Ухтомского, д.22</t>
  </si>
  <si>
    <t>г. Уфа, ул. Ферина, д.1 корп.1</t>
  </si>
  <si>
    <t>г. Уфа, ул. Ферина, д.3 корп.3</t>
  </si>
  <si>
    <t>г. Уфа, ул. Ферина, д.8</t>
  </si>
  <si>
    <t>г. Уфа, ул. Харьковская, д.103</t>
  </si>
  <si>
    <t>г. Уфа, ул. Харьковская, д.114</t>
  </si>
  <si>
    <t>г. Уфа, ул. Харьковская, д.129</t>
  </si>
  <si>
    <t>г. Уфа, ул. Худайбердина, д.1</t>
  </si>
  <si>
    <t>г. Уфа, ул. Центральная, д.4</t>
  </si>
  <si>
    <t>г. Уфа, ул. Цюрупы, д.134</t>
  </si>
  <si>
    <t>г. Уфа, ул. Цюрупы, д.84</t>
  </si>
  <si>
    <t>г. Уфа, ул. Черниковская, д.12</t>
  </si>
  <si>
    <t>г. Уфа, ул. Черниковская, д.3</t>
  </si>
  <si>
    <t>г. Уфа, ул. Черниковская, д.46</t>
  </si>
  <si>
    <t>г. Уфа, ул. Черниковская, д.67</t>
  </si>
  <si>
    <t>г. Уфа, ул. Черниковская, д.69</t>
  </si>
  <si>
    <t>г. Уфа, ул. Чернышевского, д.101</t>
  </si>
  <si>
    <t>г. Уфа, ул. Чернышевского, д.105</t>
  </si>
  <si>
    <t>г. Уфа, ул. Шафиева, д.14</t>
  </si>
  <si>
    <t>г. Уфа, ул. Шафиева, д.29</t>
  </si>
  <si>
    <t>г. Уфа, ул. Шафиева, д.31 корп.1</t>
  </si>
  <si>
    <t>г. Уфа, ул. Шота Руставели, д.27 корп.3</t>
  </si>
  <si>
    <t>г. Уфа, ул. Уфимское шоссе, д.18 корп.4</t>
  </si>
  <si>
    <t>г. Уфа, ул. Уфимское шоссе, д.18 корп.5</t>
  </si>
  <si>
    <t>г. Уфа, ул. Уфимское шоссе, д.4 корп.1</t>
  </si>
  <si>
    <t>г. Уфа, ул. Уфимское шоссе, д.6</t>
  </si>
  <si>
    <t>г. Уфа, ул. Уфимское шоссе, д.8 корп.1</t>
  </si>
  <si>
    <t>г. Агидель, б-р Комсомольский, д.6а</t>
  </si>
  <si>
    <t>г. Агидель, ул. Академика Курчатова д.17</t>
  </si>
  <si>
    <t>г. Агидель, ул. Мира, д.4</t>
  </si>
  <si>
    <t>г. Агидель, ул. Мира, д.6</t>
  </si>
  <si>
    <t>г. Агидель, ул. Мира, д.22</t>
  </si>
  <si>
    <t>г. Агидель, ул. Первых Строителей, д.2</t>
  </si>
  <si>
    <t>г. Нефтекамск, пр-кт Комсомольский, д.22</t>
  </si>
  <si>
    <t>г. Нефтекамск, пр-кт Комсомольский, д.31а</t>
  </si>
  <si>
    <t>г. Нефтекамск, пр-кт Комсомольский, д.31б</t>
  </si>
  <si>
    <t>г. Нефтекамск, пр-кт Комсомольский, д.42а</t>
  </si>
  <si>
    <t>г. Нефтекамск, пр-кт Комсомольский, д.46</t>
  </si>
  <si>
    <t>г. Нефтекамск, пр-кт Комсомольский, д.52</t>
  </si>
  <si>
    <t>г. Нефтекамск, пр-кт Юбилейный, д.1а</t>
  </si>
  <si>
    <t>г. Нефтекамск, ул. Дзержинского, д.1 корп.А</t>
  </si>
  <si>
    <t>г. Нефтекамск, ул. Дзержинского, д.1 корп.Б</t>
  </si>
  <si>
    <t>г. Нефтекамск, ул. Дорожная, д.17а</t>
  </si>
  <si>
    <t>г. Нефтекамск, ул. Дорожная, д.21а</t>
  </si>
  <si>
    <t>г. Нефтекамск, ул. Дорожная, д.25а</t>
  </si>
  <si>
    <t>г. Нефтекамск, ул. Дорожная, д.27а</t>
  </si>
  <si>
    <t>г. Нефтекамск, ул. Ленина, д.13а</t>
  </si>
  <si>
    <t>г. Нефтекамск, ул. Ленина, д.25</t>
  </si>
  <si>
    <t>г. Нефтекамск, ул. Ленина, д.31в</t>
  </si>
  <si>
    <t>г. Нефтекамск, ул. Ленина, д.38</t>
  </si>
  <si>
    <t>г. Нефтекамск, ул. Ленина, д.41</t>
  </si>
  <si>
    <t>г. Нефтекамск, ул. Ленина, д.58а</t>
  </si>
  <si>
    <t>г. Нефтекамск, ул. Ленина, д.64</t>
  </si>
  <si>
    <t>г. Нефтекамск, ул. Ленина, д.8</t>
  </si>
  <si>
    <t>г. Нефтекамск, ул. Нефтяников, д.13</t>
  </si>
  <si>
    <t>г. Нефтекамск, ул. Нефтяников, д.19а</t>
  </si>
  <si>
    <t>г. Нефтекамск, ул. Нефтяников, д.26б</t>
  </si>
  <si>
    <t>г. Нефтекамск, ул. Нефтяников, д.28б</t>
  </si>
  <si>
    <t>г. Нефтекамск, ул. Парковая, д.21</t>
  </si>
  <si>
    <t>г. Нефтекамск, ул. Парковая, д.4а</t>
  </si>
  <si>
    <t>г. Нефтекамск, ул. Парковая, д.5б</t>
  </si>
  <si>
    <t>г. Нефтекамск, ул. Парковая, д.6</t>
  </si>
  <si>
    <t>г. Нефтекамск, ул. Парковая, д.8</t>
  </si>
  <si>
    <t>г. Нефтекамск, ул. Парковая, д.8б</t>
  </si>
  <si>
    <t>г. Нефтекамск, ул. Победы, д.13а</t>
  </si>
  <si>
    <t xml:space="preserve">г. Нефтекамск, ул. Победы, д.3 </t>
  </si>
  <si>
    <t>г. Нефтекамск, ул. Социалистическая, д.111</t>
  </si>
  <si>
    <t>г. Нефтекамск, ул. Социалистическая, д.20а</t>
  </si>
  <si>
    <t>г. Нефтекамск, ул. Социалистическая, д.66а</t>
  </si>
  <si>
    <t>г. Нефтекамск, ул. Социалистическая, д.95</t>
  </si>
  <si>
    <t>г. Нефтекамск, ул. Социалистическая, д.32</t>
  </si>
  <si>
    <t>г. Нефтекамск, ул. Строителей, д.17</t>
  </si>
  <si>
    <t>г. Нефтекамск, ул. Строителей, д.45</t>
  </si>
  <si>
    <t>г. Нефтекамск, ул. Строителей, д.47а</t>
  </si>
  <si>
    <t>г. Нефтекамск, ул. Строителей, д.51</t>
  </si>
  <si>
    <t>г. Нефтекамск, ул. Строителей, д.87б</t>
  </si>
  <si>
    <t>г. Нефтекамск, ул. Энергетиков, д.9</t>
  </si>
  <si>
    <t>с. Амзя, ул. Азина, д.3</t>
  </si>
  <si>
    <t>с. Амзя, ул. Азина, д.5</t>
  </si>
  <si>
    <t>с. Амзя, ул. Кудрявцева, д.17</t>
  </si>
  <si>
    <t>с. Амзя, ул. Кудрявцева, д.2</t>
  </si>
  <si>
    <t>с. Амзя, ул. Лесохимическая, д.4</t>
  </si>
  <si>
    <t>с. Амзя, ул. Лесохимическая, д.6</t>
  </si>
  <si>
    <t>г. Октябрьский, мкр. 21-й, д.12</t>
  </si>
  <si>
    <t>г. Октябрьский, мкр. 24-й, д.12</t>
  </si>
  <si>
    <t>г. Октябрьский, мкр. 24-й, д.28</t>
  </si>
  <si>
    <t>г. Октябрьский, мкр. 25-й, д.16</t>
  </si>
  <si>
    <t>г. Октябрьский, мкр. 25-й, д.21</t>
  </si>
  <si>
    <t>г. Октябрьский, мкр. 25-й, д.7</t>
  </si>
  <si>
    <t>г. Октябрьский, мкр. 25-й, д.8</t>
  </si>
  <si>
    <t>г. Октябрьский, мкр. 34-й, д.10</t>
  </si>
  <si>
    <t>г. Октябрьский, мкр. 34-й, д.10а</t>
  </si>
  <si>
    <t>г. Октябрьский, мкр. 34-й, д.12 корп.2</t>
  </si>
  <si>
    <t>г. Октябрьский, мкр. 34-й, д.19</t>
  </si>
  <si>
    <t>г. Октябрьский, мкр. 34-й, д.20</t>
  </si>
  <si>
    <t>г. Октябрьский, мкр. 34-й, д.22</t>
  </si>
  <si>
    <t>г. Октябрьский, мкр. 34-й, д.28</t>
  </si>
  <si>
    <t>г. Октябрьский, мкр. 34-й, д.29</t>
  </si>
  <si>
    <t>г. Октябрьский, мкр. 34-й, д.3</t>
  </si>
  <si>
    <t>г. Октябрьский, мкр. 35-й, д.11</t>
  </si>
  <si>
    <t>г. Октябрьский, мкр. 35-й, д.16</t>
  </si>
  <si>
    <t xml:space="preserve">г. Октябрьский, мкр. 35-й, д.19 </t>
  </si>
  <si>
    <t>г. Октябрьский, мкр. 35-й, д.29</t>
  </si>
  <si>
    <t>г. Октябрьский, мкр. 35-й, д.3</t>
  </si>
  <si>
    <t>г. Октябрьский, мкр. 35-й, д.34</t>
  </si>
  <si>
    <t>г. Октябрьский, мкр. 35-й, д.39</t>
  </si>
  <si>
    <t>г. Октябрьский, пр-кт Ленина, д.45</t>
  </si>
  <si>
    <t>г. Октябрьский, пр-кт Ленина, д.45 корп.1</t>
  </si>
  <si>
    <t>г. Октябрьский, пр-кт Ленина, д.67</t>
  </si>
  <si>
    <t>г. Октябрьский, пр-кт Ленина, д.79</t>
  </si>
  <si>
    <t>г. Октябрьский, пр-кт Ленина, д.8</t>
  </si>
  <si>
    <t>г. Октябрьский, ул. Академика Королева, д.10а</t>
  </si>
  <si>
    <t>г. Октябрьский, ул. Академика Королева, д.13</t>
  </si>
  <si>
    <t>г. Октябрьский, ул. Гаражная, д.5</t>
  </si>
  <si>
    <t>г. Октябрьский, ул. Герцена, д.24б</t>
  </si>
  <si>
    <t>г. Октябрьский, ул. Герцена, д.36</t>
  </si>
  <si>
    <t>г. Октябрьский, ул. Горького, д.15</t>
  </si>
  <si>
    <t>г. Октябрьский, ул. Горького, д.40</t>
  </si>
  <si>
    <t>г. Октябрьский, ул. Губкина, д.22</t>
  </si>
  <si>
    <t>г. Октябрьский, ул. Девонская, д.15</t>
  </si>
  <si>
    <t>г. Октябрьский, ул. Комсомольская, д.19</t>
  </si>
  <si>
    <t>г. Октябрьский, ул. Комсомольская, д.20б</t>
  </si>
  <si>
    <t>г. Октябрьский, ул. Комсомольская, д.41</t>
  </si>
  <si>
    <t>г. Октябрьский, ул. Кортунова, д.14</t>
  </si>
  <si>
    <t>г. Октябрьский, ул. Кувыкина, д.26</t>
  </si>
  <si>
    <t>г. Октябрьский, ул. Кувыкина, д.26а</t>
  </si>
  <si>
    <t>г. Октябрьский, ул. Луначарского, д.2</t>
  </si>
  <si>
    <t>г. Октябрьский, ул. Островского, д.52</t>
  </si>
  <si>
    <t>г. Октябрьский, ул. Островского, д.53</t>
  </si>
  <si>
    <t>г. Октябрьский, ул. Островского, д.88</t>
  </si>
  <si>
    <t>г. Октябрьский, ул. Садовое Кольцо, д.13</t>
  </si>
  <si>
    <t>г. Октябрьский, ул. Садовое Кольцо, д.58</t>
  </si>
  <si>
    <t>г. Октябрьский, ул. Садовое Кольцо, д.59</t>
  </si>
  <si>
    <t>г. Октябрьский, ул. Садовое Кольцо, д.60</t>
  </si>
  <si>
    <t>г. Октябрьский, ул. Садовое Кольцо, д.60а</t>
  </si>
  <si>
    <t>г. Октябрьский, ул. Свердлова, д.22</t>
  </si>
  <si>
    <t>г. Октябрьский, ул. Северная, д.28</t>
  </si>
  <si>
    <t>г. Октябрьский, ул. Фрунзе, д.1</t>
  </si>
  <si>
    <t>с. Ким, ул. Мира, д.10</t>
  </si>
  <si>
    <t>с. Мечниково, ул. Центральная, д.10</t>
  </si>
  <si>
    <t>с. Раевский, ул. Карла Маркса, д.1</t>
  </si>
  <si>
    <t>с. Раевский, ул. Карла Маркса, д.3</t>
  </si>
  <si>
    <t>с. Раевский, ул. Карла Маркса, д.5</t>
  </si>
  <si>
    <t>с. Раевский, ул. Космонавтов, д.36а</t>
  </si>
  <si>
    <t>с. Аскино, ул. Гагарина, д.12</t>
  </si>
  <si>
    <t>с. Бакалы, ул. Ленина, д.199</t>
  </si>
  <si>
    <t>с. Бакалы, ул. Красноармейская, д.16</t>
  </si>
  <si>
    <t>с. Бакалы, ул. Советская, д.3</t>
  </si>
  <si>
    <t>с. Старобалтачево, ул. Комсомольская, д.53</t>
  </si>
  <si>
    <t>с. Старобалтачево, ул. Комсомольская, д.64</t>
  </si>
  <si>
    <t>с. Старобалтачево, ул. Советская, д.46</t>
  </si>
  <si>
    <t>г. Белебей, ул. им Бехтерева, д.17</t>
  </si>
  <si>
    <t>г. Белебей, ул. Волгоградская, д.9 корп.3</t>
  </si>
  <si>
    <t>г. Белебей, ул. им В.И.Ленина, д.32а</t>
  </si>
  <si>
    <t>г. Белебей, ул. Интернациональная, д.75</t>
  </si>
  <si>
    <t>г. Белебей, ул. Красная, д.95а</t>
  </si>
  <si>
    <t>г. Белебей, ул. Красная, д.117 корп.1</t>
  </si>
  <si>
    <t>г. Белебей, ул. Красная, д.123 корп.2</t>
  </si>
  <si>
    <t>г. Белебей, ул. Красная, д.123 корп.3</t>
  </si>
  <si>
    <t>г. Белебей, ул. Красная, д.124</t>
  </si>
  <si>
    <t>г. Белебей, ул. Мебельная, д.15</t>
  </si>
  <si>
    <t>г. Белебей, ул. Площадка РТС, д.11</t>
  </si>
  <si>
    <t>г. Белебей, ул. Пролетарская, д.66 корп.1</t>
  </si>
  <si>
    <t>г. Белебей, ул. Революционеров, д.5</t>
  </si>
  <si>
    <t>г. Белебей, ул. Фурманова, д.63</t>
  </si>
  <si>
    <t>с. Аксаково, ул. Садовая, д.35</t>
  </si>
  <si>
    <t>с. Баженово, ул. Советская, д.5</t>
  </si>
  <si>
    <t>с. ЦУ племзавода им Максима Горького, ул. Мира, д.5</t>
  </si>
  <si>
    <t>с. Новобелокатай, ул. Мира, д.6</t>
  </si>
  <si>
    <t>с. Бижбуляк, ул. Центральная, д.73</t>
  </si>
  <si>
    <t>с. Бижбуляк, ул. Юбилейная, д.9</t>
  </si>
  <si>
    <t>г. Бирск, ул. 8 Марта, д.10</t>
  </si>
  <si>
    <t>г. Бирск, ул. 8 Марта, д.14а</t>
  </si>
  <si>
    <t>г. Бирск, ул. 8 Марта, д.24а</t>
  </si>
  <si>
    <t>г. Бирск, ул. 8 Марта, д.40</t>
  </si>
  <si>
    <t>г. Бирск, ул. Интернациональная, д.25а</t>
  </si>
  <si>
    <t>г. Бирск, ул. Калинина, д.25</t>
  </si>
  <si>
    <t>г. Бирск, ул. Калинина, д.26</t>
  </si>
  <si>
    <t>г. Бирск, ул. Калинина, д.29</t>
  </si>
  <si>
    <t>г. Бирск, ул. Луговая, д.28б</t>
  </si>
  <si>
    <t>г. Бирск, ул. Мира, д.132</t>
  </si>
  <si>
    <t>г. Бирск, ул. Мира, д.134а</t>
  </si>
  <si>
    <t>г. Бирск, ул. Овчинникова, д.36а</t>
  </si>
  <si>
    <t>г. Бирск, ул. Советская, д.40</t>
  </si>
  <si>
    <t>г. Бирск, ул. Советская, д.42а</t>
  </si>
  <si>
    <t>г. Бирск, ул. Чеверева, д.142а</t>
  </si>
  <si>
    <t>г. Бирск, ул. Чеверева, д.142в</t>
  </si>
  <si>
    <t>с. Калинники, ул. Центральная, д.8</t>
  </si>
  <si>
    <t>с. Осиновка, ул. Овчинникова, д.5</t>
  </si>
  <si>
    <t>с. Силантьево, ул. Интернациональная, д.16</t>
  </si>
  <si>
    <t>с. Суслово, ул. Центральная, д.30б</t>
  </si>
  <si>
    <t>с. Первомайский, ул. Победы, д.5</t>
  </si>
  <si>
    <t>с. Первомайский, ул. Победы, д.6</t>
  </si>
  <si>
    <t>г. Благовещенск, ул. Братьев Першиных, д.3 корп.1</t>
  </si>
  <si>
    <t>г. Благовещенск, ул. Братьев Першиных, д.6</t>
  </si>
  <si>
    <t>г. Благовещенск, ул. Демьяна Бедного, д.95</t>
  </si>
  <si>
    <t>г. Благовещенск, ул. Комарова, д.11 корп.2</t>
  </si>
  <si>
    <t>г. Благовещенск, ул. Комарова, д.17 корп.1</t>
  </si>
  <si>
    <t>г. Благовещенск, ул. Комарова, д.3 корп.1</t>
  </si>
  <si>
    <t>г. Благовещенск, ул. Коммунистическая, д.5</t>
  </si>
  <si>
    <t>г. Благовещенск, ул. Коммунистическая, д.8</t>
  </si>
  <si>
    <t>г. Благовещенск, ул. Седова, д.111 корп.1</t>
  </si>
  <si>
    <t>г. Благовещенск, ул. Седова, д.112 корп.1</t>
  </si>
  <si>
    <t>г. Благовещенск, ул. Советская, д.6</t>
  </si>
  <si>
    <t>г. Благовещенск, ул. Социалистическая, д.20</t>
  </si>
  <si>
    <t>г. Благовещенск, ул. Чехова, д.11 корп.1</t>
  </si>
  <si>
    <t>г. Благовещенск, ул. Чистякова, д.26</t>
  </si>
  <si>
    <t>с. Буздяк, ул. Гагарина, д.9а</t>
  </si>
  <si>
    <t>с. Буздяк, ул. Кирова, д.1</t>
  </si>
  <si>
    <t>с. Восточное, ул. Центральная, д.36</t>
  </si>
  <si>
    <t>с. Бураево, ул. Строителей, д.23</t>
  </si>
  <si>
    <t>г. Давлеканово, ул. Беляева, д.4</t>
  </si>
  <si>
    <t>г. Давлеканово, ул. Красная Площадь, д.7а</t>
  </si>
  <si>
    <t>г. Давлеканово, ул. Мира, д.7</t>
  </si>
  <si>
    <t>г. Давлеканово, ул. Мира, д.13</t>
  </si>
  <si>
    <t>г. Давлеканово, ул. Мира, д.17</t>
  </si>
  <si>
    <t>г. Давлеканово, ул. Мира, д.19</t>
  </si>
  <si>
    <t>с. Месягутово, ул. Октябрьская, д.18 корп.1</t>
  </si>
  <si>
    <t>г. Дюртюли, ул. Агидель, д.10а</t>
  </si>
  <si>
    <t>г. Дюртюли, ул. Василия Горшкова, д.3</t>
  </si>
  <si>
    <t>г. Дюртюли, ул. Гостенова, д.34</t>
  </si>
  <si>
    <t>г. Дюртюли, ул. Красноармейская, д.36</t>
  </si>
  <si>
    <t>г. Дюртюли, ул. Ленина, д.7 корп.1</t>
  </si>
  <si>
    <t>г. Дюртюли, ул. Ленина, д.36</t>
  </si>
  <si>
    <t>г. Дюртюли, ул. Ленина, д.44</t>
  </si>
  <si>
    <t>г. Дюртюли, ул. Матросова, д.13</t>
  </si>
  <si>
    <t>г. Дюртюли, ул. Назара Наджми, д.39</t>
  </si>
  <si>
    <t>г. Дюртюли, ул. Назара Наджми, д.40</t>
  </si>
  <si>
    <t>г. Дюртюли, ул. Первомайская, д.4а</t>
  </si>
  <si>
    <t>г. Дюртюли, ул. Первомайская, д.10а</t>
  </si>
  <si>
    <t>г. Дюртюли, ул. Первомайская, д.12</t>
  </si>
  <si>
    <t>г. Дюртюли, ул. Первомайская, д.13а</t>
  </si>
  <si>
    <t>г. Дюртюли, ул. Садовая, д.11</t>
  </si>
  <si>
    <t>г. Дюртюли, ул. Электрическая, д.34</t>
  </si>
  <si>
    <t>с. Асяново, ул. Трактовая, д.11</t>
  </si>
  <si>
    <t>с. Иванаево, ул. Комсомольская, д.2</t>
  </si>
  <si>
    <t xml:space="preserve">с. Семилетка, ул. Губкина, д.3 </t>
  </si>
  <si>
    <t xml:space="preserve">с. Семилетка, ул. Губкина, д.5 </t>
  </si>
  <si>
    <t>с. Семилетка, ул. Коммунистическая, д.4</t>
  </si>
  <si>
    <t>с. Ермекеево, ул. Сельхозтехники, д.2</t>
  </si>
  <si>
    <t>с. Кудеевский, ул. Победы, д.3</t>
  </si>
  <si>
    <t>с. Иглино, ул. Калинина, д.10</t>
  </si>
  <si>
    <t>с. Верхнеяркеево, пер. Библиотечный, д.7</t>
  </si>
  <si>
    <t>с. Калтасы, ул. Карла Маркса, д.71</t>
  </si>
  <si>
    <t>с. Калтасы, ул. Карла Маркса, д.90</t>
  </si>
  <si>
    <t>с. Краснохолмский, ул. Горького, д.3</t>
  </si>
  <si>
    <t>с. Краснохолмский, ул. Горького, д.19</t>
  </si>
  <si>
    <t>с. Краснохолмский, ул. Губкина, д.22</t>
  </si>
  <si>
    <t>с. Краснохолмский, ул. Губкина, д.22а</t>
  </si>
  <si>
    <t>с. Краснохолмский, ул. Губкина, д.28</t>
  </si>
  <si>
    <t>с. Краснохолмский, ул. Калинина, д.4</t>
  </si>
  <si>
    <t>с. Краснохолмский, ул. Октябрьская, д.54</t>
  </si>
  <si>
    <t>с. Краснохолмский, ул. Октябрьская, д.58</t>
  </si>
  <si>
    <t>с. Краснохолмский, ул. Стадионная, д.4</t>
  </si>
  <si>
    <t>с. Краснохолмский, ул. Фрунзе, д.17</t>
  </si>
  <si>
    <t>с. Краснохолмский, ул. Юбилейная, д.1</t>
  </si>
  <si>
    <t>с. Краснохолмский, ул. Ленина, д.13</t>
  </si>
  <si>
    <t>с. Кутерем, ул. Нефтяников, д.1а</t>
  </si>
  <si>
    <t>с. Караидель, ул. Октябрьская, д.28</t>
  </si>
  <si>
    <t>с. Верхние Киги, ул. Ленина, д.110</t>
  </si>
  <si>
    <t xml:space="preserve">с. Куяново, ул. Лесная, д.11 </t>
  </si>
  <si>
    <t>с. Николо-Березовка, ул. Дорожная, д.36</t>
  </si>
  <si>
    <t>с. Николо-Березовка, ул. Дорожная, д.40</t>
  </si>
  <si>
    <t>с. Николо-Березовка, ул. Дорожная, д.40 корп.4</t>
  </si>
  <si>
    <t>с. Николо-Березовка, ул. Молодежная, д.7</t>
  </si>
  <si>
    <t>с. Кушнаренково, ул. Партизанская, д.3</t>
  </si>
  <si>
    <t>с. Большеустьикинское, ул. Мира, д.5</t>
  </si>
  <si>
    <t>с. Большеустьикинское, ул. Ленина, д.2а</t>
  </si>
  <si>
    <t>с. Большеустьикинское, ул. Мира, д.18</t>
  </si>
  <si>
    <t>с. Мишкино, ул. Мира, д.16</t>
  </si>
  <si>
    <t>с. Киргиз-Мияки, ул. Гагарина, д.1</t>
  </si>
  <si>
    <t>с. Красная горка, ул. Колхозная, д.5</t>
  </si>
  <si>
    <t>с. Павловка, ул. Карла Маркса, д.27</t>
  </si>
  <si>
    <t>с. Малояз, ул. Коммунистическая, д.74</t>
  </si>
  <si>
    <t>с. Малояз, ул. Школьная, д.12</t>
  </si>
  <si>
    <t xml:space="preserve">с. Мурсалимкино, ул. Коммунистическая, д.15 </t>
  </si>
  <si>
    <t>с. Верхние Татышлы, пер. Гагарина, д.3</t>
  </si>
  <si>
    <t>г. Туймазы, ул. 70 лет Октября, д.9а</t>
  </si>
  <si>
    <t>г. Туймазы, ул. 70 лет Октября, д.11</t>
  </si>
  <si>
    <t>г. Туймазы, ул. 70 лет Октября, д.13</t>
  </si>
  <si>
    <t>г. Туймазы, мкр. Молодежный, д.11</t>
  </si>
  <si>
    <t>г. Туймазы, мкр. Молодежный, д.18</t>
  </si>
  <si>
    <t>г. Туймазы, мкр. Молодежный, д.21</t>
  </si>
  <si>
    <t>г. Туймазы, пр-кт Ленина, д.1</t>
  </si>
  <si>
    <t>г. Туймазы, пр-кт Ленина, д.8</t>
  </si>
  <si>
    <t>г. Туймазы, ул. Аксакова, д.1</t>
  </si>
  <si>
    <t>г. Туймазы, ул. Аксакова, д.5</t>
  </si>
  <si>
    <t>г. Туймазы, ул. Комарова, д.5</t>
  </si>
  <si>
    <t>г. Туймазы, ул. Комарова, д.26</t>
  </si>
  <si>
    <t>г. Туймазы, ул. Луначарского, д.49</t>
  </si>
  <si>
    <t>г. Туймазы, ул. Луначарского, д.51</t>
  </si>
  <si>
    <t>г. Туймазы, ул. Мичурина, д.8</t>
  </si>
  <si>
    <t>г. Туймазы, ул. Мичурина, д.10</t>
  </si>
  <si>
    <t>г. Туймазы, ул. Мичурина, д.17а</t>
  </si>
  <si>
    <t>г. Туймазы, ул. Островского, д.9 корп.1</t>
  </si>
  <si>
    <t>г. Туймазы, ул. Чапаева, д.6б</t>
  </si>
  <si>
    <t>г. Туймазы, ул. Чапаева, д.10</t>
  </si>
  <si>
    <t>с. Кандры, ул. Ленина, д.13</t>
  </si>
  <si>
    <t>с. Кандры, ул. С.Юлаева, д.11</t>
  </si>
  <si>
    <t>с. Кандры, ул. Мира, д.6</t>
  </si>
  <si>
    <t>с. Нижнетроицкий, ул. Гагарина, д.9</t>
  </si>
  <si>
    <t>с. Серафимовский, 21-й кв-л, д.7</t>
  </si>
  <si>
    <t>с. Серафимовский, ул. Гафури, д.13</t>
  </si>
  <si>
    <t>с. Серафимовский, ул. Губкина, д.4</t>
  </si>
  <si>
    <t>с. Серафимовский, ул. Девонская, д.35</t>
  </si>
  <si>
    <t>с. Серафимовский, ул. Девонская, д.42а</t>
  </si>
  <si>
    <t>с. Серафимовский, ул. Пл.Советская, д.1</t>
  </si>
  <si>
    <t>с. Серафимовский, ул. Пл.Советская, д.2</t>
  </si>
  <si>
    <t>с. Субханкулово, ул. Ленина, д.10</t>
  </si>
  <si>
    <t>с. Субханкулово, ул. Нефтяников, д.2</t>
  </si>
  <si>
    <t>с. Карамалы-Губеево, ул. Ленина, д.13</t>
  </si>
  <si>
    <t>г. Туймазы, ул. Аксакова, д.16</t>
  </si>
  <si>
    <t>г. Туймазы, ул. Комарова, д.20</t>
  </si>
  <si>
    <t>г. Туймазы, пр-кт Ленина, д.19б</t>
  </si>
  <si>
    <t>г. Туймазы, ул. Мичурина, д.5</t>
  </si>
  <si>
    <t>г. Туймазы, ул. М.Джалиля, д.30</t>
  </si>
  <si>
    <t>г. Туймазы, ул. Пугачева, д.6</t>
  </si>
  <si>
    <t>г. Туймазы, ул. Комарова, д.9</t>
  </si>
  <si>
    <t>д. Алексеевка, с.п. Алексеевский, ул. Интернациональная, д.62</t>
  </si>
  <si>
    <t>д. Алексеевка, с.п. Алексеевский, ул. Интернациональная, д.62 корп.1</t>
  </si>
  <si>
    <t>д. Алексеевка, с.п. Алексеевский, ул. Комсомольская, д.2</t>
  </si>
  <si>
    <t>д. Ягодная Поляна, с.п. Дмитриевский, ул. Центральная, д.2</t>
  </si>
  <si>
    <t>д. Ягодная Поляна, с.п. Дмитриевский, ул. Центральная, д.3</t>
  </si>
  <si>
    <t>с. Геофизиков, с.п. Чесноковский, ул. Геологов, д.3а</t>
  </si>
  <si>
    <t>с. Миловка, с.п. Миловский, ул. Гагарина, д.7</t>
  </si>
  <si>
    <t>с. Михайловка, с.п. Михайловский, ул. Садовая, д.12</t>
  </si>
  <si>
    <t>с. Михайловка, с.п. Михайловский, ул. Садовая, д.16</t>
  </si>
  <si>
    <t>с. Михайловка, с.п. Михайловский, ул. Садовая, д.3 корп.2</t>
  </si>
  <si>
    <t>с. Нижегородка, с.п. Зубовский, ул. Кузнецовская поляна, д.1</t>
  </si>
  <si>
    <t>с. Нижегородка, с.п. Зубовский, ул. Мира, д.22 корп.1</t>
  </si>
  <si>
    <t>с. Октябрьский, с.п. Шемякский, ул. Школьная, д.1 корп.1</t>
  </si>
  <si>
    <t>с. Ольховое, с.п. Ольховский, ул. Советская, д.1 корп.1</t>
  </si>
  <si>
    <t>с. Чернолесовский, с.п. Красноярский, ул. Мира, д.2</t>
  </si>
  <si>
    <t>с. санаторий Юматово, с.п. Юматовский, ул. Кольцевая, д.12</t>
  </si>
  <si>
    <t>с. Старокалмашево, ул. Нефтяников, д.8</t>
  </si>
  <si>
    <t>с. Чекмагуш, ул. 70 лет Октября, д.6 корп.2</t>
  </si>
  <si>
    <t>с. Чекмагуш, ул. Гагарина, д.2</t>
  </si>
  <si>
    <t>с. Чекмагуш, ул. Гагарина, д.2а</t>
  </si>
  <si>
    <t>с. Чекмагуш, ул. Мира, д.16</t>
  </si>
  <si>
    <t>рп Чишмы, пер. Почтовый, д.2</t>
  </si>
  <si>
    <t>рп Чишмы, ул. Западная, д.2а</t>
  </si>
  <si>
    <t>рп Чишмы, ул. Кирова, д.54</t>
  </si>
  <si>
    <t>рп Чишмы, ул. Мира, д.2</t>
  </si>
  <si>
    <t>рп Чишмы, ул. Социалистическая, д.4</t>
  </si>
  <si>
    <t>рп Чишмы, ул. Шоссейная, д.6</t>
  </si>
  <si>
    <t>с. Чишмы, ул. Колхозная, д.7</t>
  </si>
  <si>
    <t>с. Шингак-Куль, ул. Молодежная, д.2</t>
  </si>
  <si>
    <t>с. Шаран, ул. Гагарина, д.1</t>
  </si>
  <si>
    <t>с. Шаран, ул. Лесопарковая, д.19</t>
  </si>
  <si>
    <t>с. Шаран, ул. Лесопарковая, д.19 корп.1</t>
  </si>
  <si>
    <t>г. Янаул, ул. Ленина, д.30</t>
  </si>
  <si>
    <t>г. Янаул, ул. Советская, д.4</t>
  </si>
  <si>
    <t>г. Янаул, ул. Юбилейная, д.7</t>
  </si>
  <si>
    <t>г. Янаул, ул. Юбилейная, д.7 корп.1</t>
  </si>
  <si>
    <t>г. Янаул, ул. Юбилейная, д.14</t>
  </si>
  <si>
    <t>г. Янаул, 52-й кв-л, д.6</t>
  </si>
  <si>
    <t>г. Янаул, пер. Малышева, д.4а</t>
  </si>
  <si>
    <t>г. Янаул, пер. Малышева, д.11</t>
  </si>
  <si>
    <t>г. Кумертау, ул. 60 лет БАССР, д.16</t>
  </si>
  <si>
    <t>г. Кумертау, ул. Бабаевская, д.10</t>
  </si>
  <si>
    <t>г. Кумертау, ул. Горького, д.12</t>
  </si>
  <si>
    <t>г. Кумертау, ул. Дзержинского, д.5</t>
  </si>
  <si>
    <t>г. Кумертау, ул. Карла Маркса, д.15</t>
  </si>
  <si>
    <t>г. Кумертау, ул. Карла Маркса, д.16</t>
  </si>
  <si>
    <t>г. Кумертау, ул. Карла Маркса, д.18</t>
  </si>
  <si>
    <t>г. Кумертау, ул. Карла Маркса, д.3</t>
  </si>
  <si>
    <t>г. Кумертау, ул. Карла Маркса, д.32</t>
  </si>
  <si>
    <t>г. Кумертау, ул. Ленина, д.1</t>
  </si>
  <si>
    <t>г. Кумертау, ул. Ленина, д.10</t>
  </si>
  <si>
    <t>г. Кумертау, ул. Ленина, д.27</t>
  </si>
  <si>
    <t>г. Кумертау, ул. Окружная, д.16</t>
  </si>
  <si>
    <t>г. Кумертау, ул. Пушкина, д.11а</t>
  </si>
  <si>
    <t>г. Кумертау, ул. Пушкина, д.15</t>
  </si>
  <si>
    <t>г. Кумертау, ул. Пушкина, д.16</t>
  </si>
  <si>
    <t>г. Кумертау, ул. Пушкина, д.19</t>
  </si>
  <si>
    <t>г. Кумертау, ул. Пушкина, д.6</t>
  </si>
  <si>
    <t>г. Кумертау, ул. Пушкина, д.8</t>
  </si>
  <si>
    <t>г. Кумертау, ул. Салавата, д.23</t>
  </si>
  <si>
    <t>г. Кумертау, ул. Энергетиков, д.19а</t>
  </si>
  <si>
    <t>г. Кумертау, ул. Энергетиков, д.27</t>
  </si>
  <si>
    <t>г. Кумертау, ул. Энергетиков, д.27а</t>
  </si>
  <si>
    <t>г. Кумертау, ул. Энергетиков, д.7</t>
  </si>
  <si>
    <t>с. Маячный, ул. Матросова, д.14</t>
  </si>
  <si>
    <t>с. Маячный, ул. Социалистическая, д.8</t>
  </si>
  <si>
    <t>г. Салават, б-р Космонавтов, д.25</t>
  </si>
  <si>
    <t>г. Салават, б-р Космонавтов, д.44</t>
  </si>
  <si>
    <t>г. Салават, б-р Космонавтов, д.46</t>
  </si>
  <si>
    <t>г. Салават, б-р Матросова, д.22</t>
  </si>
  <si>
    <t>г. Салават, пр-кт Нефтяников, д.12</t>
  </si>
  <si>
    <t>г. Салават, пр-кт Нефтяников, д.2</t>
  </si>
  <si>
    <t>г. Салават, пр-кт Нефтяников, д.9</t>
  </si>
  <si>
    <t>г. Салават, ул. 30 лет Победы, д.15</t>
  </si>
  <si>
    <t>г. Салават, ул. Хмельницкого, д.32а</t>
  </si>
  <si>
    <t>г. Салават, ул. Гагарина, д.14</t>
  </si>
  <si>
    <t>г. Салават, ул. Гагарина, д.16</t>
  </si>
  <si>
    <t>г. Салават, ул. Гагарина, д.31а</t>
  </si>
  <si>
    <t>г. Салават, ул. Гафури, д.14</t>
  </si>
  <si>
    <t>г. Салават, ул. Гафури, д.15</t>
  </si>
  <si>
    <t>г. Салават, ул. Гафури, д.20</t>
  </si>
  <si>
    <t>г. Салават, ул. Гафури, д.22</t>
  </si>
  <si>
    <t>г. Салават, ул. Гафури, д.23а</t>
  </si>
  <si>
    <t>г. Салават, ул. Гафури, д.30</t>
  </si>
  <si>
    <t>г. Салават, ул. Горького, д.28а</t>
  </si>
  <si>
    <t>г. Салават, ул. Горького, д.42</t>
  </si>
  <si>
    <t>г. Салават, ул. Калинина, д.75</t>
  </si>
  <si>
    <t>г. Салават, б-р Космонавтов, д.36</t>
  </si>
  <si>
    <t>г. Салават, б-р Космонавтов, д.40</t>
  </si>
  <si>
    <t>г. Салават, ул. Ленина, д.27</t>
  </si>
  <si>
    <t>г. Салават, ул. Ленина, д.52</t>
  </si>
  <si>
    <t>г. Салават, ул. Ленинградская, д.5</t>
  </si>
  <si>
    <t>г. Салават, ул. Ленинградская, д.55</t>
  </si>
  <si>
    <t>г. Салават, ул. Ленинградская, д.73</t>
  </si>
  <si>
    <t>г. Салават, ул. Октябрьская, д.30</t>
  </si>
  <si>
    <t>г. Салават, ул. Октябрьская, д.62</t>
  </si>
  <si>
    <t>г. Салават, ул. Октябрьская, д.68</t>
  </si>
  <si>
    <t>г. Салават, ул. Островского, д.26</t>
  </si>
  <si>
    <t>г. Салават, ул. Островского, д.54</t>
  </si>
  <si>
    <t>г. Салават, ул. Пархоменко, д.15</t>
  </si>
  <si>
    <t>г. Салават, ул. Пархоменко, д.6</t>
  </si>
  <si>
    <t>г. Салават, ул. Пархоменко, д.9</t>
  </si>
  <si>
    <t>г. Салават, ул. Первомайская, д.45</t>
  </si>
  <si>
    <t>г. Салават, ул. Пушкина, д.15</t>
  </si>
  <si>
    <t>г. Салават, ул. Пушкина, д.21</t>
  </si>
  <si>
    <t>г. Салават, ул. Речная, д.32а</t>
  </si>
  <si>
    <t>г. Салават, ул. Уфимская, д.114</t>
  </si>
  <si>
    <t>г. Салават, ул. Уфимская, д.118</t>
  </si>
  <si>
    <t>г. Салават, ул. Уфимская, д.118а</t>
  </si>
  <si>
    <t>г. Салават, ул. Уфимская, д.120</t>
  </si>
  <si>
    <t>г. Салават, ул. Уфимская, д.24</t>
  </si>
  <si>
    <t>г. Салават, ул. Уфимская, д.38</t>
  </si>
  <si>
    <t>г. Салават, ул. Чапаева, д.27</t>
  </si>
  <si>
    <t>г. Салават, ул. Чапаева, д.28</t>
  </si>
  <si>
    <t>г. Салават, ул. Чапаева, д.3</t>
  </si>
  <si>
    <t>г. Салават, ул. Чапаева, д.3а</t>
  </si>
  <si>
    <t>г. Салават, ул. Чапаева, д.8а</t>
  </si>
  <si>
    <t>г. Сибай, пр-кт Горняков, д.28</t>
  </si>
  <si>
    <t>г. Сибай, пр-кт Горняков, д.36</t>
  </si>
  <si>
    <t>г. Сибай, пр-кт Горняков, д.56</t>
  </si>
  <si>
    <t>г. Сибай, пр-кт Горняков, д.59</t>
  </si>
  <si>
    <t>г. Сибай, пр-кт Горняков, д.6/4</t>
  </si>
  <si>
    <t>г. Сибай, пр-кт Горняков, д.61</t>
  </si>
  <si>
    <t>г. Сибай, ул. Заки Валиди, д.46</t>
  </si>
  <si>
    <t>г. Сибай, ул. Заки Валиди, д.48</t>
  </si>
  <si>
    <t>г. Сибай, ул. Заки Валиди, д.57/4</t>
  </si>
  <si>
    <t>г. Сибай, ул. Заки Валиди, д.61/1</t>
  </si>
  <si>
    <t>г. Сибай, ш. Индустриальное, д.12</t>
  </si>
  <si>
    <t>г. Сибай, ул. Цеткин, д.6</t>
  </si>
  <si>
    <t>г. Сибай, ул. Ленина, д.1/1</t>
  </si>
  <si>
    <t>г. Сибай, ул. Ленина, д.38</t>
  </si>
  <si>
    <t>г. Сибай, ул. Маяковского, д.12</t>
  </si>
  <si>
    <t>г. Стерлитамак, пр-кт Октября, д.18а</t>
  </si>
  <si>
    <t>г. Стерлитамак, ул. 7 Ноября, д.103</t>
  </si>
  <si>
    <t>г. Стерлитамак, ул. Артема, д.123</t>
  </si>
  <si>
    <t>г. Стерлитамак, ул. Артема, д.19</t>
  </si>
  <si>
    <t>г. Стерлитамак, ул. Артема, д.5</t>
  </si>
  <si>
    <t>г. Стерлитамак, ул. Артема, д.7</t>
  </si>
  <si>
    <t>г. Стерлитамак, ул. Артема, д.91</t>
  </si>
  <si>
    <t>г. Стерлитамак, ул. Братская, д.11</t>
  </si>
  <si>
    <t>г. Стерлитамак, ул. Вокзальная, д.36</t>
  </si>
  <si>
    <t>г. Стерлитамак, ул. Волочаевская, д.13</t>
  </si>
  <si>
    <t>г. Стерлитамак, ул. Волочаевская, д.13а</t>
  </si>
  <si>
    <t>г. Стерлитамак, ул. Волочаевская, д.16</t>
  </si>
  <si>
    <t>г. Стерлитамак, ул. Голикова, д.24а</t>
  </si>
  <si>
    <t>г. Стерлитамак, ул. Дружбы, д.24а</t>
  </si>
  <si>
    <t>г. Стерлитамак, ул. Карла Маркса, д.98</t>
  </si>
  <si>
    <t>г. Стерлитамак, ул. Коммунистическая, д.18</t>
  </si>
  <si>
    <t>г. Стерлитамак, ул. Коммунистическая, д.52</t>
  </si>
  <si>
    <t>г. Стерлитамак, ул. Коммунистическая, д.59</t>
  </si>
  <si>
    <t>г. Стерлитамак, ул. Коммунистическая, д.87</t>
  </si>
  <si>
    <t>г. Стерлитамак, ул. Коммунистическая, д.87а</t>
  </si>
  <si>
    <t>г. Стерлитамак, ул. Механизации, д.8</t>
  </si>
  <si>
    <t>г. Стерлитамак, ул. Николаева, д.2а</t>
  </si>
  <si>
    <t>г. Стерлитамак, ул. Радищева, д.8</t>
  </si>
  <si>
    <t>г. Стерлитамак, ул. Свердлова, д.59</t>
  </si>
  <si>
    <t>г. Стерлитамак, ул. Советская, д.100</t>
  </si>
  <si>
    <t>г. Стерлитамак, ул. Социалистическая, д.6</t>
  </si>
  <si>
    <t>г. Стерлитамак, ул. Суворова, д.10</t>
  </si>
  <si>
    <t>г. Стерлитамак, ул. Суворова, д.12</t>
  </si>
  <si>
    <t>г. Стерлитамак, ул. Суханова, д.7</t>
  </si>
  <si>
    <t>г. Стерлитамак, ул. Суханова, д.7а</t>
  </si>
  <si>
    <t>г. Стерлитамак, ул. Худайбердина, д.147</t>
  </si>
  <si>
    <t>г. Стерлитамак, ул. Худайбердина, д.170</t>
  </si>
  <si>
    <t>г. Стерлитамак, ул. Худайбердина, д.170а</t>
  </si>
  <si>
    <t>г. Стерлитамак, ул. Худайбердина, д.178</t>
  </si>
  <si>
    <t>г. Стерлитамак, ул. Худайбердина, д.56</t>
  </si>
  <si>
    <t>г. Стерлитамак, ул. Худайбердина, д.67</t>
  </si>
  <si>
    <t>г. Стерлитамак, ул. Худайбердина, д.71</t>
  </si>
  <si>
    <t>г. Стерлитамак, ул. Черноморская, д.4</t>
  </si>
  <si>
    <t>г. Стерлитамак, ул. Черноморская, д.6</t>
  </si>
  <si>
    <t>г. Стерлитамак, ул. Черняховского, д.1а</t>
  </si>
  <si>
    <t>г. Стерлитамак, ул. Шафиева, д.13</t>
  </si>
  <si>
    <t>г. Стерлитамак, ул. Худайбердина, д.214</t>
  </si>
  <si>
    <t>г. Стерлитамак, ул. Свердлова, д.224</t>
  </si>
  <si>
    <t>г. Стерлитамак, ул. Николаева, д.4а</t>
  </si>
  <si>
    <t>г. Стерлитамак, ул. Николаева, д.14</t>
  </si>
  <si>
    <t>г. Стерлитамак, ул. Нахимова, д.5</t>
  </si>
  <si>
    <t>г. Стерлитамак, ул. Гоголя, д.122</t>
  </si>
  <si>
    <t>г. Стерлитамак, ул. Нагуманова, д.25е</t>
  </si>
  <si>
    <t>г. Стерлитамак, ул. Лесная, д.61</t>
  </si>
  <si>
    <t>г. Стерлитамак, ул. Лесная, д.2</t>
  </si>
  <si>
    <t>г. Стерлитамак, пр-кт Ленина, д.36</t>
  </si>
  <si>
    <t>г. Стерлитамак, ул. Тукаева, д.15</t>
  </si>
  <si>
    <t>г. Стерлитамак, ул. Кочетова, д.24в</t>
  </si>
  <si>
    <t>г. Стерлитамак, ул. Худайбердина, д.158</t>
  </si>
  <si>
    <t>г. Стерлитамак, ул. Волочаевская, д.17</t>
  </si>
  <si>
    <t>г. Стерлитамак, ул. Черняховского, д.5</t>
  </si>
  <si>
    <t>г. Стерлитамак, ул. Фурманова, д.10а</t>
  </si>
  <si>
    <t>г. Стерлитамак, ул. Заводская, д.8</t>
  </si>
  <si>
    <t>г. Стерлитамак, ул. Заводская, д.25</t>
  </si>
  <si>
    <t>г. Стерлитамак, пр-кт Ленина, д.41</t>
  </si>
  <si>
    <t>г. Стерлитамак, ул. Одесская, д.76</t>
  </si>
  <si>
    <t>г. Стерлитамак, ул. Фурманова, д.10г</t>
  </si>
  <si>
    <t>г. Стерлитамак, ул. Элеваторная, д.66</t>
  </si>
  <si>
    <t>г. Стерлитамак, ул. Цюрупы, д.1а</t>
  </si>
  <si>
    <t>г. Стерлитамак, ул. Коммунистическая, д.89</t>
  </si>
  <si>
    <t>г. Стерлитамак, ул. Худайбердина, д.79</t>
  </si>
  <si>
    <t>г. Стерлитамак, ул. Шафиева, д.3</t>
  </si>
  <si>
    <t>г. Межгорье, ул. Ильмяшевская, д.3</t>
  </si>
  <si>
    <t>г. Межгорье, ул. Карбышева, д.34</t>
  </si>
  <si>
    <t>г. Межгорье, ул. Карбышева, д.38</t>
  </si>
  <si>
    <t>г. Межгорье, ул. Комсомольская, д.17</t>
  </si>
  <si>
    <t>г. Межгорье, ул. Комсомольская, д.41</t>
  </si>
  <si>
    <t>г. Межгорье, ул. Ленина, д.7</t>
  </si>
  <si>
    <t>г. Межгорье, ул. Олимпийская, д.5</t>
  </si>
  <si>
    <t>г. Межгорье, ул. Советская, д.12</t>
  </si>
  <si>
    <t>г. Межгорье, ул. Советская, д.2</t>
  </si>
  <si>
    <t>г. Межгорье, ул. Советская, д.6</t>
  </si>
  <si>
    <t>г. Межгорье, ул. Советская, д.7</t>
  </si>
  <si>
    <t>г. Межгорье, ул. Спортивная, д.1</t>
  </si>
  <si>
    <t>с. Аскарово, ул. Шаймуратова, д.11</t>
  </si>
  <si>
    <t>с. Красная Башкирия, ул. Карла Маркса, д.2</t>
  </si>
  <si>
    <t>д. Приуралье, ул. Вокзальная, д.7</t>
  </si>
  <si>
    <t>д. Приуралье, ул. Вокзальная, д.8</t>
  </si>
  <si>
    <t>с. Архангельское, ул. Юрия Гагарина, д.64б</t>
  </si>
  <si>
    <t>с. Толбазы, ул. 7 ноября, д.12</t>
  </si>
  <si>
    <t>с. Толбазы, ул. Ленина, д.127</t>
  </si>
  <si>
    <t>с. Толбазы, ул. Фрунзе, д.42</t>
  </si>
  <si>
    <t>г. Баймак, ул. Мира, д.25</t>
  </si>
  <si>
    <t>г. Баймак, ул. Юбилейная, д.1</t>
  </si>
  <si>
    <t>г. Баймак, ул. Юбилейная, д.13</t>
  </si>
  <si>
    <t>с. Акмурун, ул. 1 мая, д.3</t>
  </si>
  <si>
    <t>с. Старый Сибай, ул. Ленина, д.17</t>
  </si>
  <si>
    <t>с. Старый Сибай, ул. Шаймуратова, д.2</t>
  </si>
  <si>
    <t>г. Белорецк, ул. 50 лет Октября, д.46</t>
  </si>
  <si>
    <t>г. Белорецк, ул. Карла Маркса, д.35</t>
  </si>
  <si>
    <t>г. Белорецк, ул. Карла Маркса, д.75</t>
  </si>
  <si>
    <t>г. Белорецк, ул. Карла Маркса, д.78</t>
  </si>
  <si>
    <t>г. Белорецк, ул. Кирова, д.46 корп.2</t>
  </si>
  <si>
    <t>г. Белорецк, ул. Кирова, д.56</t>
  </si>
  <si>
    <t>г. Белорецк, ул. Косоротова, д.2</t>
  </si>
  <si>
    <t>г. Белорецк, ул. Косоротова, д.8</t>
  </si>
  <si>
    <t>г. Белорецк, ул. Крупской, д.47</t>
  </si>
  <si>
    <t>г. Белорецк, ул. Ленина, д.33</t>
  </si>
  <si>
    <t>г. Белорецк, ул. Ленина, д.35</t>
  </si>
  <si>
    <t>г. Белорецк, ул. Пушкина, д.47</t>
  </si>
  <si>
    <t>г. Белорецк, ул. Пушкина, д.49</t>
  </si>
  <si>
    <t>г. Белорецк, ул. Пушкина, д.51</t>
  </si>
  <si>
    <t>г. Белорецк, ул. Пушкина, д.57</t>
  </si>
  <si>
    <t>г. Белорецк, ул. Точисского, д.13</t>
  </si>
  <si>
    <t>г. Белорецк, ул. Точисского, д.26</t>
  </si>
  <si>
    <t>с. Инзер, ул. Энергетиков, д.11</t>
  </si>
  <si>
    <t>с. Старосубхангулово, ул. Ленина, д.63</t>
  </si>
  <si>
    <t>с. Курорта, ул. Юбилейная, д.14</t>
  </si>
  <si>
    <t>с. Исянгулово, ул. К.Маркса, д.3</t>
  </si>
  <si>
    <t>с. Исянгулово, ул. Октябрьской Революции, д.56</t>
  </si>
  <si>
    <t>г. Ишимбай, ул. Бульварная, д.11</t>
  </si>
  <si>
    <t>г. Ишимбай, ул. Богдана Хмельницкого, д.12</t>
  </si>
  <si>
    <t>г. Ишимбай, ул. Гагарина, д.60</t>
  </si>
  <si>
    <t>г. Ишимбай, ул. Гайдара, д.13</t>
  </si>
  <si>
    <t>г. Ишимбай, ул. Губкина, д.38</t>
  </si>
  <si>
    <t>г. Ишимбай, ул. Докучаева, д.12</t>
  </si>
  <si>
    <t>г. Ишимбай, б-р З.Валиди, д.8</t>
  </si>
  <si>
    <t>г. Ишимбай, ул. Космонавтов, д.6</t>
  </si>
  <si>
    <t>г. Ишимбай, ул. Космонавтов, д.8</t>
  </si>
  <si>
    <t>г. Ишимбай, ул. Машиностроителей, д.67</t>
  </si>
  <si>
    <t>г. Ишимбай, ул. Машиностроителей, д.69а</t>
  </si>
  <si>
    <t>г. Ишимбай, ул. Промысловая, д.13</t>
  </si>
  <si>
    <t>г. Ишимбай, ул. Революционная, д.21</t>
  </si>
  <si>
    <t>г. Ишимбай, ул. Революционная, д.23а</t>
  </si>
  <si>
    <t>г. Ишимбай, ул. Стахановская, д.26</t>
  </si>
  <si>
    <t>г. Ишимбай, ул. Стахановская, д.32</t>
  </si>
  <si>
    <t>г. Ишимбай, ул. Стахановская, д.33</t>
  </si>
  <si>
    <t>г. Ишимбай, ул. Стахановская, д.89</t>
  </si>
  <si>
    <t>г. Ишимбай, ул. Стахановская, д.97</t>
  </si>
  <si>
    <t>г. Ишимбай, ул. Уральская, д.76</t>
  </si>
  <si>
    <t>г. Ишимбай, ул. Уральская, д.78</t>
  </si>
  <si>
    <t>г. Ишимбай, ул. Чкалова, д.5</t>
  </si>
  <si>
    <t>г. Ишимбай, ул. Чкалова, д.11</t>
  </si>
  <si>
    <t>г. Ишимбай, ул. Чкалова, д.30</t>
  </si>
  <si>
    <t>с. Петровское, ул. Первомайская, д.56а</t>
  </si>
  <si>
    <t>с. Петровское, ул. Трудовая, д.4</t>
  </si>
  <si>
    <t>д. Кабаково, ул. Строителей, д.43</t>
  </si>
  <si>
    <t>д. Константиновка, ул. Молодежная, д.3</t>
  </si>
  <si>
    <t>д. Улукулево, ул. Строителей, д.50</t>
  </si>
  <si>
    <t>с. Кармаскалы, ул. Кирова, д.11</t>
  </si>
  <si>
    <t>с. Юмагузино, ул. Молодежная, д.3</t>
  </si>
  <si>
    <t>с. Ермолаево, ул. Советская, д.113</t>
  </si>
  <si>
    <t>с. Ермолаево, ул. Калинина, д.16</t>
  </si>
  <si>
    <t>с. Ермолаево, ул. Калинина, д.21</t>
  </si>
  <si>
    <t>с. Свобода, ул. Центральная, д.10</t>
  </si>
  <si>
    <t>г. Мелеуз, мкр. 32-й, д.18</t>
  </si>
  <si>
    <t>г. Мелеуз, мкр. 32-й, д.36</t>
  </si>
  <si>
    <t>г. Мелеуз, ул. Ленина, д.133</t>
  </si>
  <si>
    <t>г. Мелеуз, ул. Ленина, д.152</t>
  </si>
  <si>
    <t>г. Мелеуз, ул. Ленина, д.220</t>
  </si>
  <si>
    <t>г. Мелеуз, ул. Матросова, д.15</t>
  </si>
  <si>
    <t>г. Мелеуз, ул. Матросова, д.19</t>
  </si>
  <si>
    <t>г. Мелеуз, ул. Маяковского, д.19</t>
  </si>
  <si>
    <t>г. Мелеуз, ул. Маяковского, д.21</t>
  </si>
  <si>
    <t>г. Мелеуз, ул. Метеорологическая, д.9</t>
  </si>
  <si>
    <t>г. Мелеуз, ул. Октябрьская, д.2</t>
  </si>
  <si>
    <t>г. Мелеуз, ул. Октябрьская, д.4</t>
  </si>
  <si>
    <t>г. Мелеуз, ул. Октябрьская, д.6</t>
  </si>
  <si>
    <t>г. Мелеуз, ул. Октябрьская, д.7</t>
  </si>
  <si>
    <t>г. Мелеуз, ул. Салавата, д.5</t>
  </si>
  <si>
    <t>д. Антоновка, ул. Калинина, д.53</t>
  </si>
  <si>
    <t>д. Первомайская, ул. Уральская, д.2</t>
  </si>
  <si>
    <t>с. Стерлибашево, ул. Ахметова, д.11</t>
  </si>
  <si>
    <t>с. Стерлибашево, ул. Ленина, д.96</t>
  </si>
  <si>
    <t>с. Стерлибашево, ул. Школьная, д.4</t>
  </si>
  <si>
    <t>с. Бельское, ул. Центральная, д.5</t>
  </si>
  <si>
    <t>с. Бельское, ул. Центральная, д.6</t>
  </si>
  <si>
    <t>с. Большой Куганак, ул. Заводская, д.2</t>
  </si>
  <si>
    <t>с. Большой Куганак, ул. Комсомольская, д.2</t>
  </si>
  <si>
    <t>с. Октябрьское, ул. Мира, д.4</t>
  </si>
  <si>
    <t>с. Первомайское, ул. Садовая, д.15</t>
  </si>
  <si>
    <t>с. Первомайское, ул. Школьная, д.10</t>
  </si>
  <si>
    <t>с. Первомайское, ул. Школьная, д.12</t>
  </si>
  <si>
    <t>с. Первомайское, ул. Школьная, д.14</t>
  </si>
  <si>
    <t>с. Первомайское, ул. Школьная, д.8</t>
  </si>
  <si>
    <t>с. Рощинский, ул. Майская, д.2</t>
  </si>
  <si>
    <t>с. Рощинский, ул. Майская, д.10</t>
  </si>
  <si>
    <t>г. Учалы, пер. Молодежный, д.7а</t>
  </si>
  <si>
    <t>г. Учалы, ул. 50 лет Октября, д.5</t>
  </si>
  <si>
    <t>г. Учалы, ул. 50 лет Октября, д.7</t>
  </si>
  <si>
    <t>г. Учалы, ул. Ахметгалина, д.13</t>
  </si>
  <si>
    <t>г. Учалы, ул. Ахметгалина, д.19</t>
  </si>
  <si>
    <t>г. Учалы, ул. Ахметгалина, д.9</t>
  </si>
  <si>
    <t>г. Учалы, ул. Ахметгалина, д.11</t>
  </si>
  <si>
    <t>г. Учалы, ул. Башкортостана, д.17а</t>
  </si>
  <si>
    <t>г. Учалы, ул. Башкортостана, д.22</t>
  </si>
  <si>
    <t>г. Учалы, ул. Башкортостана, д.24</t>
  </si>
  <si>
    <t>г. Учалы, ул. Башкортостана, д.24а</t>
  </si>
  <si>
    <t>г. Учалы, ул. Горького, д.4</t>
  </si>
  <si>
    <t>г. Учалы, ул. Горького, д.6</t>
  </si>
  <si>
    <t>г. Учалы, ул. Горького, д.9</t>
  </si>
  <si>
    <t>г. Учалы, ул. К.Маркса, д.11</t>
  </si>
  <si>
    <t>г. Учалы, ул. Кирова, д.11а</t>
  </si>
  <si>
    <t>г. Учалы, ул. Ленина, д.17</t>
  </si>
  <si>
    <t>г. Учалы, ул. Ленина, д.19</t>
  </si>
  <si>
    <t>г. Учалы, ул. Ленина, д.20</t>
  </si>
  <si>
    <t>г. Учалы, ул. Ленина, д.44</t>
  </si>
  <si>
    <t>г. Учалы, ул. Ленина, д.7а</t>
  </si>
  <si>
    <t>г. Учалы, ул. Ленинского Комсомола, д.15</t>
  </si>
  <si>
    <t>г. Учалы, ул. Ленинского Комсомола, д.8</t>
  </si>
  <si>
    <t>г. Учалы, ул. Мира, д.20</t>
  </si>
  <si>
    <t>г. Учалы, ул. К.Маркса, д.3</t>
  </si>
  <si>
    <t>г. Учалы, ул. Первостроителей, д.28</t>
  </si>
  <si>
    <t>г. Учалы, ул. Российская, д.18а</t>
  </si>
  <si>
    <t>г. Учалы, ул. Строительная, д.12а</t>
  </si>
  <si>
    <t>с. Учалы, ул. Клубная, д.2</t>
  </si>
  <si>
    <t>с. Федоровка, ул. Социалистическая, д.65</t>
  </si>
  <si>
    <t>с. Акъяр, ул. Акмуллы, д.42 корп.1</t>
  </si>
  <si>
    <t>с. Макан, ул. Ахметшина, д.8</t>
  </si>
  <si>
    <t>с. Подольск, ул. Ю.Исянбаева, д.1</t>
  </si>
  <si>
    <t>с. Уфимский, ул. Худайбердина, д.37</t>
  </si>
  <si>
    <t>г. Уфа, б-р Давлеткильдеева, д.3 корп.1</t>
  </si>
  <si>
    <t>г. Уфа, б-р Дуванский, д.24 корп.1</t>
  </si>
  <si>
    <t>г. Уфа, б-р Ибрагимова, д.23</t>
  </si>
  <si>
    <t>г. Уфа, б-р Плеханова, д.11 корп.1</t>
  </si>
  <si>
    <t>г. Уфа, б-р Плеханова, д.13</t>
  </si>
  <si>
    <t>г. Уфа, б-р Плеханова, д.9</t>
  </si>
  <si>
    <t>г. Уфа, б-р Тухвата Янаби, д.53</t>
  </si>
  <si>
    <t>г. Уфа, б-р Тухвата Янаби, д.53 корп.2</t>
  </si>
  <si>
    <t>г. Уфа, б-р Тухвата Янаби, д.69</t>
  </si>
  <si>
    <t>г. Уфа, б-р Хадии Давлетшиной, д.30</t>
  </si>
  <si>
    <t>г. Уфа, б-р Хадии Давлетшиной, д.16</t>
  </si>
  <si>
    <t>г. Уфа, пер. Пархоменко, д.8</t>
  </si>
  <si>
    <t>г. Уфа, проезд Лесной, д.8</t>
  </si>
  <si>
    <t>г. Уфа, пр-кт Октября, д.105</t>
  </si>
  <si>
    <t>г. Уфа, пр-кт Октября, д.12 корп.1</t>
  </si>
  <si>
    <t>г. Уфа, пр-кт Октября, д.129 корп.1</t>
  </si>
  <si>
    <t>г. Уфа, пр-кт Октября, д.132 корп.2</t>
  </si>
  <si>
    <t>г. Уфа, пр-кт Октября, д.134</t>
  </si>
  <si>
    <t>г. Уфа, пр-кт Октября, д.136</t>
  </si>
  <si>
    <t>г. Уфа, пр-кт Октября, д.142</t>
  </si>
  <si>
    <t>г. Уфа, пр-кт Октября, д.146</t>
  </si>
  <si>
    <t>г. Уфа, пр-кт Октября, д.16 корп.2</t>
  </si>
  <si>
    <t>г. Уфа, пр-кт Октября, д.170 корп.1</t>
  </si>
  <si>
    <t>г. Уфа, пр-кт Октября, д.21 корп.5</t>
  </si>
  <si>
    <t>г. Уфа, пр-кт Октября, д.24</t>
  </si>
  <si>
    <t>г. Уфа, пр-кт Октября, д.39</t>
  </si>
  <si>
    <t>г. Уфа, пр-кт Октября, д.43 корп.2</t>
  </si>
  <si>
    <t>г. Уфа, пр-кт Октября, д.43 корп.4</t>
  </si>
  <si>
    <t>г. Уфа, пр-кт Октября, д.44 корп.1</t>
  </si>
  <si>
    <t>г. Уфа, пр-кт Октября, д.48 корп.2</t>
  </si>
  <si>
    <t>г. Уфа, пр-кт Октября, д.52</t>
  </si>
  <si>
    <t>г. Уфа, пр-кт Октября, д.57 корп.1</t>
  </si>
  <si>
    <t>г. Уфа, пр-кт Октября, д.57 корп.2</t>
  </si>
  <si>
    <t>г. Уфа, пр-кт Октября, д.65 корп.5</t>
  </si>
  <si>
    <t>г. Уфа, пр-кт Октября, д.78 корп.2</t>
  </si>
  <si>
    <t>г. Уфа, пр-кт Октября, д.84</t>
  </si>
  <si>
    <t>г. Уфа, пр-кт Октября, д.84 корп.1</t>
  </si>
  <si>
    <t>г. Уфа, пр-кт Октября, д.86</t>
  </si>
  <si>
    <t>г. Уфа, пр-кт Октября, д.88</t>
  </si>
  <si>
    <t>г. Уфа, пр-кт Октября, д.95</t>
  </si>
  <si>
    <t>г. Уфа, ул. 40 лет Октября, д.9 корп.1</t>
  </si>
  <si>
    <t>г. Уфа, ул. 8 Марта, д.10</t>
  </si>
  <si>
    <t>г. Уфа, ул. 8 Марта, д.18</t>
  </si>
  <si>
    <t>г. Уфа, ул. 8 Марта, д.24</t>
  </si>
  <si>
    <t>г. Уфа, ул. Айская, д.60</t>
  </si>
  <si>
    <t>г. Уфа, ул. Айская, д.69 корп.2</t>
  </si>
  <si>
    <t>г. Уфа, ул. Айская, д.75</t>
  </si>
  <si>
    <t>г. Уфа, ул. Айская, д.75 корп.1</t>
  </si>
  <si>
    <t>г. Уфа, ул. Айская, д.91 корп.1</t>
  </si>
  <si>
    <t>г. Уфа, ул. Александра Невского, д.37</t>
  </si>
  <si>
    <t>г. Уфа, ул. Александра Невского, д.37 корп.1</t>
  </si>
  <si>
    <t>г. Уфа, ул. Александра Невского, д.5 корп.1</t>
  </si>
  <si>
    <t>г. Уфа, ул. Александра Невского, д.23</t>
  </si>
  <si>
    <t>г. Уфа, ул. Александра Невского, д.30</t>
  </si>
  <si>
    <t>г. Уфа, ул. Архитектурная, д.1</t>
  </si>
  <si>
    <t>г. Уфа, ул. Архитектурная, д.2</t>
  </si>
  <si>
    <t>г. Уфа, ул. Архитектурная, д.24</t>
  </si>
  <si>
    <t>г. Уфа, ул. Архитектурная, д.9</t>
  </si>
  <si>
    <t>г. Уфа, ул. Ахметова, д.287</t>
  </si>
  <si>
    <t>г. Уфа, ул. Ахметова, д.300</t>
  </si>
  <si>
    <t>г. Уфа, ул. Ахметова, д.300 корп.1</t>
  </si>
  <si>
    <t>г. Уфа, ул. Ахметова, д.302</t>
  </si>
  <si>
    <t>г. Уфа, ул. Ахметова, д.316</t>
  </si>
  <si>
    <t>г. Уфа, ул. Ахметова, д.316 корп.3</t>
  </si>
  <si>
    <t>г. Уфа, ул. Бакалинская, д.50</t>
  </si>
  <si>
    <t>г. Уфа, ул. Бакалинская, д.68</t>
  </si>
  <si>
    <t>г. Уфа, ул. Белякова, д.32</t>
  </si>
  <si>
    <t>г. Уфа, ул. Бессонова, д.25</t>
  </si>
  <si>
    <t>г. Уфа, ул. Блюхера, д.12</t>
  </si>
  <si>
    <t>г. Уфа, ул. Блюхера, д.14</t>
  </si>
  <si>
    <t>г. Уфа, ул. Блюхера, д.21 корп.1</t>
  </si>
  <si>
    <t>г. Уфа, ул. Блюхера, д.23 корп.1</t>
  </si>
  <si>
    <t>г. Уфа, ул. Блюхера, д.27 корп.1</t>
  </si>
  <si>
    <t>г. Уфа, ул. Богдана Хмельницкого, д.47</t>
  </si>
  <si>
    <t>г. Уфа, ул. Богдана Хмельницкого, д.55 корп.1</t>
  </si>
  <si>
    <t>г. Уфа, ул. Богдана Хмельницкого, д.60 корп.1</t>
  </si>
  <si>
    <t>г. Уфа, ул. Богдана Хмельницкого, д.61</t>
  </si>
  <si>
    <t>г. Уфа, ул. Богдана Хмельницкого, д.71 корп.1</t>
  </si>
  <si>
    <t>г. Уфа, ул. Богдана Хмельницкого, д.92 корп.1</t>
  </si>
  <si>
    <t>г. Уфа, ул. Борисоглебская, д.18</t>
  </si>
  <si>
    <t>г. Уфа, ул. Боткина, д.5</t>
  </si>
  <si>
    <t>г. Уфа, ул. Братьев Кадомцевых, д.12</t>
  </si>
  <si>
    <t>г. Уфа, ул. Братьев Кадомцевых, д.8</t>
  </si>
  <si>
    <t>г. Уфа, ул. Владивостокская, д.7 корп.1</t>
  </si>
  <si>
    <t>г. Уфа, ул. Вологодская, д.15</t>
  </si>
  <si>
    <t>г. Уфа, ул. Вологодская, д.15 корп.1</t>
  </si>
  <si>
    <t>г. Уфа, ул. Вологодская, д.17</t>
  </si>
  <si>
    <t>г. Уфа, ул. Вологодская, д.19 корп.1</t>
  </si>
  <si>
    <t>г. Уфа, ул. Вологодская, д.28</t>
  </si>
  <si>
    <t>г. Уфа, ул. Вологодская, д.34</t>
  </si>
  <si>
    <t>г. Уфа, ул. Вологодская, д.7</t>
  </si>
  <si>
    <t>г. Уфа, ул. Вологодская, д.81</t>
  </si>
  <si>
    <t>г. Уфа, ул. Ворошилова, д.26</t>
  </si>
  <si>
    <t>г. Уфа, ул. Высоковольтная, д.10</t>
  </si>
  <si>
    <t>г. Уфа, ул. Гафури, д.105</t>
  </si>
  <si>
    <t>г. Уфа, ул. Гвардейская, д.60</t>
  </si>
  <si>
    <t>г. Уфа, ул. Генерала Горбатова, д.3 корп.3</t>
  </si>
  <si>
    <t>г. Уфа, ул. Генерала Горбатова, д.7</t>
  </si>
  <si>
    <t>г. Уфа, ул. Кольцевая, д.175 корп.1</t>
  </si>
  <si>
    <t>г. Уфа, ул. Георгия Мушникова, д.9 корп.1</t>
  </si>
  <si>
    <t>г. Уфа, ул. Грозненская, д.67 корп.5</t>
  </si>
  <si>
    <t>г. Уфа, ул. Грозненская, д.67 корп.4</t>
  </si>
  <si>
    <t>г. Уфа, ул. Даута Юлтыя, д.4</t>
  </si>
  <si>
    <t>г. Уфа, ул. Джалиля Киекбаева, д.19</t>
  </si>
  <si>
    <t>г. Уфа, ул. Дмитрия Донского, д.34</t>
  </si>
  <si>
    <t>г. Уфа, ул. Достоевского, д.102 корп.3</t>
  </si>
  <si>
    <t>г. Уфа, ул. Достоевского, д.106</t>
  </si>
  <si>
    <t>г. Уфа, ул. Достоевского, д.110</t>
  </si>
  <si>
    <t>г. Уфа, ул. Достоевского, д.156</t>
  </si>
  <si>
    <t>г. Уфа, ул. Достоевского, д.158</t>
  </si>
  <si>
    <t>г. Уфа, ул. Достоевского, д.99</t>
  </si>
  <si>
    <t>г. Уфа, ул. Заводская, д.10</t>
  </si>
  <si>
    <t>г. Уфа, ул. Заводская, д.2</t>
  </si>
  <si>
    <t>г. Уфа, ул. Ивана Франко, д.7</t>
  </si>
  <si>
    <t>г. Уфа, ул. Ивана Франко, д.9</t>
  </si>
  <si>
    <t>г. Уфа, ул. Интернациональная, д.101</t>
  </si>
  <si>
    <t>г. Уфа, ул. Интернациональная, д.107 корп.1</t>
  </si>
  <si>
    <t>г. Уфа, ул. Интернациональная, д.115</t>
  </si>
  <si>
    <t>г. Уфа, ул. Интернациональная, д.119 корп.1</t>
  </si>
  <si>
    <t>г. Уфа, ул. Интернациональная, д.121</t>
  </si>
  <si>
    <t>г. Уфа, ул. Интернациональная, д.129 корп.2</t>
  </si>
  <si>
    <t>г. Уфа, ул. Интернациональная, д.133</t>
  </si>
  <si>
    <t>г. Уфа, ул. Интернациональная, д.139</t>
  </si>
  <si>
    <t>г. Уфа, ул. Интернациональная, д.161</t>
  </si>
  <si>
    <t>г. Уфа, ул. Интернациональная, д.171</t>
  </si>
  <si>
    <t>г. Уфа, ул. Интернациональная, д.179 корп.3</t>
  </si>
  <si>
    <t>г. Уфа, ул. Интернациональная, д.185</t>
  </si>
  <si>
    <t>г. Уфа, ул. Интернациональная, д.189</t>
  </si>
  <si>
    <t>г. Уфа, ул. Интернациональная, д.19 корп.1</t>
  </si>
  <si>
    <t>г. Уфа, ул. Интернациональная, д.61</t>
  </si>
  <si>
    <t>г. Уфа, ул. Интернациональная, д.67</t>
  </si>
  <si>
    <t>г. Уфа, ул. Калинина, д.15</t>
  </si>
  <si>
    <t>г. Уфа, ул. Калинина, д.63</t>
  </si>
  <si>
    <t>г. Уфа, ул. Калинина, д.67</t>
  </si>
  <si>
    <t>г. Уфа, ул. Касимовская, д.6 корп.1</t>
  </si>
  <si>
    <t>г. Уфа, ул. Кирова, д.43 корп.1</t>
  </si>
  <si>
    <t>г. Уфа, ул. Кирова, д.99 корп.1</t>
  </si>
  <si>
    <t>г. Уфа, ул. Кольцевая, д.166</t>
  </si>
  <si>
    <t>г. Уфа, ул. Кольцевая, д.127</t>
  </si>
  <si>
    <t>г. Уфа, ул. Кольцевая, д.138 корп.1</t>
  </si>
  <si>
    <t>г. Уфа, ул. Кольцевая, д.160</t>
  </si>
  <si>
    <t>г. Уфа, ул. Кольцевая, д.166 корп.1</t>
  </si>
  <si>
    <t>г. Уфа, ул. Кольцевая, д.170 корп.1</t>
  </si>
  <si>
    <t>г. Уфа, ул. Кольцевая, д.170 корп.2</t>
  </si>
  <si>
    <t>г. Уфа, ул. Кольцевая, д.172</t>
  </si>
  <si>
    <t>г. Уфа, ул. Кольцевая, д.179</t>
  </si>
  <si>
    <t>г. Уфа, ул. Кольцевая, д.185 корп.1</t>
  </si>
  <si>
    <t>г. Уфа, ул. Кольцевая, д.198</t>
  </si>
  <si>
    <t>г. Уфа, ул. Кольцевая, д.201 корп.2</t>
  </si>
  <si>
    <t>г. Уфа, ул. Кольцевая, д.201 корп.4</t>
  </si>
  <si>
    <t>г. Уфа, ул. Кольцевая, д.27а</t>
  </si>
  <si>
    <t>г. Уфа, ул. Кольцевая, д.31а</t>
  </si>
  <si>
    <t>г. Уфа, ул. Кольцевая, д.50</t>
  </si>
  <si>
    <t>г. Уфа, ул. Кольцевая, д.76</t>
  </si>
  <si>
    <t>г. Уфа, ул. Кольцевая, д.78</t>
  </si>
  <si>
    <t>г. Уфа, ул. Кольцевая, д.80</t>
  </si>
  <si>
    <t>г. Уфа, ул. Комарова, д.36б</t>
  </si>
  <si>
    <t>г. Уфа, ул. Коммунаров, д.62</t>
  </si>
  <si>
    <t>г. Уфа, ул. Коммунаров, д.8</t>
  </si>
  <si>
    <t>г. Уфа, ул. Комсомольская, д.137 корп.1</t>
  </si>
  <si>
    <t>г. Уфа, ул. Комсомольская, д.142</t>
  </si>
  <si>
    <t>г. Уфа, ул. Комсомольская, д.149 корп.2</t>
  </si>
  <si>
    <t>г. Уфа, ул. Комсомольская, д.21</t>
  </si>
  <si>
    <t>г. Уфа, ул. Комсомольская, д.23 корп.3</t>
  </si>
  <si>
    <t>г. Уфа, ул. Комсомольская, д.96 корп.1</t>
  </si>
  <si>
    <t>г. Уфа, ул. Конституции, д.1</t>
  </si>
  <si>
    <t>г. Уфа, ул. Конституции, д.5</t>
  </si>
  <si>
    <t>г. Уфа, ул. Красина, д.15</t>
  </si>
  <si>
    <t>г. Уфа, ул. Красноводская, д.22</t>
  </si>
  <si>
    <t>г. Уфа, ул. Кремлевская, д.27</t>
  </si>
  <si>
    <t>г. Уфа, ул. Кремлевская, д.67</t>
  </si>
  <si>
    <t>г. Уфа, ул. Крупской, д.6</t>
  </si>
  <si>
    <t>г. Уфа, ул. Кубанская, д.1</t>
  </si>
  <si>
    <t>г. Уфа, ул. Левитана, д.21</t>
  </si>
  <si>
    <t>г. Уфа, ул. Левитана, д.23</t>
  </si>
  <si>
    <t>г. Уфа, ул. Левитана, д.3</t>
  </si>
  <si>
    <t>г. Уфа, ул. Левитана, д.39а</t>
  </si>
  <si>
    <t>г. Уфа, ул. Левитана, д.43а</t>
  </si>
  <si>
    <t>г. Уфа, ул. Левченко, д.6</t>
  </si>
  <si>
    <t>г. Уфа, ул. Ленина, д.128</t>
  </si>
  <si>
    <t>г. Уфа, ул. Ленина, д.130</t>
  </si>
  <si>
    <t>г. Уфа, ул. Ленина, д.154</t>
  </si>
  <si>
    <t>г. Уфа, ул. Ленина, д.66</t>
  </si>
  <si>
    <t>г. Уфа, ул. Ленина, д.97 корп.1</t>
  </si>
  <si>
    <t>г. Уфа, ул. Ленина, д.97 корп.2</t>
  </si>
  <si>
    <t>г. Уфа, ул. Лесотехникума, д.34 корп.1</t>
  </si>
  <si>
    <t>г. Уфа, ул. Летчиков, д.6</t>
  </si>
  <si>
    <t>г. Уфа, ул. Летчиков, д.8 корп.1</t>
  </si>
  <si>
    <t>г. Уфа, ул. Магистральная, д.11</t>
  </si>
  <si>
    <t>г. Уфа, ул. Майская, д.1а</t>
  </si>
  <si>
    <t>г. Уфа, ул. Маршала Жукова, д.4</t>
  </si>
  <si>
    <t>г. Уфа, ул. Машиностроителей, д.10</t>
  </si>
  <si>
    <t>г. Уфа, ул. Мелеузовская, д.29</t>
  </si>
  <si>
    <t>г. Уфа, ул. Мелеузовская, д.31</t>
  </si>
  <si>
    <t>г. Уфа, ул. Менделеева, д.173 корп.1</t>
  </si>
  <si>
    <t>г. Уфа, ул. Менделеева, д.112</t>
  </si>
  <si>
    <t>г. Уфа, ул. Менделеева, д.116</t>
  </si>
  <si>
    <t>г. Уфа, ул. Менделеева, д.142</t>
  </si>
  <si>
    <t>г. Уфа, ул. Менделеева, д.155</t>
  </si>
  <si>
    <t xml:space="preserve">г. Уфа, ул. Менделеева, д.171 </t>
  </si>
  <si>
    <t>г. Уфа, ул. Менделеева, д.171 корп.1</t>
  </si>
  <si>
    <t>г. Уфа, ул. Менделеева, д.173</t>
  </si>
  <si>
    <t>г. Уфа, ул. Менделеева, д.177 корп.1</t>
  </si>
  <si>
    <t>г. Уфа, ул. Менделеева, д.177 корп.2</t>
  </si>
  <si>
    <t>г. Уфа, ул. Менделеева, д.187</t>
  </si>
  <si>
    <t>г. Уфа, ул. Менделеева, д.201</t>
  </si>
  <si>
    <t>г. Уфа, ул. Менделеева, д.201 корп.2</t>
  </si>
  <si>
    <t>г. Уфа, ул. Менделеева, д.203 корп.2</t>
  </si>
  <si>
    <t>г. Уфа, ул. Мечетлинская, д.6а</t>
  </si>
  <si>
    <t>г. Уфа, ул. Мира, д.33</t>
  </si>
  <si>
    <t>г. Уфа, ул. Мубарякова, д.16</t>
  </si>
  <si>
    <t>г. Уфа, ул. Мубарякова, д.18</t>
  </si>
  <si>
    <t>г. Уфа, ул. Мубарякова, д.22 корп.1</t>
  </si>
  <si>
    <t>г. Уфа, ул. Мубарякова, д.3</t>
  </si>
  <si>
    <t>г. Уфа, ул. Мубарякова, д.7 корп.2</t>
  </si>
  <si>
    <t>г. Уфа, ул. Муксинова, д.3</t>
  </si>
  <si>
    <t>г. Уфа, ул. Муксинова, д.9</t>
  </si>
  <si>
    <t>г. Уфа, ул. Мусы Джалиля, д.10</t>
  </si>
  <si>
    <t>г. Уфа, ул. Мусы Джалиля, д.6</t>
  </si>
  <si>
    <t>г. Уфа, ул. Мусы Джалиля, д.8</t>
  </si>
  <si>
    <t>г. Уфа, ул. Нежинская, д.6</t>
  </si>
  <si>
    <t>г. Уфа, ул. Николая Дмитриева, д.19</t>
  </si>
  <si>
    <t>г. Уфа, ул. Обская, д.5</t>
  </si>
  <si>
    <t>г. Уфа, ул. Обская, д.5 корп.1</t>
  </si>
  <si>
    <t>г. Уфа, ул. Октябрьской Революции, д.73</t>
  </si>
  <si>
    <t>г. Уфа, ул. Октябрьской Революции, д.77</t>
  </si>
  <si>
    <t>г. Уфа, ул. Олимпийская, д.4</t>
  </si>
  <si>
    <t>г. Уфа, ул. Орджоникидзе, д.11</t>
  </si>
  <si>
    <t>г. Уфа, ул. Орджоникидзе, д.7</t>
  </si>
  <si>
    <t>г. Уфа, ул. Орджоникидзе, д.9</t>
  </si>
  <si>
    <t>г. Уфа, ул. Парковая, д.14 корп.2</t>
  </si>
  <si>
    <t>г. Уфа, ул. Парковая, д.18 корп.1</t>
  </si>
  <si>
    <t>г. Уфа, ул. Пархоменко, д.71</t>
  </si>
  <si>
    <t>г. Уфа, ул. Пархоменко, д.95</t>
  </si>
  <si>
    <t>г. Уфа, ул. Первомайская, д.28а</t>
  </si>
  <si>
    <t>г. Уфа, ул. Первомайская, д.40</t>
  </si>
  <si>
    <t>г. Уфа, ул. Первомайская, д.43</t>
  </si>
  <si>
    <t>г. Уфа, ул. Первомайская, д.43а</t>
  </si>
  <si>
    <t>г. Уфа, ул. Первомайская, д.51</t>
  </si>
  <si>
    <t>г. Уфа, ул. Первомайская, д.53</t>
  </si>
  <si>
    <t>г. Уфа, ул. Первомайская, д.58</t>
  </si>
  <si>
    <t>г. Уфа, ул. Первомайская, д.64</t>
  </si>
  <si>
    <t>г. Уфа, ул. Первомайская, д.64 корп.1</t>
  </si>
  <si>
    <t>г. Уфа, ул. Первомайская, д.68</t>
  </si>
  <si>
    <t>г. Уфа, ул. Первомайская, д.6а</t>
  </si>
  <si>
    <t>г. Уфа, ул. Первомайская, д.79</t>
  </si>
  <si>
    <t>г. Уфа, ул. Первомайская, д.81</t>
  </si>
  <si>
    <t>г. Уфа, ул. Первомайская, д.88 корп.1</t>
  </si>
  <si>
    <t>г. Уфа, ул. Первомайская, д.89</t>
  </si>
  <si>
    <t>г. Уфа, ул. Перевалочная, д.22</t>
  </si>
  <si>
    <t>г. Уфа, ул. Пионерская, д.16</t>
  </si>
  <si>
    <t>г. Уфа, ул. Победы, д.19</t>
  </si>
  <si>
    <t>г. Уфа, ул. Победы, д.21</t>
  </si>
  <si>
    <t>г. Уфа, ул. Победы, д.23</t>
  </si>
  <si>
    <t>г. Уфа, ул. Победы, д.6</t>
  </si>
  <si>
    <t>г. Уфа, ул. Пожарского, д.261</t>
  </si>
  <si>
    <t>г. Уфа, ул. Пожарского, д.307</t>
  </si>
  <si>
    <t>г. Уфа, ул. Правды, д.25 корп.1</t>
  </si>
  <si>
    <t>г. Уфа, ул. Рабкоров, д.10</t>
  </si>
  <si>
    <t>г. Уфа, ул. Рабкоров, д.2 корп.3</t>
  </si>
  <si>
    <t>г. Уфа, ул. Рабкоров, д.2 корп.5</t>
  </si>
  <si>
    <t>г. Уфа, ул. Рабкоров, д.26</t>
  </si>
  <si>
    <t>г. Уфа, ул. Рабкоров, д.9</t>
  </si>
  <si>
    <t>г. Уфа, ул. Революционная, д.167а</t>
  </si>
  <si>
    <t>г. Уфа, ул. Рихарда Зорге, д.26 корп.3</t>
  </si>
  <si>
    <t>г. Уфа, ул. Рихарда Зорге, д.27 корп.1</t>
  </si>
  <si>
    <t>г. Уфа, ул. Рихарда Зорге, д.31 корп.1</t>
  </si>
  <si>
    <t>г. Уфа, ул. Рихарда Зорге, д.32</t>
  </si>
  <si>
    <t>г. Уфа, ул. Рихарда Зорге, д.36 корп.2</t>
  </si>
  <si>
    <t>г. Уфа, ул. Рихарда Зорге, д.40</t>
  </si>
  <si>
    <t>г. Уфа, ул. Рихарда Зорге, д.45 корп.4</t>
  </si>
  <si>
    <t>г. Уфа, ул. Российская, д.10</t>
  </si>
  <si>
    <t>г. Уфа, ул. Российская, д.14</t>
  </si>
  <si>
    <t>г. Уфа, ул. Российская, д.159</t>
  </si>
  <si>
    <t>г. Уфа, ул. Российская, д.163</t>
  </si>
  <si>
    <t>г. Уфа, ул. Российская, д.31</t>
  </si>
  <si>
    <t>г. Уфа, ул. Российская, д.33 корп.3</t>
  </si>
  <si>
    <t>г. Уфа, ул. Российская, д.37</t>
  </si>
  <si>
    <t>г. Уфа, ул. Российская, д.5 корп.1</t>
  </si>
  <si>
    <t>г. Уфа, ул. Российская, д.76</t>
  </si>
  <si>
    <t>г. Уфа, ул. Российская, д.94</t>
  </si>
  <si>
    <t>г. Уфа, ул. Российская, д.98 корп.1</t>
  </si>
  <si>
    <t>г. Уфа, ул. Рычкова, д.10</t>
  </si>
  <si>
    <t>г. Уфа, ул. Рядовая, д.5 корп.1</t>
  </si>
  <si>
    <t>г. Уфа, ул. Рядовая, д.7 корп.1</t>
  </si>
  <si>
    <t>г. Уфа, ул. Рязанская, д.9</t>
  </si>
  <si>
    <t>г. Уфа, ул. Сагита Агиша, д.10</t>
  </si>
  <si>
    <t>г. Уфа, ул. Сагита Агиша, д.10 корп.1</t>
  </si>
  <si>
    <t>г. Уфа, ул. Свердлова, д.49</t>
  </si>
  <si>
    <t>г. Уфа, ул. Свободы, д.14</t>
  </si>
  <si>
    <t>г. Уфа, ул. Свободы, д.18</t>
  </si>
  <si>
    <t>г. Уфа, ул. Свободы, д.24</t>
  </si>
  <si>
    <t>г. Уфа, ул. Свободы, д.47 корп.2</t>
  </si>
  <si>
    <t>г. Уфа, ул. Сельская Богородская, д.11</t>
  </si>
  <si>
    <t>г. Уфа, ул. Сельская Богородская, д.13</t>
  </si>
  <si>
    <t>г. Уфа, ул. Софьи Перовской, д.1</t>
  </si>
  <si>
    <t>г. Уфа, ул. Софьи Перовской, д.21 корп.1</t>
  </si>
  <si>
    <t>г. Уфа, ул. Софьи Перовской, д.21 корп.2</t>
  </si>
  <si>
    <t>г. Уфа, ул. Софьи Перовской, д.23</t>
  </si>
  <si>
    <t>г. Уфа, ул. Софьи Перовской, д.25 корп.2</t>
  </si>
  <si>
    <t>г. Уфа, ул. Софьи Перовской, д.3</t>
  </si>
  <si>
    <t>г. Уфа, ул. Софьи Перовской, д.5</t>
  </si>
  <si>
    <t>г. Уфа, ул. Союзная, д.35 корп.1</t>
  </si>
  <si>
    <t>г. Уфа, ул. Степана Злобина, д.22а корп.1</t>
  </si>
  <si>
    <t>г. Уфа, ул. Степана Злобина, д.22б корп.1</t>
  </si>
  <si>
    <t>г. Уфа, ул. Степана Злобина, д.22в корп.1</t>
  </si>
  <si>
    <t>г. Уфа, ул. Степана Злобина, д.28</t>
  </si>
  <si>
    <t>г. Уфа, ул. Степана Злобина, д.44</t>
  </si>
  <si>
    <t>г. Уфа, ул. Степана Кувыкина, д.1</t>
  </si>
  <si>
    <t>г. Уфа, ул. Степана Кувыкина, д.1в</t>
  </si>
  <si>
    <t>г. Уфа, ул. Степана Кувыкина, д.10а</t>
  </si>
  <si>
    <t>г. Уфа, ул. Степана Кувыкина, д.1а</t>
  </si>
  <si>
    <t>г. Уфа, ул. Степана Кувыкина, д.1б</t>
  </si>
  <si>
    <t>г. Уфа, ул. Степана Кувыкина, д.23 корп.2</t>
  </si>
  <si>
    <t>г. Уфа, ул. Степана Кувыкина, д.7</t>
  </si>
  <si>
    <t>г. Уфа, ул. Степана Халтурина, д.34</t>
  </si>
  <si>
    <t>г. Уфа, ул. Степана Халтурина, д.42 корп.1</t>
  </si>
  <si>
    <t>г. Уфа, ул. Степана Халтурина, д.53 корп.2</t>
  </si>
  <si>
    <t>г. Уфа, ул. Суворова, д.16а</t>
  </si>
  <si>
    <t>г. Уфа, ул. Судоремонтная, д.14</t>
  </si>
  <si>
    <t>г. Уфа, ул. Судоремонтная, д.14а</t>
  </si>
  <si>
    <t>г. Уфа, ул. Судоремонтная, д.14б</t>
  </si>
  <si>
    <t>г. Уфа, ул. Судоремонтная, д.5</t>
  </si>
  <si>
    <t>г. Уфа, ул. Таллинская, д.21а</t>
  </si>
  <si>
    <t>г. Уфа, ул. Транспортная, д.26</t>
  </si>
  <si>
    <t>г. Уфа, ул. Транспортная, д.26 корп.6</t>
  </si>
  <si>
    <t>г. Уфа, ул. Транспортная, д.30 корп.1</t>
  </si>
  <si>
    <t>г. Уфа, ул. Транспортная, д.30 корп.2</t>
  </si>
  <si>
    <t>г. Уфа, ул. Транспортная, д.36 корп.2</t>
  </si>
  <si>
    <t>г. Уфа, ул. Транспортная, д.38 корп.1</t>
  </si>
  <si>
    <t>г. Уфа, ул. Ульяновых, д.21</t>
  </si>
  <si>
    <t>г. Уфа, ул. Ульяновых, д.29</t>
  </si>
  <si>
    <t>г. Уфа, ул. Ульяновых, д.44</t>
  </si>
  <si>
    <t>г. Уфа, ул. Уссурийская, д.33</t>
  </si>
  <si>
    <t>г. Уфа, ул. Ухтомского, д.21</t>
  </si>
  <si>
    <t>г. Уфа, ул. Ухтомского, д.26 корп.2</t>
  </si>
  <si>
    <t>г. Уфа, ул. Ферина, д.10 корп.1</t>
  </si>
  <si>
    <t>г. Уфа, ул. Ферина, д.20</t>
  </si>
  <si>
    <t>г. Уфа, ул. Ферина, д.20 корп.2</t>
  </si>
  <si>
    <t>г. Уфа, ул. Ферина, д.21</t>
  </si>
  <si>
    <t>г. Уфа, ул. Ферина, д.24</t>
  </si>
  <si>
    <t>г. Уфа, ул. Харьковская, д.101</t>
  </si>
  <si>
    <t>г. Уфа, ул. Харьковская, д.120</t>
  </si>
  <si>
    <t>г. Уфа, ул. Центральная, д.14</t>
  </si>
  <si>
    <t>г. Уфа, ул. Центральная, д.14а</t>
  </si>
  <si>
    <t>г. Уфа, ул. Центральная, д.38</t>
  </si>
  <si>
    <t>г. Уфа, ул. Цюрупы, д.110 корп.1</t>
  </si>
  <si>
    <t>г. Уфа, ул. Цюрупы, д.83</t>
  </si>
  <si>
    <t>г. Уфа, пер. Шкаповский, д.6</t>
  </si>
  <si>
    <t>г. Уфа, ул. Черниковская, д.13</t>
  </si>
  <si>
    <t>г. Уфа, ул. Черниковская, д.15</t>
  </si>
  <si>
    <t>г. Уфа, ул. Черниковская, д.17</t>
  </si>
  <si>
    <t>г. Уфа, ул. Черниковская, д.19</t>
  </si>
  <si>
    <t>г. Уфа, ул. Черниковская, д.44</t>
  </si>
  <si>
    <t>г. Уфа, ул. Черниковская, д.5 корп.1</t>
  </si>
  <si>
    <t>г. Уфа, ул. Черниковская, д.56</t>
  </si>
  <si>
    <t>г. Уфа, ул. Черниковская, д.7</t>
  </si>
  <si>
    <t>г. Уфа, ул. Черниковская, д.79</t>
  </si>
  <si>
    <t>г. Уфа, ул. Чернышевского, д.125 корп.1</t>
  </si>
  <si>
    <t>г. Уфа, ул. Чернышевского, д.14</t>
  </si>
  <si>
    <t>г. Уфа, ул. Чудинова, д.5</t>
  </si>
  <si>
    <t>г. Уфа, ул. Шота Руставели, д.23 корп.2</t>
  </si>
  <si>
    <t>г. Уфа, ул. Шота Руставели, д.27 корп.1</t>
  </si>
  <si>
    <t>г. Уфа, ул. Шота Руставели, д.27 корп.2</t>
  </si>
  <si>
    <t>г. Уфа, ул. Шота Руставели, д.28 корп.1</t>
  </si>
  <si>
    <t>г. Уфа, ул. Шота Руставели, д.37 корп.1</t>
  </si>
  <si>
    <t>г. Уфа, ул. Шота Руставели, д.41 корп.1</t>
  </si>
  <si>
    <t>г. Уфа, ул. Шумавцова, д.23</t>
  </si>
  <si>
    <t>г. Уфа, ул. Энгельса, д.3</t>
  </si>
  <si>
    <t>г. Уфа, ул. Энтузиастов, д.2</t>
  </si>
  <si>
    <t>г. Уфа, ул. Юрия Гагарина, д.10 корп.2</t>
  </si>
  <si>
    <t>г. Уфа, ул. Юрия Гагарина, д.28 корп.2</t>
  </si>
  <si>
    <t>г. Уфа, ул. Юрия Гагарина, д.66 корп.1</t>
  </si>
  <si>
    <t>г. Уфа, ул. Уфимское шоссе, д.18 корп.1</t>
  </si>
  <si>
    <t>г. Уфа, ул. Уфимское шоссе, д.18 корп.2</t>
  </si>
  <si>
    <t>г. Уфа, ул. Уфимское шоссе, д.25 корп.1</t>
  </si>
  <si>
    <t>г. Уфа, ул. Уфимское шоссе, д.27 корп.3</t>
  </si>
  <si>
    <t>г. Нефтекамск, пр-кт Комсомольский, д.29</t>
  </si>
  <si>
    <t>г. Нефтекамск, пр-кт Комсомольский, д.32</t>
  </si>
  <si>
    <t>г. Нефтекамск, пр-кт Комсомольский, д.32а</t>
  </si>
  <si>
    <t>г. Нефтекамск, пр-кт Юбилейный, д.28</t>
  </si>
  <si>
    <t>г. Нефтекамск, ул. Дзержинского, д.22</t>
  </si>
  <si>
    <t>г. Нефтекамск, ул. Дорожная, д.21</t>
  </si>
  <si>
    <t>г. Нефтекамск, ул. Дорожная, д.23</t>
  </si>
  <si>
    <t>г. Нефтекамск, ул. Дорожная, д.25</t>
  </si>
  <si>
    <t>г. Нефтекамск, ул. Карла Маркса, д.4</t>
  </si>
  <si>
    <t>г. Нефтекамск, ул. Карла Маркса, д.8а</t>
  </si>
  <si>
    <t>г. Нефтекамск, ул. Ленина, д.4а</t>
  </si>
  <si>
    <t>г. Нефтекамск, ул. Ленина, д.5а</t>
  </si>
  <si>
    <t>г. Нефтекамск, ул. Ленина, д.15</t>
  </si>
  <si>
    <t>г. Нефтекамск, ул. Ленина, д.27б</t>
  </si>
  <si>
    <t>г. Нефтекамск, ул. Ленина, д.39а</t>
  </si>
  <si>
    <t>г. Нефтекамск, ул. Ленина, д.60</t>
  </si>
  <si>
    <t>г. Нефтекамск, ул. Ленина, д.62б</t>
  </si>
  <si>
    <t>г. Нефтекамск, ул. Нефтяников, д.14</t>
  </si>
  <si>
    <t>г. Нефтекамск, ул. Нефтяников, д.23</t>
  </si>
  <si>
    <t>г. Нефтекамск, ул. Нефтяников, д.26а</t>
  </si>
  <si>
    <t>г. Нефтекамск, ул. Нефтяников, д.26в</t>
  </si>
  <si>
    <t>г. Нефтекамск, ул. Парковая, д.6в</t>
  </si>
  <si>
    <t>г. Нефтекамск, ул. Парковая, д.6г</t>
  </si>
  <si>
    <t>г. Нефтекамск, ул. Парковая, д.7</t>
  </si>
  <si>
    <t>г. Нефтекамск, ул. Парковая, д.8в</t>
  </si>
  <si>
    <t>г. Нефтекамск, ул. Парковая, д.15</t>
  </si>
  <si>
    <t>г. Нефтекамск, ул. Социалистическая, д.4</t>
  </si>
  <si>
    <t>г. Нефтекамск, ул. Строителей, д.21а</t>
  </si>
  <si>
    <t>г. Нефтекамск, ул. Строителей, д.21б</t>
  </si>
  <si>
    <t>г. Нефтекамск, ул. Строителей, д.41а</t>
  </si>
  <si>
    <t>г. Нефтекамск, ул. Строителей, д.59а</t>
  </si>
  <si>
    <t>г. Нефтекамск, ул. Строителей, д.61а</t>
  </si>
  <si>
    <t>г. Нефтекамск, ул. Строителей, д.67</t>
  </si>
  <si>
    <t>г. Нефтекамск, ул. Строителей, д.91б</t>
  </si>
  <si>
    <t>г. Нефтекамск, ул. Уральская, д.9</t>
  </si>
  <si>
    <t>г. Нефтекамск, ул. Энергетиков, д.3</t>
  </si>
  <si>
    <t>г. Нефтекамск, ул. Энергетиков, д.7</t>
  </si>
  <si>
    <t>с. Амзя, ул. Азина, д.8</t>
  </si>
  <si>
    <t>с. Амзя, ул. Кудрявцева, д.11</t>
  </si>
  <si>
    <t>с. Амзя, ул. Кудрявцева, д.15</t>
  </si>
  <si>
    <t>с. Амзя, ул. Лесохимическая, д.8</t>
  </si>
  <si>
    <t>с. Амзя, ул. Пионерская, д.1</t>
  </si>
  <si>
    <t>с. Амзя, ул. Садовая, д.13</t>
  </si>
  <si>
    <t>г. Октябрьский, мкр. 24-й, д.2</t>
  </si>
  <si>
    <t>г. Октябрьский, мкр. 24-й, д.6</t>
  </si>
  <si>
    <t>г. Октябрьский, мкр. 24-й, д.7</t>
  </si>
  <si>
    <t>г. Октябрьский, мкр. 24-й, д.8</t>
  </si>
  <si>
    <t>г. Октябрьский, мкр. 25-й, д.23</t>
  </si>
  <si>
    <t>г. Октябрьский, мкр. 34-й, д.2</t>
  </si>
  <si>
    <t>г. Октябрьский, мкр. 34-й, д.7</t>
  </si>
  <si>
    <t>г. Октябрьский, мкр. 35-й, д.22 корп.2</t>
  </si>
  <si>
    <t>г. Октябрьский, мкр. 35-й, д.28</t>
  </si>
  <si>
    <t>г. Октябрьский, мкр. 35-й, д.4</t>
  </si>
  <si>
    <t>г. Октябрьский, мкр. 35-й, д.9</t>
  </si>
  <si>
    <t>г. Октябрьский, пр-кт Ленина, д.26</t>
  </si>
  <si>
    <t>г. Октябрьский, пр-кт Ленина, д.28</t>
  </si>
  <si>
    <t>г. Октябрьский, пр-кт Ленина, д.41</t>
  </si>
  <si>
    <t>г. Октябрьский, пр-кт Ленина, д.57</t>
  </si>
  <si>
    <t>г. Октябрьский, пр-кт Ленина, д.61</t>
  </si>
  <si>
    <t>г. Октябрьский, пр-кт Ленина, д.63а</t>
  </si>
  <si>
    <t>г. Октябрьский, пр-кт Ленина, д.77</t>
  </si>
  <si>
    <t>г. Октябрьский, пр-кт Ленина, д.9</t>
  </si>
  <si>
    <t>г. Октябрьский, ул. Аксакова, д.9</t>
  </si>
  <si>
    <t>г. Октябрьский, ул. Гаражная, д.4</t>
  </si>
  <si>
    <t>г. Октябрьский, ул. Геофизиков, д.4</t>
  </si>
  <si>
    <t>г. Октябрьский, ул. Герцена, д.32</t>
  </si>
  <si>
    <t>г. Октябрьский, ул. Горького, д.11</t>
  </si>
  <si>
    <t>г. Октябрьский, ул. Горького, д.2</t>
  </si>
  <si>
    <t>г. Октябрьский, ул. Горького, д.6</t>
  </si>
  <si>
    <t>г. Октябрьский, ул. Губкина, д.26</t>
  </si>
  <si>
    <t>г. Октябрьский, ул. Девонская, д.10а</t>
  </si>
  <si>
    <t>г. Октябрьский, ул. Девонская, д.12а</t>
  </si>
  <si>
    <t>г. Октябрьский, ул. Девонская, д.16</t>
  </si>
  <si>
    <t>г. Октябрьский, ул. Девонская, д.5</t>
  </si>
  <si>
    <t>г. Октябрьский, ул. Комсомольская, д.17</t>
  </si>
  <si>
    <t>г. Октябрьский, ул. Комсомольская, д.17а</t>
  </si>
  <si>
    <t>г. Октябрьский, ул. Комсомольская, д.19а</t>
  </si>
  <si>
    <t>г. Октябрьский, ул. Комсомольская, д.20а</t>
  </si>
  <si>
    <t>г. Октябрьский, ул. Кортунова, д.6</t>
  </si>
  <si>
    <t>г. Октябрьский, ул. Кортунова, д.10</t>
  </si>
  <si>
    <t>г. Октябрьский, ул. Кувыкина, д.17</t>
  </si>
  <si>
    <t>г. Октябрьский, ул. Куйбышева, д.17</t>
  </si>
  <si>
    <t>г. Октябрьский, ул. Лермонтова, д.11</t>
  </si>
  <si>
    <t>г. Октябрьский, ул. Островского, д.45</t>
  </si>
  <si>
    <t>г. Октябрьский, ул. Островского, д.49</t>
  </si>
  <si>
    <t>г. Октябрьский, ул. Первомайская, д.7а</t>
  </si>
  <si>
    <t>г. Октябрьский, ул. Садовое Кольцо, д.21</t>
  </si>
  <si>
    <t>г. Октябрьский, ул. Садовое Кольцо, д.30</t>
  </si>
  <si>
    <t>г. Октябрьский, ул. Садовое Кольцо, д.40</t>
  </si>
  <si>
    <t>г. Октябрьский, ул. Садовое Кольцо, д.61</t>
  </si>
  <si>
    <t>г. Октябрьский, ул. Свердлова, д.87</t>
  </si>
  <si>
    <t>г. Октябрьский, ул. Северная, д.16</t>
  </si>
  <si>
    <t>г. Октябрьский, ул. Северная, д.22</t>
  </si>
  <si>
    <t>г. Октябрьский, ул. Северная, д.24</t>
  </si>
  <si>
    <t>г. Октябрьский, ул. Фрунзе, д.9а</t>
  </si>
  <si>
    <t>с. Ким, ул. Мира, д.6</t>
  </si>
  <si>
    <t>с. Раевский, ул. Дружбы, д.40а</t>
  </si>
  <si>
    <t>с. Раевский, ул. Кирова, д.96б</t>
  </si>
  <si>
    <t>с. Тавричанка, ул. Интернациональная, д.7</t>
  </si>
  <si>
    <t>с. Аскино, ул. Ленина, д.47</t>
  </si>
  <si>
    <t>с. Старобалтачево, ул. Первомайская, д.6</t>
  </si>
  <si>
    <t>г. Белебей, ул. им В.И.Ленина, д.32</t>
  </si>
  <si>
    <t>г. Белебей, ул. им В.И.Ленина, д.46</t>
  </si>
  <si>
    <t>г. Белебей, ул. им В.И.Ленина, д.58</t>
  </si>
  <si>
    <t>г. Белебей, ул. Интернациональная, д.73</t>
  </si>
  <si>
    <t>г. Белебей, ул. Интернациональная, д.79</t>
  </si>
  <si>
    <t>г. Белебей, ул. Интернациональная, д.114</t>
  </si>
  <si>
    <t>г. Белебей, ул. Интернациональная, д.124</t>
  </si>
  <si>
    <t>г. Белебей, ул. Красная, д.125 корп.4</t>
  </si>
  <si>
    <t>г. Белебей, ул. Красноармейская, д.265б</t>
  </si>
  <si>
    <t>г. Белебей, ул. Максимовой, д.14</t>
  </si>
  <si>
    <t>г. Белебей, ул. Мебельная, д.17</t>
  </si>
  <si>
    <t>г. Белебей, ул. им М.Г.Амирова, д.8 корп.1</t>
  </si>
  <si>
    <t>г. Белебей, ул. им С.Ф.Горохова, д.36</t>
  </si>
  <si>
    <t>г. Белебей, ул. Тукаева, д.68</t>
  </si>
  <si>
    <t>с. Аксаково, ул. Садовая, д.37</t>
  </si>
  <si>
    <t>с. Баженово, ул. Советская, д.8</t>
  </si>
  <si>
    <t>с. Санатория Глуховского, ул. Строителей, д.4</t>
  </si>
  <si>
    <t>с. Новобелокатай, ул. Мира, д.3</t>
  </si>
  <si>
    <t>с. Новобелокатай, ул. Мира, д.5</t>
  </si>
  <si>
    <t>с. Бижбуляк, ул. Центральная, д.67</t>
  </si>
  <si>
    <t>с. Сухоречка, ул. Карима Хакимова, д.8</t>
  </si>
  <si>
    <t>г. Бирск, ул. 8 Марта, д.38а</t>
  </si>
  <si>
    <t>г. Бирск, ул. Калинина, д.26а</t>
  </si>
  <si>
    <t>г. Бирск, ул. Кирова, д.24</t>
  </si>
  <si>
    <t>г. Бирск, ул. Комарова, д.36</t>
  </si>
  <si>
    <t>г. Бирск, ул. Комарова, д.42</t>
  </si>
  <si>
    <t>г. Бирск, ул. Красноармейская, д.71</t>
  </si>
  <si>
    <t>г. Бирск, ул. Курбатова, д.33</t>
  </si>
  <si>
    <t>г. Бирск, ул. Лермонтова, д.75</t>
  </si>
  <si>
    <t>г. Бирск, ул. Луговая, д.24</t>
  </si>
  <si>
    <t>г. Бирск, ул. Луговая, д.26</t>
  </si>
  <si>
    <t>г. Бирск, ул. Луговая, д.30б</t>
  </si>
  <si>
    <t>г. Бирск, ул. Овчинникова, д.40</t>
  </si>
  <si>
    <t>г. Бирск, ул. Советская, д.38а</t>
  </si>
  <si>
    <t>г. Бирск, ул. Чеверева, д.140</t>
  </si>
  <si>
    <t>г. Бирск, ул. Чеверева, д.140а</t>
  </si>
  <si>
    <t>с. Первомайский, ул. Ленина, д.9</t>
  </si>
  <si>
    <t>д. Янбакты, ул. Железодорожная, д.4</t>
  </si>
  <si>
    <t>г. Благовещенск, ул. Братьев Першиных, д.3 корп.2</t>
  </si>
  <si>
    <t>г. Благовещенск, ул. Демьяна Бедного, д.81</t>
  </si>
  <si>
    <t>г. Благовещенск, ул. Демьяна Бедного, д.85 корп.1</t>
  </si>
  <si>
    <t>г. Благовещенск, ул. Комарова, д.5</t>
  </si>
  <si>
    <t>г. Благовещенск, ул. Коммунистическая, д.10</t>
  </si>
  <si>
    <t>г. Благовещенск, ул. Коммунистическая, д.7</t>
  </si>
  <si>
    <t>г. Благовещенск, ул. Расковой, д.53</t>
  </si>
  <si>
    <t>г. Благовещенск, ул. Расковой, д.55</t>
  </si>
  <si>
    <t>г. Благовещенск, ул. Расковой, д.55 корп.1</t>
  </si>
  <si>
    <t>г. Благовещенск, ул. Седова, д.112 корп.2</t>
  </si>
  <si>
    <t>г. Благовещенск, ул. Седова, д.22</t>
  </si>
  <si>
    <t>г. Благовещенск, ул. Социалистическая, д.18 корп.1</t>
  </si>
  <si>
    <t>с. Буздяк, ул. В.Ахмадеева, д.4</t>
  </si>
  <si>
    <t>с. Буздяк, ул. Заводская, д.31</t>
  </si>
  <si>
    <t>с. Гафури, ул. Мира, д.17</t>
  </si>
  <si>
    <t>с. Бураево, ул. Строителей, д.8</t>
  </si>
  <si>
    <t>г. Давлеканово, ул. Высоковольтная, д.19</t>
  </si>
  <si>
    <t>г. Давлеканово, пер. Каранский, д.29</t>
  </si>
  <si>
    <t>г. Давлеканово, ул. Карла Маркса, д.133 корп.1</t>
  </si>
  <si>
    <t>г. Давлеканово, ул. Карла Маркса, д.125</t>
  </si>
  <si>
    <t>с. Месягутово, ул. И.Усова, д.3 корп.1</t>
  </si>
  <si>
    <t>г. Дюртюли, ул. Ленина, д.34</t>
  </si>
  <si>
    <t>г. Дюртюли, ул. Ленина, д.40 корп.1</t>
  </si>
  <si>
    <t>г. Дюртюли, ул. Назара Наджми, д.19 корп.1</t>
  </si>
  <si>
    <t>г. Дюртюли, ул. Первомайская, д.5</t>
  </si>
  <si>
    <t>г. Дюртюли, ул. Первомайская, д.11</t>
  </si>
  <si>
    <t>г. Дюртюли, ул. Седова, д.2 корп.1</t>
  </si>
  <si>
    <t>с. Семилетка, ул. Мира, д.20а</t>
  </si>
  <si>
    <t>с. Пионерский, ул. Пионерская, д.5</t>
  </si>
  <si>
    <t>с. Ермекеево, ул. Школьная, д.9</t>
  </si>
  <si>
    <t>с. Урман, ул. Центральная, д.11</t>
  </si>
  <si>
    <t>с. Кудеевский, ул. Гагарина, д.8</t>
  </si>
  <si>
    <t>с. Иглино, ул. Калинина, д.34</t>
  </si>
  <si>
    <t>с. Верхнеяркеево, пер. Библиотечный, д.3</t>
  </si>
  <si>
    <t>с. Верхнеяркеево, ул. Коммунистическая, д.38</t>
  </si>
  <si>
    <t>с. Калтасы, ул. Комсомольская, д.2а</t>
  </si>
  <si>
    <t>с. Краснохолмский, ул. Губкина, д.26</t>
  </si>
  <si>
    <t>с. Краснохолмский, ул. Губкина, д.20</t>
  </si>
  <si>
    <t>с. Краснохолмский, ул. Комсомольская, д.9</t>
  </si>
  <si>
    <t>с. Краснохолмский, ул. Губкина, д.7</t>
  </si>
  <si>
    <t>с. Краснохолмский, ул. Губкина, д.14</t>
  </si>
  <si>
    <t>с. Караидель, ул. Мира, д.11</t>
  </si>
  <si>
    <t>с. Верхние Киги, ул. Микрорайон, д.7</t>
  </si>
  <si>
    <t>с. Куяново, пр-кт Комсомольский, д.13</t>
  </si>
  <si>
    <t xml:space="preserve">с. Куяново, пр-кт Комсомольский, д.19 </t>
  </si>
  <si>
    <t>с. Кушнаренково, ул. Октябрьская, д.48</t>
  </si>
  <si>
    <t>с. Кушнаренково, ул. Октябрьская, д.77</t>
  </si>
  <si>
    <t>с. Большеустьикинское, ул. Ленина, д.8</t>
  </si>
  <si>
    <t>с. Мишкино, ул. Мира, д.18а</t>
  </si>
  <si>
    <t>с. Киргиз-Мияки, ул. Шоссейная, д.15</t>
  </si>
  <si>
    <t>с. Киргиз-Мияки, ул. Чапаева, д.2 корп.1</t>
  </si>
  <si>
    <t>с. Павловка, ул. Карла Маркса, д.37</t>
  </si>
  <si>
    <t>с. Красная горка, ул. Нуриманова, д.28</t>
  </si>
  <si>
    <t xml:space="preserve">с. Мурсалимкино, ул. Коммунистическая, д.13 </t>
  </si>
  <si>
    <t>с. Мурсалимкино, ул. Кирова, д.19</t>
  </si>
  <si>
    <t xml:space="preserve">с. Мурсалимкино, ул. Кирова, д.20 </t>
  </si>
  <si>
    <t xml:space="preserve">с. Мурсалимкино, ул. Кирова, д.21 </t>
  </si>
  <si>
    <t>с. Верхние Татышлы, пер. Гагарина, д.2</t>
  </si>
  <si>
    <t>с. Верхние Татышлы, ул. Комсомольская, д.11</t>
  </si>
  <si>
    <t>г. Туймазы, пр-кт Ленина, д.2</t>
  </si>
  <si>
    <t>г. Туймазы, пр-кт Ленина, д.6а</t>
  </si>
  <si>
    <t>г. Туймазы, ул. Комарова, д.17</t>
  </si>
  <si>
    <t>г. Туймазы, ул. Ленина, д.79</t>
  </si>
  <si>
    <t>г. Туймазы, ул. Мичурина, д.17б</t>
  </si>
  <si>
    <t>г. Туймазы, ул. Островского, д.36</t>
  </si>
  <si>
    <t>г. Туймазы, ул. Ульянова, д.36</t>
  </si>
  <si>
    <t>г. Туймазы, ул. Чапаева, д.2а</t>
  </si>
  <si>
    <t>г. Туймазы, ул. Чапаева, д.4</t>
  </si>
  <si>
    <t>г. Туймазы, ул. Чапаева, д.4в</t>
  </si>
  <si>
    <t>г. Туймазы, ул. Чапаева, д.22</t>
  </si>
  <si>
    <t>г. Туймазы, ул. Щербакова, д.23а</t>
  </si>
  <si>
    <t>с. Кандры, ул. Котовского, д.1</t>
  </si>
  <si>
    <t>с. Кандры, ул. Котовского, д.1а</t>
  </si>
  <si>
    <t>с. Кандры, ул. Котовского, д.2</t>
  </si>
  <si>
    <t>с. Нижнетроицкий, ул. Гагарина, д.13</t>
  </si>
  <si>
    <t>с. Нижнетроицкий, ул. Гагарина, д.7</t>
  </si>
  <si>
    <t>с. Серафимовский, 18-й кв-л, д.5</t>
  </si>
  <si>
    <t>с. Серафимовский, 18-й кв-л, д.6</t>
  </si>
  <si>
    <t>с. Серафимовский, 19-й кв-л, д.10</t>
  </si>
  <si>
    <t>с. Серафимовский, 19-й кв-л, д.11</t>
  </si>
  <si>
    <t>с. Серафимовский, 19-й кв-л, д.13</t>
  </si>
  <si>
    <t>с. Серафимовский, 19-й кв-л, д.9</t>
  </si>
  <si>
    <t>с. Серафимовский, 21-й кв-л, д.8</t>
  </si>
  <si>
    <t>с. Серафимовский, 21-й кв-л, д.9</t>
  </si>
  <si>
    <t>с. Серафимовский, 22-й кв-л, д.3</t>
  </si>
  <si>
    <t>с. Серафимовский, 22-й кв-л, д.8</t>
  </si>
  <si>
    <t>с. Серафимовский, ул. Покровская, д.8</t>
  </si>
  <si>
    <t>с. Серафимовский, ул. Свердлова, д.1</t>
  </si>
  <si>
    <t>с. Субханкулово, ул. Черняева, д.2</t>
  </si>
  <si>
    <t>с. Субханкулово, ул. Южная, д.2</t>
  </si>
  <si>
    <t>д. Алексеевка, с.п. Алексеевский, ул. Центральная, д.63</t>
  </si>
  <si>
    <t>д. Юматово, с.п. Юматовский, ул. Парковая, д.54</t>
  </si>
  <si>
    <t>с. Дмитриевка, с.п. Дмитриевский, ул. Трактовая, д.13 корп.1</t>
  </si>
  <si>
    <t>с. Дмитриевка, с.п. Дмитриевский, ул. Трактовая, д.19</t>
  </si>
  <si>
    <t>с. Михайловка, с.п. Михайловский, ул. Ленина, д.69</t>
  </si>
  <si>
    <t>с. Михайловка, с.п. Михайловский, ул. Садовая, д.14</t>
  </si>
  <si>
    <t>с. Михайловка, с.п. Михайловский, ул. Садовая, д.5</t>
  </si>
  <si>
    <t>с. Октябрьский, с.п. Шемякский, ул. Центральная, д.1</t>
  </si>
  <si>
    <t>с. Октябрьский, с.п. Шемякский, ул. Центральная, д.17</t>
  </si>
  <si>
    <t>с. санаторий Юматово, с.п. Юматовский, ул. Кольцевая, д.1</t>
  </si>
  <si>
    <t>с. санаторий Юматово, с.п. Юматовский, ул. Кольцевая, д.3</t>
  </si>
  <si>
    <t>с. санаторий Юматово, с.п. Юматовский, ул. Кольцевая, д.4</t>
  </si>
  <si>
    <t>с. Старокалмашево, ул. Нефтяников, д.9</t>
  </si>
  <si>
    <t>с. Чекмагуш, ул. Гагарина, д.1</t>
  </si>
  <si>
    <t>с. Чекмагуш, ул. Мира, д.8а</t>
  </si>
  <si>
    <t>с. Чекмагуш, ул. Мира, д.18</t>
  </si>
  <si>
    <t>рп Чишмы, ул. Кирова, д.1</t>
  </si>
  <si>
    <t>рп Чишмы, ул. Коммунистическая, д.5А</t>
  </si>
  <si>
    <t>рп Чишмы, ул. Ленина, д.55</t>
  </si>
  <si>
    <t>рп Чишмы, ул. Строительная, д.22а</t>
  </si>
  <si>
    <t>рп Чишмы, ул. Строительная, д.24</t>
  </si>
  <si>
    <t>с. Алкино-2, ул. Центральная, д.5</t>
  </si>
  <si>
    <t>с. Шаран, ул. Гагарина, д.14</t>
  </si>
  <si>
    <t>с. Шаран, ул. Гагарина, д.17</t>
  </si>
  <si>
    <t>с. Шаран, ул. Лесопарковая, д.25</t>
  </si>
  <si>
    <t>г. Янаул, ул. Ленина, д.8</t>
  </si>
  <si>
    <t>г. Янаул, ул. Ленина, д.10</t>
  </si>
  <si>
    <t>г. Янаул, ул. Ломоносова, д.8</t>
  </si>
  <si>
    <t>г. Янаул, ул. Победы, д.72</t>
  </si>
  <si>
    <t>г. Янаул, ул. Советская, д.10</t>
  </si>
  <si>
    <t>г. Янаул, ул. Худайбердина, д.2</t>
  </si>
  <si>
    <t>г. Янаул, ул. Юбилейная, д.8</t>
  </si>
  <si>
    <t>г. Янаул, ул. Юбилейная, д.12</t>
  </si>
  <si>
    <t>г. Кумертау, ул. Бабаевская, д.8</t>
  </si>
  <si>
    <t>г. Кумертау, ул. Вокзальная, д.3</t>
  </si>
  <si>
    <t>г. Кумертау, ул. Гафури, д.8</t>
  </si>
  <si>
    <t>г. Кумертау, ул. Гафури, д.9</t>
  </si>
  <si>
    <t>г. Кумертау, ул. Карла Маркса, д.10</t>
  </si>
  <si>
    <t>г. Кумертау, ул. Карла Маркса, д.17</t>
  </si>
  <si>
    <t>г. Кумертау, ул. Карла Маркса, д.5</t>
  </si>
  <si>
    <t>г. Кумертау, ул. Ленина, д.16</t>
  </si>
  <si>
    <t>г. Кумертау, ул. Логовая, д.4</t>
  </si>
  <si>
    <t>г. Кумертау, ул. Логовая, д.42</t>
  </si>
  <si>
    <t>г. Кумертау, ул. Окружная, д.14</t>
  </si>
  <si>
    <t>г. Кумертау, ул. Окружная, д.6</t>
  </si>
  <si>
    <t>г. Кумертау, ул. Первомайская, д.32</t>
  </si>
  <si>
    <t>г. Кумертау, ул. Пушкина, д.1</t>
  </si>
  <si>
    <t xml:space="preserve">г. Кумертау, ул. Пушкина, д.17 </t>
  </si>
  <si>
    <t>г. Кумертау, ул. Шахтостроительная, д.3</t>
  </si>
  <si>
    <t>г. Кумертау, ул. Энергетиков, д.17</t>
  </si>
  <si>
    <t>г. Кумертау, ул. Энергетиков, д.19</t>
  </si>
  <si>
    <t>г. Кумертау, ул. Энергетиков, д.23</t>
  </si>
  <si>
    <t>г. Кумертау, ул. Энергетиков, д.25</t>
  </si>
  <si>
    <t>г. Кумертау, ул. Энергетиков, д.7б</t>
  </si>
  <si>
    <t>с. Маячный, ул. Социалистическая, д.10</t>
  </si>
  <si>
    <t>с. Маячный, ул. Социалистическая, д.6</t>
  </si>
  <si>
    <t>г. Салават, б-р Космонавтов, д.13</t>
  </si>
  <si>
    <t>г. Салават, б-р Космонавтов, д.18</t>
  </si>
  <si>
    <t>г. Салават, б-р Юлаева, д.6</t>
  </si>
  <si>
    <t>г. Салават, пер. Школьный, д.9</t>
  </si>
  <si>
    <t>г. Салават, ул. 30 лет Победы, д.14</t>
  </si>
  <si>
    <t>г. Салават, ул. Хмельницкого, д.43</t>
  </si>
  <si>
    <t>г. Салават, ул. Гагарина, д.20</t>
  </si>
  <si>
    <t>г. Салават, ул. Гагарина, д.23</t>
  </si>
  <si>
    <t>г. Салават, ул. Гагарина, д.25а</t>
  </si>
  <si>
    <t>г. Салават, ул. Гагарина, д.3а</t>
  </si>
  <si>
    <t>г. Салават, ул. Гафури, д.13</t>
  </si>
  <si>
    <t>г. Салават, ул. Гафури, д.21</t>
  </si>
  <si>
    <t>г. Салават, ул. Гафури, д.23</t>
  </si>
  <si>
    <t>г. Салават, ул. Горького, д.11а</t>
  </si>
  <si>
    <t>г. Салават, ул. Горького, д.17</t>
  </si>
  <si>
    <t>г. Салават, ул. Горького, д.20</t>
  </si>
  <si>
    <t>г. Салават, ул. Горького, д.25</t>
  </si>
  <si>
    <t>г. Салават, ул. Горького, д.27</t>
  </si>
  <si>
    <t>г. Салават, ул. Губкина, д.2а</t>
  </si>
  <si>
    <t>г. Салават, ул. Губкина, д.8</t>
  </si>
  <si>
    <t>г. Салават, ул. Ключевая, д.12а</t>
  </si>
  <si>
    <t>г. Салават, ул. Колхозная, д.26</t>
  </si>
  <si>
    <t>г. Салават, ул. Колхозная, д.38а</t>
  </si>
  <si>
    <t>г. Салават, ул. Колхозная, д.5</t>
  </si>
  <si>
    <t>г. Салават, ул. Ленина, д.20</t>
  </si>
  <si>
    <t>г. Салават, ул. Октябрьская, д.13</t>
  </si>
  <si>
    <t>г. Салават, ул. Октябрьская, д.4</t>
  </si>
  <si>
    <t>г. Салават, ул. Октябрьская, д.56</t>
  </si>
  <si>
    <t>г. Салават, ул. Октябрьская, д.62а</t>
  </si>
  <si>
    <t>г. Салават, ул. Октябрьская, д.64</t>
  </si>
  <si>
    <t>г. Салават, ул. Октябрьская, д.8</t>
  </si>
  <si>
    <t>г. Салават, ул. Островского, д.63</t>
  </si>
  <si>
    <t>г. Салават, ул. Островского, д.65</t>
  </si>
  <si>
    <t>г. Салават, ул. Островского, д.69</t>
  </si>
  <si>
    <t>г. Салават, ул. Первомайская, д.22а</t>
  </si>
  <si>
    <t>г. Салават, ул. Пушкина, д.14</t>
  </si>
  <si>
    <t>г. Салават, ул. Речная, д.38</t>
  </si>
  <si>
    <t>г. Салават, ул. Северная, д.12</t>
  </si>
  <si>
    <t>г. Салават, ул. Строителей, д.13</t>
  </si>
  <si>
    <t>г. Салават, ул. Строителей, д.46б</t>
  </si>
  <si>
    <t>г. Салават, ул. Строителей, д.46а</t>
  </si>
  <si>
    <t>г. Салават, ул. Чапаева, д.27а</t>
  </si>
  <si>
    <t>г. Салават, ул. Чапаева, д.31</t>
  </si>
  <si>
    <t>г. Сибай, пр-кт Горняков, д.17</t>
  </si>
  <si>
    <t>г. Сибай, пр-кт Горняков, д.24</t>
  </si>
  <si>
    <t>г. Сибай, пр-кт Горняков, д.30</t>
  </si>
  <si>
    <t>г. Сибай, пр-кт Горняков, д.45</t>
  </si>
  <si>
    <t>г. Сибай, пр-кт Горняков, д.6/7</t>
  </si>
  <si>
    <t>г. Сибай, пр-кт Горняков, д.7</t>
  </si>
  <si>
    <t>г. Сибай, ул. Ветеранов, д.6</t>
  </si>
  <si>
    <t>г. Сибай, ул. Горького, д.45</t>
  </si>
  <si>
    <t>г. Сибай, ул. Горького, д.47</t>
  </si>
  <si>
    <t>г. Сибай, ул. Горького, д.86</t>
  </si>
  <si>
    <t>г. Сибай, ул. Заки Валиди, д.48/2</t>
  </si>
  <si>
    <t>г. Стерлитамак, пр-кт Ленина, д.16</t>
  </si>
  <si>
    <t>г. Стерлитамак, ул. Кочетова, д.32</t>
  </si>
  <si>
    <t>г. Стерлитамак, пр-кт Ленина, д.45</t>
  </si>
  <si>
    <t>г. Стерлитамак, пр-кт Ленина, д.51</t>
  </si>
  <si>
    <t>г. Стерлитамак, пр-кт Ленина, д.67</t>
  </si>
  <si>
    <t>г. Стерлитамак, пр-кт Октября, д.9а</t>
  </si>
  <si>
    <t>г. Стерлитамак, ул. Артема, д.109</t>
  </si>
  <si>
    <t>г. Стерлитамак, ул. Артема, д.144</t>
  </si>
  <si>
    <t>г. Стерлитамак, ул. Артема, д.149</t>
  </si>
  <si>
    <t>г. Стерлитамак, ул. Артема, д.23</t>
  </si>
  <si>
    <t>г. Стерлитамак, ул. Артема, д.3</t>
  </si>
  <si>
    <t>г. Стерлитамак, ул. Артема, д.51</t>
  </si>
  <si>
    <t>г. Стерлитамак, ул. Артема, д.77</t>
  </si>
  <si>
    <t>г. Стерлитамак, ул. Блюхера, д.21</t>
  </si>
  <si>
    <t>г. Стерлитамак, ул. Блюхера, д.6а</t>
  </si>
  <si>
    <t>г. Стерлитамак, ул. Богдана Хмельницкого, д.46</t>
  </si>
  <si>
    <t>г. Стерлитамак, ул. Богдана Хмельницкого, д.48</t>
  </si>
  <si>
    <t>г. Стерлитамак, ул. Богдана Хмельницкого, д.50</t>
  </si>
  <si>
    <t>г. Стерлитамак, ул. Братская, д.1</t>
  </si>
  <si>
    <t>г. Стерлитамак, ул. Братская, д.3</t>
  </si>
  <si>
    <t>г. Стерлитамак, ул. Братская, д.5</t>
  </si>
  <si>
    <t>г. Стерлитамак, ул. Братская, д.9</t>
  </si>
  <si>
    <t>г. Стерлитамак, ул. Вокзальная, д.13</t>
  </si>
  <si>
    <t>г. Стерлитамак, ул. Вокзальная, д.39</t>
  </si>
  <si>
    <t>г. Стерлитамак, ул. Тукаева, д.5</t>
  </si>
  <si>
    <t>г. Стерлитамак, ул. Волочаевская, д.18</t>
  </si>
  <si>
    <t>г. Стерлитамак, ул. Свердлова, д.222</t>
  </si>
  <si>
    <t>г. Стерлитамак, ул. Гоголя, д.125</t>
  </si>
  <si>
    <t>г. Стерлитамак, ул. Гоголя, д.145б</t>
  </si>
  <si>
    <t>г. Стерлитамак, ул. Голикова, д.11</t>
  </si>
  <si>
    <t>г. Стерлитамак, ул. Голикова, д.9</t>
  </si>
  <si>
    <t>г. Стерлитамак, ул. Деповская, д.19</t>
  </si>
  <si>
    <t>г. Стерлитамак, ул. Дружбы, д.31</t>
  </si>
  <si>
    <t>г. Стерлитамак, ул. Дружбы, д.42</t>
  </si>
  <si>
    <t>г. Стерлитамак, ул. Дружбы, д.52</t>
  </si>
  <si>
    <t>г. Стерлитамак, ул. Шафиева, д.29</t>
  </si>
  <si>
    <t>г. Стерлитамак, ул. Ибрагимова, д.2</t>
  </si>
  <si>
    <t>г. Стерлитамак, ул. Карла Маркса, д.147</t>
  </si>
  <si>
    <t>г. Стерлитамак, ул. Карла Маркса, д.149</t>
  </si>
  <si>
    <t>г. Стерлитамак, ул. Карла Маркса, д.170</t>
  </si>
  <si>
    <t>г. Стерлитамак, ул. Коммунистическая, д.108</t>
  </si>
  <si>
    <t>г. Стерлитамак, ул. Коммунистическая, д.14</t>
  </si>
  <si>
    <t>г. Стерлитамак, ул. Коммунистическая, д.25</t>
  </si>
  <si>
    <t>г. Стерлитамак, ул. Коммунистическая, д.27</t>
  </si>
  <si>
    <t>г. Стерлитамак, ул. Коммунистическая, д.38</t>
  </si>
  <si>
    <t>г. Стерлитамак, ул. Коммунистическая, д.54</t>
  </si>
  <si>
    <t>г. Стерлитамак, ул. Коммунистическая, д.7</t>
  </si>
  <si>
    <t>г. Стерлитамак, ул. Коммунистическая, д.84</t>
  </si>
  <si>
    <t>г. Стерлитамак, ул. Коммунистическая, д.98</t>
  </si>
  <si>
    <t>г. Стерлитамак, ул. Уфимская, д.39</t>
  </si>
  <si>
    <t>г. Стерлитамак, ул. Курчатова, д.16</t>
  </si>
  <si>
    <t>г. Стерлитамак, ул. Курчатова, д.2</t>
  </si>
  <si>
    <t>г. Стерлитамак, ул. Тукаева, д.5а</t>
  </si>
  <si>
    <t>г. Стерлитамак, ул. Механизации, д.13</t>
  </si>
  <si>
    <t>г. Стерлитамак, ул. Механизации, д.3а</t>
  </si>
  <si>
    <t>г. Стерлитамак, ул. Механизации, д.7а</t>
  </si>
  <si>
    <t>г. Стерлитамак, ул. Николаева, д.4</t>
  </si>
  <si>
    <t>г. Стерлитамак, ул. Нагуманова, д.58</t>
  </si>
  <si>
    <t>г. Стерлитамак, ул. Нахимова, д.1</t>
  </si>
  <si>
    <t>г. Стерлитамак, ул. Нахимова, д.2</t>
  </si>
  <si>
    <t>г. Стерлитамак, ул. Нахимова, д.2а</t>
  </si>
  <si>
    <t>г. Стерлитамак, ул. Кочетова, д.19</t>
  </si>
  <si>
    <t>г. Стерлитамак, ул. Нахимова, д.7</t>
  </si>
  <si>
    <t>г. Стерлитамак, ул. Воинов-Интернационалистов, д.40</t>
  </si>
  <si>
    <t>г. Стерлитамак, ул. Патриотическая, д.102</t>
  </si>
  <si>
    <t>г. Стерлитамак, ул. Патриотическая, д.98</t>
  </si>
  <si>
    <t>г. Стерлитамак, ул. Полевая, д.1</t>
  </si>
  <si>
    <t>г. Стерлитамак, ул. Полевая, д.5</t>
  </si>
  <si>
    <t>г. Стерлитамак, ул. Революционная, д.13</t>
  </si>
  <si>
    <t>г. Стерлитамак, ул. Революционная, д.9</t>
  </si>
  <si>
    <t>г. Стерлитамак, ул. Сакко и Ванцетти, д.63</t>
  </si>
  <si>
    <t>г. Стерлитамак, ул. Сакко и Ванцетти, д.67</t>
  </si>
  <si>
    <t>г. Стерлитамак, ул. Тукаева, д.4</t>
  </si>
  <si>
    <t>г. Стерлитамак, ул. Советская, д.98</t>
  </si>
  <si>
    <t>г. Стерлитамак, ул. Социалистическая, д.13</t>
  </si>
  <si>
    <t>г. Стерлитамак, ул. Стадионная, д.19а</t>
  </si>
  <si>
    <t>г. Стерлитамак, ул. Суханова, д.10</t>
  </si>
  <si>
    <t>г. Стерлитамак, ул. Суханова, д.5</t>
  </si>
  <si>
    <t>г. Стерлитамак, ул. Трудовые Резервы, д.1</t>
  </si>
  <si>
    <t>г. Стерлитамак, ул. Тукаева, д.1</t>
  </si>
  <si>
    <t>г. Стерлитамак, ул. Воинов-Интернационалистов, д.42</t>
  </si>
  <si>
    <t>г. Стерлитамак, ул. Тукаева, д.5в</t>
  </si>
  <si>
    <t>г. Стерлитамак, ул. Фестивальная, д.7а</t>
  </si>
  <si>
    <t>г. Стерлитамак, ул. Худайбердина, д.111</t>
  </si>
  <si>
    <t>г. Стерлитамак, ул. Николаева, д.12</t>
  </si>
  <si>
    <t>г. Стерлитамак, ул. Худайбердина, д.117</t>
  </si>
  <si>
    <t>г. Стерлитамак, ул. Худайбердина, д.132</t>
  </si>
  <si>
    <t>г. Стерлитамак, ул. Худайбердина, д.142</t>
  </si>
  <si>
    <t>г. Стерлитамак, ул. Худайбердина, д.210</t>
  </si>
  <si>
    <t>г. Стерлитамак, ул. Худайбердина, д.36</t>
  </si>
  <si>
    <t>г. Стерлитамак, ул. Худайбердина, д.42</t>
  </si>
  <si>
    <t>г. Стерлитамак, ул. Худайбердина, д.44</t>
  </si>
  <si>
    <t>г. Стерлитамак, ул. Худайбердина, д.48</t>
  </si>
  <si>
    <t>г. Стерлитамак, ул. Худайбердина, д.52</t>
  </si>
  <si>
    <t>г. Стерлитамак, ул. Худайбердина, д.97</t>
  </si>
  <si>
    <t>г. Стерлитамак, ул. Цементников, д.8</t>
  </si>
  <si>
    <t>г. Стерлитамак, ул. Николаева, д.2</t>
  </si>
  <si>
    <t>г. Стерлитамак, ул. Цюрупы, д.30</t>
  </si>
  <si>
    <t>г. Стерлитамак, ул. Черноморская, д.12</t>
  </si>
  <si>
    <t>г. Стерлитамак, ул. Фестивальная, д.9</t>
  </si>
  <si>
    <t>г. Стерлитамак, ул. Чехова, д.1</t>
  </si>
  <si>
    <t>г. Стерлитамак, ул. Шаймуратова, д.3</t>
  </si>
  <si>
    <t>г. Стерлитамак, ул. Шафиева, д.27</t>
  </si>
  <si>
    <t>г. Стерлитамак, ул. Шафиева, д.41</t>
  </si>
  <si>
    <t>г. Стерлитамак, ул. Элеваторная, д.102</t>
  </si>
  <si>
    <t>г. Межгорье, ул. 40 лет Победы, д.19</t>
  </si>
  <si>
    <t>г. Межгорье, ул. Комсомольская, д.21</t>
  </si>
  <si>
    <t>г. Межгорье, ул. Комсомольская, д.23</t>
  </si>
  <si>
    <t>г. Межгорье, ул. Комсомольская, д.3</t>
  </si>
  <si>
    <t>г. Межгорье, ул. Ленина, д.3</t>
  </si>
  <si>
    <t>г. Межгорье, ул. Советская, д.5</t>
  </si>
  <si>
    <t>г. Межгорье, ул. Спортивная, д.8</t>
  </si>
  <si>
    <t>г. Межгорье, ул. Татлинская, д.5</t>
  </si>
  <si>
    <t>с. Аскарово, ул. Шаймуратова, д.5</t>
  </si>
  <si>
    <t>с. Архангельское, ул. Лазо, д.4</t>
  </si>
  <si>
    <t>с. Архангельское, ул. Карла Маркса, д.49</t>
  </si>
  <si>
    <t>с. Толбазы, ул. Гареева, д.4</t>
  </si>
  <si>
    <t>с. Толбазы, ул. Заводская, д.8</t>
  </si>
  <si>
    <t>с. Толбазы, ул. Матросова, д.39</t>
  </si>
  <si>
    <t>г. Баймак, ул. С.Есенина, д.3</t>
  </si>
  <si>
    <t>г. Белорецк, ул. 50 лет Октября, д.66</t>
  </si>
  <si>
    <t>г. Белорецк, ул. Алексеева, д.39 корп.1</t>
  </si>
  <si>
    <t>г. Белорецк, ул. Карла Маркса, д.37</t>
  </si>
  <si>
    <t>г. Белорецк, ул. Карла Маркса, д.59</t>
  </si>
  <si>
    <t>г. Белорецк, ул. Кирова, д.46 корп.1</t>
  </si>
  <si>
    <t>г. Белорецк, ул. Косоротова, д.4</t>
  </si>
  <si>
    <t>г. Белорецк, ул. Крупской, д.57</t>
  </si>
  <si>
    <t>г. Белорецк, ул. Пушкина, д.38 корп.1</t>
  </si>
  <si>
    <t>г. Белорецк, ул. Пушкина, д.59</t>
  </si>
  <si>
    <t>г. Белорецк, ул. Пушкина, д.65</t>
  </si>
  <si>
    <t>г. Белорецк, ул. Точисского, д.15</t>
  </si>
  <si>
    <t>г. Белорецк, ул. Точисского, д.17</t>
  </si>
  <si>
    <t>г. Белорецк, ул. Точисского, д.24</t>
  </si>
  <si>
    <t>г. Белорецк, ул. Точисского, д.32</t>
  </si>
  <si>
    <t>г. Белорецк, ул. Точисского, д.42</t>
  </si>
  <si>
    <t>г. Белорецк, ул. Точисского, д.44</t>
  </si>
  <si>
    <t>г. Белорецк, ул. Челябинская, д.11</t>
  </si>
  <si>
    <t>г. Белорецк, ул. Челябинская, д.15</t>
  </si>
  <si>
    <t>с. Красноусольский, ул. Калмыкова, д.10</t>
  </si>
  <si>
    <t>с. Красноусольский, ул. К.Маркса, д.5</t>
  </si>
  <si>
    <t>с. Красноусольский, ул. Пугачева, д.43</t>
  </si>
  <si>
    <t>с. Исянгулово, ул. Нефтяников, д.21</t>
  </si>
  <si>
    <t>с. Зилаир, ул. Ленина, д.115</t>
  </si>
  <si>
    <t>г. Ишимбай, ул. Бульварная, д.33</t>
  </si>
  <si>
    <t>г. Ишимбай, ул. Богдана Хмельницкого, д.23</t>
  </si>
  <si>
    <t>г. Ишимбай, ул. Вахитова, д.11</t>
  </si>
  <si>
    <t>г. Ишимбай, ул. Гагарина, д.16</t>
  </si>
  <si>
    <t>г. Ишимбай, ул. Гагарина, д.56</t>
  </si>
  <si>
    <t>г. Ишимбай, ул. Докучаева, д.6</t>
  </si>
  <si>
    <t>г. Ишимбай, ул. Докучаева, д.12а</t>
  </si>
  <si>
    <t>г. Ишимбай, пр-кт Ленина, д.16а</t>
  </si>
  <si>
    <t>г. Ишимбай, пр-кт Ленина, д.55</t>
  </si>
  <si>
    <t>г. Ишимбай, ул. Молодежная, д.12</t>
  </si>
  <si>
    <t>г. Ишимбай, ул. Стахановская, д.14</t>
  </si>
  <si>
    <t>г. Ишимбай, ул. Стахановская, д.18</t>
  </si>
  <si>
    <t>г. Ишимбай, ул. Стахановская, д.18а</t>
  </si>
  <si>
    <t>г. Ишимбай, ул. Стахановская, д.29</t>
  </si>
  <si>
    <t>г. Ишимбай, ул. Советская, д.96</t>
  </si>
  <si>
    <t>с. Прибельский, ул. Ленина, д.14</t>
  </si>
  <si>
    <t>с. Мраково, ул. З.Биишевой, д.102</t>
  </si>
  <si>
    <t>с. Юмагузино, ул. Молодежная, д.8</t>
  </si>
  <si>
    <t>с. Ермолаево, ул. Калинина, д.22а</t>
  </si>
  <si>
    <t>г. Мелеуз, мкр. 31-й, д.3</t>
  </si>
  <si>
    <t>г. Мелеуз, мкр. 32-й, д.12</t>
  </si>
  <si>
    <t>г. Мелеуз, мкр. 32-й, д.14</t>
  </si>
  <si>
    <t>г. Мелеуз, мкр. 32-й, д.29</t>
  </si>
  <si>
    <t>г. Мелеуз, ул. Комарова, д.7</t>
  </si>
  <si>
    <t>г. Мелеуз, ул. Комарова, д.9</t>
  </si>
  <si>
    <t>г. Мелеуз, ул. Ленина, д.131</t>
  </si>
  <si>
    <t>г. Мелеуз, ул. Ленина, д.156</t>
  </si>
  <si>
    <t>г. Мелеуз, ул. Метеорологическая, д.21</t>
  </si>
  <si>
    <t>г. Мелеуз, ул. Метеорологическая, д.5а</t>
  </si>
  <si>
    <t>г. Мелеуз, ул. Октябрьская, д.5</t>
  </si>
  <si>
    <t>г. Мелеуз, ул. Смоленская, д.31</t>
  </si>
  <si>
    <t>г. Мелеуз, ул. Шахтерская, д.3</t>
  </si>
  <si>
    <t>г. Мелеуз, ул. Школьная, д.3а</t>
  </si>
  <si>
    <t>с. Первомайский, ул. Дружбы, д.4</t>
  </si>
  <si>
    <t>с. Стерлибашево, ул. Ахметова, д.15а</t>
  </si>
  <si>
    <t>с. Стерлибашево, ул. Строителей, д.2</t>
  </si>
  <si>
    <t>с. Стерлибашево, ул. Строителей, д.4</t>
  </si>
  <si>
    <t>с. Стерлибашево, ул. Тукаева, д.41</t>
  </si>
  <si>
    <t>с. Подлесное, ул. Центральная, д.52</t>
  </si>
  <si>
    <t>с. Большой Куганак, ул. Комсомольская, д.4</t>
  </si>
  <si>
    <t>с. Большой Куганак, ул. Комсомольская, д.6</t>
  </si>
  <si>
    <t>с. Наумовка, ул. Ленина, д.51</t>
  </si>
  <si>
    <t>с. Наумовка, ул. Ленина, д.51а</t>
  </si>
  <si>
    <t>с. Октябрьское, ул. Весенняя, д.59</t>
  </si>
  <si>
    <t>с. Октябрьское, ул. Мира, д.2</t>
  </si>
  <si>
    <t>с. Рощинский, ул. Майская, д.13</t>
  </si>
  <si>
    <t>г. Учалы, ул. Ахметгалина, д.23</t>
  </si>
  <si>
    <t>г. Учалы, ул. Башкортостана, д.5</t>
  </si>
  <si>
    <t>г. Учалы, ул. Башкортостана, д.11</t>
  </si>
  <si>
    <t>г. Учалы, ул. Башкортостана, д.13</t>
  </si>
  <si>
    <t>г. Учалы, ул. Горького, д.8</t>
  </si>
  <si>
    <t>г. Учалы, ул. К.Маркса, д.14</t>
  </si>
  <si>
    <t>г. Учалы, ул. Кирова, д.8а</t>
  </si>
  <si>
    <t>г. Учалы, ул. Ленина, д.1</t>
  </si>
  <si>
    <t>г. Учалы, ул. Ленина, д.18</t>
  </si>
  <si>
    <t>г. Учалы, ул. Ленина, д.23а</t>
  </si>
  <si>
    <t>г. Учалы, ул. Ленина, д.30</t>
  </si>
  <si>
    <t>г. Учалы, ул. Ленина, д.34</t>
  </si>
  <si>
    <t>г. Учалы, ул. Ленина, д.7б</t>
  </si>
  <si>
    <t>г. Учалы, ул. Мира, д.10</t>
  </si>
  <si>
    <t>г. Учалы, ул. Мира, д.22</t>
  </si>
  <si>
    <t>г. Учалы, ул. Мира, д.32</t>
  </si>
  <si>
    <t>г. Учалы, ул. Мира, д.8</t>
  </si>
  <si>
    <t>г. Учалы, ул. Мира, д.28</t>
  </si>
  <si>
    <t>г. Учалы, ул. Пионерская, д.2</t>
  </si>
  <si>
    <t>г. Учалы, ул. Первостроителей, д.2</t>
  </si>
  <si>
    <t>с. Бала-Четырман, ул. Первомайская, д.3</t>
  </si>
  <si>
    <t>с. Федоровка, ул. Социалистическая, д.34</t>
  </si>
  <si>
    <t>с. Акъяр, ул. Акмуллы, д.1</t>
  </si>
  <si>
    <t>с. Акъяр, ул. Акмуллы, д.44 корп.1</t>
  </si>
  <si>
    <t>с. Садовый, ул. Новая, д.4</t>
  </si>
  <si>
    <t>с. Татыр-Узяк, ул. Победы, д.10</t>
  </si>
  <si>
    <t>с. Уфимский, ул. Худайбердина, д.30</t>
  </si>
  <si>
    <t>г. Уфа, б-р Ибрагимова, д.37 корп.1</t>
  </si>
  <si>
    <t>г. Уфа, б-р Славы, д.17</t>
  </si>
  <si>
    <t>г. Уфа, б-р Тухвата Янаби, д.71</t>
  </si>
  <si>
    <t>г. Уфа, б-р Хадии Давлетшиной, д.13</t>
  </si>
  <si>
    <t>г. Уфа, б-р Хадии Давлетшиной, д.17</t>
  </si>
  <si>
    <t>г. Уфа, б-р Хадии Давлетшиной, д.19</t>
  </si>
  <si>
    <t>г. Уфа, б-р Хадии Давлетшиной, д.34</t>
  </si>
  <si>
    <t>г. Уфа, пер. Запорожский, д.30</t>
  </si>
  <si>
    <t>г. Уфа, пер. Шкаповский, д.5</t>
  </si>
  <si>
    <t>г. Уфа, проезд Лесной, д.8 корп.1</t>
  </si>
  <si>
    <t>г. Уфа, пр-кт Октября, д.107 корп.1</t>
  </si>
  <si>
    <t>г. Уфа, пр-кт Октября, д.160 корп.1</t>
  </si>
  <si>
    <t>г. Уфа, пр-кт Октября, д.162а корп.1</t>
  </si>
  <si>
    <t>г. Уфа, пр-кт Октября, д.164 корп.1</t>
  </si>
  <si>
    <t>г. Уфа, пр-кт Октября, д.180</t>
  </si>
  <si>
    <t>г. Уфа, пр-кт Октября, д.37 корп.1</t>
  </si>
  <si>
    <t>г. Уфа, пр-кт Октября, д.61 корп.1</t>
  </si>
  <si>
    <t>г. Уфа, пр-кт Октября, д.63 корп.5</t>
  </si>
  <si>
    <t>г. Уфа, пр-кт Октября, д.65 корп.2</t>
  </si>
  <si>
    <t>г. Уфа, пр-кт Октября, д.66 корп.3</t>
  </si>
  <si>
    <t>г. Уфа, пр-кт Октября, д.74</t>
  </si>
  <si>
    <t>г. Уфа, пр-кт Октября, д.82</t>
  </si>
  <si>
    <t>г. Уфа, пр-кт Октября, д.82 корп.2</t>
  </si>
  <si>
    <t>г. Уфа, пр-кт Октября, д.82 корп.3</t>
  </si>
  <si>
    <t>г. Уфа, пр-кт Октября, д.86 корп.3</t>
  </si>
  <si>
    <t>г. Уфа, пр-кт Октября, д.88 корп.1</t>
  </si>
  <si>
    <t>г. Уфа, пр-кт Октября, д.93 корп.1</t>
  </si>
  <si>
    <t>г. Уфа, ул. 40 лет Октября, д.5</t>
  </si>
  <si>
    <t>г. Уфа, ул. 50 лет СССР, д.48</t>
  </si>
  <si>
    <t>г. Уфа, ул. 50-летия Октября, д.18</t>
  </si>
  <si>
    <t>г. Уфа, ул. 8 Марта, д.24 корп.1</t>
  </si>
  <si>
    <t>г. Уфа, ул. Авроры, д.11</t>
  </si>
  <si>
    <t>г. Уфа, ул. Авроры, д.11в корп.1</t>
  </si>
  <si>
    <t>г. Уфа, ул. Авроры, д.13 корп.1</t>
  </si>
  <si>
    <t>г. Уфа, ул. Авроры, д.13 корп.2</t>
  </si>
  <si>
    <t>г. Уфа, ул. Авроры, д.15 корп.1</t>
  </si>
  <si>
    <t>г. Уфа, ул. Авроры, д.25</t>
  </si>
  <si>
    <t>г. Уфа, ул. Авроры, д.27 корп.1</t>
  </si>
  <si>
    <t>г. Уфа, ул. Авроры, д.5</t>
  </si>
  <si>
    <t>г. Уфа, ул. Авроры, д.5 корп.4</t>
  </si>
  <si>
    <t>г. Уфа, ул. Авроры, д.5 корп.5</t>
  </si>
  <si>
    <t>г. Уфа, ул. Авроры, д.5 корп.6</t>
  </si>
  <si>
    <t>г. Уфа, ул. Авроры, д.5 корп.8</t>
  </si>
  <si>
    <t>г. Уфа, ул. Авроры, д.7в корп.1</t>
  </si>
  <si>
    <t>г. Уфа, ул. Авроры, д.9 корп.1</t>
  </si>
  <si>
    <t>г. Уфа, ул. Адмирала Ушакова, д.90</t>
  </si>
  <si>
    <t>г. Уфа, ул. Адмирала Ушакова, д.90 корп.1</t>
  </si>
  <si>
    <t>г. Уфа, ул. Айская, д.89</t>
  </si>
  <si>
    <t>г. Уфа, ул. Академика Королева, д.10 корп.2</t>
  </si>
  <si>
    <t>г. Уфа, ул. Академика Королева, д.12 корп.1</t>
  </si>
  <si>
    <t>г. Уфа, ул. Академика Королева, д.2 корп.2</t>
  </si>
  <si>
    <t>г. Уфа, ул. Академика Королева, д.6</t>
  </si>
  <si>
    <t>г. Уфа, ул. Ак-Идель, д.2б</t>
  </si>
  <si>
    <t>г. Уфа, ул. Александра Невского, д.14</t>
  </si>
  <si>
    <t>г. Уфа, ул. Александра Невского, д.16</t>
  </si>
  <si>
    <t>г. Уфа, ул. Александра Невского, д.18</t>
  </si>
  <si>
    <t>г. Уфа, ул. Александра Невского, д.26</t>
  </si>
  <si>
    <t>г. Уфа, ул. Александра Невского, д.28</t>
  </si>
  <si>
    <t>г. Уфа, ул. Александра Невского, д.36</t>
  </si>
  <si>
    <t>г. Уфа, ул. Архитектурная, д.20</t>
  </si>
  <si>
    <t>г. Уфа, ул. Ахметова, д.277</t>
  </si>
  <si>
    <t>г. Уфа, ул. Ахметова, д.289</t>
  </si>
  <si>
    <t>г. Уфа, ул. Бакалинская, д.50 корп.1</t>
  </si>
  <si>
    <t>г. Уфа, ул. Бакалинская, д.60 корп.2</t>
  </si>
  <si>
    <t>г. Уфа, ул. Батырская, д.18</t>
  </si>
  <si>
    <t>г. Уфа, ул. Баязита Бикбая, д.27</t>
  </si>
  <si>
    <t>г. Уфа, ул. Бессонова, д.28</t>
  </si>
  <si>
    <t>г. Уфа, ул. Бессонова, д.28 корп.1</t>
  </si>
  <si>
    <t>г. Уфа, ул. Блюхера, д.10</t>
  </si>
  <si>
    <t>г. Уфа, ул. Блюхера, д.12 корп.2</t>
  </si>
  <si>
    <t>г. Уфа, ул. Блюхера, д.19</t>
  </si>
  <si>
    <t>г. Уфа, ул. Блюхера, д.27</t>
  </si>
  <si>
    <t>г. Уфа, ул. Блюхера, д.34</t>
  </si>
  <si>
    <t>г. Уфа, ул. Блюхера, д.36</t>
  </si>
  <si>
    <t>г. Уфа, ул. Богдана Хмельницкого, д.129</t>
  </si>
  <si>
    <t>г. Уфа, ул. Богдана Хмельницкого, д.14</t>
  </si>
  <si>
    <t>г. Уфа, ул. Богдана Хмельницкого, д.143 корп.1</t>
  </si>
  <si>
    <t>г. Уфа, ул. Богдана Хмельницкого, д.18</t>
  </si>
  <si>
    <t>г. Уфа, ул. Богдана Хмельницкого, д.20</t>
  </si>
  <si>
    <t>г. Уфа, ул. Богдана Хмельницкого, д.6</t>
  </si>
  <si>
    <t>г. Уфа, ул. Богдана Хмельницкого, д.68</t>
  </si>
  <si>
    <t>г. Уфа, ул. Богдана Хмельницкого, д.70</t>
  </si>
  <si>
    <t>г. Уфа, ул. Богдана Хмельницкого, д.71</t>
  </si>
  <si>
    <t>г. Уфа, ул. Богдана Хмельницкого, д.88</t>
  </si>
  <si>
    <t>г. Уфа, ул. Борисоглебская, д.37</t>
  </si>
  <si>
    <t>г. Уфа, ул. Боткина, д.12</t>
  </si>
  <si>
    <t>г. Уфа, ул. Боткина, д.7</t>
  </si>
  <si>
    <t>г. Уфа, ул. Боткина, д.8</t>
  </si>
  <si>
    <t>г. Уфа, ул. Вокзальная, д.2</t>
  </si>
  <si>
    <t>г. Уфа, ул. Вологодская, д.20</t>
  </si>
  <si>
    <t>г. Уфа, ул. Высотная, д.12 корп.2</t>
  </si>
  <si>
    <t>г. Уфа, ул. Гафури, д.27 корп.1</t>
  </si>
  <si>
    <t>г. Уфа, ул. Гафури, д.48</t>
  </si>
  <si>
    <t>г. Уфа, ул. Гвардейская, д.46</t>
  </si>
  <si>
    <t>г. Уфа, ул. Гвардейская, д.58</t>
  </si>
  <si>
    <t>г. Уфа, ул. Гвардейская, д.62</t>
  </si>
  <si>
    <t>г. Уфа, ул. Георгия Мушникова, д.21</t>
  </si>
  <si>
    <t>г. Уфа, ул. Георгия Мушникова, д.21 корп.4</t>
  </si>
  <si>
    <t>г. Уфа, ул. Гоголя, д.80</t>
  </si>
  <si>
    <t>г. Уфа, ул. Дагестанская, д.11</t>
  </si>
  <si>
    <t>г. Уфа, ул. Дагестанская, д.9</t>
  </si>
  <si>
    <t>г. Уфа, ул. Дагестанская, д.9 корп.1</t>
  </si>
  <si>
    <t>г. Уфа, ул. Даута Юлтыя, д.3</t>
  </si>
  <si>
    <t>г. Уфа, ул. Даута Юлтыя, д.8</t>
  </si>
  <si>
    <t>г. Уфа, ул. Джалиля Киекбаева, д.21</t>
  </si>
  <si>
    <t>г. Уфа, ул. Добролетная, д.7 корп.2</t>
  </si>
  <si>
    <t>г. Уфа, ул. Достоевского, д.106 корп.1</t>
  </si>
  <si>
    <t>г. Уфа, ул. Достоевского, д.160</t>
  </si>
  <si>
    <t>г. Уфа, ул. Заки Валиди, д.9</t>
  </si>
  <si>
    <t>г. Уфа, ул. Запотоцкого, д.21</t>
  </si>
  <si>
    <t>г. Уфа, ул. Запотоцкого, д.48</t>
  </si>
  <si>
    <t>г. Уфа, ул. Ивана Франко, д.12</t>
  </si>
  <si>
    <t>г. Уфа, ул. Ивана Франко, д.8</t>
  </si>
  <si>
    <t>г. Уфа, ул. Интернациональная, д.175 корп.1</t>
  </si>
  <si>
    <t>г. Уфа, ул. Интернациональная, д.179 корп.2</t>
  </si>
  <si>
    <t>г. Уфа, ул. Интернациональная, д.25</t>
  </si>
  <si>
    <t>г. Уфа, ул. Интернациональная, д.31</t>
  </si>
  <si>
    <t>г. Уфа, ул. Интернациональная, д.73</t>
  </si>
  <si>
    <t>г. Уфа, ул. Интернациональная, д.75</t>
  </si>
  <si>
    <t>г. Уфа, ул. Интернациональная, д.77</t>
  </si>
  <si>
    <t>г. Уфа, ул. Ирендык, д.4</t>
  </si>
  <si>
    <t>г. Уфа, ул. Ирендык, д.4 корп.1</t>
  </si>
  <si>
    <t>г. Уфа, ул. Калинина, д.13</t>
  </si>
  <si>
    <t>г. Уфа, ул. Калинина, д.3</t>
  </si>
  <si>
    <t>г. Уфа, ул. Калинина, д.35</t>
  </si>
  <si>
    <t>г. Уфа, ул. Калинина, д.37</t>
  </si>
  <si>
    <t>г. Уфа, ул. Караидельская, д.48</t>
  </si>
  <si>
    <t>г. Уфа, ул. Карима Хакимова, д.3</t>
  </si>
  <si>
    <t>г. Уфа, ул. Карла Маркса, д.65</t>
  </si>
  <si>
    <t>г. Уфа, ул. Карла Маркса, д.67</t>
  </si>
  <si>
    <t>г. Уфа, ул. Касимовская, д.10 корп.1</t>
  </si>
  <si>
    <t>г. Уфа, ул. Кирова, д.99 корп.3</t>
  </si>
  <si>
    <t>г. Уфа, ул. Кирова, д.31</t>
  </si>
  <si>
    <t>г. Уфа, ул. Кирова, д.41</t>
  </si>
  <si>
    <t>г. Уфа, ул. Клавдии Абрамовой, д.2</t>
  </si>
  <si>
    <t>г. Уфа, ул. Кольцевая, д.107 корп.1</t>
  </si>
  <si>
    <t>г. Уфа, ул. Кольцевая, д.134</t>
  </si>
  <si>
    <t>г. Уфа, ул. Кольцевая, д.138</t>
  </si>
  <si>
    <t>г. Уфа, ул. Кольцевая, д.156а</t>
  </si>
  <si>
    <t>г. Уфа, ул. Кольцевая, д.158а</t>
  </si>
  <si>
    <t>г. Уфа, ул. Кольцевая, д.170</t>
  </si>
  <si>
    <t>г. Уфа, ул. Кольцевая, д.33б</t>
  </si>
  <si>
    <t>г. Уфа, ул. Кольцевая, д.62</t>
  </si>
  <si>
    <t>г. Уфа, ул. Кольцевая, д.64</t>
  </si>
  <si>
    <t>г. Уфа, ул. Кольцевая, д.93</t>
  </si>
  <si>
    <t>г. Уфа, ул. Комарова, д.14</t>
  </si>
  <si>
    <t>г. Уфа, ул. Коммунальная, д.10</t>
  </si>
  <si>
    <t>г. Уфа, ул. Коммунаров, д.14</t>
  </si>
  <si>
    <t>г. Уфа, ул. Коммунаров, д.18</t>
  </si>
  <si>
    <t>г. Уфа, ул. Коммунаров, д.24</t>
  </si>
  <si>
    <t>г. Уфа, ул. Комсомольская, д.10</t>
  </si>
  <si>
    <t>г. Уфа, ул. Комсомольская, д.135</t>
  </si>
  <si>
    <t>г. Уфа, ул. Комсомольская, д.96 корп.2</t>
  </si>
  <si>
    <t>г. Уфа, ул. Конституции, д.11</t>
  </si>
  <si>
    <t>г. Уфа, ул. Космонавтов, д.13</t>
  </si>
  <si>
    <t>г. Уфа, ул. Космонавтов, д.20</t>
  </si>
  <si>
    <t>г. Уфа, ул. Космонавтов, д.9</t>
  </si>
  <si>
    <t>г. Уфа, ул. Николая Кузнецова, д.6</t>
  </si>
  <si>
    <t>г. Уфа, ул. Николая Кузнецова, д.9</t>
  </si>
  <si>
    <t>г. Уфа, ул. Кулибина, д.19 корп.1</t>
  </si>
  <si>
    <t>г. Уфа, ул. Кулибина, д.22</t>
  </si>
  <si>
    <t>г. Уфа, ул. Кулибина, д.4</t>
  </si>
  <si>
    <t>г. Уфа, ул. Ладыгина, д.15</t>
  </si>
  <si>
    <t>г. Уфа, ул. Ладыгина, д.23</t>
  </si>
  <si>
    <t>г. Уфа, ул. Ладыгина, д.7</t>
  </si>
  <si>
    <t>г. Уфа, ул. Левитана, д.36</t>
  </si>
  <si>
    <t>г. Уфа, ул. Левитана, д.39</t>
  </si>
  <si>
    <t>г. Уфа, ул. Левитана, д.41а</t>
  </si>
  <si>
    <t>г. Уфа, ул. Левитана, д.43</t>
  </si>
  <si>
    <t>г. Уфа, ул. Левитана, д.7а</t>
  </si>
  <si>
    <t>г. Уфа, ул. Левитана, д.9а</t>
  </si>
  <si>
    <t>г. Уфа, ул. Ленина, д.150</t>
  </si>
  <si>
    <t>г. Уфа, ул. Ленина, д.87</t>
  </si>
  <si>
    <t>г. Уфа, ул. Ленина, д.97</t>
  </si>
  <si>
    <t>г. Уфа, ул. Малая Лесозаводская, д.3а</t>
  </si>
  <si>
    <t>г. Уфа, ул. Малая Лесозаводская, д.1</t>
  </si>
  <si>
    <t>г. Уфа, ул. Малая Лесозаводская, д.3б</t>
  </si>
  <si>
    <t>г. Уфа, ул. Малая Лесозаводская, д.6</t>
  </si>
  <si>
    <t>г. Уфа, ул. Летчиков, д.4</t>
  </si>
  <si>
    <t>г. Уфа, ул. Летчиков, д.5 корп.2</t>
  </si>
  <si>
    <t>г. Уфа, ул. Летчиков, д.5 корп.3</t>
  </si>
  <si>
    <t>г. Уфа, ул. Летчиков, д.5 корп.4</t>
  </si>
  <si>
    <t>г. Уфа, ул. Летчиков, д.5 корп.5</t>
  </si>
  <si>
    <t>г. Уфа, ул. Льва Толстого, д.1</t>
  </si>
  <si>
    <t>г. Уфа, ул. Львовская, д.5</t>
  </si>
  <si>
    <t>г. Уфа, ул. Максима Горького, д.38</t>
  </si>
  <si>
    <t>г. Уфа, ул. Максима Горького, д.39</t>
  </si>
  <si>
    <t>г. Уфа, ул. Максима Горького, д.41</t>
  </si>
  <si>
    <t>г. Уфа, ул. Максима Рыльского, д.14 корп.1</t>
  </si>
  <si>
    <t>г. Уфа, ул. Максима Рыльского, д.21 корп.3</t>
  </si>
  <si>
    <t>г. Уфа, ул. Маршала Жукова, д.2 корп.3</t>
  </si>
  <si>
    <t>г. Уфа, ул. Маршала Жукова, д.2 корп.6</t>
  </si>
  <si>
    <t>г. Уфа, ул. Маршала Жукова, д.24</t>
  </si>
  <si>
    <t>г. Уфа, ул. Маршала Жукова, д.4 корп.1</t>
  </si>
  <si>
    <t>г. Уфа, ул. Машиностроителей, д.13 корп.1</t>
  </si>
  <si>
    <t>г. Уфа, ул. Менделеева, д.136 корп.1</t>
  </si>
  <si>
    <t>г. Уфа, ул. Менделеева, д.136 корп.2</t>
  </si>
  <si>
    <t>г. Уфа, ул. Менделеева, д.145 корп.1</t>
  </si>
  <si>
    <t>г. Уфа, ул. Менделеева, д.151</t>
  </si>
  <si>
    <t>г. Уфа, ул. Менделеева, д.152</t>
  </si>
  <si>
    <t>г. Уфа, ул. Менделеева, д.153 корп.1</t>
  </si>
  <si>
    <t>г. Уфа, ул. Менделеева, д.153 корп.2</t>
  </si>
  <si>
    <t>г. Уфа, ул. Менделеева, д.153 корп.3</t>
  </si>
  <si>
    <t>г. Уфа, ул. Менделеева, д.173 корп.3</t>
  </si>
  <si>
    <t>г. Уфа, ул. Султанова, д.24</t>
  </si>
  <si>
    <t>г. Уфа, ул. Российская, д.100</t>
  </si>
  <si>
    <t>г. Уфа, ул. Менделеева, д.213 корп.2</t>
  </si>
  <si>
    <t>г. Уфа, ул. Минигали Губайдуллина, д.17</t>
  </si>
  <si>
    <t>г. Уфа, ул. Минигали Губайдуллина, д.17 корп.1</t>
  </si>
  <si>
    <t>г. Уфа, ул. Минигали Губайдуллина, д.17 корп.2</t>
  </si>
  <si>
    <t>г. Уфа, ул. Минигали Губайдуллина, д.19</t>
  </si>
  <si>
    <t>г. Уфа, ул. Минигали Губайдуллина, д.21 корп.2</t>
  </si>
  <si>
    <t>г. Уфа, ул. Мира, д.24</t>
  </si>
  <si>
    <t>г. Уфа, ул. Мира, д.4</t>
  </si>
  <si>
    <t>г. Уфа, ул. Мишкинская, д.2</t>
  </si>
  <si>
    <t>г. Уфа, ул. Мишкинская, д.4</t>
  </si>
  <si>
    <t>г. Уфа, ул. Мубарякова, д.11 корп.2</t>
  </si>
  <si>
    <t>г. Уфа, ул. Мубарякова, д.2 корп.4</t>
  </si>
  <si>
    <t>г. Уфа, ул. Мубарякова, д.20</t>
  </si>
  <si>
    <t>г. Уфа, ул. Мубарякова, д.22</t>
  </si>
  <si>
    <t>г. Уфа, ул. Мубарякова, д.7</t>
  </si>
  <si>
    <t>г. Уфа, ул. Мубарякова, д.7 корп.1</t>
  </si>
  <si>
    <t>г. Уфа, ул. Мубарякова, д.8</t>
  </si>
  <si>
    <t>г. Уфа, ул. Муксинова, д.7</t>
  </si>
  <si>
    <t>г. Уфа, ул. Муксинова, д.7 корп.1</t>
  </si>
  <si>
    <t>г. Уфа, ул. Мусоргского, д.13а</t>
  </si>
  <si>
    <t>г. Уфа, ул. Мустая Карима, д.50</t>
  </si>
  <si>
    <t>г. Уфа, ул. Мусы Джалиля, д.5</t>
  </si>
  <si>
    <t>г. Уфа, ул. Набережная реки Уфы, д.11 корп.1</t>
  </si>
  <si>
    <t>г. Уфа, ул. Набережная реки Уфы, д.39</t>
  </si>
  <si>
    <t>г. Уфа, ул. Набережная реки Уфы, д.41</t>
  </si>
  <si>
    <t>г. Уфа, ул. Набережная реки Уфы, д.45</t>
  </si>
  <si>
    <t>г. Уфа, ул. Набережная реки Уфы, д.65</t>
  </si>
  <si>
    <t>г. Уфа, ул. Нежинская, д.12</t>
  </si>
  <si>
    <t>г. Уфа, ул. Нежинская, д.14</t>
  </si>
  <si>
    <t>г. Уфа, ул. Нежинская, д.38</t>
  </si>
  <si>
    <t>г. Уфа, ул. Нежинская, д.40а</t>
  </si>
  <si>
    <t xml:space="preserve">г. Уфа, ул. Нежинская, д.42а </t>
  </si>
  <si>
    <t>г. Уфа, ул. Нефтяников, д.7</t>
  </si>
  <si>
    <t>г. Уфа, ул. Николая Дмитриева, д.13</t>
  </si>
  <si>
    <t>г. Уфа, ул. Николая Дмитриева, д.23</t>
  </si>
  <si>
    <t>г. Уфа, ул. Новоженова, д.9 корп.1</t>
  </si>
  <si>
    <t>г. Уфа, ул. Новороссийская, д.6</t>
  </si>
  <si>
    <t>г. Уфа, ул. Обская, д.14</t>
  </si>
  <si>
    <t>г. Уфа, ул. Обская, д.16</t>
  </si>
  <si>
    <t>г. Уфа, ул. Олимпийская, д.1</t>
  </si>
  <si>
    <t>г. Уфа, ул. Орджоникидзе, д.28</t>
  </si>
  <si>
    <t>г. Уфа, ул. Орловская, д.22</t>
  </si>
  <si>
    <t>г. Уфа, ул. Парковая, д.10</t>
  </si>
  <si>
    <t>г. Уфа, ул. Парковая, д.14 корп.1</t>
  </si>
  <si>
    <t>г. Уфа, ул. Парковая, д.18</t>
  </si>
  <si>
    <t>г. Уфа, ул. Парковая, д.4</t>
  </si>
  <si>
    <t>г. Уфа, ул. Парковая, д.6 корп.1</t>
  </si>
  <si>
    <t>г. Уфа, ул. Парковая, д.8</t>
  </si>
  <si>
    <t>г. Уфа, ул. Первомайская, д.30а</t>
  </si>
  <si>
    <t>г. Уфа, ул. Первомайская, д.39</t>
  </si>
  <si>
    <t>г. Уфа, ул. Первомайская, д.44</t>
  </si>
  <si>
    <t>г. Уфа, ул. Первомайская, д.44 корп.1</t>
  </si>
  <si>
    <t>г. Уфа, ул. Первомайская, д.45</t>
  </si>
  <si>
    <t>г. Уфа, ул. Первомайская, д.67</t>
  </si>
  <si>
    <t>г. Уфа, ул. Первомайская, д.69</t>
  </si>
  <si>
    <t>г. Уфа, ул. Первомайская, д.70 корп.1</t>
  </si>
  <si>
    <t>г. Уфа, ул. Первомайская, д.71</t>
  </si>
  <si>
    <t>г. Уфа, ул. Первомайская, д.76 корп.1</t>
  </si>
  <si>
    <t>г. Уфа, ул. Петрозаводская, д.10</t>
  </si>
  <si>
    <t>г. Уфа, ул. Петрозаводская, д.10а</t>
  </si>
  <si>
    <t>г. Уфа, ул. Петрозаводская, д.14а</t>
  </si>
  <si>
    <t>г. Уфа, ул. Петрозаводская, д.4</t>
  </si>
  <si>
    <t>г. Уфа, ул. Петрозаводская, д.6</t>
  </si>
  <si>
    <t>г. Уфа, ул. Петрозаводская, д.8а</t>
  </si>
  <si>
    <t>г. Уфа, ул. Петрозаводская, д.8б</t>
  </si>
  <si>
    <t>г. Уфа, ул. Пионерская, д.11</t>
  </si>
  <si>
    <t>г. Уфа, ул. Пионерская, д.14</t>
  </si>
  <si>
    <t>г. Уфа, ул. Победы, д.31</t>
  </si>
  <si>
    <t>г. Уфа, ул. Победы, д.33</t>
  </si>
  <si>
    <t>г. Уфа, ул. Подвойского, д.17</t>
  </si>
  <si>
    <t>г. Уфа, ул. Подвойского, д.21</t>
  </si>
  <si>
    <t>г. Уфа, ул. Пожарского, д.219а</t>
  </si>
  <si>
    <t>г. Уфа, ул. Правды, д.13</t>
  </si>
  <si>
    <t>г. Уфа, ул. Правды, д.21</t>
  </si>
  <si>
    <t>г. Уфа, ул. Правды, д.4 корп.1</t>
  </si>
  <si>
    <t>г. Уфа, ул. Пушкина, д.52</t>
  </si>
  <si>
    <t>г. Уфа, ул. Рабкоров, д.10а</t>
  </si>
  <si>
    <t>г. Уфа, ул. Рабкоров, д.11 корп.1</t>
  </si>
  <si>
    <t>г. Уфа, ул. Рабкоров, д.11 корп.2</t>
  </si>
  <si>
    <t>г. Уфа, ул. Рабкоров, д.11 корп.3</t>
  </si>
  <si>
    <t>г. Уфа, ул. Рабкоров, д.5</t>
  </si>
  <si>
    <t>г. Уфа, ул. Рабкоров, д.5 корп.2</t>
  </si>
  <si>
    <t>г. Уфа, ул. Революционная, д.39</t>
  </si>
  <si>
    <t>г. Уфа, ул. Репина, д.4</t>
  </si>
  <si>
    <t>г. Уфа, ул. Рихарда Зорге, д.32 корп.3</t>
  </si>
  <si>
    <t>г. Уфа, ул. Рихарда Зорге, д.45 корп.5</t>
  </si>
  <si>
    <t>г. Уфа, ул. Рихарда Зорге, д.8 корп.1</t>
  </si>
  <si>
    <t>г. Уфа, ул. Российская, д.108</t>
  </si>
  <si>
    <t>г. Уфа, ул. Российская, д.163 корп.4</t>
  </si>
  <si>
    <t>г. Уфа, ул. Российская, д.163 корп.2</t>
  </si>
  <si>
    <t>г. Уфа, ул. Российская, д.163 корп.3</t>
  </si>
  <si>
    <t>г. Уфа, ул. Российская, д.171</t>
  </si>
  <si>
    <t>г. Уфа, ул. Российская, д.171а</t>
  </si>
  <si>
    <t>г. Уфа, ул. Российская, д.171б</t>
  </si>
  <si>
    <t>г. Уфа, ул. Российская, д.171в</t>
  </si>
  <si>
    <t>г. Уфа, ул. Российская, д.25 (секции А,Б)</t>
  </si>
  <si>
    <t>г. Уфа, ул. Российская, д.60б</t>
  </si>
  <si>
    <t>г. Уфа, ул. Рязанская, д.11</t>
  </si>
  <si>
    <t>г. Уфа, ул. Связи, д.1 корп.1</t>
  </si>
  <si>
    <t>г. Уфа, ул. Сельская Богородская, д.15д</t>
  </si>
  <si>
    <t>г. Уфа, ул. Сельская Богородская, д.17</t>
  </si>
  <si>
    <t>г. Уфа, ул. Сельская Богородская, д.17а</t>
  </si>
  <si>
    <t>г. Уфа, ул. Сельская Богородская, д.19</t>
  </si>
  <si>
    <t>г. Уфа, ул. Сельская Богородская, д.19б</t>
  </si>
  <si>
    <t>г. Уфа, ул. Сельская Богородская, д.21</t>
  </si>
  <si>
    <t>г. Уфа, ул. Сельская Богородская, д.23</t>
  </si>
  <si>
    <t>г. Уфа, ул. Сельская Богородская, д.49</t>
  </si>
  <si>
    <t>г. Уфа, ул. Сергея Вострецова, д.11</t>
  </si>
  <si>
    <t>г. Уфа, ул. Софьи Перовской, д.23 корп.1</t>
  </si>
  <si>
    <t>г. Уфа, ул. Софьи Перовской, д.25 корп.1</t>
  </si>
  <si>
    <t>г. Уфа, ул. Степана Злобина, д.15</t>
  </si>
  <si>
    <t>г. Уфа, ул. Степана Злобина, д.26</t>
  </si>
  <si>
    <t>г. Уфа, ул. Степана Злобина, д.28 корп.1</t>
  </si>
  <si>
    <t>г. Уфа, ул. Степана Злобина, д.32 корп.1</t>
  </si>
  <si>
    <t>г. Уфа, ул. Степана Злобина, д.5 корп.3</t>
  </si>
  <si>
    <t>г. Уфа, ул. Степана Кувыкина, д.12</t>
  </si>
  <si>
    <t>г. Уфа, ул. Степана Кувыкина, д.14</t>
  </si>
  <si>
    <t>г. Уфа, ул. Степана Кувыкина, д.14 корп.2</t>
  </si>
  <si>
    <t>г. Уфа, ул. Степана Кувыкина, д.18 корп.2</t>
  </si>
  <si>
    <t>г. Уфа, ул. Степана Кувыкина, д.18 корп.3</t>
  </si>
  <si>
    <t>г. Уфа, ул. Степана Кувыкина, д.23</t>
  </si>
  <si>
    <t>г. Уфа, ул. Степана Кувыкина, д.31</t>
  </si>
  <si>
    <t>г. Уфа, ул. Степана Кувыкина, д.6</t>
  </si>
  <si>
    <t>г. Уфа, ул. Степана Кувыкина, д.6 корп.1</t>
  </si>
  <si>
    <t>г. Уфа, ул. Таллинская, д.16</t>
  </si>
  <si>
    <t>г. Уфа, ул. Таллинская, д.18</t>
  </si>
  <si>
    <t>г. Уфа, ул. Таллинская, д.20</t>
  </si>
  <si>
    <t>г. Уфа, ул. Таллинская, д.26 корп.1</t>
  </si>
  <si>
    <t>г. Уфа, ул. Татышлинская, д.2а</t>
  </si>
  <si>
    <t>г. Уфа, ул. Транспортная, д.32</t>
  </si>
  <si>
    <t>г. Уфа, ул. Транспортная, д.48 корп.2</t>
  </si>
  <si>
    <t>г. Уфа, ул. Транспортная, д.50 корп.3</t>
  </si>
  <si>
    <t>г. Уфа, ул. Уссурийская, д.30</t>
  </si>
  <si>
    <t>г. Уфа, ул. Уссурийская, д.31</t>
  </si>
  <si>
    <t>г. Уфа, ул. Уссурийская, д.32</t>
  </si>
  <si>
    <t>г. Уфа, ул. Ухтомского, д.30</t>
  </si>
  <si>
    <t>г. Уфа, ул. Ферина, д.14</t>
  </si>
  <si>
    <t>г. Уфа, ул. Ферина, д.17 корп.1</t>
  </si>
  <si>
    <t>г. Уфа, ул. Ферина, д.20 корп.1</t>
  </si>
  <si>
    <t>г. Уфа, ул. Ферина, д.24 корп.2</t>
  </si>
  <si>
    <t>г. Уфа, ул. Ферина, д.3 корп.4</t>
  </si>
  <si>
    <t>г. Уфа, ул. Ферина, д.9</t>
  </si>
  <si>
    <t>г. Уфа, ул. Ферина, д.9 корп.1</t>
  </si>
  <si>
    <t>г. Уфа, ул. им Фронтовых Бригад, д.11</t>
  </si>
  <si>
    <t>г. Уфа, ул. им Фронтовых Бригад, д.9</t>
  </si>
  <si>
    <t>г. Уфа, ул. Харьковская, д.118</t>
  </si>
  <si>
    <t>г. Уфа, ул. Центральная, д.10</t>
  </si>
  <si>
    <t>г. Уфа, ул. Центральная, д.12</t>
  </si>
  <si>
    <t>г. Уфа, ул. Центральная, д.30</t>
  </si>
  <si>
    <t>г. Уфа, ул. Центральная, д.6</t>
  </si>
  <si>
    <t>г. Уфа, ул. Центральная, д.6 корп.1</t>
  </si>
  <si>
    <t>г. Уфа, ул. Центральная, д.8</t>
  </si>
  <si>
    <t>г. Уфа, ул. Цюрупы, д.130</t>
  </si>
  <si>
    <t>г. Уфа, ул. Цюрупы, д.149 корп.1</t>
  </si>
  <si>
    <t>г. Уфа, ул. Цюрупы, д.82</t>
  </si>
  <si>
    <t>г. Уфа, ул. Цюрупы, д.85</t>
  </si>
  <si>
    <t>г. Уфа, ул. Черниковская, д.21</t>
  </si>
  <si>
    <t>г. Уфа, ул. Черниковская, д.23</t>
  </si>
  <si>
    <t>г. Уфа, ул. Черниковская, д.25</t>
  </si>
  <si>
    <t>г. Уфа, ул. Черниковская, д.41а</t>
  </si>
  <si>
    <t>г. Уфа, ул. Черниковская, д.45</t>
  </si>
  <si>
    <t>г. Уфа, ул. Черниковская, д.45а</t>
  </si>
  <si>
    <t>г. Уфа, ул. Черниковская, д.47</t>
  </si>
  <si>
    <t>г. Уфа, ул. Черниковская, д.47а</t>
  </si>
  <si>
    <t>г. Уфа, ул. Черниковская, д.48</t>
  </si>
  <si>
    <t>г. Уфа, ул. Черниковская, д.50</t>
  </si>
  <si>
    <t>г. Уфа, ул. Черниковская, д.54</t>
  </si>
  <si>
    <t>г. Уфа, ул. Черниковская, д.75 корп.2</t>
  </si>
  <si>
    <t>г. Уфа, ул. Чернышевского, д.100</t>
  </si>
  <si>
    <t>г. Уфа, ул. Чернышевского, д.14 корп.1</t>
  </si>
  <si>
    <t>г. Уфа, ул. Чудинова, д.14</t>
  </si>
  <si>
    <t>г. Уфа, ул. Шафиева, д.43 корп.1</t>
  </si>
  <si>
    <t>г. Уфа, ул. Шафиева, д.8 корп.1</t>
  </si>
  <si>
    <t>г. Уфа, ул. Шота Руставели, д.23</t>
  </si>
  <si>
    <t>г. Уфа, ул. Энтузиастов, д.6</t>
  </si>
  <si>
    <t>г. Уфа, ул. Юрия Гагарина, д.12 корп.4</t>
  </si>
  <si>
    <t>г. Уфа, п. Новые Черкассы, ул. Юрия Гагарина, д.13</t>
  </si>
  <si>
    <t>г. Уфа, ул. Юрия Гагарина, д.14 корп.1</t>
  </si>
  <si>
    <t>г. Уфа, ул. Юрия Гагарина, д.64 корп.1</t>
  </si>
  <si>
    <t>г. Уфа, ул. Юрия Гагарина, д.74</t>
  </si>
  <si>
    <t>г. Уфа, ул. Уфимское шоссе, д.31</t>
  </si>
  <si>
    <t>г. Агидель, ул. Академика Курчатова, д.1 корп.11</t>
  </si>
  <si>
    <t>г. Агидель, ул. Академика Курчатова, д.11</t>
  </si>
  <si>
    <t>г. Агидель, ул. Первых Строителей, д.12</t>
  </si>
  <si>
    <t>г. Нефтекамск, пр-кт Юбилейный, д.11</t>
  </si>
  <si>
    <t>г. Нефтекамск, ш. Березовское, д.2а</t>
  </si>
  <si>
    <t>г. Нефтекамск, ул. Дзержинского, д.26</t>
  </si>
  <si>
    <t>г. Нефтекамск, ул. Дзержинского, д.28</t>
  </si>
  <si>
    <t>г. Нефтекамск, ул. Дзержинского, д.32</t>
  </si>
  <si>
    <t>г. Нефтекамск, ул. Дорожная, д.29</t>
  </si>
  <si>
    <t>г. Нефтекамск, ул. Карла Маркса, д.2а</t>
  </si>
  <si>
    <t>г. Нефтекамск, ул. Карла Маркса, д.12</t>
  </si>
  <si>
    <t>г. Нефтекамск, ул. Ленина, д.29</t>
  </si>
  <si>
    <t>г. Нефтекамск, ул. Ленина, д.3б</t>
  </si>
  <si>
    <t>г. Нефтекамск, ул. Ленина, д.68</t>
  </si>
  <si>
    <t>г. Нефтекамск, ул. Ленина, д.7</t>
  </si>
  <si>
    <t>г. Нефтекамск, ул. Ленина, д.7в</t>
  </si>
  <si>
    <t>г. Нефтекамск, ул. Нефтяников, д.7</t>
  </si>
  <si>
    <t>г. Нефтекамск, ул. Нефтяников, д.7а</t>
  </si>
  <si>
    <t>г. Нефтекамск, ул. Нефтяников, д.11б</t>
  </si>
  <si>
    <t>г. Нефтекамск, ул. Нефтяников, д.13а</t>
  </si>
  <si>
    <t>г. Нефтекамск, ул. Парковая, д.23а</t>
  </si>
  <si>
    <t>г. Нефтекамск, ул. Парковая, д.9</t>
  </si>
  <si>
    <t>г. Нефтекамск, ул. Парковая, д.27</t>
  </si>
  <si>
    <t>г. Нефтекамск, ул. Пионерская, д.2а</t>
  </si>
  <si>
    <t>г. Нефтекамск, ул. Социалистическая, д.89а корп.1</t>
  </si>
  <si>
    <t>г. Нефтекамск, ул. Социалистическая, д.105</t>
  </si>
  <si>
    <t>г. Нефтекамск, ул. Социалистическая, д.20</t>
  </si>
  <si>
    <t>г. Нефтекамск, ул. Социалистическая, д.26</t>
  </si>
  <si>
    <t>г. Нефтекамск, ул. Социалистическая, д.40в</t>
  </si>
  <si>
    <t>г. Нефтекамск, ул. Социалистическая, д.54</t>
  </si>
  <si>
    <t>г. Нефтекамск, ул. Социалистическая, д.87</t>
  </si>
  <si>
    <t>г. Нефтекамск, ул. Строителей, д.43</t>
  </si>
  <si>
    <t>г. Нефтекамск, ул. Строителей, д.49</t>
  </si>
  <si>
    <t>г. Нефтекамск, ул. Строителей, д.77</t>
  </si>
  <si>
    <t>г. Нефтекамск, ул. Строителей, д.79</t>
  </si>
  <si>
    <t>г. Нефтекамск, ул. Строителей, д.97</t>
  </si>
  <si>
    <t>г. Нефтекамск, ул. Энергетиков, д.5</t>
  </si>
  <si>
    <t>с. Амзя, ул. Азина, д.13</t>
  </si>
  <si>
    <t>с. Амзя, ул. Кудрявцева, д.3</t>
  </si>
  <si>
    <t>с. Амзя, ул. Кудрявцева, д.8</t>
  </si>
  <si>
    <t>с. Амзя, ул. Свердлова, д.10</t>
  </si>
  <si>
    <t>г. Октябрьский, мкр. 24-й, д.11</t>
  </si>
  <si>
    <t>г. Октябрьский, мкр. 24-й, д.14 корп.15</t>
  </si>
  <si>
    <t>г. Октябрьский, мкр. 25-й, д.13</t>
  </si>
  <si>
    <t>г. Октябрьский, мкр. 25-й, д.13а</t>
  </si>
  <si>
    <t>г. Октябрьский, мкр. 25-й, д.19</t>
  </si>
  <si>
    <t>г. Октябрьский, мкр. 34-й, д.16б</t>
  </si>
  <si>
    <t>г. Октябрьский, мкр. 34-й, д.5</t>
  </si>
  <si>
    <t>г. Октябрьский, мкр. 34-й, д.9а</t>
  </si>
  <si>
    <t>г. Октябрьский, мкр. 34-й, д.9 корп.1</t>
  </si>
  <si>
    <t>г. Октябрьский, мкр. 34-й, д.9 корп.2</t>
  </si>
  <si>
    <t>г. Октябрьский, мкр. 34-й, д.9 корп.3</t>
  </si>
  <si>
    <t>г. Октябрьский, мкр. 35-й, д.2</t>
  </si>
  <si>
    <t>г. Октябрьский, мкр. 35-й, д.2а</t>
  </si>
  <si>
    <t>г. Октябрьский, мкр. 35-й, д.20</t>
  </si>
  <si>
    <t>г. Октябрьский, мкр. 35-й, д.30а</t>
  </si>
  <si>
    <t>г. Октябрьский, мкр. 35-й, д.31</t>
  </si>
  <si>
    <t>г. Октябрьский, мкр. 35-й, д.31а</t>
  </si>
  <si>
    <t>г. Октябрьский, мкр. 35-й, д.38</t>
  </si>
  <si>
    <t>г. Октябрьский, пр-кт Ленина, д.14</t>
  </si>
  <si>
    <t>г. Октябрьский, пр-кт Ленина, д.39</t>
  </si>
  <si>
    <t>г. Октябрьский, пр-кт Ленина, д.51</t>
  </si>
  <si>
    <t>г. Октябрьский, пр-кт Ленина, д.57 п.7, п.8</t>
  </si>
  <si>
    <t>г. Октябрьский, пр-кт Ленина, д.65</t>
  </si>
  <si>
    <t>г. Октябрьский, пр-кт Ленина, д.71</t>
  </si>
  <si>
    <t>г. Октябрьский, ул. Аксакова, д.3</t>
  </si>
  <si>
    <t>г. Октябрьский, ул. Герцена, д.26</t>
  </si>
  <si>
    <t>г. Октябрьский, ул. Гоголя, д.8</t>
  </si>
  <si>
    <t>г. Октябрьский, ул. Горького, д.9</t>
  </si>
  <si>
    <t>г. Октябрьский, ул. Девонская, д.14</t>
  </si>
  <si>
    <t>г. Октябрьский, ул. Комсомольская, д.20</t>
  </si>
  <si>
    <t>г. Октябрьский, ул. Комсомольская, д.23а</t>
  </si>
  <si>
    <t>г. Октябрьский, ул. Комсомольская, д.25</t>
  </si>
  <si>
    <t>г. Октябрьский, ул. Комсомольская, д.29</t>
  </si>
  <si>
    <t>г. Октябрьский, ул. Комсомольская, д.31</t>
  </si>
  <si>
    <t>г. Октябрьский, ул. Комсомольская, д.37</t>
  </si>
  <si>
    <t>г. Октябрьский, ул. Комсомольская, д.39</t>
  </si>
  <si>
    <t>г. Октябрьский, ул. Кувыкина, д.10</t>
  </si>
  <si>
    <t>г. Октябрьский, ул. Кувыкина, д.45</t>
  </si>
  <si>
    <t>г. Октябрьский, ул. Куйбышева, д.19</t>
  </si>
  <si>
    <t>г. Октябрьский, ул. Луначарского, д.4</t>
  </si>
  <si>
    <t>г. Октябрьский, ул. Новоселов, д.18</t>
  </si>
  <si>
    <t>г. Октябрьский, ул. Островского, д.39</t>
  </si>
  <si>
    <t>г. Октябрьский, ул. Садовое Кольцо, д.16</t>
  </si>
  <si>
    <t>г. Октябрьский, ул. Садовое Кольцо, д.34</t>
  </si>
  <si>
    <t>г. Октябрьский, ул. Садовое Кольцо, д.79</t>
  </si>
  <si>
    <t>г. Октябрьский, ул. Свердлова, д.12</t>
  </si>
  <si>
    <t>г. Октябрьский, ул. Свердлова, д.20</t>
  </si>
  <si>
    <t>г. Октябрьский, ул. Свердлова, д.39</t>
  </si>
  <si>
    <t>г. Октябрьский, ул. Северная, д.26</t>
  </si>
  <si>
    <t>г. Октябрьский, ул. Социалистическая, д.4а</t>
  </si>
  <si>
    <t>г. Октябрьский, ул. Чапаева, д.19</t>
  </si>
  <si>
    <t>г. Октябрьский, ул. Чапаева, д.21</t>
  </si>
  <si>
    <t>г. Октябрьский, ул. Чапаева, д.40</t>
  </si>
  <si>
    <t>с. Раевский, ул. Дружбы, д.19а</t>
  </si>
  <si>
    <t>с. Раевский, ул. Крупской, д.6а</t>
  </si>
  <si>
    <t>с. Аскино, ул. Гагарина, д.8</t>
  </si>
  <si>
    <t>с. Аскино, ул. Советская, д.16</t>
  </si>
  <si>
    <t>с. Аскино, ул. Советская, д.20</t>
  </si>
  <si>
    <t>с. Бакалы, пл. Ворошилова, д.6</t>
  </si>
  <si>
    <t>с. Бакалы, пл. Ворошилова, д.14</t>
  </si>
  <si>
    <t>с. Бакалы, ул. Красных Партизан, д.56</t>
  </si>
  <si>
    <t>г. Белебей, ул. Красная, д.120</t>
  </si>
  <si>
    <t>г. Белебей, ул. Красная, д.122</t>
  </si>
  <si>
    <t>г. Белебей, ул. Красная, д.128</t>
  </si>
  <si>
    <t>г. Белебей, ул. Красная, д.130</t>
  </si>
  <si>
    <t>г. Белебей, ул. Максимовой, д.18</t>
  </si>
  <si>
    <t>г. Белебей, ул. им М.Г.Амирова, д.7б</t>
  </si>
  <si>
    <t>г. Белебей, ул. Площадка РТС, д.6</t>
  </si>
  <si>
    <t>г. Белебей, ул. Революционеров, д.10</t>
  </si>
  <si>
    <t>г. Белебей, ул. Революционеров, д.16</t>
  </si>
  <si>
    <t>г. Белебей, ул. Тукаева, д.74</t>
  </si>
  <si>
    <t>г. Белебей, ул. Фурманова, д.69</t>
  </si>
  <si>
    <t>с. Аксаково, ул. Первомайская, д.63</t>
  </si>
  <si>
    <t>с. Баженово, ул. Советская, д.4</t>
  </si>
  <si>
    <t>с. ЦУ племзавода им Максима Горького, ул. Мира, д.2</t>
  </si>
  <si>
    <t>с. Новобелокатай, ул. Ленина, д.3</t>
  </si>
  <si>
    <t>с. Бижбуляк, ул. Центральная, д.71</t>
  </si>
  <si>
    <t>г. Бирск, пер. Уфимский, д.7</t>
  </si>
  <si>
    <t>г. Бирск, ул. 2 Пятилетка, д.3</t>
  </si>
  <si>
    <t>г. Бирск, ул. 2 Пятилетка, д.3а</t>
  </si>
  <si>
    <t>г. Бирск, ул. 8 Марта, д.22</t>
  </si>
  <si>
    <t>г. Бирск, ул. 8 Марта, д.24б</t>
  </si>
  <si>
    <t>г. Бирск, ул. 8 Марта, д.34</t>
  </si>
  <si>
    <t>г. Бирск, ул. 8 Марта, д.36</t>
  </si>
  <si>
    <t>г. Бирск, ул. Гагарина, д.85</t>
  </si>
  <si>
    <t>г. Бирск, ул. Гагарина, д.86</t>
  </si>
  <si>
    <t>г. Бирск, ул. Интернациональная, д.118а</t>
  </si>
  <si>
    <t>г. Бирск, ул. Калинина, д.24а</t>
  </si>
  <si>
    <t>г. Бирск, ул. Калинина, д.27</t>
  </si>
  <si>
    <t>г. Бирск, ул. Комарова, д.40</t>
  </si>
  <si>
    <t>г. Бирск, ул. Коммунистическая, д.27</t>
  </si>
  <si>
    <t>г. Бирск, ул. Ленина, д.8</t>
  </si>
  <si>
    <t>г. Бирск, ул. Мира, д.118</t>
  </si>
  <si>
    <t>с. Осиновка, ул. Овчинникова, д.9</t>
  </si>
  <si>
    <t>с. Старобурново, ул. Мира, д.9</t>
  </si>
  <si>
    <t>с. Суслово, ул. Центральная, д.30а</t>
  </si>
  <si>
    <t>с. Мирный, ул. Ленина, д.6</t>
  </si>
  <si>
    <t>с. Первомайский, ул. Победы, д.2</t>
  </si>
  <si>
    <t>г. Благовещенск, ул. Комарова, д.3 корп.2</t>
  </si>
  <si>
    <t>г. Благовещенск, ул. Братьев Першиных, д.3 корп.3</t>
  </si>
  <si>
    <t>г. Благовещенск, ул. Зенцова, д.2</t>
  </si>
  <si>
    <t>г. Благовещенск, ул. Кирова, д.7</t>
  </si>
  <si>
    <t>г. Благовещенск, ул. Кирова, д.9</t>
  </si>
  <si>
    <t>г. Благовещенск, ул. Комарова, д.7 корп.1</t>
  </si>
  <si>
    <t>г. Благовещенск, ул. Расковой, д.51</t>
  </si>
  <si>
    <t>г. Благовещенск, ул. Расковой, д.51 корп.1</t>
  </si>
  <si>
    <t>г. Благовещенск, ул. Расковой, д.57 корп.1</t>
  </si>
  <si>
    <t>г. Благовещенск, ул. Социалистическая, д.18</t>
  </si>
  <si>
    <t>г. Благовещенск, ул. Худайбердина, д.20</t>
  </si>
  <si>
    <t>с. Ильино-Поляна, ул. Юбилейная, д.1 корп.2</t>
  </si>
  <si>
    <t>с. Буздяк, ул. Ленина, д.44</t>
  </si>
  <si>
    <t>с. Буздяк, ул. Интернациональная, д.12</t>
  </si>
  <si>
    <t>с. Буздяк, ул. Титова, д.4</t>
  </si>
  <si>
    <t>с. Буздяк, ул. Титова, д.6</t>
  </si>
  <si>
    <t>с. Бураево, ул. Ленина, д.10</t>
  </si>
  <si>
    <t>г. Давлеканово, ул. Мажита Гафури, д.12</t>
  </si>
  <si>
    <t>г. Давлеканово, ул. Мажита Гафури, д.14</t>
  </si>
  <si>
    <t>г. Давлеканово, ул. Московская, д.102</t>
  </si>
  <si>
    <t>г. Давлеканово, ул. Чкалова, д.7</t>
  </si>
  <si>
    <t>г. Давлеканово, ул. Высоковольтная, д.2</t>
  </si>
  <si>
    <t>г. Давлеканово, ул. 50 лет Башкирии, д.4</t>
  </si>
  <si>
    <t>с. Месягутово, ул. Октябрьская, д.3</t>
  </si>
  <si>
    <t>с. Месягутово, ул. Заводская, д.2</t>
  </si>
  <si>
    <t>г. Дюртюли, ул. 70-летия Октября, д.1 корп.2</t>
  </si>
  <si>
    <t>г. Дюртюли, ул. Василия Горшкова, д.7 корп.1</t>
  </si>
  <si>
    <t>г. Дюртюли, ул. Василия Горшкова, д.13</t>
  </si>
  <si>
    <t>г. Дюртюли, ул. Зиннура Зарипова, д.11</t>
  </si>
  <si>
    <t>г. Дюртюли, ул. Первомайская, д.2</t>
  </si>
  <si>
    <t>г. Дюртюли, ул. Первомайская, д.7</t>
  </si>
  <si>
    <t>г. Дюртюли, ул. Первомайская, д.19а</t>
  </si>
  <si>
    <t>г. Дюртюли, ул. Первомайская, д.112</t>
  </si>
  <si>
    <t>г. Дюртюли, ул. Садовая, д.3</t>
  </si>
  <si>
    <t>г. Дюртюли, ул. Садовая, д.7</t>
  </si>
  <si>
    <t>г. Дюртюли, ул. Шаехзады Бабича, д.1</t>
  </si>
  <si>
    <t>г. Дюртюли, ул. Шаехзады Бабича, д.1 корп.1</t>
  </si>
  <si>
    <t>г. Дюртюли, ул. Уфимская, д.33</t>
  </si>
  <si>
    <t>с. Асяново, ул. Заводская, д.1</t>
  </si>
  <si>
    <t>с. Асяново, ул. Заводская, д.2</t>
  </si>
  <si>
    <t xml:space="preserve">с. Семилетка, ул. Северная, д.2 </t>
  </si>
  <si>
    <t xml:space="preserve">с. Семилетка, ул. Северная, д.5 </t>
  </si>
  <si>
    <t>с. им 8 Марта, ул. Школьная, д.5</t>
  </si>
  <si>
    <t>с. Урман, ул. Центральная, д.12</t>
  </si>
  <si>
    <t>с. Иглино, ул. Ленина, д.46</t>
  </si>
  <si>
    <t>с. Иглино, ул. Калинина, д.46</t>
  </si>
  <si>
    <t>с. Верхнеяркеево, ул. Пушкина, д.5</t>
  </si>
  <si>
    <t>с. Верхнеяркеево, ул. Советская, д.19 корп.1</t>
  </si>
  <si>
    <t>с. Верхнеяркеево, ул. Комсомольская, д.6</t>
  </si>
  <si>
    <t>с. Верхнеяркеево, ул. Худайбердина, д.5</t>
  </si>
  <si>
    <t>с. Калтасы, ул. Кооперативная, д.24</t>
  </si>
  <si>
    <t>с. Краснохолмский, ул. Герцена, д.3</t>
  </si>
  <si>
    <t>с. Кутерем, ул. Нефтяников, д.10</t>
  </si>
  <si>
    <t>с. Караидель, ул. Горького, д.14</t>
  </si>
  <si>
    <t>с. Верхние Киги, ул. Микрорайон, д.2</t>
  </si>
  <si>
    <t>с. Куяново, пер. Молодежный, д.9</t>
  </si>
  <si>
    <t>с. Николо-Березовка, ул. Дорожная, д.42 корп.3</t>
  </si>
  <si>
    <t>с. Кушнаренково, ул. Октябрьская, д.31</t>
  </si>
  <si>
    <t>с. Кушнаренково, ул. Октябрьская, д.36</t>
  </si>
  <si>
    <t>с. Большеустьикинское, ул. Ленина, д.14</t>
  </si>
  <si>
    <t>с. Большеустьикинское, ул. Мира, д.1а</t>
  </si>
  <si>
    <t>с. Большеустьикинское, ул. Строительная, д.2а</t>
  </si>
  <si>
    <t>с. Мишкино, ул. Мира, д.40</t>
  </si>
  <si>
    <t>с. Киргиз-Мияки, ул. Губайдуллина, д.142</t>
  </si>
  <si>
    <t>с. Красная горка, ул. Нуриманова, д.22</t>
  </si>
  <si>
    <t>с. Павловка, ул. Карла Маркса, д.26</t>
  </si>
  <si>
    <t>с. Малояз, ул. Коммунистическая, д.67</t>
  </si>
  <si>
    <t>с. Верхние Татышлы, ул. Строителей, д.26</t>
  </si>
  <si>
    <t>г. Туймазы, пр-кт Ленина, д.6б</t>
  </si>
  <si>
    <t>г. Туймазы, пр-кт Ленина, д.6в</t>
  </si>
  <si>
    <t>г. Туймазы, пр-кт Ленина, д.9а</t>
  </si>
  <si>
    <t>г. Туймазы, ул. 8 Марта, д.13</t>
  </si>
  <si>
    <t>г. Туймазы, ул. 70 лет Октября, д.9</t>
  </si>
  <si>
    <t>г. Туймазы, ул. Аксакова, д.7</t>
  </si>
  <si>
    <t>г. Туймазы, ул. Комарова, д.16</t>
  </si>
  <si>
    <t>г. Туймазы, ул. Комарова, д.18</t>
  </si>
  <si>
    <t>г. Туймазы, ул. Комарова, д.21</t>
  </si>
  <si>
    <t>г. Туймазы, ул. Комарова, д.23а</t>
  </si>
  <si>
    <t>г. Туймазы, ул. Комарова, д.27</t>
  </si>
  <si>
    <t>г. Туймазы, ул. Комарова, д.28 корп.1</t>
  </si>
  <si>
    <t>г. Туймазы, ул. Комарова, д.31а</t>
  </si>
  <si>
    <t>г. Туймазы, ул. О.Кошевого, д.16а</t>
  </si>
  <si>
    <t>г. Туймазы, ул. Островского, д.30</t>
  </si>
  <si>
    <t>г. Туймазы, ул. Чапаева, д.6</t>
  </si>
  <si>
    <t>г. Туймазы, ул. Чапаева, д.8</t>
  </si>
  <si>
    <t>с. Кандры, пер. Матросова, д.1</t>
  </si>
  <si>
    <t>с. Кандры, ул. Ленина, д.5</t>
  </si>
  <si>
    <t>с. Кандры, ул. Матросова, д.13б</t>
  </si>
  <si>
    <t>с. Кандры, ул. Чапаева, д.11</t>
  </si>
  <si>
    <t>с. Кандры, ул. Чапаева, д.9</t>
  </si>
  <si>
    <t>с. Серафимовский, 19-й кв-л, д.2</t>
  </si>
  <si>
    <t>с. Серафимовский, 19-й кв-л, д.4</t>
  </si>
  <si>
    <t>с. Серафимовский, 19-й кв-л, д.7</t>
  </si>
  <si>
    <t>с. Серафимовский, 20-й кв-л, д.1</t>
  </si>
  <si>
    <t>с. Серафимовский, 20-й кв-л, д.2</t>
  </si>
  <si>
    <t>с. Серафимовский, 21-й кв-л, д.13</t>
  </si>
  <si>
    <t>с. Серафимовский, 21-й кв-л, д.2</t>
  </si>
  <si>
    <t>с. Серафимовский, 21-й кв-л, д.3</t>
  </si>
  <si>
    <t>с. Серафимовский, 21-й кв-л, д.6</t>
  </si>
  <si>
    <t>с. Субханкулово, ул. Ленина, д.4</t>
  </si>
  <si>
    <t>д. Волково, с.п. Дмитриевский, мкр. Солнечный, д.2</t>
  </si>
  <si>
    <t>д. Волково, с.п. Дмитриевский, мкр. Солнечный, д.7</t>
  </si>
  <si>
    <t>д. Дубрава, с.п. Таптыковский, ул. Лесная, д.2</t>
  </si>
  <si>
    <t>д. Дубрава, с.п. Таптыковский, ул. Лесная, д.3</t>
  </si>
  <si>
    <t>д. Николаевка, с.п. Николаевский, ул. Дружбы, д.11</t>
  </si>
  <si>
    <t>с. Дмитриевка, с.п. Дмитриевский, ул. Дорожная, д.1</t>
  </si>
  <si>
    <t>с. Дмитриевка, с.п. Дмитриевский, ул. Трактовая, д.20</t>
  </si>
  <si>
    <t>с. Красный Яр, с.п. Красноярский, пер. Речной, д.4</t>
  </si>
  <si>
    <t>с. Красный Яр, с.п. Красноярский, ул. Советская, д.85</t>
  </si>
  <si>
    <t>с. Красный Яр, с.п. Красноярский, ул. Фрунзе, д.49</t>
  </si>
  <si>
    <t>с. Миловка, с.п. Миловский, ул. Победы, д.3</t>
  </si>
  <si>
    <t>с. Михайловка, с.п. Михайловский, ул. Ленина, д.36</t>
  </si>
  <si>
    <t>с. Михайловка, с.п. Михайловский, ул. Ленина, д.38</t>
  </si>
  <si>
    <t>с. Ольховое, с.п. Ольховский, ул. Советская, д.9</t>
  </si>
  <si>
    <t>с. Старокалмашево, ул. Нефтяников, д.6</t>
  </si>
  <si>
    <t>с. Чекмагуш, ул. 70 лет Октября, д.6 корп.1</t>
  </si>
  <si>
    <t>с. Чекмагуш, ул. Мира, д.2</t>
  </si>
  <si>
    <t>с. Чекмагуш, ул. Мира, д.20</t>
  </si>
  <si>
    <t>с. Чекмагуш, ул. Мира, д.22</t>
  </si>
  <si>
    <t>рп Чишмы, ул. Западная, д.4</t>
  </si>
  <si>
    <t>рп Чишмы, ул. Ленина, д.72</t>
  </si>
  <si>
    <t>рп Чишмы, ул. Чернышевского, д.2</t>
  </si>
  <si>
    <t>рп Чишмы, ул. Чернышевского, д.4</t>
  </si>
  <si>
    <t>рп Чишмы, ул. Чернышевского, д.6</t>
  </si>
  <si>
    <t>рп Чишмы, ул. Чернышевского, д.7а</t>
  </si>
  <si>
    <t>рп Чишмы, ул. Чернышевского, д.21</t>
  </si>
  <si>
    <t>с. Алкино-2, ул. Центральная, д.14</t>
  </si>
  <si>
    <t>с. Шингак-Куль, ул. Шоссейная, д.3</t>
  </si>
  <si>
    <t>с. Шаран, ул. Гагарина, д.7</t>
  </si>
  <si>
    <t>с. Шаран, ул. Гагарина, д.13</t>
  </si>
  <si>
    <t>с. Шаран, ул. Пролетарская, д.8</t>
  </si>
  <si>
    <t>г. Янаул, ул. Ломоносова, д.1</t>
  </si>
  <si>
    <t>г. Янаул, ул. Некрасова, д.23</t>
  </si>
  <si>
    <t>г. Янаул, ул. Советская, д.8</t>
  </si>
  <si>
    <t>г. Янаул, ул. Юбилейная, д.1</t>
  </si>
  <si>
    <t>г. Янаул, ул. Юбилейная, д.9</t>
  </si>
  <si>
    <t>г. Янаул, ул. Юбилейная, д.10</t>
  </si>
  <si>
    <t>г. Янаул, ул. Юбилейная, д.15</t>
  </si>
  <si>
    <t>г. Кумертау, ул. 40 лет Победы, д.46</t>
  </si>
  <si>
    <t>г. Кумертау, ул. 40 лет Победы, д.46а</t>
  </si>
  <si>
    <t>г. Кумертау, ул. 60 лет БАССР, д.14</t>
  </si>
  <si>
    <t>г. Кумертау, ул. Вокзальная, д.22</t>
  </si>
  <si>
    <t>г. Кумертау, ул. Гафури, д.2а</t>
  </si>
  <si>
    <t>г. Кумертау, ул. Гафури, д.2в</t>
  </si>
  <si>
    <t>г. Кумертау, ул. Горького, д.8</t>
  </si>
  <si>
    <t>г. Кумертау, ул. Дзержинского, д.1</t>
  </si>
  <si>
    <t>г. Кумертау, ул. Логовая, д.36</t>
  </si>
  <si>
    <t>г. Кумертау, ул. Логовая, д.36а</t>
  </si>
  <si>
    <t>г. Кумертау, ул. Логовая, д.8</t>
  </si>
  <si>
    <t>г. Кумертау, ул. Ломоносова, д.23</t>
  </si>
  <si>
    <t>г. Кумертау, ул. Машиностроителей, д.3</t>
  </si>
  <si>
    <t>г. Кумертау, ул. Машиностроителей, д.3б</t>
  </si>
  <si>
    <t>г. Кумертау, ул. Мира, д.2</t>
  </si>
  <si>
    <t>г. Кумертау, ул. Пушкина, д.11</t>
  </si>
  <si>
    <t>г. Кумертау, ул. Советская, д.1</t>
  </si>
  <si>
    <t>г. Кумертау, ул. Худайбердина, д.12</t>
  </si>
  <si>
    <t>г. Кумертау, ул. Худайбердина, д.8</t>
  </si>
  <si>
    <t>г. Кумертау, ул. Шахтостроительная, д.12</t>
  </si>
  <si>
    <t>г. Кумертау, ул. Шахтостроительная, д.14</t>
  </si>
  <si>
    <t>г. Кумертау, ул. Энергетиков, д.21</t>
  </si>
  <si>
    <t>г. Салават, б-р Юлаева, д.9а</t>
  </si>
  <si>
    <t>г. Салават, пр-кт Нефтяников, д.11</t>
  </si>
  <si>
    <t>г. Салават, пр-кт Нефтяников, д.13</t>
  </si>
  <si>
    <t>г. Салават, пр-кт Нефтяников, д.27</t>
  </si>
  <si>
    <t>г. Салават, пр-кт Нефтяников, д.4</t>
  </si>
  <si>
    <t>г. Салават, ул. Хмельницкого, д.40</t>
  </si>
  <si>
    <t>г. Салават, ул. Бочкарева, д.12</t>
  </si>
  <si>
    <t>г. Салават, ул. Гафури, д.12</t>
  </si>
  <si>
    <t>г. Салават, ул. Гафури, д.2</t>
  </si>
  <si>
    <t>г. Салават, ул. Гафури, д.28</t>
  </si>
  <si>
    <t>г. Салават, ул. Горького, д.14</t>
  </si>
  <si>
    <t>г. Салават, ул. Горького, д.18</t>
  </si>
  <si>
    <t>г. Салават, ул. Горького, д.32</t>
  </si>
  <si>
    <t>г. Салават, ул. Губкина, д.8а</t>
  </si>
  <si>
    <t>г. Салават, ул. Губкина, д.9</t>
  </si>
  <si>
    <t>г. Салават, ул. Маркса, д.10</t>
  </si>
  <si>
    <t>г. Салават, ул. Маркса, д.6</t>
  </si>
  <si>
    <t>г. Салават, ул. Маркса, д.8</t>
  </si>
  <si>
    <t>г. Салават, ул. Колхозная, д.15</t>
  </si>
  <si>
    <t>г. Салават, ул. Колхозная, д.16</t>
  </si>
  <si>
    <t>г. Салават, ул. Колхозная, д.20</t>
  </si>
  <si>
    <t>г. Салават, ул. Ленина, д.38</t>
  </si>
  <si>
    <t>г. Салават, ул. Ленина, д.40</t>
  </si>
  <si>
    <t>г. Салават, ул. Ленинградская, д.79</t>
  </si>
  <si>
    <t>г. Салават, ул. Ленинградская, д.85</t>
  </si>
  <si>
    <t>г. Салават, ул. Октябрьская, д.15</t>
  </si>
  <si>
    <t>г. Салават, ул. Октябрьская, д.20</t>
  </si>
  <si>
    <t>г. Салават, ул. Октябрьская, д.21</t>
  </si>
  <si>
    <t>г. Салават, ул. Октябрьская, д.22</t>
  </si>
  <si>
    <t>г. Салават, ул. Октябрьская, д.29</t>
  </si>
  <si>
    <t>г. Салават, ул. Октябрьская, д.31</t>
  </si>
  <si>
    <t>г. Салават, ул. Октябрьская, д.32</t>
  </si>
  <si>
    <t>г. Салават, ул. Октябрьская, д.36</t>
  </si>
  <si>
    <t>г. Салават, ул. Октябрьская, д.42</t>
  </si>
  <si>
    <t>г. Салават, ул. Островского, д.82</t>
  </si>
  <si>
    <t>г. Салават, ул. Островского, д.82а</t>
  </si>
  <si>
    <t>г. Салават, ул. Островского, д.84</t>
  </si>
  <si>
    <t>г. Салават, ул. Островского, д.86б</t>
  </si>
  <si>
    <t>г. Салават, ул. Пархоменко, д.2</t>
  </si>
  <si>
    <t>г. Салават, ул. Первомайская, д.42</t>
  </si>
  <si>
    <t>г. Салават, ул. Первомайская, д.44</t>
  </si>
  <si>
    <t>г. Салават, ул. Первомайская, д.46</t>
  </si>
  <si>
    <t>г. Салават, ул. Пугачева, д.11</t>
  </si>
  <si>
    <t>г. Салават, ул. Революционная, д.7</t>
  </si>
  <si>
    <t>г. Салават, ул. Речная, д.37</t>
  </si>
  <si>
    <t>г. Салават, ул. Речная, д.39</t>
  </si>
  <si>
    <t>г. Салават, ул. Строителей, д.1</t>
  </si>
  <si>
    <t>г. Салават, ул. Строителей, д.47</t>
  </si>
  <si>
    <t>г. Салават, ул. Уфимская, д.54</t>
  </si>
  <si>
    <t>г. Салават, ул. Фурманова, д.4а</t>
  </si>
  <si>
    <t>г. Сибай, пр-кт Горняков, д.29</t>
  </si>
  <si>
    <t>г. Сибай, пр-кт Горняков, д.33</t>
  </si>
  <si>
    <t>г. Сибай, пр-кт Горняков, д.40</t>
  </si>
  <si>
    <t>г. Сибай, пр-кт Горняков, д.5</t>
  </si>
  <si>
    <t>г. Сибай, пр-кт Горняков, д.6/6</t>
  </si>
  <si>
    <t>г. Сибай, ул. Горького, д.33</t>
  </si>
  <si>
    <t>г. Сибай, ул. Горького, д.88</t>
  </si>
  <si>
    <t>г. Сибай, ул. Заки Валиди, д.55/1</t>
  </si>
  <si>
    <t>г. Сибай, ул. Заки Валиди, д.61</t>
  </si>
  <si>
    <t>г. Сибай, ул. Цеткин, д.10/1</t>
  </si>
  <si>
    <t>г. Сибай, ул. Ленина, д.17</t>
  </si>
  <si>
    <t>г. Сибай, ул. Ленина, д.28</t>
  </si>
  <si>
    <t>г. Сибай, ул. Матросова, д.45</t>
  </si>
  <si>
    <t>г. Сибай, ул. Маяковского, д.14</t>
  </si>
  <si>
    <t>г. Сибай, ул. Маяковского, д.16</t>
  </si>
  <si>
    <t>г. Сибай, ул. Пионерская, д.46</t>
  </si>
  <si>
    <t>г. Сибай, ул. Ленина, д.1</t>
  </si>
  <si>
    <t>г. Сибай, пр-кт Горняков, д.13</t>
  </si>
  <si>
    <t>г. Стерлитамак, пр-кт Ленина, д.20</t>
  </si>
  <si>
    <t>г. Стерлитамак, пр-кт Ленина, д.45а</t>
  </si>
  <si>
    <t>г. Стерлитамак, пр-кт Ленина, д.63</t>
  </si>
  <si>
    <t>г. Стерлитамак, пр-кт Ленина, д.81</t>
  </si>
  <si>
    <t>г. Стерлитамак, пр-кт Ленина, д.87</t>
  </si>
  <si>
    <t>г. Стерлитамак, пр-кт Октября, д.27</t>
  </si>
  <si>
    <t>г. Стерлитамак, пр-кт Октября, д.73</t>
  </si>
  <si>
    <t>г. Стерлитамак, пр-кт Октября, д.77</t>
  </si>
  <si>
    <t>г. Стерлитамак, пр-кт Октября, д.81</t>
  </si>
  <si>
    <t>г. Стерлитамак, ул. Артема, д.133</t>
  </si>
  <si>
    <t>г. Стерлитамак, ул. Артема, д.147</t>
  </si>
  <si>
    <t>г. Стерлитамак, ул. Артема, д.47</t>
  </si>
  <si>
    <t>г. Стерлитамак, ул. Блюхера, д.12</t>
  </si>
  <si>
    <t>г. Стерлитамак, ул. Блюхера, д.12б</t>
  </si>
  <si>
    <t>г. Стерлитамак, ул. Блюхера, д.23</t>
  </si>
  <si>
    <t>г. Стерлитамак, ул. Блюхера, д.25</t>
  </si>
  <si>
    <t>г. Стерлитамак, ул. Воинов-Интернационалистов, д.38</t>
  </si>
  <si>
    <t>г. Стерлитамак, ул. Вокзальная, д.37</t>
  </si>
  <si>
    <t>г. Стерлитамак, ул. Волочаевская, д.6</t>
  </si>
  <si>
    <t>г. Стерлитамак, ул. Гоголя, д.105</t>
  </si>
  <si>
    <t>г. Стерлитамак, ул. Гоголя, д.121</t>
  </si>
  <si>
    <t>г. Стерлитамак, ул. Гоголя, д.131</t>
  </si>
  <si>
    <t>г. Стерлитамак, ул. Гоголя, д.133</t>
  </si>
  <si>
    <t>г. Стерлитамак, ул. Гоголя, д.145</t>
  </si>
  <si>
    <t>г. Стерлитамак, ул. Гоголя, д.149</t>
  </si>
  <si>
    <t>г. Стерлитамак, ул. Гоголя, д.149а</t>
  </si>
  <si>
    <t>г. Стерлитамак, ул. Голикова, д.24</t>
  </si>
  <si>
    <t>г. Стерлитамак, ул. Гражданская, д.41</t>
  </si>
  <si>
    <t>г. Стерлитамак, ул. Дружбы, д.20</t>
  </si>
  <si>
    <t>г. Стерлитамак, ул. Дружбы, д.21</t>
  </si>
  <si>
    <t>г. Стерлитамак, ул. Дружбы, д.29</t>
  </si>
  <si>
    <t>г. Стерлитамак, ул. Дружбы, д.30а</t>
  </si>
  <si>
    <t>г. Стерлитамак, ул. Дружбы, д.30б</t>
  </si>
  <si>
    <t>г. Стерлитамак, ул. Дружбы, д.30в</t>
  </si>
  <si>
    <t>г. Стерлитамак, ул. Дружбы, д.43</t>
  </si>
  <si>
    <t>г. Стерлитамак, ул. Дружбы, д.58</t>
  </si>
  <si>
    <t>г. Стерлитамак, ул. Дружбы, д.68</t>
  </si>
  <si>
    <t>г. Стерлитамак, ул. Дружбы, д.70</t>
  </si>
  <si>
    <t>г. Стерлитамак, ул. Железнодорожная, д.10</t>
  </si>
  <si>
    <t>г. Стерлитамак, ул. Железнодорожная, д.26</t>
  </si>
  <si>
    <t>г. Стерлитамак, ул. Железнодорожная, д.28</t>
  </si>
  <si>
    <t>г. Стерлитамак, ул. Заводская, д.22</t>
  </si>
  <si>
    <t>г. Стерлитамак, ул. Ибрагимова, д.4</t>
  </si>
  <si>
    <t>г. Стерлитамак, ул. Караная Муратова, д.6</t>
  </si>
  <si>
    <t>г. Стерлитамак, ул. Карла Маркса, д.160</t>
  </si>
  <si>
    <t>г. Стерлитамак, ул. Коммунистическая, д.75</t>
  </si>
  <si>
    <t>г. Стерлитамак, ул. Кочетова, д.17</t>
  </si>
  <si>
    <t>г. Стерлитамак, ул. Кочетова, д.23б</t>
  </si>
  <si>
    <t>г. Стерлитамак, ул. Кочетова, д.26в</t>
  </si>
  <si>
    <t>г. Стерлитамак, ул. Курчатова, д.18</t>
  </si>
  <si>
    <t>г. Стерлитамак, ул. Курчатова, д.22</t>
  </si>
  <si>
    <t>г. Стерлитамак, ул. Курчатова, д.7</t>
  </si>
  <si>
    <t>г. Стерлитамак, ул. Коммунистическая, д.69</t>
  </si>
  <si>
    <t>г. Стерлитамак, ул. Мира, д.44</t>
  </si>
  <si>
    <t>г. Стерлитамак, ул. Николаева, д.6</t>
  </si>
  <si>
    <t>г. Стерлитамак, ул. Одесская, д.32а</t>
  </si>
  <si>
    <t>г. Стерлитамак, ул. Одесская, д.34а</t>
  </si>
  <si>
    <t>г. Стерлитамак, ул. Одесская, д.78</t>
  </si>
  <si>
    <t>г. Стерлитамак, ул. Патриотическая, д.92</t>
  </si>
  <si>
    <t>г. Стерлитамак, ул. Революционная, д.5</t>
  </si>
  <si>
    <t>г. Стерлитамак, ул. Сазонова, д.14</t>
  </si>
  <si>
    <t>г. Стерлитамак, ул. Сазонова, д.32</t>
  </si>
  <si>
    <t>г. Стерлитамак, ул. Сазонова, д.8</t>
  </si>
  <si>
    <t>г. Стерлитамак, ул. Сакко и Ванцетти, д.55</t>
  </si>
  <si>
    <t>г. Стерлитамак, ул. Свердлова, д.57</t>
  </si>
  <si>
    <t>г. Стерлитамак, ул. Свердлова, д.69</t>
  </si>
  <si>
    <t>г. Стерлитамак, ул. Социалистическая, д.10</t>
  </si>
  <si>
    <t>г. Стерлитамак, ул. Социалистическая, д.16</t>
  </si>
  <si>
    <t>г. Стерлитамак, ул. Социалистическая, д.32</t>
  </si>
  <si>
    <t>г. Стерлитамак, ул. Суханова, д.10б</t>
  </si>
  <si>
    <t>г. Стерлитамак, ул. Суханова, д.4</t>
  </si>
  <si>
    <t>г. Стерлитамак, ул. Суханова, д.6</t>
  </si>
  <si>
    <t>г. Стерлитамак, ул. Трудовые Резервы, д.4</t>
  </si>
  <si>
    <t>г. Стерлитамак, ул. Тукаева, д.5б</t>
  </si>
  <si>
    <t>г. Стерлитамак, ул. Уфимская, д.35</t>
  </si>
  <si>
    <t>г. Стерлитамак, ул. Худайбердина, д.137</t>
  </si>
  <si>
    <t>г. Стерлитамак, ул. Худайбердина, д.141</t>
  </si>
  <si>
    <t>г. Стерлитамак, ул. Худайбердина, д.150</t>
  </si>
  <si>
    <t>г. Стерлитамак, ул. Днепровская, д.18</t>
  </si>
  <si>
    <t>г. Стерлитамак, ул. Худайбердина, д.184</t>
  </si>
  <si>
    <t>г. Стерлитамак, ул. Худайбердина, д.204</t>
  </si>
  <si>
    <t>г. Стерлитамак, ул. Худайбердина, д.206</t>
  </si>
  <si>
    <t>г. Стерлитамак, ул. Худайбердина, д.212</t>
  </si>
  <si>
    <t>г. Стерлитамак, ул. Кочетова, д.21</t>
  </si>
  <si>
    <t>г. Стерлитамак, ул. Худайбердина, д.27</t>
  </si>
  <si>
    <t>г. Стерлитамак, ул. Худайбердина, д.77</t>
  </si>
  <si>
    <t>г. Стерлитамак, ул. Цюрупы, д.32</t>
  </si>
  <si>
    <t>г. Стерлитамак, ул. Цюрупы, д.5</t>
  </si>
  <si>
    <t>г. Стерлитамак, ул. Цюрупы, д.7</t>
  </si>
  <si>
    <t>г. Стерлитамак, ул. Черноморская, д.10</t>
  </si>
  <si>
    <t>г. Стерлитамак, ул. Шаймуратова, д.1</t>
  </si>
  <si>
    <t>г. Стерлитамак, ул. Шаймуратова, д.5в</t>
  </si>
  <si>
    <t>г. Стерлитамак, ул. Шаймуратова, д.7б</t>
  </si>
  <si>
    <t>г. Стерлитамак, ул. Элеваторная, д.100</t>
  </si>
  <si>
    <t>г. Стерлитамак, ул. Элеваторная, д.100а</t>
  </si>
  <si>
    <t>г. Стерлитамак, ул. Элеваторная, д.82</t>
  </si>
  <si>
    <t>г. Стерлитамак, ул. Якутова, д.9а</t>
  </si>
  <si>
    <t>г. Межгорье, ул. Комсомольская, д.25</t>
  </si>
  <si>
    <t>г. Межгорье, ул. Комсомольская, д.27</t>
  </si>
  <si>
    <t>г. Межгорье, ул. Комсомольская, д.7а</t>
  </si>
  <si>
    <t>г. Межгорье, ул. Комсомольская, д.9</t>
  </si>
  <si>
    <t>г. Межгорье, ул. Спортивная, д.24</t>
  </si>
  <si>
    <t>г. Межгорье, ул. Спортивная, д.3</t>
  </si>
  <si>
    <t>г. Межгорье, ул. Спортивная, д.6</t>
  </si>
  <si>
    <t>г. Межгорье, ул. Спортивная, д.7</t>
  </si>
  <si>
    <t>г. Межгорье, ул. Цветочная, д.4</t>
  </si>
  <si>
    <t>с. Аскарово, ул. Тангатарская, д.14</t>
  </si>
  <si>
    <t>с. Красная Башкирия, ул. Ленина, д.8</t>
  </si>
  <si>
    <t>с. Архангельское, ул. Ворошилова, д.113, к.1</t>
  </si>
  <si>
    <t>с. Толбазы, ул. Ленина, д.142</t>
  </si>
  <si>
    <t>с. Толбазы, ул. М.Гафури, д.4</t>
  </si>
  <si>
    <t>г. Белорецк, ул. 50 лет Октября, д.76</t>
  </si>
  <si>
    <t>г. Белорецк, ул. Алексеева, д.27</t>
  </si>
  <si>
    <t>г. Белорецк, ул. Алексеева, д.39</t>
  </si>
  <si>
    <t>г. Белорецк, ул. Благой Ключ, д.53 корп.4</t>
  </si>
  <si>
    <t>г. Белорецк, ул. Кооперативная, д.18</t>
  </si>
  <si>
    <t>г. Белорецк, ул. Косоротова, д.16</t>
  </si>
  <si>
    <t>г. Белорецк, ул. Косоротова, д.5</t>
  </si>
  <si>
    <t>г. Белорецк, ул. Косоротова, д.7а</t>
  </si>
  <si>
    <t>г. Белорецк, ул. Куйбышева, д.11</t>
  </si>
  <si>
    <t>г. Белорецк, ул. Ленина, д.31</t>
  </si>
  <si>
    <t>г. Белорецк, ул. Пушкина, д.32</t>
  </si>
  <si>
    <t>г. Белорецк, ул. Пушкина, д.63</t>
  </si>
  <si>
    <t>г. Белорецк, ул. Пушкина, д.64</t>
  </si>
  <si>
    <t>г. Белорецк, ул. Северная, д.2</t>
  </si>
  <si>
    <t>г. Белорецк, ул. Точисского, д.13а</t>
  </si>
  <si>
    <t>г. Белорецк, ул. Точисского, д.15а</t>
  </si>
  <si>
    <t>г. Белорецк, ул. Точисского, д.26а</t>
  </si>
  <si>
    <t>г. Белорецк, ул. Тюленина, д.50</t>
  </si>
  <si>
    <t>с. Зуяково, ул. Вокзальная, д.2</t>
  </si>
  <si>
    <t>с. Инзер, ул. Энергетиков, д.5</t>
  </si>
  <si>
    <t>с. Тирлянский, ул. Оглоблина, д.93</t>
  </si>
  <si>
    <t>с. Улуелга, ул. Лесная, д.2</t>
  </si>
  <si>
    <t>с. Красноусольский, ул. Калмыкова, д.11</t>
  </si>
  <si>
    <t>с. Красноусольский, ул. К.Маркса, д.3</t>
  </si>
  <si>
    <t>с. Исянгулово, ул. Х.Давлетшиной, д.1а</t>
  </si>
  <si>
    <t>г. Ишимбай, ул. Бульварная, д.32</t>
  </si>
  <si>
    <t>г. Ишимбай, ул. Бульварная, д.32а</t>
  </si>
  <si>
    <t>г. Ишимбай, ул. Бульварная, д.34</t>
  </si>
  <si>
    <t>г. Ишимбай, ул. Губкина, д.12</t>
  </si>
  <si>
    <t>г. Ишимбай, ул. Горького, д.35а</t>
  </si>
  <si>
    <t>г. Ишимбай, ул. Зеленая, д.15</t>
  </si>
  <si>
    <t>г. Ишимбай, б-р З.Валиди, д.3</t>
  </si>
  <si>
    <t>г. Ишимбай, ул. Докучаева, д.2</t>
  </si>
  <si>
    <t>г. Ишимбай, ул. Докучаева, д.4</t>
  </si>
  <si>
    <t>г. Ишимбай, ул. Докучаева, д.14</t>
  </si>
  <si>
    <t>г. Ишимбай, ул. Докучаева, д.17</t>
  </si>
  <si>
    <t>г. Ишимбай, пр-кт Ленина, д.31</t>
  </si>
  <si>
    <t>г. Ишимбай, пр-кт Ленина, д.51</t>
  </si>
  <si>
    <t>г. Ишимбай, ул. Мичурина, д.14</t>
  </si>
  <si>
    <t>г. Ишимбай, ул. Промысловая, д.3</t>
  </si>
  <si>
    <t>г. Ишимбай, ул. Промысловая, д.5</t>
  </si>
  <si>
    <t>г. Ишимбай, ул. Промысловая, д.9</t>
  </si>
  <si>
    <t>г. Ишимбай, ул. Стахановская, д.91</t>
  </si>
  <si>
    <t>г. Ишимбай, ул. Стахановская, д.108</t>
  </si>
  <si>
    <t>г. Ишимбай, ул. Стахановская, д.112</t>
  </si>
  <si>
    <t>г. Ишимбай, ул. Чкалова, д.8</t>
  </si>
  <si>
    <t>г. Ишимбай, ул. Чкалова, д.17</t>
  </si>
  <si>
    <t>д. Кабаково, ул. Строителей, д.45</t>
  </si>
  <si>
    <t>д. Улукулево, ул. Строителей, д.17</t>
  </si>
  <si>
    <t>с. Кармаскалы, ул. Садовая, д.27</t>
  </si>
  <si>
    <t>с. Прибельский, ул. Ленина, д.20</t>
  </si>
  <si>
    <t>с. Мраково, ул. З.Биишевой, д.117</t>
  </si>
  <si>
    <t>с. Юмагузино, ул. Молодежная, д.5</t>
  </si>
  <si>
    <t>с. Айсуак, ул. Совхозная, д.4</t>
  </si>
  <si>
    <t>с. Айсуак, ул. Совхозная, д.6</t>
  </si>
  <si>
    <t>с. Ермолаево, ул. Советская, д.160</t>
  </si>
  <si>
    <t>с. Свобода, ул. Центральная, д.7а</t>
  </si>
  <si>
    <t>г. Мелеуз, мкр. 31-й, д.10</t>
  </si>
  <si>
    <t>г. Мелеуз, мкр. 32-й, д.10</t>
  </si>
  <si>
    <t>г. Мелеуз, мкр. 32-й, д.20</t>
  </si>
  <si>
    <t>г. Мелеуз, ул. Комарова, д.15</t>
  </si>
  <si>
    <t>г. Мелеуз, ул. Кочеткова, д.1а</t>
  </si>
  <si>
    <t>г. Мелеуз, ул. Ленина, д.135</t>
  </si>
  <si>
    <t>г. Мелеуз, ул. Ленина, д.150</t>
  </si>
  <si>
    <t>г. Мелеуз, ул. Метеорологическая, д.15</t>
  </si>
  <si>
    <t>г. Мелеуз, ул. Техническая, д.14</t>
  </si>
  <si>
    <t>г. Мелеуз, ул. Техническая, д.20</t>
  </si>
  <si>
    <t>с. Первомайский, ул. Молодежная, д.4</t>
  </si>
  <si>
    <t>с. Стерлибашево, ул. Ленина, д.102</t>
  </si>
  <si>
    <t>с. Стерлибашево, ул. Строителей, д.6</t>
  </si>
  <si>
    <t>с. Большой Куганак, ул. Мира, д.10</t>
  </si>
  <si>
    <t>с. Большой Куганак, ул. Фестивальная, д.3</t>
  </si>
  <si>
    <t>с. Большой Куганак, ул. Менделеева, д.2</t>
  </si>
  <si>
    <t>с. Верхние Услы, ул. 40 лет Победы, д.7</t>
  </si>
  <si>
    <t>с. Загородный, ул. Садовая, д.3</t>
  </si>
  <si>
    <t>с. Рощинский, ул. Майская, д.5</t>
  </si>
  <si>
    <t>с. Рощинский, ул. Майская, д.6</t>
  </si>
  <si>
    <t>с. Рощинский, ул. Северная, д.2</t>
  </si>
  <si>
    <t>с. Рощинский, ул. Северная, д.4</t>
  </si>
  <si>
    <t>г. Учалы, пер. Молодежный, д.4</t>
  </si>
  <si>
    <t>г. Учалы, ул. Ахметгалина, д.17</t>
  </si>
  <si>
    <t>г. Учалы, ул. Башкортостана, д.21</t>
  </si>
  <si>
    <t>г. Учалы, ул. Башкортостана, д.3а</t>
  </si>
  <si>
    <t>г. Учалы, ул. Горького, д.6б</t>
  </si>
  <si>
    <t>г. Учалы, ул. Горького, д.8 корп.1</t>
  </si>
  <si>
    <t>г. Учалы, ул. Горького, д.8а</t>
  </si>
  <si>
    <t>г. Учалы, ул. Горького, д.8б</t>
  </si>
  <si>
    <t>г. Учалы, ул. К.Маркса, д.13а</t>
  </si>
  <si>
    <t>г. Учалы, ул. Башкортостана, д.12</t>
  </si>
  <si>
    <t>г. Учалы, ул. Кирова, д.11</t>
  </si>
  <si>
    <t>г. Учалы, ул. Кирова, д.7</t>
  </si>
  <si>
    <t>г. Учалы, ул. Ленина, д.36</t>
  </si>
  <si>
    <t>г. Учалы, ул. Ленина, д.40</t>
  </si>
  <si>
    <t>г. Учалы, ул. Ленина, д.42</t>
  </si>
  <si>
    <t>г. Учалы, ул. Ленина, д.46</t>
  </si>
  <si>
    <t>г. Учалы, ул. Ленина, д.48</t>
  </si>
  <si>
    <t>г. Учалы, ул. Ленина, д.52а</t>
  </si>
  <si>
    <t>г. Учалы, ул. Мира, д.30</t>
  </si>
  <si>
    <t>г. Учалы, ул. Муртазина, д.28</t>
  </si>
  <si>
    <t>г. Учалы, ул. Первостроителей, д.36</t>
  </si>
  <si>
    <t>г. Учалы, ул. Первостроителей, д.26</t>
  </si>
  <si>
    <t>г. Учалы, ул. Первостроителей, д.30</t>
  </si>
  <si>
    <t>г. Учалы, ул. Строительная, д.9а</t>
  </si>
  <si>
    <t>д. Гончаровка, ул. Комсомольская, д.1</t>
  </si>
  <si>
    <t>д. Гончаровка, ул. Салавата Юлаева, д.7</t>
  </si>
  <si>
    <t>с. Бурибай, ул. Шаймуратова, д.15</t>
  </si>
  <si>
    <t>с. Садовый, ул. Молодежная, д.1</t>
  </si>
  <si>
    <t>с. Целинное, ул. Салавата Юлаева, д.11</t>
  </si>
  <si>
    <t>г. Уфа, ул. Майская, д.1</t>
  </si>
  <si>
    <t>г. Уфа, ул. Майская, д.7</t>
  </si>
  <si>
    <t>г. Уфа, ул. Майская, д.7а</t>
  </si>
  <si>
    <t>г. Уфа, б-р Ибрагимова, д.37</t>
  </si>
  <si>
    <t>г. Уфа, б-р Славы, д.18</t>
  </si>
  <si>
    <t>г. Уфа, пер. Запорожский, д.1</t>
  </si>
  <si>
    <t>г. Уфа, пер. Запорожский, д.3</t>
  </si>
  <si>
    <t>г. Уфа, пр-кт Октября, д.113</t>
  </si>
  <si>
    <t>г. Уфа, пр-кт Октября, д.130</t>
  </si>
  <si>
    <t>г. Уфа, пр-кт Октября, д.83 корп.1</t>
  </si>
  <si>
    <t>г. Уфа, пр-кт Октября, д.89 корп.1</t>
  </si>
  <si>
    <t>г. Уфа, ул. Богдана Хмельницкого, д.114</t>
  </si>
  <si>
    <t>г. Уфа, ул. 50 лет СССР, д.42</t>
  </si>
  <si>
    <t>г. Уфа, ул. 50 лет СССР, д.47</t>
  </si>
  <si>
    <t>г. Уфа, ул. Ахметова, д.277а</t>
  </si>
  <si>
    <t>г. Уфа, ул. Ахметова, д.281</t>
  </si>
  <si>
    <t>г. Уфа, ул. Ахметова, д.293</t>
  </si>
  <si>
    <t>г. Уфа, ул. Ахметова, д.324</t>
  </si>
  <si>
    <t>г. Уфа, ул. Бабушкина, д.52</t>
  </si>
  <si>
    <t>г. Уфа, ул. Бакалинская, д.68 корп.1</t>
  </si>
  <si>
    <t>г. Уфа, ул. Богдана Хмельницкого, д.10</t>
  </si>
  <si>
    <t>г. Уфа, ул. Братьев Кадомцевых, д.11</t>
  </si>
  <si>
    <t>г. Уфа, ул. Владивостокская, д.13</t>
  </si>
  <si>
    <t>г. Уфа, ул. Вокзальная, д.25б</t>
  </si>
  <si>
    <t>г. Уфа, ул. Добролетная, д.7 корп.3</t>
  </si>
  <si>
    <t>г. Уфа, ул. Добролетная, д.7 корп.4</t>
  </si>
  <si>
    <t>г. Уфа, ул. Достоевского, д.107</t>
  </si>
  <si>
    <t>г. Уфа, ул. Интернациональная, д.149</t>
  </si>
  <si>
    <t>г. Уфа, ул. Интернациональная, д.173</t>
  </si>
  <si>
    <t>г. Уфа, ул. Интернациональная, д.179</t>
  </si>
  <si>
    <t>г. Уфа, ул. Калинина, д.78</t>
  </si>
  <si>
    <t>г. Уфа, ул. Калинина, д.80</t>
  </si>
  <si>
    <t>г. Уфа, ул. Калинина, д.82</t>
  </si>
  <si>
    <t>г. Уфа, ул. Карима Хакимова, д.5</t>
  </si>
  <si>
    <t>г. Уфа, ул. Карла Маркса, д.57а</t>
  </si>
  <si>
    <t>г. Уфа, ул. Кигинская, д.2а</t>
  </si>
  <si>
    <t>г. Уфа, ул. Кольцевая, д.189</t>
  </si>
  <si>
    <t>г. Уфа, ул. Коммунальная, д.10 корп.1</t>
  </si>
  <si>
    <t>г. Уфа, ул. Коммунальная, д.5</t>
  </si>
  <si>
    <t>г. Уфа, ул. Коммунальная, д.6</t>
  </si>
  <si>
    <t>г. Уфа, ул. Коммунаров, д.52</t>
  </si>
  <si>
    <t>г. Уфа, ул. Комсомольская, д.100</t>
  </si>
  <si>
    <t>г. Уфа, ул. Комсомольская, д.141 корп.1</t>
  </si>
  <si>
    <t>г. Уфа, ул. Космонавтов, д.11</t>
  </si>
  <si>
    <t>г. Уфа, ул. Ленина, д.95</t>
  </si>
  <si>
    <t>г. Уфа, ул. Матвея Пинского, д.8</t>
  </si>
  <si>
    <t>г. Уфа, ул. Мубарякова, д.10 корп.1</t>
  </si>
  <si>
    <t>г. Уфа, ул. Нежинская, д.34</t>
  </si>
  <si>
    <t>г. Уфа, ул. Нежинская, д.36</t>
  </si>
  <si>
    <t>г. Уфа, ул. Нежинская, д.40</t>
  </si>
  <si>
    <t>г. Уфа, ул. Пархоменко, д.104</t>
  </si>
  <si>
    <t>г. Уфа, ул. Пархоменко, д.131</t>
  </si>
  <si>
    <t>г. Уфа, ул. Пекинская, д.24а</t>
  </si>
  <si>
    <t>г. Уфа, ул. Первомайская, д.71а</t>
  </si>
  <si>
    <t>г. Уфа, ул. Пионерская, д.16 корп.4</t>
  </si>
  <si>
    <t>г. Уфа, ул. Пожарского, д.243</t>
  </si>
  <si>
    <t>г. Уфа, ул. Пожарского, д.303</t>
  </si>
  <si>
    <t>г. Уфа, ул. Рабкоров, д.12</t>
  </si>
  <si>
    <t>г. Уфа, ул. Рижская, д.7</t>
  </si>
  <si>
    <t>г. Уфа, ул. Рычкова, д.16</t>
  </si>
  <si>
    <t>г. Уфа, ул. Сельская Богородская, д.17б</t>
  </si>
  <si>
    <t>г. Уфа, ул. Степана Халтурина, д.49 корп.1</t>
  </si>
  <si>
    <t>г. Уфа, ул. Судоремонтная, д.20</t>
  </si>
  <si>
    <t>г. Уфа, ул. Судоремонтная, д.32</t>
  </si>
  <si>
    <t>г. Уфа, ул. Таллинская, д.21б</t>
  </si>
  <si>
    <t>г. Уфа, ул. Черниковская, д.1</t>
  </si>
  <si>
    <t>г. Уфа, ул. Черниковская, д.27</t>
  </si>
  <si>
    <t>г. Уфа, ул. Черниковская, д.5</t>
  </si>
  <si>
    <t>г. Уфа, ул. Чернышевского, д.101а</t>
  </si>
  <si>
    <t>г. Уфа, ул. Шафиева, д.12 корп.1</t>
  </si>
  <si>
    <t>г. Уфа, ул. Шафиева, д.4</t>
  </si>
  <si>
    <t>г. Агидель, ул. Мира, д.14</t>
  </si>
  <si>
    <t>г. Нефтекамск, пер. Кувыкина, д.3а</t>
  </si>
  <si>
    <t>г. Нефтекамск, пр-кт Комсомольский, д.38</t>
  </si>
  <si>
    <t>г. Нефтекамск, пр-кт Комсомольский, д.40</t>
  </si>
  <si>
    <t>г. Нефтекамск, пр-кт Комсомольский, д.44а</t>
  </si>
  <si>
    <t>г. Нефтекамск, пр-кт Юбилейный, д.2</t>
  </si>
  <si>
    <t>г. Нефтекамск, пр-кт Юбилейный, д.9</t>
  </si>
  <si>
    <t>г. Нефтекамск, ш. Березовское, д.2</t>
  </si>
  <si>
    <t>г. Нефтекамск, ул. Дзержинского, д.10</t>
  </si>
  <si>
    <t>г. Нефтекамск, ул. Дзержинского, д.20</t>
  </si>
  <si>
    <t>г. Нефтекамск, ул. Карла Маркса, д.19</t>
  </si>
  <si>
    <t>г. Нефтекамск, ул. Победы, д.3а</t>
  </si>
  <si>
    <t>г. Нефтекамск, ул. Социалистическая, д.60</t>
  </si>
  <si>
    <t>г. Нефтекамск, ул. Социалистическая, д.62</t>
  </si>
  <si>
    <t>г. Нефтекамск, ул. Социалистическая, д.66</t>
  </si>
  <si>
    <t>г. Нефтекамск, ул. Социалистическая, д.77б</t>
  </si>
  <si>
    <t>г. Октябрьский, мкр. 25-й, д.12</t>
  </si>
  <si>
    <t>г. Октябрьский, мкр. 34-й, д.4а</t>
  </si>
  <si>
    <t>г. Октябрьский, пр-кт Ленина, д.22</t>
  </si>
  <si>
    <t>г. Октябрьский, ул. Островского, д.18</t>
  </si>
  <si>
    <t>г. Октябрьский, ул. Островского, д.72</t>
  </si>
  <si>
    <t>г. Октябрьский, ул. Свердлова, д.73</t>
  </si>
  <si>
    <t>г. Октябрьский, мкр. 34-й, д.4</t>
  </si>
  <si>
    <t>с. Бакалы, ул. Красных Партизан, д.59</t>
  </si>
  <si>
    <t>с. Старобалтачево, ул. Комсомольская, д.51</t>
  </si>
  <si>
    <t>г. Белебей, ул. Вахитова, д.71</t>
  </si>
  <si>
    <t>г. Белебей, ул. Площадка РТС, д.12</t>
  </si>
  <si>
    <t>г. Белебей, ул. Советская, д.59</t>
  </si>
  <si>
    <t>с. Новобелокатай, ул. Мира, д.1</t>
  </si>
  <si>
    <t>с. Новобелокатай, ул. Мира, д.7</t>
  </si>
  <si>
    <t>с. Новобелокатай, ул. Школьная, д.7</t>
  </si>
  <si>
    <t>с. Новобелокатай, ул. Школьная, д.9</t>
  </si>
  <si>
    <t>с. Бижбуляк, ул. Центральная, д.65</t>
  </si>
  <si>
    <t>с. Сухоречка, ул. Центральная, д.44</t>
  </si>
  <si>
    <t>г. Бирск, ул. Комарова, д.46</t>
  </si>
  <si>
    <t>г. Бирск, ул. Корочкина, д.1</t>
  </si>
  <si>
    <t>г. Бирск, ул. Пролетарская, д.103</t>
  </si>
  <si>
    <t>г. Бирск, ул. Пролетарская, д.120</t>
  </si>
  <si>
    <t>г. Бирск, ул. Пролетарская, д.138</t>
  </si>
  <si>
    <t>г. Бирск, ул. Революционная, д.40</t>
  </si>
  <si>
    <t>г. Бирск, ул. Советская, д.40а</t>
  </si>
  <si>
    <t>г. Бирск, ул. Фрунзе, д.25а</t>
  </si>
  <si>
    <t>с. Осиновка, ул. Овчинникова, д.1</t>
  </si>
  <si>
    <t>с. Осиновка, ул. Овчинникова, д.13</t>
  </si>
  <si>
    <t>с. Калинники, ул. Центральная, д.10</t>
  </si>
  <si>
    <t>с. Старобурново, ул. Мира, д.15</t>
  </si>
  <si>
    <t>с. Мирный, ул. Ленина, д.8</t>
  </si>
  <si>
    <t>г. Благовещенск, ул. Расковой, д.53 корп.1</t>
  </si>
  <si>
    <t>г. Благовещенск, ул. Расковой, д.57</t>
  </si>
  <si>
    <t>г. Благовещенск, ул. Социалистическая, д.6 корп.3</t>
  </si>
  <si>
    <t>г. Благовещенск, ул. Седова, д.113</t>
  </si>
  <si>
    <t>г. Благовещенск, ул. Трудовая, д.21</t>
  </si>
  <si>
    <t>г. Благовещенск, ул. Трудовая, д.8</t>
  </si>
  <si>
    <t>г. Благовещенск, ул. Чехова, д.12</t>
  </si>
  <si>
    <t>г. Благовещенск, ул. Чехова, д.5</t>
  </si>
  <si>
    <t>г. Благовещенск, ул. Худайбердина, д.18</t>
  </si>
  <si>
    <t>г. Благовещенск, ул. Щорса, д.9</t>
  </si>
  <si>
    <t>г. Благовещенск, ул. Щорса, д.11</t>
  </si>
  <si>
    <t>с. Ильино-Поляна, ул. Мира, д.14</t>
  </si>
  <si>
    <t>с. Ильино-Поляна, ул. Юбилейная, д.3</t>
  </si>
  <si>
    <t>с. Ильино-Поляна, ул. Юбилейная, д.5</t>
  </si>
  <si>
    <t>с. Ильино-Поляна, ул. Юбилейная, д.7</t>
  </si>
  <si>
    <t>с. Ильино-Поляна, ул. Юбилейная, д.9</t>
  </si>
  <si>
    <t>с. Буздяк, ул. Кирова, д.20</t>
  </si>
  <si>
    <t>с. Буздяк, ул. Вокзальная, д.8а</t>
  </si>
  <si>
    <t>с. Буздяк, ул. Ленина, д.8</t>
  </si>
  <si>
    <t>с. Буздяк, ул. Садовая, д.2 корп.1</t>
  </si>
  <si>
    <t>с. Буздяк, ул. Садовая, д.2 корп.2а</t>
  </si>
  <si>
    <t>с. Бураево, ул. Ленина, д.10 корп.1</t>
  </si>
  <si>
    <t>с. Бураево, ул. Строителей, д.10 корп.1</t>
  </si>
  <si>
    <t>с. Бураево, ул. Строителей, д.10 корп.2</t>
  </si>
  <si>
    <t>с. Бураево, ул. Энергетиков, д.2</t>
  </si>
  <si>
    <t>г. Давлеканово, пер. Каранский, д.42 корп.2</t>
  </si>
  <si>
    <t>г. Давлеканово, ул. Донская, д.16</t>
  </si>
  <si>
    <t>с. Месягутово, пер. Октябрьский, д.8 корп.1</t>
  </si>
  <si>
    <t>с. Месягутово, пер. Октябрьский, д.23</t>
  </si>
  <si>
    <t>с. Месягутово, ул. Октябрьская, д.15</t>
  </si>
  <si>
    <t>г. Дюртюли, ул. Василия Горшкова, д.19</t>
  </si>
  <si>
    <t>г. Дюртюли, ул. Первомайская, д.16</t>
  </si>
  <si>
    <t>с. Семилетка, ул. Коммунистическая, д.5</t>
  </si>
  <si>
    <t>с. им 8 Марта, ул. Школьная, д.3</t>
  </si>
  <si>
    <t>с. Спартак, ул. Комсомольская, д.4</t>
  </si>
  <si>
    <t>с. Алаторка, ул. ДРСУ-1, д.1</t>
  </si>
  <si>
    <t>с. Кудеевский, ул. Победы, д.7</t>
  </si>
  <si>
    <t>с. Иглино, пер. Почтовый, д.5</t>
  </si>
  <si>
    <t>с. Иглино, ул. Калинина, д.35</t>
  </si>
  <si>
    <t>с. Верхнеяркеево, ул. 50 лет Октября, д.10</t>
  </si>
  <si>
    <t>с. Верхнеяркеево, ул. Советская, д.14</t>
  </si>
  <si>
    <t>с. Верхнеяркеево, ул. Советская, д.29</t>
  </si>
  <si>
    <t>с. Краснохолмский, ул. Губкина, д.5</t>
  </si>
  <si>
    <t>с. Кутерем, ул. Нефтяников, д.19</t>
  </si>
  <si>
    <t>с. Куяново, ул. Лесная, д.16</t>
  </si>
  <si>
    <t>с. Николо-Березовка, ул. Камская, д.3</t>
  </si>
  <si>
    <t>с. Николо-Березовка, ул. Строителей, д.35</t>
  </si>
  <si>
    <t>с. Кушнаренково, ул. Октябрьская, д.28</t>
  </si>
  <si>
    <t>с. Кушнаренково, ул. Октябрьская, д.34</t>
  </si>
  <si>
    <t>с. Кушнаренково, ул. Октябрьская, д.75</t>
  </si>
  <si>
    <t>с. Большеустьикинское, ул. Строительная, д.2</t>
  </si>
  <si>
    <t>с. Большеустьикинское, ул. Трактовая, д.13</t>
  </si>
  <si>
    <t>с. Мишкино, ул. Мира, д.24</t>
  </si>
  <si>
    <t>с. Киргиз-Мияки, ул. Шоссейная, д.16</t>
  </si>
  <si>
    <t>с. Киргиз-Мияки, ул. Шоссейная, д.35</t>
  </si>
  <si>
    <t>с. Верхние Татышлы, ул. Ленина, д.83</t>
  </si>
  <si>
    <t>с. Верхние Татышлы, ул. Ленина, д.99</t>
  </si>
  <si>
    <t>г. Туймазы, ул. Комарова, д.31</t>
  </si>
  <si>
    <t>г. Туймазы, ул. Лесовода Морозова, д.7</t>
  </si>
  <si>
    <t>г. Туймазы, ул. Чапаева, д.22а</t>
  </si>
  <si>
    <t>д. Алексеевка, с.п. Алексеевский, ул. Интернациональная, д.52</t>
  </si>
  <si>
    <t>д. Алексеевка, с.п. Алексеевский, ул. Интернациональная, д.54</t>
  </si>
  <si>
    <t>д. Алексеевка, с.п. Алексеевский, ул. Центральная, д.65</t>
  </si>
  <si>
    <t>с. Михайловка, с.п. Михайловский, ул. Ленина, д.22</t>
  </si>
  <si>
    <t>с. Михайловка, с.п. Михайловский, ул. Школьная, д.5</t>
  </si>
  <si>
    <t>с. Старокалмашево, ул. Нефтяников, д.7</t>
  </si>
  <si>
    <t>рп Чишмы, пр-кт Дружбы, д.2</t>
  </si>
  <si>
    <t>рп Чишмы, ул. Кирова, д.7</t>
  </si>
  <si>
    <t>рп Чишмы, ул. Трактовая, д.17</t>
  </si>
  <si>
    <t>рп Чишмы, ул. Чернышевского, д.5</t>
  </si>
  <si>
    <t>с. Чишмы, ул. Колхозная, д.20а</t>
  </si>
  <si>
    <t>г. Янаул, ул. Юбилейная, д.11</t>
  </si>
  <si>
    <t>г. Кумертау, ул. Брикетная, д.8</t>
  </si>
  <si>
    <t>г. Кумертау, ул. Гафури, д.7</t>
  </si>
  <si>
    <t>г. Кумертау, ул. Дзержинского, д.6а</t>
  </si>
  <si>
    <t>г. Кумертау, ул. Логовая, д.38а</t>
  </si>
  <si>
    <t>г. Кумертау, ул. Окружная, д.10</t>
  </si>
  <si>
    <t>г. Кумертау, ул. Окружная, д.11</t>
  </si>
  <si>
    <t>г. Салават, б-р Юлаева, д.16а</t>
  </si>
  <si>
    <t>г. Салават, ул. Гагарина, д.6</t>
  </si>
  <si>
    <t>г. Салават, ул. Дзержинского, д.7</t>
  </si>
  <si>
    <t>г. Салават, б-р Космонавтов, д.34</t>
  </si>
  <si>
    <t>г. Салават, ул. Ленина, д.18</t>
  </si>
  <si>
    <t>г. Салават, ул. Ленина, д.1а</t>
  </si>
  <si>
    <t>г. Салават, ул. Островского, д.86</t>
  </si>
  <si>
    <t>г. Салават, ул. Островского, д.88</t>
  </si>
  <si>
    <t>г. Салават, ул. Первомайская, д.33а</t>
  </si>
  <si>
    <t>г. Стерлитамак, пр-кт Ленина, д.73а</t>
  </si>
  <si>
    <t>г. Стерлитамак, пр-кт Октября, д.71</t>
  </si>
  <si>
    <t>г. Стерлитамак, ул. Артема, д.135</t>
  </si>
  <si>
    <t>г. Стерлитамак, ул. Вокзальная, д.11</t>
  </si>
  <si>
    <t>г. Стерлитамак, ул. Дружбы, д.19</t>
  </si>
  <si>
    <t>г. Стерлитамак, ул. Карла Маркса, д.149б</t>
  </si>
  <si>
    <t>г. Стерлитамак, ул. Коммунистическая, д.24</t>
  </si>
  <si>
    <t>г. Стерлитамак, ул. Коммунистическая, д.35</t>
  </si>
  <si>
    <t>г. Стерлитамак, ул. Коммунистическая, д.43</t>
  </si>
  <si>
    <t>г. Стерлитамак, ул. Коммунистическая, д.76</t>
  </si>
  <si>
    <t>г. Стерлитамак, ул. Сазонова, д.10</t>
  </si>
  <si>
    <t>г. Стерлитамак, ул. Суханова, д.14</t>
  </si>
  <si>
    <t>г. Стерлитамак, ул. Фестивальная, д.11</t>
  </si>
  <si>
    <t>г. Стерлитамак, ул. Худайбердина, д.196б</t>
  </si>
  <si>
    <t>г. Стерлитамак, ул. Черноморская, д.14</t>
  </si>
  <si>
    <t>г. Стерлитамак, ул. Черноморская, д.8</t>
  </si>
  <si>
    <t>г. Стерлитамак, ул. Шаймуратова, д.17</t>
  </si>
  <si>
    <t>г. Стерлитамак, ул. Шафиева, д.21</t>
  </si>
  <si>
    <t>г. Межгорье, ул. Комсомольская, д.19</t>
  </si>
  <si>
    <t>г. Межгорье, ул. Садовая, д.3 корп.1</t>
  </si>
  <si>
    <t>г. Межгорье, ул. Ленина, д.10</t>
  </si>
  <si>
    <t>с. Толбазы, ул. Первомайская, д.19</t>
  </si>
  <si>
    <t>г. Белорецк, ул. Тюленина, д.40б</t>
  </si>
  <si>
    <t>с. Красноусольский, ул. Пугачева, д.45</t>
  </si>
  <si>
    <t>д. Кабаково, ул. Строителей, д.3</t>
  </si>
  <si>
    <t>с. Прибельский, ул. С.Юлаева, д.14</t>
  </si>
  <si>
    <t>г. Мелеуз, ул. Ленина, д.7а</t>
  </si>
  <si>
    <t>г. Мелеуз, ул. Московская, д.7</t>
  </si>
  <si>
    <t>г. Мелеуз, ул. Первомайская, д.20</t>
  </si>
  <si>
    <t>г. Мелеуз, ул. Смоленская, д.33</t>
  </si>
  <si>
    <t>г. Мелеуз, ул. Южная, д.1а</t>
  </si>
  <si>
    <t>г. Учалы, ул. Ленинского Комсомола, д.12а</t>
  </si>
  <si>
    <t>с. Учалы, ул. Железнодорожная, д.1</t>
  </si>
  <si>
    <t>с. Подольск, ул. Юбилейная, д.3</t>
  </si>
  <si>
    <t>г. Кумертау, ул. Искужина, д.1</t>
  </si>
  <si>
    <t>г. Кумертау, ул. Худайбердина, д.3</t>
  </si>
  <si>
    <t>увеличение СМР</t>
  </si>
  <si>
    <t>увеличение СМР замена фасада на крышу</t>
  </si>
  <si>
    <t>Добавлен вид Лифты</t>
  </si>
  <si>
    <t>г. Стерлитамак, ул. Вокзальная, д.25</t>
  </si>
  <si>
    <t>г. Стерлитамак, ул. Дружбы, д.17а</t>
  </si>
  <si>
    <t>г. Стерлитамак, ул. Лесная, д.61а</t>
  </si>
  <si>
    <t xml:space="preserve">каменные, кирпичные
</t>
  </si>
  <si>
    <t>г. Стерлитамак, ул. Волочаевская, д.18а</t>
  </si>
  <si>
    <t>г. Мелеуз, мкр. 32-й, д.9</t>
  </si>
  <si>
    <t>г. Мелеуз, ул. Смоленская, д.39</t>
  </si>
  <si>
    <t>с. Старосубхангулово, ул. Ленина, д.51</t>
  </si>
  <si>
    <t>уменьшили ПСД</t>
  </si>
  <si>
    <t>уточнить вид и ст-ть работ????</t>
  </si>
  <si>
    <t>г. Белорецк, ул. 50 лет Октября, д.48 корп.1</t>
  </si>
  <si>
    <t>г. Белорецк, ул. Карла Маркса, д.66</t>
  </si>
  <si>
    <t>ремонт фундамент (усиление)</t>
  </si>
  <si>
    <t>г. Белорецк, ул. Ленина, д.74</t>
  </si>
  <si>
    <t>добавили 2 лифта</t>
  </si>
  <si>
    <t>г. Нефтекамск, ул. Строителей, д.63</t>
  </si>
  <si>
    <t>п. Энергетик, ул. Высоковольтная, д.9</t>
  </si>
  <si>
    <t>г. Нефтекамск, ул. Дзержинского, д.1б</t>
  </si>
  <si>
    <t>с. Амзя, ул. Азина, д.1</t>
  </si>
  <si>
    <t>г. Нефтекамск, пр-кт Юбилейный, д.7</t>
  </si>
  <si>
    <t>замена вида КР на утепл фасада</t>
  </si>
  <si>
    <t>г. Октябрьский, ул. Губкина, д.29</t>
  </si>
  <si>
    <t>г. Октябрьский, ул. Губкина, д.31</t>
  </si>
  <si>
    <t>г. Бирск, ул. Интернациональная, д.120</t>
  </si>
  <si>
    <t>г. Бирск, ул. Комарова, д.38</t>
  </si>
  <si>
    <t>ПСД-2015г. Есть</t>
  </si>
  <si>
    <t>с. Андреевка, ул. Заводская, д.2</t>
  </si>
  <si>
    <t>рп Чишмы, ул. Мира, д.11</t>
  </si>
  <si>
    <t>г. Агидель, ул. Мира, д.8</t>
  </si>
  <si>
    <t>г. Благовещенск, ул. Братьев Першиных, д.7 корп.2</t>
  </si>
  <si>
    <t>г. Нефтекамск, ул. Победы, д.7</t>
  </si>
  <si>
    <t>г. Нефтекамск, ул. Ленина, д.66а</t>
  </si>
  <si>
    <t>г. Нефтекамск, пр-кт Юбилейный, д.12</t>
  </si>
  <si>
    <t>г. Нефтекамск, ул. Карла Маркса, д.16</t>
  </si>
  <si>
    <t xml:space="preserve">г. Нефтекамск, ш. Березовское, д.10г </t>
  </si>
  <si>
    <t>г. Нефтекамск, ул. Ленина, д.32</t>
  </si>
  <si>
    <t>г. Октябрьский, ул. Новоселов, д.12</t>
  </si>
  <si>
    <t>г. Октябрьский, ул. Новоселов, д.14</t>
  </si>
  <si>
    <t>г. Октябрьский, ул. Кортунова, д.4</t>
  </si>
  <si>
    <t>г. Октябрьский, ул. Садовое Кольцо, д.49</t>
  </si>
  <si>
    <t>с. Верхнеяркеево, ул. Коммунистическая, д.32</t>
  </si>
  <si>
    <t>г. Туймазы, ул. Комарова, д.29</t>
  </si>
  <si>
    <t>г. Агидель, ул. Первых Строителей, д.5а</t>
  </si>
  <si>
    <t>ремонт крыши (мягкая)</t>
  </si>
  <si>
    <t>г. Агидель, ул. Мира, д.12</t>
  </si>
  <si>
    <t>г. Агидель, ул. Академика Курчатова, д.16</t>
  </si>
  <si>
    <t>г. Нефтекамск, пр-кт Юбилейный, д.13в</t>
  </si>
  <si>
    <t>г. Нефтекамск, ул. Ленина, д.50</t>
  </si>
  <si>
    <t>г. Нефтекамск, ул. Ленина, д.34</t>
  </si>
  <si>
    <t>г. Нефтекамск, ул. Социалистическая, д.79а</t>
  </si>
  <si>
    <t>г. Нефтекамск, ул. Ленина, д.78</t>
  </si>
  <si>
    <t>замена лифтового оборудования, ремонт крыши</t>
  </si>
  <si>
    <t>с. Кандры, ул. Чапаева, д.61</t>
  </si>
  <si>
    <t xml:space="preserve">мягкая </t>
  </si>
  <si>
    <t>рп Чишмы, ул. Мира, д.14</t>
  </si>
  <si>
    <t>г. Агидель, ул. Молодежная, д.2а</t>
  </si>
  <si>
    <t>с. Шафраново, ул. Курортная, д.5б</t>
  </si>
  <si>
    <t>г. Давлеканово, ул. Карла Маркса, д.137</t>
  </si>
  <si>
    <t>г. Давлеканово, ул. Каранская, д.5</t>
  </si>
  <si>
    <t>с. Верхнеяркеево, ул. Советская, д.12</t>
  </si>
  <si>
    <t>с. Верхнеяркеево, ул. 50 лет Октября, д.6</t>
  </si>
  <si>
    <t>Муниципальный район Караидельский  район Республики Башкортостан</t>
  </si>
  <si>
    <t>с. Караидель, ул. Горького, д.9</t>
  </si>
  <si>
    <t>с. Шаран, ул. Гагарина, д.6</t>
  </si>
  <si>
    <t>с. Шаран, ул. Гагарина, д.8</t>
  </si>
  <si>
    <t>акт</t>
  </si>
  <si>
    <t>г. Агидель, ул. Первых Строителей, д.5 (7,8, 9 подъезды)</t>
  </si>
  <si>
    <t>г. Октябрьский, мкр. 24-й, д.4</t>
  </si>
  <si>
    <t>г. Белебей, ул. Войкова, д.105</t>
  </si>
  <si>
    <t>с. Анновка, ул. Советская, д.17</t>
  </si>
  <si>
    <t>г. Белебей, ул. им В.И.Ленина, д.38</t>
  </si>
  <si>
    <t>г. Белебей, ул. им В.И.Ленина, д.40</t>
  </si>
  <si>
    <t>г. Дюртюли, ул. Назара Наджми, д.25</t>
  </si>
  <si>
    <t>г. Дюртюли, ул. Назара Наджми, д.21</t>
  </si>
  <si>
    <t xml:space="preserve">рулонный </t>
  </si>
  <si>
    <t>г. Туймазы, ул. Южная, д.52а</t>
  </si>
  <si>
    <t>г. Туймазы, ул. Чапаева, д.6а</t>
  </si>
  <si>
    <t>г. Туймазы, ул. Комарова, д.23</t>
  </si>
  <si>
    <t>с. Субханкулово, ул. Черняева, д.5</t>
  </si>
  <si>
    <t>с. санаторий Юматово, с.п. Юматовский, ул. Кольцевая, д.9</t>
  </si>
  <si>
    <t>с. Чекмагуш, ул. Мира, д.23а</t>
  </si>
  <si>
    <t>ремонт электроснабжения (общежитие)</t>
  </si>
  <si>
    <t>г. Янаул, ул. К.Маркса, д.12</t>
  </si>
  <si>
    <t>г. Янаул, 52-й кв-л, д.10</t>
  </si>
  <si>
    <t>г. Благовещенск, ул. Комарова, д.23 корп.1</t>
  </si>
  <si>
    <t>г. Нефтекамск,  ул.Ленина д.7а</t>
  </si>
  <si>
    <t>г. Бирск, ул. Коммунистическая, д.72</t>
  </si>
  <si>
    <t>г. Благовещенск, ул. Седова, д.116</t>
  </si>
  <si>
    <t>с. Чекмагуш, ул. Мира, д.10</t>
  </si>
  <si>
    <t>с. Чекмагуш, ул. Гагарина, д.9</t>
  </si>
  <si>
    <t>г. Кумертау, ул. Энергетиков, д.13</t>
  </si>
  <si>
    <t>с. Маячный, ул. Ленина, д.9</t>
  </si>
  <si>
    <t xml:space="preserve">г. Сибай, пос.Туяляс, ул. Гаражная, д.2 </t>
  </si>
  <si>
    <t>шл/блочный</t>
  </si>
  <si>
    <t>г. Сибай, ул. Островского, д.2</t>
  </si>
  <si>
    <t>1968/кирпич</t>
  </si>
  <si>
    <t>скатная</t>
  </si>
  <si>
    <t>1971 / кирпич</t>
  </si>
  <si>
    <t>г. Белорецк, ул. Челябинская, д.7</t>
  </si>
  <si>
    <t>г. Белорецк, ул. Косоротова, д.10</t>
  </si>
  <si>
    <t xml:space="preserve">с. Железнодорожный, ул. Смежная д.3 </t>
  </si>
  <si>
    <t>увелечение стоимости</t>
  </si>
  <si>
    <t>Замена видов ремонта ВВ+ эл на кр+фасад</t>
  </si>
  <si>
    <t>добавлен вид ремонт КР</t>
  </si>
  <si>
    <t>увеличение ст-ти (грузоподъемность)</t>
  </si>
  <si>
    <t>добавлен вид ремонт переуст кр</t>
  </si>
  <si>
    <t>замена вида ремонт ВВ на лифт</t>
  </si>
  <si>
    <t>увелич ст-ти из-за грузопод</t>
  </si>
  <si>
    <t>увеличен ст-ти работ</t>
  </si>
  <si>
    <t>замена вида ВВ на элк</t>
  </si>
  <si>
    <t>добавлен вид ремонт лифт</t>
  </si>
  <si>
    <t xml:space="preserve">увеличение ст-ти </t>
  </si>
  <si>
    <t>увеличение ст-ти</t>
  </si>
  <si>
    <t>добавлен вид ремонта ВВ</t>
  </si>
  <si>
    <t>добавлен вид ремонта кр</t>
  </si>
  <si>
    <t>убран вид ремонт КР</t>
  </si>
  <si>
    <t>увеличение ст-ти СМР и ссметы (пристрой)</t>
  </si>
  <si>
    <t>замена вида ремонта ВВ на КР</t>
  </si>
  <si>
    <t xml:space="preserve">добавлен вид ремонта </t>
  </si>
  <si>
    <t>добавлен вид ремонта</t>
  </si>
  <si>
    <t>г. Уфа, ул. Степана Халтурина, д.41</t>
  </si>
  <si>
    <t>г. Уфа, ул. Коммунистическая, д.54</t>
  </si>
  <si>
    <t>г. Уфа, ул. Блюхера, д.6 корп.2</t>
  </si>
  <si>
    <t>г. Уфа, ул. Первомайская, д.98</t>
  </si>
  <si>
    <t>г. Уфа, ул. Братьев Кадомцевых, д.15</t>
  </si>
  <si>
    <t>ремонт крыши (полная замена свесов)</t>
  </si>
  <si>
    <t>г. Уфа, ул. Дорофеева, д.3 корп.1</t>
  </si>
  <si>
    <t>блок бессер</t>
  </si>
  <si>
    <t>комбинированная</t>
  </si>
  <si>
    <t>утепление чердачного перекрытия</t>
  </si>
  <si>
    <t>сбор.щитовые</t>
  </si>
  <si>
    <t>г. Салават, б-р Матросова, д.23</t>
  </si>
  <si>
    <t>г. Салават, ул. Гагарина, д.7</t>
  </si>
  <si>
    <t>г. Салават, ул. Гафури, д.13а</t>
  </si>
  <si>
    <t>г. Салават, ул. Горького, д.16</t>
  </si>
  <si>
    <t xml:space="preserve">г. Салават, ул. Горького, д.26а </t>
  </si>
  <si>
    <t>г. Салават, ул. Горького, д.39</t>
  </si>
  <si>
    <t>г. Салават, ул. Горького, д.44</t>
  </si>
  <si>
    <t>839</t>
  </si>
  <si>
    <t>г. Салават, ул. Первомайская, д.3а</t>
  </si>
  <si>
    <t>г. Салават, ул. Первомайская, д.6а</t>
  </si>
  <si>
    <t>г. Салават, ул. Первомайская, д.7а</t>
  </si>
  <si>
    <t>г. Салават, ул. Уфимская, д.34</t>
  </si>
  <si>
    <t>г. Салават, ул. Уфимская, д.42</t>
  </si>
  <si>
    <t>г. Салават, ул. Хмельницкого, д.48а</t>
  </si>
  <si>
    <t xml:space="preserve">г. Салават, ул. Чапаева, д.18 </t>
  </si>
  <si>
    <t>г. Ишимбай, ул. Зеленая, д.8</t>
  </si>
  <si>
    <t>ремонт холодного водоснабжения и водоотведения</t>
  </si>
  <si>
    <t>г. Ишимбай, ул. Олега Кошевого, д.2а</t>
  </si>
  <si>
    <t>г. Ишимбай, ул. Пролетарская, д.36</t>
  </si>
  <si>
    <t>г. Ишимбай, ул. Северная, д.23</t>
  </si>
  <si>
    <t>г. Ишимбай, ул. Советская, д.50</t>
  </si>
  <si>
    <t>с. Петровское, ул. Ленина, д.37</t>
  </si>
  <si>
    <t>с. Петровское, ул. Ленина, д.43</t>
  </si>
  <si>
    <t>с. Петровское, ул. Механизаторов, д.60</t>
  </si>
  <si>
    <t>с. Петровское, ул. Механизаторов, д.62</t>
  </si>
  <si>
    <t>с. Петровское, ул. Трудовая, д.2</t>
  </si>
  <si>
    <t>с. Петровское, ул. Трудовая, д.6</t>
  </si>
  <si>
    <t>с. Петровское, ул. Трудовая, д.8</t>
  </si>
  <si>
    <t>с. Петровское, ул. Школьная, д.16</t>
  </si>
  <si>
    <t>г. Ишимбай, пр-кт Ленина, д.49</t>
  </si>
  <si>
    <t>г. Уфа, б-р Хадии Давлетшиной, д.17 корп.1</t>
  </si>
  <si>
    <t>г. Уфа, ул. Ферина д.26</t>
  </si>
  <si>
    <t>г. Уфа, ул. Льва Толстого, д.3</t>
  </si>
  <si>
    <t>г. Уфа, ул. Российская, д.96 корп.2</t>
  </si>
  <si>
    <t>г. Уфа, ул. Баргузинская, д.19</t>
  </si>
  <si>
    <t>г. Уфа, ул. 50 лет СССР, д.46</t>
  </si>
  <si>
    <t>г. Уфа, ул. Маршала Жукова, д.4 корп.4</t>
  </si>
  <si>
    <t>г. Уфа, ул. Маршала Жукова, д.8</t>
  </si>
  <si>
    <t>г. Уфа, ул. Калинина, д.43</t>
  </si>
  <si>
    <t>г. Уфа, ул. Бабушкина, д.17а</t>
  </si>
  <si>
    <t>г. Уфа, ул. Рабкоров, д.2 корп.4</t>
  </si>
  <si>
    <t>г. Уфа, ул. Сун-Ян-Сена, д.9</t>
  </si>
  <si>
    <t>г. Уфа, ул. Ульяновых, д.25</t>
  </si>
  <si>
    <t>г. Уфа, ул. Комсомольская, д.127</t>
  </si>
  <si>
    <t>г. Уфа, пр-кт Октября, д.54</t>
  </si>
  <si>
    <t>г. Уфа, ул. Кольцевая, д.111 корп.1</t>
  </si>
  <si>
    <t>г. Уфа, ул. Степана Халтурина, д.50</t>
  </si>
  <si>
    <t>г. Уфа, ул. Рихарда Зорге, д.34 корп.1</t>
  </si>
  <si>
    <t xml:space="preserve">г. Уфа, пр-кт Октября, д.53 </t>
  </si>
  <si>
    <t>г. Уфа, пр-кт Октября, д.16</t>
  </si>
  <si>
    <t>г. Уфа, пр-кт Октября, д.172</t>
  </si>
  <si>
    <t>г. Уфа, ул. Айская, д.70</t>
  </si>
  <si>
    <t>г. Уфа, ул. Айская, д.72</t>
  </si>
  <si>
    <t>г. Уфа, ул. Айская, д.84</t>
  </si>
  <si>
    <t>г. Уфа, ул. Акназарова, д.18</t>
  </si>
  <si>
    <t>г. Уфа, ул. Бакалинская, д.36</t>
  </si>
  <si>
    <t>г. Уфа, ул. Бессонова, д.29</t>
  </si>
  <si>
    <t>г. Уфа, ул. Бессонова, д.31</t>
  </si>
  <si>
    <t>г. Уфа, ул. Достоевского, д.60</t>
  </si>
  <si>
    <t>г. Уфа, ул. Машиностроителей, д.7</t>
  </si>
  <si>
    <t>г. Уфа, ул. Мебельная, д.1</t>
  </si>
  <si>
    <t>г. Уфа, ул. Мебельная, д.2</t>
  </si>
  <si>
    <t>г. Уфа, ул. Мебельная, д.3</t>
  </si>
  <si>
    <t>г. Уфа, ул. Мебельная, д.4</t>
  </si>
  <si>
    <t>г. Бирск, ул. Комарова, д.44а</t>
  </si>
  <si>
    <t>г. Уфа, ул. Акназарова, д.25</t>
  </si>
  <si>
    <t>с. Энергетик, ул. Высоковольтная, д.7</t>
  </si>
  <si>
    <t>с. Энергетик, ул. Высоковольтная, д.12</t>
  </si>
  <si>
    <t>г. Янаул, ул. Победы, д.79 корп.2</t>
  </si>
  <si>
    <t>с. Зилаир, ул. Голубцова, д.108</t>
  </si>
  <si>
    <t xml:space="preserve">г. Уфа, пр-кт Октября, д.103 корп.1 </t>
  </si>
  <si>
    <t>г. Уфа, пр-кт Октября, д.89 корп.4</t>
  </si>
  <si>
    <t xml:space="preserve">г. Уфа, пр-кт Октября, д.132 корп.1 </t>
  </si>
  <si>
    <t>г. Уфа, ул. Строителей, д.1Б</t>
  </si>
  <si>
    <t>г. Уфа, ул. Достоевского, д.73</t>
  </si>
  <si>
    <t>г. Уфа, ул. Шота Руставели, д 23 корп.1</t>
  </si>
  <si>
    <t>с. Дмитриевка, с.п. Дмитриевский, ул. Трактовая, д.24</t>
  </si>
  <si>
    <t>д. Улянды, ул. Вокзальная, д.3</t>
  </si>
  <si>
    <t>с. Мраково, ул. Ленина, д.1б</t>
  </si>
  <si>
    <t>с. Верхние Услы, ул. 40 лет Победы, д.5</t>
  </si>
  <si>
    <t>с. Октябрьское, ул. Мира, д.1</t>
  </si>
  <si>
    <t>с. Рощинский, ул. Майская, д.9</t>
  </si>
  <si>
    <t xml:space="preserve">г. Уфа, ул. Ахметова, д.291 </t>
  </si>
  <si>
    <t xml:space="preserve">г. Уфа, ул. Интернациональная, д.149 </t>
  </si>
  <si>
    <t xml:space="preserve">г. Уфа, ул. Интернациональная, д.155 </t>
  </si>
  <si>
    <t>г. Уфа, ул. Октябрьской революции, д.40</t>
  </si>
  <si>
    <t>г. Уфа, ул. Георгия Мушникова, д.2</t>
  </si>
  <si>
    <t>г. Уфа, ул. Мелеузовская, д.15</t>
  </si>
  <si>
    <t>г. Уфа, ул. Калинина, д.82А</t>
  </si>
  <si>
    <t>г. Уфа, ул. Даута Юлтыя, д.4 корп.1</t>
  </si>
  <si>
    <t>г. Уфа, ул. Степана Халтурина, д.51</t>
  </si>
  <si>
    <t>г. Уфа, ул.Минигали Губайдуллина, д.23 корп.1</t>
  </si>
  <si>
    <t>г. Уфа, ул. 50-летия Октября, д.12</t>
  </si>
  <si>
    <t>рулонн</t>
  </si>
  <si>
    <t>проект 2016 г. есть</t>
  </si>
  <si>
    <t>шл.блочные</t>
  </si>
  <si>
    <t>ремонт фасада с утеплением торцов</t>
  </si>
  <si>
    <t>г. Уфа, ул. Революционная, д.92</t>
  </si>
  <si>
    <t>8/10</t>
  </si>
  <si>
    <t>ремонт фасада с заменой нижних венцов и фундаментов</t>
  </si>
  <si>
    <t>ремонт фасада с со вскрытием и  заполнением межпанельных швов</t>
  </si>
  <si>
    <t>с. Краснохолмский, ул. Стадионная, д.6</t>
  </si>
  <si>
    <t>6765 / 420</t>
  </si>
  <si>
    <t>г. Уфа, пр-кт Октября, д.117</t>
  </si>
  <si>
    <t>г. Уфа, пр-кт Октября, д.21 корп.3</t>
  </si>
  <si>
    <t>г. Уфа, ул. Братьев Кадомцевых д.10</t>
  </si>
  <si>
    <t>г. Уфа, ул. Свободы, д.36</t>
  </si>
  <si>
    <t>г. Уфа, ул. Правды, д.18 корп.2</t>
  </si>
  <si>
    <t>г. Уфа, ул. Менделеева, д.11 корп.1</t>
  </si>
  <si>
    <t>г. Уфа, ул. Уфимское шоссе, д.8</t>
  </si>
  <si>
    <t>г. Уфа, ул. Чудинова, д.2</t>
  </si>
  <si>
    <t>г. Уфа, пр-кт Октября, д.142 корп.1</t>
  </si>
  <si>
    <t>г. Уфа, ул. Российская, д.43 корп.14</t>
  </si>
  <si>
    <t>г. Уфа, пр-кт Октября, д.65 корп.3</t>
  </si>
  <si>
    <t xml:space="preserve">г. Уфа, ул. Сенная, д.3а </t>
  </si>
  <si>
    <t>г. Уфа, ул. Карла Маркса, д.83</t>
  </si>
  <si>
    <t>г. Уфа, ул. Рихарда Зорге, д.47 корп.1</t>
  </si>
  <si>
    <t>г. Уфа, ул. Рихарда Зорге, д.43 корп.1</t>
  </si>
  <si>
    <t>г. Уфа, ул. Богдана Хмельницкого, д.58</t>
  </si>
  <si>
    <t>г. Уфа, ул. Мечетлинская, д.2а</t>
  </si>
  <si>
    <t>г. Уфа, ул. Богдана Хмельницкого, д.112</t>
  </si>
  <si>
    <t xml:space="preserve">г. Уфа, ул. Ахметова, д.322 корп.2 </t>
  </si>
  <si>
    <t>г. Уфа, ул. Первомайская, д.6</t>
  </si>
  <si>
    <t>г. Уфа, ул. Ахметова, д.275 корп.1</t>
  </si>
  <si>
    <t>г. Уфа, ул. Антонова, д.4</t>
  </si>
  <si>
    <t>г. Уфа, ул. Карла Маркса, д.52</t>
  </si>
  <si>
    <t>г. Уфа, ул. Рихарда Зорге, д.44 корп.2</t>
  </si>
  <si>
    <t>г. Уфа, ул. Орджоникидзе, д.8</t>
  </si>
  <si>
    <t xml:space="preserve">г. Уфа, ул. Транспортная, д.34 </t>
  </si>
  <si>
    <t>г. Уфа, пр-кт Октября, д.92 корп.1</t>
  </si>
  <si>
    <t>г. Уфа, ул. Рабкоров, д.2 корп.1</t>
  </si>
  <si>
    <t>г. Уфа, ул. Даута Юлтыя, д.7</t>
  </si>
  <si>
    <t xml:space="preserve">г. Уфа, ул. Калинина, д.65 </t>
  </si>
  <si>
    <t>г. Уфа, ул. Калинина, д.39</t>
  </si>
  <si>
    <t>г. Уфа, ул. Пионерская, д.16 корп.3</t>
  </si>
  <si>
    <t>г. Уфа, ул. Степана Кувыкина, д.39</t>
  </si>
  <si>
    <t>г. Уфа, ул. Рабкоров, д.14</t>
  </si>
  <si>
    <t>г. Уфа, ул. Рабкоров, д.16</t>
  </si>
  <si>
    <t>г. Уфа, ул. Зайнуллы Расулева, д.8</t>
  </si>
  <si>
    <t xml:space="preserve">г. Уфа, ул. Гафури, д.19 корп.1 </t>
  </si>
  <si>
    <t>г. Уфа, ул. Гафури, д.29</t>
  </si>
  <si>
    <t>г. Уфа, ул. Первомайская, д.2А</t>
  </si>
  <si>
    <t>г. Уфа, ул. Богдана Хмельницкого, д.131</t>
  </si>
  <si>
    <t>г. Уфа, ул. Комарова, д.12</t>
  </si>
  <si>
    <t>г. Уфа, ул. Богдана Хмельницкого, д.54</t>
  </si>
  <si>
    <t>г. Уфа, пр-кт Салавата Юлаева, д.1</t>
  </si>
  <si>
    <t>г. Уфа, ул. Салавата, д.19 корп.1</t>
  </si>
  <si>
    <t>г. Уфа, ул. Юрия Гагарина, д.37 корп.2</t>
  </si>
  <si>
    <t xml:space="preserve">г. Уфа, ул. Гоголя, д.55 корп.1 </t>
  </si>
  <si>
    <t>г. Уфа, ул. Репина, д.11</t>
  </si>
  <si>
    <t>г. Уфа, ул. Александра Невского, д.33</t>
  </si>
  <si>
    <t>г. Уфа, ул. Юрия Гагарина, д.14</t>
  </si>
  <si>
    <t>г. Уфа, ул. Борисоглебская, д.5</t>
  </si>
  <si>
    <t>г. Уфа, ул. Первомайская, д.58 корп.1</t>
  </si>
  <si>
    <t>ремонт крыши (с шифера на профиль с утеплением)</t>
  </si>
  <si>
    <t>ремонт крыши (с металла на профнастил)</t>
  </si>
  <si>
    <t>ремонт фасада с утепление (дворовая часть)</t>
  </si>
  <si>
    <t>ремонт фасада (оштукатуривание, утепление швов и покраска)</t>
  </si>
  <si>
    <t>ремонт крыши (с шифера на профнастил без утепления)</t>
  </si>
  <si>
    <t>ремонт фасада с утеплением торцов, штукатурка по сетке фасад</t>
  </si>
  <si>
    <t xml:space="preserve">Городскоой округ город Сибай Республики Башкортостан </t>
  </si>
  <si>
    <t>ремонт лифтового оборудования  (замена лебедки)</t>
  </si>
  <si>
    <t>12</t>
  </si>
  <si>
    <t>г. Уфа, пр-кт Октября, д.45</t>
  </si>
  <si>
    <t>г. Уфа, ул. Степана Злобина, д.20 корп.1</t>
  </si>
  <si>
    <t>Утвержден</t>
  </si>
  <si>
    <t xml:space="preserve">Приказом Министерства жилищно-коммунального хозяйства Республики Башкортостан </t>
  </si>
  <si>
    <t>с. Ермолаево, ул. Зеленая, д.47</t>
  </si>
  <si>
    <t>с. Нижнетроицкий, ул. Ленина, д.61</t>
  </si>
  <si>
    <t>с. Верхнеяркеево, ул. Коммунистическая, д.11</t>
  </si>
  <si>
    <t>с. Верхнеяркеево, ул. Коммунистическая, д.36</t>
  </si>
  <si>
    <t>г. Стерлитамак, пр-кт Ленина, д.30а</t>
  </si>
  <si>
    <t>г. Стерлитамак, ул. Шафиева, д.25</t>
  </si>
  <si>
    <t>г. Стерлитамак, ул. Коммунистическая, д.34</t>
  </si>
  <si>
    <t>г. Стерлитамак, ул. Коммунистическая, д.32</t>
  </si>
  <si>
    <t>г. Стерлитамак, ул. Суханова, д.24</t>
  </si>
  <si>
    <t>г. Стерлитамак, ул. Артема, д.117</t>
  </si>
  <si>
    <t>г. Стерлитамак, ул. Артема, д.113</t>
  </si>
  <si>
    <t>г. Стерлитамак, ул. Артема, д.71</t>
  </si>
  <si>
    <t>г. Стерлитамак, ул. 7 ноября, д.103</t>
  </si>
  <si>
    <t>г. Стерлитамак, ул. Худайбердина, д.87</t>
  </si>
  <si>
    <t>г. Стерлитамак, ул. Худайбердина, д.89</t>
  </si>
  <si>
    <t>г. Стерлитамак, ул. Худайбердина, д.91</t>
  </si>
  <si>
    <t>г. Стерлитамак, ул .Заводская, д.25</t>
  </si>
  <si>
    <t>г. Стерлитамак, ул .Тукаева, д.15</t>
  </si>
  <si>
    <t>г. Белорецк, ул. Карла Маркса, д.53</t>
  </si>
  <si>
    <t>Обследование, составление дефектной ведомости</t>
  </si>
  <si>
    <t>г. Туймазы, пер. Луначарского, д.2</t>
  </si>
  <si>
    <t>г. Туймазы, пер. Первомайский, д.25</t>
  </si>
  <si>
    <t>д. Алексеевка, с.п. Алексеевский, ул. Центральная, д.58</t>
  </si>
  <si>
    <t>д. Алексеевка, с.п. Алексеевский, ул. Центральная, д.60</t>
  </si>
  <si>
    <t>ремонт водоснабжения, водоотведения (циркуляция в/сн)</t>
  </si>
  <si>
    <t>ремонт водоснабжения, водоотведения с установкой УУ</t>
  </si>
  <si>
    <t>г. Нефтекамск, ул. Социалистическая, д.66б</t>
  </si>
  <si>
    <t>смету исключили через доп.согласшение</t>
  </si>
  <si>
    <t>исключили через доп соглашение</t>
  </si>
  <si>
    <t>г. Октябрьский, мкр. 34-й, д.12 (корп.1 и корп.3)</t>
  </si>
  <si>
    <t>г. Агидель, ул. Молодежная, д.4, (подъезд 1,2,3,4,5,6,7,8)</t>
  </si>
  <si>
    <t>г. Нефтекамск, ул. Карла Маркса, д.6а</t>
  </si>
  <si>
    <t>с. Амзя, ул. Пионерская, д.6</t>
  </si>
  <si>
    <t>с. Амзя, ул. Лесохимическая, д.1а</t>
  </si>
  <si>
    <t>г. Нефтекамск, ул. Социалистическая, д.64б</t>
  </si>
  <si>
    <t>г. Нефтекамск, ул. Ленина, д.52б</t>
  </si>
  <si>
    <t>г. Октябрьский, мкр. 24-й, д.10,               п.1, п.2</t>
  </si>
  <si>
    <t>г. Октябрьский, мкр. 24-й, д.11,                     п.1, п.2</t>
  </si>
  <si>
    <t>г. Октябрьский, мкр. 24-й, д.27,           п.3, п.4</t>
  </si>
  <si>
    <t>г. Октябрьский, мкр. 34-й, д.19,            п1, п.2, п.3</t>
  </si>
  <si>
    <t>г. Октябрьский, мкр. 35-й, д.29,           п.3, п.4</t>
  </si>
  <si>
    <t>г. Октябрьский, мкр. 35-й, д.30б,              п.1, п.2</t>
  </si>
  <si>
    <t>г. Октябрьский, мкр. 35-й, д.37,               п.1,п.2, п.3, п.4</t>
  </si>
  <si>
    <t>г. Октябрьский, пр-кт Ленина, д.51,                п.1, п.2</t>
  </si>
  <si>
    <t>г. Октябрьский, пр-кт Ленина, д.55,                     п.1, п.2</t>
  </si>
  <si>
    <t>г. Октябрьский, пр-кт Ленина, д.81,            п.1, п.2, п.3</t>
  </si>
  <si>
    <t>г. Октябрьский, ул. Горького, д.15,                     п.3, п. 5</t>
  </si>
  <si>
    <t>с. Бакалы, ул. Октябрьская, д.15</t>
  </si>
  <si>
    <t>ремонт крыши         (1,2 подъезды)</t>
  </si>
  <si>
    <t>г. Благовещенск, ул. Комарова, д.17, (1п. 2 п.)</t>
  </si>
  <si>
    <t>г. Дюртюли, ул. Ленина, д.10</t>
  </si>
  <si>
    <t>г. Дюртюли, ул. Ленина, д.18</t>
  </si>
  <si>
    <t>г. Дюртюли, ул. Садовая, д.13</t>
  </si>
  <si>
    <t>с. Исмаилово, ул. 50 лет Волготанкер, д.2</t>
  </si>
  <si>
    <t>с. Москово, ул. Молодежная, д.7</t>
  </si>
  <si>
    <t>с. Суккулово, ул. Молодежная, д.1</t>
  </si>
  <si>
    <t>с. Кандры, ул. Чапаева, д.65</t>
  </si>
  <si>
    <t>г. Туймазы, ул. Мичурина, д.7а</t>
  </si>
  <si>
    <t>7/9</t>
  </si>
  <si>
    <t>г. Туймазы, ул. Приречная, д.4</t>
  </si>
  <si>
    <t>г. Агидель, ул. Молодежная, д.10 (подъезд 1,2,3)</t>
  </si>
  <si>
    <t>г. Дюртюли, ул. Пионерская, д.27 корп.1</t>
  </si>
  <si>
    <t>г. Нефтекамск, ул. Ленина, д.5</t>
  </si>
  <si>
    <t>г. Нефтекамск, пр-кт Комсомольский, д.31</t>
  </si>
  <si>
    <t>с. Иглино, пер. Чапаева, д.10</t>
  </si>
  <si>
    <t>замена лифтового оборудования, ремонт фасада</t>
  </si>
  <si>
    <t>с. Акмурун, ул. 1 мая, д.5</t>
  </si>
  <si>
    <t>г. Баймак, ул. С.Есенина, д.1</t>
  </si>
  <si>
    <t>г. Баймак, пр. С.Юлаева, д.15</t>
  </si>
  <si>
    <t>г. Баймак, ул. Мира, д.17</t>
  </si>
  <si>
    <t>железобетонные крупнопанельные</t>
  </si>
  <si>
    <t>г. Баймак, ул. Мира, д.23</t>
  </si>
  <si>
    <t>г. Баймак, ул. Чекмарева, д.7</t>
  </si>
  <si>
    <t>г. Баймак, пр. С.Юлаева, д.13</t>
  </si>
  <si>
    <t>г. Баймак, ул. Алибаева, д.55</t>
  </si>
  <si>
    <t>г. Баймак, ул. Мира, д.13</t>
  </si>
  <si>
    <t>г. Баймак, ул. Чекмарева, д.11</t>
  </si>
  <si>
    <t>ремонт  водоснабжения, водоотведения</t>
  </si>
  <si>
    <t>с. Серафимовский, 22-й кв-л, д.7</t>
  </si>
  <si>
    <t>нет сметы</t>
  </si>
  <si>
    <t>с. Маячный, ул. Гафури, д.20</t>
  </si>
  <si>
    <t>г. Кумертау, ул. Пушкина, д.21</t>
  </si>
  <si>
    <t>г. Кумертау, ул. Машиностроителей, д.4</t>
  </si>
  <si>
    <t>каменные/ кирпичные</t>
  </si>
  <si>
    <t xml:space="preserve">рулонная  </t>
  </si>
  <si>
    <t>г. Стерлитамак, пр-кт Октября, д.31</t>
  </si>
  <si>
    <t xml:space="preserve">г. Стерлитамак, пр-кт Октября, д.71 </t>
  </si>
  <si>
    <t>г. Стерлитамак, ул. Вокзальная, д.21</t>
  </si>
  <si>
    <t>г. Стерлитамак, ул. Вокзальная, д.23</t>
  </si>
  <si>
    <t>г. Стерлитамак, ул. Имая Насыри, д.2</t>
  </si>
  <si>
    <t>г. Сибай, ул. Булякова, д.9</t>
  </si>
  <si>
    <t>г. Сибай, ул. Булякова, д.15</t>
  </si>
  <si>
    <t>г. Стерлитамак, ул. Гоголя, д.123</t>
  </si>
  <si>
    <t xml:space="preserve">г. Стерлитамак, ул. Имая Насыри, д.4                                       </t>
  </si>
  <si>
    <t>г. Стерлитамак, ул. Имая Насыри, д.6</t>
  </si>
  <si>
    <t>г. Стерлитамак, ул. Суханова, д.12</t>
  </si>
  <si>
    <t>г. Стерлитамак, ул. Суханова, д.16</t>
  </si>
  <si>
    <t>г. Стерлитамак, ул. Суханова, д.18</t>
  </si>
  <si>
    <t>г. Стерлитамак, ул. Суханова, д.2</t>
  </si>
  <si>
    <t>г. Стерлитамак, ул. Суханова, д.8</t>
  </si>
  <si>
    <t>г. Стерлитамак, ул. Худайбердина, д.54</t>
  </si>
  <si>
    <t>г. Стерлитамак, ул. Худайбердина, д.186</t>
  </si>
  <si>
    <t>г. Благовещенск, ул. Демьяна Бедного, д.66</t>
  </si>
  <si>
    <t>г. Уфа, ул. Первомайская, д.26</t>
  </si>
  <si>
    <t>ремонт крыши (архитектурные элементы)</t>
  </si>
  <si>
    <t>ремонт фасад (архитектурные элементы)</t>
  </si>
  <si>
    <t>г. Уфа, ул. Первомайская, д.27</t>
  </si>
  <si>
    <t>г. Уфа, ул. Степана Халтурина, д.55</t>
  </si>
  <si>
    <t>г. Уфа, пр-кт Октября, д.92</t>
  </si>
  <si>
    <t>г. Уфа, ул. Ферина, д.6</t>
  </si>
  <si>
    <t>ремонт крыши с мягкой на цельнометаллическую</t>
  </si>
  <si>
    <t>г. Уфа, ул. Правды, д.31 корп.2</t>
  </si>
  <si>
    <t>спец счкт</t>
  </si>
  <si>
    <t>г. Уфа, ул. Цюрупы, д.151</t>
  </si>
  <si>
    <t>новый дом протокол администрации</t>
  </si>
  <si>
    <t>г. Уфа, ул. Комсомольская, д.37</t>
  </si>
  <si>
    <t>5</t>
  </si>
  <si>
    <t xml:space="preserve">г. Уфа, ул. Гафури д.25 корп.1   </t>
  </si>
  <si>
    <t xml:space="preserve">г. Уфа, ул. Ферина д.8 корп.1   </t>
  </si>
  <si>
    <t>с резерва протокол администрации</t>
  </si>
  <si>
    <t>г. Уфа, ул. Братьев Кадомцевых, д.4</t>
  </si>
  <si>
    <t>г. Уфа, ул. Натальи Ковшовой, д.6 корп.1</t>
  </si>
  <si>
    <t>г. Уфа, ул. Российская, д.167 корп.1</t>
  </si>
  <si>
    <t>г. Уфа, ул. Авиаторов, д.19</t>
  </si>
  <si>
    <t>г. Уфа, ул. Юрия Гагарина, д.35</t>
  </si>
  <si>
    <t>г. Уфа, ул. Мечетлинская, д.12</t>
  </si>
  <si>
    <t>г. Салават, ул. Бочкарева, д.11а</t>
  </si>
  <si>
    <t>мягкая, рулонная</t>
  </si>
  <si>
    <t>Ж/б</t>
  </si>
  <si>
    <t>г. Салават, ул. Октябрьская, д.70а</t>
  </si>
  <si>
    <t>г. Салават, ул. Октябрьская, д.72</t>
  </si>
  <si>
    <t>г. Салават, ул. Островского, д.69а</t>
  </si>
  <si>
    <t>г. Салават, ул. Островского, д.71</t>
  </si>
  <si>
    <t>г. Салават, ул. Островского, д.75</t>
  </si>
  <si>
    <t>г. Белорецк, ул. 50 лет Октября, д.50</t>
  </si>
  <si>
    <t>каменно-кирпичный</t>
  </si>
  <si>
    <t>г. Белорецк, ул. 50 лет Октября, д.52/1</t>
  </si>
  <si>
    <t>г. Белорецк, ул. Кирова, д.52</t>
  </si>
  <si>
    <t>г. Белорецк, ул. Кирова, д.60</t>
  </si>
  <si>
    <t>г. Белорецк, ул. Кирова, д.62</t>
  </si>
  <si>
    <t>г. Белорецк, ул. Кирова, д.64</t>
  </si>
  <si>
    <t>г. Белорецк, ул. Кирова, д.66</t>
  </si>
  <si>
    <t>г. Белорецк, ул. Крупской д.57А</t>
  </si>
  <si>
    <t>пенополиуретан</t>
  </si>
  <si>
    <t>г. Ишимбай, ул. Софьи Ковалевской, д.10</t>
  </si>
  <si>
    <t>г. Ишимбай, ул. Софьи Ковалевской, д.10а</t>
  </si>
  <si>
    <t>г. Ишимбай, ул. Софьи Ковалевской, д.13</t>
  </si>
  <si>
    <t>г. Ишимбай, ул. Софьи Ковалевской, д.15а</t>
  </si>
  <si>
    <t>г. Ишимбай, ул. Мира, д.9</t>
  </si>
  <si>
    <t>г. Ишимбай, ул. Советская, д.59</t>
  </si>
  <si>
    <t>г. Ишимбай, ул. Советская, д.63</t>
  </si>
  <si>
    <t>с. Новоаптиково, ул. Подгорная, д.1</t>
  </si>
  <si>
    <t>г. Ишимбай, пр-кт Ленина, д.4</t>
  </si>
  <si>
    <t>1977 / каменные, кирпичные</t>
  </si>
  <si>
    <t>1979/кирпич</t>
  </si>
  <si>
    <t>Замена лифтового оборудования</t>
  </si>
  <si>
    <t>г. Мелеуз, ул. Смоленская, д.43</t>
  </si>
  <si>
    <t>г. Салават, ул. Ленинградская, д.1</t>
  </si>
  <si>
    <t>г. Салават, ул. Ленинградская, д.25</t>
  </si>
  <si>
    <t>г. Салават, ул. Ленинградская, д.31</t>
  </si>
  <si>
    <t>г. Салават, ул. Ленинградская, д.37</t>
  </si>
  <si>
    <t>г. Салават, ул. Ленинградская, д.39</t>
  </si>
  <si>
    <t>г. Салават, ул. Ленинградская, д.45</t>
  </si>
  <si>
    <t>г. Салават, ул. Ленинградская, д.7</t>
  </si>
  <si>
    <t>2366</t>
  </si>
  <si>
    <t>г. Салават, ул. Ленинградская, д.91</t>
  </si>
  <si>
    <t>г. Салават, ул. Уфимская, д.124</t>
  </si>
  <si>
    <t>г. Салават, ул. Губайдуллина, д.4</t>
  </si>
  <si>
    <t>г. Белорецк, ул. 50 лет Октября, д.74</t>
  </si>
  <si>
    <t>г. Белорецк, ул. Кирова, д.58</t>
  </si>
  <si>
    <t>1980/панель</t>
  </si>
  <si>
    <t>г. Мелеуз, ул. Московская, д.3</t>
  </si>
  <si>
    <t>1989г/кирпич</t>
  </si>
  <si>
    <t>г. Мелеуз, ул. Октябрьская, д.18</t>
  </si>
  <si>
    <t>1990/кирпич</t>
  </si>
  <si>
    <t>г. Мелеуз, ул. Первомайская, д.10</t>
  </si>
  <si>
    <t>1991г/кирпич</t>
  </si>
  <si>
    <t>г. Мелеуз, ул. Первомайская, д.14</t>
  </si>
  <si>
    <t>г. Мелеуз, ул. Первомайская, д.16</t>
  </si>
  <si>
    <t>1992г/панель</t>
  </si>
  <si>
    <t>1986/панель</t>
  </si>
  <si>
    <t>с. Зилаир, ул. Красных Партизан, д.96</t>
  </si>
  <si>
    <t>г. Нефтекамск, ул. Нефтяников, д.15</t>
  </si>
  <si>
    <t>г. Стерлитамак, ул. Суханова, д.2а</t>
  </si>
  <si>
    <t>г. Стерлитамак, ул. Худайбердина, д.95</t>
  </si>
  <si>
    <t>г. Туймазы, ул. Гафурова, д.37а</t>
  </si>
  <si>
    <t>г. Уфа, ул. Бакалинская, д.60 корп.3</t>
  </si>
  <si>
    <t>Итого:</t>
  </si>
  <si>
    <t>г. Салават, ул. Губкина, д.2б</t>
  </si>
  <si>
    <t>г. Уфа, ул. Орджоникидзе, д.15</t>
  </si>
  <si>
    <t>г. Уфа, ул. Мечетлинская, д.3</t>
  </si>
  <si>
    <t>г. Уфа, ул. Александра Невского, д.38</t>
  </si>
  <si>
    <t xml:space="preserve">г. Уфа, ул. Минигали Губайдуллина, д.5  </t>
  </si>
  <si>
    <t xml:space="preserve">г. Уфа, ул. Менделеева, д.148 корп.3   </t>
  </si>
  <si>
    <t>г. Уфа, ул. Ухтомского, д.17 корп.2</t>
  </si>
  <si>
    <t>г. Янаул, ул. Маяковского, д.2</t>
  </si>
  <si>
    <t>г. Туймазы, мкр. Молодежный, д.10</t>
  </si>
  <si>
    <t>г. Нефтекамск, ул. Социалистическая, д.2</t>
  </si>
  <si>
    <t>г. Октябрьский, мкр. 35-й, д.33</t>
  </si>
  <si>
    <t>г. Октябрьский, ул. Садовое Кольцо, д.7</t>
  </si>
  <si>
    <t>с. Субханкулово, ул. Ленина, д.13</t>
  </si>
  <si>
    <t xml:space="preserve">с. Красноусольский, ул. Карла Маркса, д.2   </t>
  </si>
  <si>
    <t>с. Кушнаренково, ул. Большевистская, д.4</t>
  </si>
  <si>
    <t>с. Энергетик, ул. Высоковольтная, д.2</t>
  </si>
  <si>
    <t>с. Энергетик, ул. Высоковольтная, д.3</t>
  </si>
  <si>
    <t>с. Энергетик, ул. Высоковольтная, д.14</t>
  </si>
  <si>
    <t>с. Энергетик, ул. Высоковольтная, д.10</t>
  </si>
  <si>
    <t>с. Энергетик, ул. Высоковольтная, д.1</t>
  </si>
  <si>
    <t>с. Энергетик, ул. Высоковольтная, д.4</t>
  </si>
  <si>
    <t xml:space="preserve">с. Семилетка, ул. Губкина, д.10 </t>
  </si>
  <si>
    <t>с. Нижегородка, с.п. Зубовский, ул.Мира, д.24 корп.1</t>
  </si>
  <si>
    <t>рп Приютово, ул. 50 лет ВЛКСМ, д.15</t>
  </si>
  <si>
    <t>рп Приютово, ул. 50 лет ВЛКСМ, д.28</t>
  </si>
  <si>
    <t>рп Приютово, б-р Мира, д.9</t>
  </si>
  <si>
    <t>рп Приютово, б-р Мира, д.20 корп.1</t>
  </si>
  <si>
    <t>рп Приютово, б-р Мира, д.22</t>
  </si>
  <si>
    <t>рп Приютово, ул. Калинина, д.12</t>
  </si>
  <si>
    <t>рп Приютово, ул. Калинина, д.26а</t>
  </si>
  <si>
    <t>рп Приютово, ул. Карла Маркса, д.23а</t>
  </si>
  <si>
    <t>рп Приютово, ул. Карла Маркса, д.25</t>
  </si>
  <si>
    <t>рп Приютово, ул. Карла Маркса, д.27</t>
  </si>
  <si>
    <t>рп Приютово, ул. Карла Маркса, д.32</t>
  </si>
  <si>
    <t>рп Приютово, ул. Ленина, д.22</t>
  </si>
  <si>
    <t>рп Приютово, ул. Ленина, д.22а</t>
  </si>
  <si>
    <t>рп Приютово, ул. Магистральная, д.15</t>
  </si>
  <si>
    <t>рп Приютово, ул. Маяковского, д.8</t>
  </si>
  <si>
    <t>рп Приютово, ул. Парамонова, д.9</t>
  </si>
  <si>
    <t>рп Приютово, ул. Парамонова, д.18</t>
  </si>
  <si>
    <t>рп Приютово, ул. Парамонова, д.34</t>
  </si>
  <si>
    <t>рп Приютово, ул. Парамонова, д.38</t>
  </si>
  <si>
    <t>рп Приютово, ул. Первомайская, д.5а</t>
  </si>
  <si>
    <t>рп Приютово, ул. 50 лет ВЛКСМ, д.28а</t>
  </si>
  <si>
    <t>рп Приютово, ул. Калинина, д.14</t>
  </si>
  <si>
    <t>рп Приютово, ул. Калинина, д.16</t>
  </si>
  <si>
    <t>рп Приютово, ул. Карла Маркса, д.9</t>
  </si>
  <si>
    <t>рп Приютово, ул. Магистральная, д.7</t>
  </si>
  <si>
    <t>рп Приютово, ул. Островского, д.24</t>
  </si>
  <si>
    <t>рп Приютово, ул. Первомайская, д.5</t>
  </si>
  <si>
    <t>рп Приютово, ул. Первомайская, д.14</t>
  </si>
  <si>
    <t>рп Приютово, ул. Свердлова, д.4</t>
  </si>
  <si>
    <t>рп Приютово, ул. Свердлова, д.9</t>
  </si>
  <si>
    <t>рп Приютово, ул. Магистральная, д.13</t>
  </si>
  <si>
    <t>рп Приютово, ул. 50 лет ВЛКСМ, д.7</t>
  </si>
  <si>
    <t>рп Приютово, ул. Магистральная, д.1а</t>
  </si>
  <si>
    <t>рп Приютово, б-р Мира, д.2</t>
  </si>
  <si>
    <t>рп Приютово, ул. Карла Маркса, д.19</t>
  </si>
  <si>
    <t>рп Приютово, ул. Ленина, д.24</t>
  </si>
  <si>
    <t>рп Приютово, ул. Магистральная, д.9</t>
  </si>
  <si>
    <t>рп Приютово, ул. Парамонова, д.11</t>
  </si>
  <si>
    <t>рп Приютово, ул. Парамонова, д.20</t>
  </si>
  <si>
    <t>рп Приютово, ул. Первомайская, д.8</t>
  </si>
  <si>
    <t>рп Приютово, ул. Свердлова, д.8</t>
  </si>
  <si>
    <t>рп Приютово, ул. Карла Маркса, д.7</t>
  </si>
  <si>
    <t>рп Приютово, ул. 50 лет ВЛКСМ, д.23</t>
  </si>
  <si>
    <t>рп Приютово, ул. Парамонова, д.6</t>
  </si>
  <si>
    <t>рп Приютово, ул. Парамонова, д.34а</t>
  </si>
  <si>
    <t>рп Приютово, ул. Чехова, д.1</t>
  </si>
  <si>
    <t>г. Уфа, ул. 50-летия Октября, д.6 корп.8</t>
  </si>
  <si>
    <t>5/6</t>
  </si>
  <si>
    <t>г. Уфа, б-р Тухвата Янаби, д.45</t>
  </si>
  <si>
    <t>г. Уфа, б-р Тухвата Янаби, д. 49</t>
  </si>
  <si>
    <t>замена лифтового оборудоапнич</t>
  </si>
  <si>
    <t>г. Уфа, ул. Авроры, д.5а корп.1</t>
  </si>
  <si>
    <t>г. Уфа, ул. Авроры, д.5в корп.1</t>
  </si>
  <si>
    <t>г. Уфа, ул. Авроры, д.7а корп.1</t>
  </si>
  <si>
    <t>г. Уфа, ул. Авроры, д.7б корп.1</t>
  </si>
  <si>
    <t>г. Уфа, ул. Адмирала Ушакова, д.84</t>
  </si>
  <si>
    <t>Кирпич</t>
  </si>
  <si>
    <t>г. Уфа, ул. Адмирала Ушакова, д.86 корп.1</t>
  </si>
  <si>
    <t>г. Уфа, ул. Бабушкина, д.19</t>
  </si>
  <si>
    <t>г. Уфа, ул. Бессонова, д.21</t>
  </si>
  <si>
    <t>г. Уфа, ул. Бессонова, д.26</t>
  </si>
  <si>
    <t>г. Уфа, ул. Вологодская, д.13</t>
  </si>
  <si>
    <t>г. Уфа, ул. Вологодская, д.19</t>
  </si>
  <si>
    <t>г. Уфа, ул. Грозненская, д.71 корп.1</t>
  </si>
  <si>
    <t xml:space="preserve">рулонная </t>
  </si>
  <si>
    <t>г. Уфа, ул. Джалиля Киекбаева, д.17</t>
  </si>
  <si>
    <t>г. Уфа, ул. Заводская, д.8</t>
  </si>
  <si>
    <t>г. Уфа, ул. им Фронтовых Бригад, д.7</t>
  </si>
  <si>
    <t>г. Уфа, ул. Казанская, д.10</t>
  </si>
  <si>
    <t>г. Уфа, ул. Комсомольская, д.138</t>
  </si>
  <si>
    <t>г. Уфа, ул. Левитана, д.20</t>
  </si>
  <si>
    <t>г. Уфа, ул. Менделеева, д.1</t>
  </si>
  <si>
    <t>г. Уфа, ул. Менделеева, д.213</t>
  </si>
  <si>
    <t>г. Уфа, ул. Мингажева, д.127 корп.1</t>
  </si>
  <si>
    <t xml:space="preserve"> железные</t>
  </si>
  <si>
    <t>г. Уфа, ул. Николая Дмитриева, д.21</t>
  </si>
  <si>
    <t>г. Уфа, пр-кт Октября, д.65</t>
  </si>
  <si>
    <t>г. Уфа, ул. Рабкоров, д.5 корп.1</t>
  </si>
  <si>
    <t>г. Уфа, ул. Рихарда Зорге, д.10</t>
  </si>
  <si>
    <t>г. Уфа, ул. Российская, д.17</t>
  </si>
  <si>
    <t>г. Уфа, ул. Степана Кувыкина, д.18</t>
  </si>
  <si>
    <t>г. Уфа, ул. Ферина, д.12</t>
  </si>
  <si>
    <t>г. Уфа, ул. Ферина, д.16</t>
  </si>
  <si>
    <t>г. Уфа, ул. Ферина, д.19 корп.1</t>
  </si>
  <si>
    <t>г. Уфа, ул. Ферина, д.22</t>
  </si>
  <si>
    <t>г. Уфа, ул. Ферина, д.24 корп.3</t>
  </si>
  <si>
    <t>г. Уфа, ул. Ферина, д.28</t>
  </si>
  <si>
    <t>г. Уфа, ул. Шафиева, д.12</t>
  </si>
  <si>
    <t>г. Уфа, б-р Ибрагимова, д.35</t>
  </si>
  <si>
    <t>9/7/5</t>
  </si>
  <si>
    <t>г. Уфа, ул. Авроры, д.5 корп.12</t>
  </si>
  <si>
    <t>г. Уфа, ул. Гагарина, д.33</t>
  </si>
  <si>
    <t>монолитный</t>
  </si>
  <si>
    <t>г. Уфа, ул. Максима Рыльского, д.4</t>
  </si>
  <si>
    <t>г. Уфа, ул. Комсомольская, д.161 корп.3</t>
  </si>
  <si>
    <t>г. Уфа, ул. Баязита Бикбая, д.24 корп.1</t>
  </si>
  <si>
    <t>г. Уфа, ул. Авроры, д.7</t>
  </si>
  <si>
    <t>г. Уфа, ул. Авроры, д.15</t>
  </si>
  <si>
    <t>г. Уфа, ул. Авроры, д.17</t>
  </si>
  <si>
    <t>г. Уфа, ул. Авроры, д.29</t>
  </si>
  <si>
    <t>г. Уфа, ул. Батырская, д.6</t>
  </si>
  <si>
    <t>г. Уфа, ул. Батырская, д.12</t>
  </si>
  <si>
    <t>г. Уфа, ул. Гафури, д.6</t>
  </si>
  <si>
    <t>г. Уфа, ул. Рабкоров, д.1</t>
  </si>
  <si>
    <t>г. Уфа, ул. Рабкоров, д.11</t>
  </si>
  <si>
    <t>г. Уфа, ул. Рабкоров, д.22</t>
  </si>
  <si>
    <t>г. Уфа, ул. Рабкоров, д.24</t>
  </si>
  <si>
    <t>г. Уфа, ул. Авроры, д.5 корп.3</t>
  </si>
  <si>
    <t>г. Уфа, ул. Авроры, д.7 корп.2</t>
  </si>
  <si>
    <t>г. Уфа, ул. Авроры, д.7 корп.3</t>
  </si>
  <si>
    <t>г. Уфа, ул. Авроры, д.7 корп.4</t>
  </si>
  <si>
    <t>г. Уфа, ул. Авроры, д.11 корп.2</t>
  </si>
  <si>
    <t>г. Уфа, ул. Батырская, д.8 корп.1</t>
  </si>
  <si>
    <t>г. Уфа, ул. Рабкоров, д.22 корп.2</t>
  </si>
  <si>
    <t>г. Уфа, ул. Рихарда Зорге, д.26 корп.2</t>
  </si>
  <si>
    <t>г. Уфа, ул. Баязит Бикбая, д.24 корп.3</t>
  </si>
  <si>
    <t>г. Дюртюли, ул. Назара Наджми, д.25 корп.1</t>
  </si>
  <si>
    <t>г. Октябрьский, мкр. 34-й, д.12 корп.2,   п.1</t>
  </si>
  <si>
    <t>утепление фасада (утепление сайдингом)</t>
  </si>
  <si>
    <t>г. Уфа, б-р Тухвата Янаби, д.47</t>
  </si>
  <si>
    <t>г. Уфа, ул. Адмирала Ушакова, д.86</t>
  </si>
  <si>
    <t>г. Уфа, ул. Менделеева, д.150</t>
  </si>
  <si>
    <t>г. Уфа, ул. им Фронтовых Бригад, д.5</t>
  </si>
  <si>
    <t>г. Уфа, б-р Ибрагимова, д.25</t>
  </si>
  <si>
    <t>г. Уфа, б-р Молодежный, д.7</t>
  </si>
  <si>
    <t>г. Уфа, б-р Тюлькина, д.7 корп.3</t>
  </si>
  <si>
    <t>г. Уфа, пр-кт Октября, д.18 корп.3</t>
  </si>
  <si>
    <t>г. Уфа, пр-кт Октября, д.70</t>
  </si>
  <si>
    <t>г. Уфа, пр-кт Октября, д.72</t>
  </si>
  <si>
    <t>г. Уфа, ул. Авроры, д.5 корп.7</t>
  </si>
  <si>
    <t>г. Уфа, ул. Авроры, д.9 корп.2</t>
  </si>
  <si>
    <t>г. Уфа, ул. Казанская, д.12</t>
  </si>
  <si>
    <t>г. Уфа, ул. Казанская, д.4</t>
  </si>
  <si>
    <t>г. Уфа, ул. Казанская, д.6</t>
  </si>
  <si>
    <t>г. Уфа, ул. Казанская, д.8</t>
  </si>
  <si>
    <t>г. Уфа, ул. Комсомольская, д.31</t>
  </si>
  <si>
    <t>г. Уфа, ул. Лесотехникума, д.28</t>
  </si>
  <si>
    <t>г. Уфа, ул. Лесотехникума, д.30</t>
  </si>
  <si>
    <t>г. Уфа, ул. Лесотехникума, д.32</t>
  </si>
  <si>
    <t>г. Уфа, ул. Лесотехникума, д.32 корп.1</t>
  </si>
  <si>
    <t>г. Уфа, ул. Мубарякова, д.11</t>
  </si>
  <si>
    <t>г. Уфа, ул. Мубарякова, д.11 корп.1</t>
  </si>
  <si>
    <t>г. Уфа, ул. Мубарякова, д.13</t>
  </si>
  <si>
    <t>г. Уфа, ул. Мубарякова, д.5</t>
  </si>
  <si>
    <t>г. Уфа, ул. Мубарякова, д.9</t>
  </si>
  <si>
    <t>г. Уфа, ул. Парковая, д.8 корп.1</t>
  </si>
  <si>
    <t>г. Уфа, ул. Рабкоров, д.6б</t>
  </si>
  <si>
    <t>г. Уфа, ул. Рихарда Зорге, д.47 корп.2</t>
  </si>
  <si>
    <t>г. Уфа, ул. Российская, д.41</t>
  </si>
  <si>
    <t>г. Уфа, ул. Российская, д.43</t>
  </si>
  <si>
    <t>г. Уфа, ул. Российская, д.45</t>
  </si>
  <si>
    <t>г. Уфа, ул. Российская, д.45 корп.1</t>
  </si>
  <si>
    <t>г. Уфа, ул. Софьи Перовской, д.13г</t>
  </si>
  <si>
    <t>г. Уфа, ул. Софьи Перовской, д.25</t>
  </si>
  <si>
    <t>г. Уфа, ул. Степана Кувыкина, д.1г</t>
  </si>
  <si>
    <t>г. Уфа, ул. Степана Кувыкина, д.13</t>
  </si>
  <si>
    <t>г. Уфа, ул. Степана Кувыкина, д.13а</t>
  </si>
  <si>
    <t>г. Уфа, ул. Степана Кувыкина, д.15</t>
  </si>
  <si>
    <t>г. Уфа, ул. Степана Кувыкина, д.15а</t>
  </si>
  <si>
    <t>г. Уфа, ул. Степана Кувыкина, д.17 корп.1</t>
  </si>
  <si>
    <t>г. Уфа, ул. Степана Кувыкина, д.19</t>
  </si>
  <si>
    <t>г. Уфа, ул. Степана Кувыкина, д.19а</t>
  </si>
  <si>
    <t>г. Уфа, ул. Степана Кувыкина, д.7а</t>
  </si>
  <si>
    <t>г. Уфа, ул. Степана Злобина, д.40</t>
  </si>
  <si>
    <t>г. Уфа, ул. Ухтомского, д.26</t>
  </si>
  <si>
    <t>г. Уфа, ул. Шафиева, д.28</t>
  </si>
  <si>
    <t>г. Уфа, ул. Шафиева, д.39</t>
  </si>
  <si>
    <t>г. Уфа, пр-кт Октября, д.23</t>
  </si>
  <si>
    <t>г. Уфа, пр-кт Октября, д.53</t>
  </si>
  <si>
    <t>ремонт системы газоснабжения</t>
  </si>
  <si>
    <t>г. Уфа, ул. Кольцевая, д.185</t>
  </si>
  <si>
    <t>с. Новоаптиково, ул. Строителей, д.19</t>
  </si>
  <si>
    <t>ПСД</t>
  </si>
  <si>
    <t>г. Уфа, ул. Генарала Горбатова, д.3</t>
  </si>
  <si>
    <t>г. Уфа, ул. Цюрупы, д.156 корп.1</t>
  </si>
  <si>
    <t xml:space="preserve">утепление фасада
</t>
  </si>
  <si>
    <t>г. Белорецк, ул. Куйбышева, д.4</t>
  </si>
  <si>
    <t>ремонт керыши</t>
  </si>
  <si>
    <t>г. Нефтекамск, ул. Ленина, д.22а</t>
  </si>
  <si>
    <t>ремонт крыши (мяг.)</t>
  </si>
  <si>
    <t>г. Мелеуз, мкр. 32-й, д.13</t>
  </si>
  <si>
    <t>г.Мелеуз, мкр. 32-й, д.28</t>
  </si>
  <si>
    <t>2000/каменные, каменные, кирпичныеные</t>
  </si>
  <si>
    <t>ремонт крыши  (мяг)</t>
  </si>
  <si>
    <t>г. Мелеуз, ул. Маяковского, д.13</t>
  </si>
  <si>
    <t>г. Мелеуз, мкр. 31-й, д.9</t>
  </si>
  <si>
    <t>1957/каменные, кирпичные</t>
  </si>
  <si>
    <t>ремонт крыши (скатн.)</t>
  </si>
  <si>
    <t>г. Мелеуз, ул. Дзержинского, д.2</t>
  </si>
  <si>
    <t>г. Стерлитамак, ул. Дружбы, д.23</t>
  </si>
  <si>
    <t>г. Стерлитамак, ул. Карла Либнехта, д.4б</t>
  </si>
  <si>
    <t>с. Толбазы, ул. Партизанская, д.2д</t>
  </si>
  <si>
    <t>г. Ишимбай, ул. Бульварная, д.13</t>
  </si>
  <si>
    <t>г. Ишимбай, ул. Вахитова, д.5</t>
  </si>
  <si>
    <t>г. Ишимбай, пр-кт Ленина, д.35</t>
  </si>
  <si>
    <t>г. Ишимбай, ул. Машиностроителей, д.63</t>
  </si>
  <si>
    <t>г. Ишимбай, ул. Молодёжная, д.6</t>
  </si>
  <si>
    <t>г. Ишимбай, ул. Уральская, д.58</t>
  </si>
  <si>
    <t>г. Ишимбай, ул. Машиностроителей, д.65</t>
  </si>
  <si>
    <t>с. Киргиз-Мияки, ул. Шоссейная, д.9</t>
  </si>
  <si>
    <t>с. Киргиз-Мияки, ул. Шоссейная, д.11</t>
  </si>
  <si>
    <t>с. Киргиз-Мияки, ул. Шоссейная, д.13</t>
  </si>
  <si>
    <t>с. Киргиз-Мияки, ул. Комарова, д.1</t>
  </si>
  <si>
    <t xml:space="preserve">ремонт газоснабжения </t>
  </si>
  <si>
    <t>с. Кармаскалы ул. Ак-Куль, д.15 корп.1</t>
  </si>
  <si>
    <t>г. Ишимбай, ул. Гагарина, д.88</t>
  </si>
  <si>
    <t>г. Ишимбай, ул. Губкина, д.14</t>
  </si>
  <si>
    <t>г. Ишимбай, ул. Стахановская, д.12</t>
  </si>
  <si>
    <t>ОК</t>
  </si>
  <si>
    <t>переустройство крыши (с мягкой на профиль с утеплением)</t>
  </si>
  <si>
    <t>г. Бирск, ул. Овчинникова, д.42а</t>
  </si>
  <si>
    <t xml:space="preserve">ремонт  водоотведения 
</t>
  </si>
  <si>
    <t>с. Старобалтачево, ул. Кирова, д.11</t>
  </si>
  <si>
    <t>переустройство крыши, ремонт фасада</t>
  </si>
  <si>
    <t>г. Ишимбай, ул. Губкина, д.104</t>
  </si>
  <si>
    <t>г. Ишимбай, ул. Революционная, д.25</t>
  </si>
  <si>
    <t>ремонт фасада (утепление торцов, усиление лоджий )</t>
  </si>
  <si>
    <t>г. Уфа, ул. Сергея Вострецова, д.6</t>
  </si>
  <si>
    <t>г. Бирск, ул. Интернациональная, д.116в</t>
  </si>
  <si>
    <t>г. Агидель, ул. Первых Строителей, д.6</t>
  </si>
  <si>
    <t>мсетал</t>
  </si>
  <si>
    <t>ремонт  крыши с мягкой на цельнометаллическую</t>
  </si>
  <si>
    <t>234</t>
  </si>
  <si>
    <t>ремонт крыши с шиферной на цельнометаллическую</t>
  </si>
  <si>
    <t>с. Месягутово, ул. Электрическая, д.14</t>
  </si>
  <si>
    <t>682.5</t>
  </si>
  <si>
    <t>=N1434/G1434</t>
  </si>
  <si>
    <t>смету делает сам подрядчик</t>
  </si>
  <si>
    <t>подрядчик сам делает псд</t>
  </si>
  <si>
    <t>ПСД с 2016 г.</t>
  </si>
  <si>
    <t>г. Уфа, ул. Космонавтов, д.22</t>
  </si>
  <si>
    <t>г. Уфа, ул. Первомайская, д.9</t>
  </si>
  <si>
    <t>г. Уфа, ул. Первомайская, д.10</t>
  </si>
  <si>
    <t>г. Уфа, ул. Первомайская, д.11</t>
  </si>
  <si>
    <t>г. Уфа, ул. Первомайская, д.15</t>
  </si>
  <si>
    <t>г. Уфа, ул. Конституции, д.7</t>
  </si>
  <si>
    <t>г. Уфа, ул. Конституции, д.8</t>
  </si>
  <si>
    <t>г. Уфа, ул. Конституции, д.9</t>
  </si>
  <si>
    <t>г. Уфа, ул. Конституции, д.9а</t>
  </si>
  <si>
    <t>г. Уфа, ул. Свободы, д.41</t>
  </si>
  <si>
    <t>г. Уфа, ул. Свободы, д.43</t>
  </si>
  <si>
    <t>г. Уфа, ул. Свободы, д.45</t>
  </si>
  <si>
    <t>г. Уфа, ул. Свободы, д.47</t>
  </si>
  <si>
    <t>г. Уфа, ул. Свободы, д.49</t>
  </si>
  <si>
    <t>г. Уфа, ул. Свободы, д.51</t>
  </si>
  <si>
    <t>г. Уфа, ул. Свободы, д.53</t>
  </si>
  <si>
    <t>г. Уфа, ул. Первомайская, д.46</t>
  </si>
  <si>
    <t>г. Уфа, ул. Первомайская, д.48</t>
  </si>
  <si>
    <t xml:space="preserve">г.Уфа, пр-кт Октября, д.57 </t>
  </si>
  <si>
    <t xml:space="preserve">г.Уфа, пр-кт Октября, д.63 </t>
  </si>
  <si>
    <t xml:space="preserve">г.Уфа, пр-кт Октября, д.78 </t>
  </si>
  <si>
    <t>г.Уфа, пр-кт Октября, д.82</t>
  </si>
  <si>
    <t>г. Уфа, ул. Космонавтов,  д.5</t>
  </si>
  <si>
    <t>г. Уфа, ул. Космонавтов, д.7</t>
  </si>
  <si>
    <t>г. Уфа, ул. Первомайская, д.90</t>
  </si>
  <si>
    <t>г. Уфа, ул. Первомайская, д.85</t>
  </si>
  <si>
    <t>г. Уфа, ул. Первомайская, д.75</t>
  </si>
  <si>
    <t>г. Уфа, ул. Первомайская, д.73</t>
  </si>
  <si>
    <t>г. Уфа, ул. Первомайская, д.70</t>
  </si>
  <si>
    <t xml:space="preserve">г. Уфа, ул. Первомайская, д.66 </t>
  </si>
  <si>
    <t>г. Сибай, ул. Коммунистическая, д.1</t>
  </si>
  <si>
    <t>г. Сибай, ул. Ленина, д.2/2</t>
  </si>
  <si>
    <t>1989г/каменные кирпичные</t>
  </si>
  <si>
    <r>
      <t xml:space="preserve">ремонт </t>
    </r>
    <r>
      <rPr>
        <b/>
        <u/>
        <sz val="14"/>
        <color theme="0"/>
        <rFont val="Times New Roman"/>
        <family val="1"/>
        <charset val="204"/>
      </rPr>
      <t>крыши</t>
    </r>
  </si>
  <si>
    <r>
      <t>ремонт</t>
    </r>
    <r>
      <rPr>
        <b/>
        <u/>
        <sz val="14"/>
        <color theme="0"/>
        <rFont val="Times New Roman"/>
        <family val="1"/>
        <charset val="204"/>
      </rPr>
      <t xml:space="preserve"> крыши</t>
    </r>
  </si>
  <si>
    <r>
      <t xml:space="preserve">от « </t>
    </r>
    <r>
      <rPr>
        <u/>
        <sz val="14"/>
        <rFont val="Times New Roman"/>
        <family val="1"/>
        <charset val="204"/>
      </rPr>
      <t>14</t>
    </r>
    <r>
      <rPr>
        <sz val="14"/>
        <rFont val="Times New Roman"/>
        <family val="1"/>
        <charset val="204"/>
      </rPr>
      <t xml:space="preserve"> » </t>
    </r>
    <r>
      <rPr>
        <u/>
        <sz val="14"/>
        <rFont val="Times New Roman"/>
        <family val="1"/>
        <charset val="204"/>
      </rPr>
      <t>ноября</t>
    </r>
    <r>
      <rPr>
        <sz val="14"/>
        <rFont val="Times New Roman"/>
        <family val="1"/>
        <charset val="204"/>
      </rPr>
      <t xml:space="preserve"> 2017 года</t>
    </r>
  </si>
  <si>
    <r>
      <t xml:space="preserve">№ </t>
    </r>
    <r>
      <rPr>
        <u/>
        <sz val="14"/>
        <rFont val="Times New Roman"/>
        <family val="1"/>
        <charset val="204"/>
      </rPr>
      <t>06/06-399</t>
    </r>
  </si>
  <si>
    <t>2017 Городской округ город Стерлитамак Республики Башкортостан</t>
  </si>
  <si>
    <t>2018 Городской округ город Стерлитамак Республики Башкортостан</t>
  </si>
  <si>
    <t>2019 Городской округ город Стерлитамак Республики Башкортостан</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</si>
</sst>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0.00\ _₽_-;\-* #,##0.00\ _₽_-;_-* &quot;-&quot;??\ _₽_-;_-@_-"/>
    <numFmt numFmtId="164" formatCode="_-* #,##0.00&quot;р.&quot;_-;\-* #,##0.00&quot;р.&quot;_-;_-* &quot;-&quot;??&quot;р.&quot;_-;_-@_-"/>
    <numFmt numFmtId="165" formatCode="_-* #,##0.00_р_._-;\-* #,##0.00_р_._-;_-* &quot;-&quot;??_р_._-;_-@_-"/>
    <numFmt numFmtId="166" formatCode="_-* #,##0.00&quot;р.&quot;_-;\-* #,##0.00&quot;р.&quot;_-;_-* \-??&quot;р.&quot;_-;_-@_-"/>
    <numFmt numFmtId="167" formatCode="_-* #,##0.00_р_._-;\-* #,##0.00_р_._-;_-* \-??_р_._-;_-@_-"/>
    <numFmt numFmtId="168" formatCode="#,##0.0"/>
    <numFmt numFmtId="169" formatCode="#,##0_р_."/>
    <numFmt numFmtId="170" formatCode="#,##0;\(#,##0\)"/>
    <numFmt numFmtId="171" formatCode="[$-419]General"/>
    <numFmt numFmtId="172" formatCode="_(* #,##0.00_);_(* \(#,##0.00\);_(* &quot;-&quot;??_);_(@_)"/>
    <numFmt numFmtId="173" formatCode="[$-419]0"/>
    <numFmt numFmtId="174" formatCode="#,##0_ ;\-#,##0\ "/>
    <numFmt numFmtId="175" formatCode="0.0"/>
    <numFmt numFmtId="176" formatCode="#,##0.000000"/>
    <numFmt numFmtId="177" formatCode="#,##0.0_ ;\-#,##0.0\ "/>
    <numFmt numFmtId="178" formatCode="#,##0.000"/>
    <numFmt numFmtId="179" formatCode="#,##0;[Red]#,##0"/>
    <numFmt numFmtId="180" formatCode="#,##0.0_р_."/>
    <numFmt numFmtId="181" formatCode="_-* #,##0_р_._-;\-* #,##0_р_._-;_-* &quot;-&quot;??_р_._-;_-@_-"/>
    <numFmt numFmtId="182" formatCode="#,##0\ _₽"/>
    <numFmt numFmtId="183" formatCode="[$-419]#,##0.00"/>
    <numFmt numFmtId="184" formatCode="#,##0;[Red]\-#,##0"/>
    <numFmt numFmtId="185" formatCode="#,###,##0"/>
    <numFmt numFmtId="186" formatCode="#,###,##0.00"/>
    <numFmt numFmtId="187" formatCode="[$-419]#,##0"/>
    <numFmt numFmtId="188" formatCode="0,000.00"/>
    <numFmt numFmtId="189" formatCode="000.00"/>
    <numFmt numFmtId="190" formatCode="#,##0.0000"/>
    <numFmt numFmtId="191" formatCode="0.00;[Red]0.00"/>
    <numFmt numFmtId="192" formatCode="#,##0.00\ _₽"/>
  </numFmts>
  <fonts count="162">
    <font>
      <sz val="10"/>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indexed="8"/>
      <name val="Arial"/>
      <family val="2"/>
      <charset val="204"/>
    </font>
    <font>
      <sz val="11"/>
      <color indexed="8"/>
      <name val="Calibri"/>
      <family val="2"/>
      <charset val="204"/>
    </font>
    <font>
      <sz val="10"/>
      <color indexed="9"/>
      <name val="Arial"/>
      <family val="2"/>
      <charset val="204"/>
    </font>
    <font>
      <sz val="11"/>
      <color indexed="9"/>
      <name val="Calibri"/>
      <family val="2"/>
      <charset val="204"/>
    </font>
    <font>
      <u/>
      <sz val="10"/>
      <color indexed="12"/>
      <name val="Arial"/>
      <family val="2"/>
      <charset val="204"/>
    </font>
    <font>
      <sz val="10"/>
      <color indexed="24"/>
      <name val="Arial"/>
      <family val="2"/>
      <charset val="1"/>
    </font>
    <font>
      <sz val="8"/>
      <name val="Arial"/>
      <family val="2"/>
      <charset val="204"/>
    </font>
    <font>
      <b/>
      <sz val="14"/>
      <name val="Arial"/>
      <family val="2"/>
      <charset val="1"/>
    </font>
    <font>
      <b/>
      <sz val="11"/>
      <name val="Arial"/>
      <family val="2"/>
      <charset val="1"/>
    </font>
    <font>
      <sz val="10"/>
      <color indexed="62"/>
      <name val="Arial"/>
      <family val="2"/>
      <charset val="204"/>
    </font>
    <font>
      <sz val="11"/>
      <color indexed="62"/>
      <name val="Calibri"/>
      <family val="2"/>
      <charset val="204"/>
    </font>
    <font>
      <b/>
      <sz val="10"/>
      <color indexed="59"/>
      <name val="Arial"/>
      <family val="2"/>
      <charset val="204"/>
    </font>
    <font>
      <b/>
      <sz val="11"/>
      <color indexed="63"/>
      <name val="Calibri"/>
      <family val="2"/>
      <charset val="204"/>
    </font>
    <font>
      <b/>
      <sz val="10"/>
      <color indexed="53"/>
      <name val="Arial"/>
      <family val="2"/>
      <charset val="204"/>
    </font>
    <font>
      <b/>
      <sz val="11"/>
      <color indexed="52"/>
      <name val="Calibri"/>
      <family val="2"/>
      <charset val="204"/>
    </font>
    <font>
      <b/>
      <sz val="15"/>
      <color indexed="21"/>
      <name val="Arial"/>
      <family val="2"/>
      <charset val="204"/>
    </font>
    <font>
      <b/>
      <sz val="15"/>
      <color indexed="63"/>
      <name val="Calibri"/>
      <family val="2"/>
      <charset val="204"/>
    </font>
    <font>
      <b/>
      <sz val="13"/>
      <color indexed="21"/>
      <name val="Arial"/>
      <family val="2"/>
      <charset val="204"/>
    </font>
    <font>
      <b/>
      <sz val="13"/>
      <color indexed="63"/>
      <name val="Calibri"/>
      <family val="2"/>
      <charset val="204"/>
    </font>
    <font>
      <b/>
      <sz val="11"/>
      <color indexed="21"/>
      <name val="Arial"/>
      <family val="2"/>
      <charset val="204"/>
    </font>
    <font>
      <b/>
      <sz val="11"/>
      <color indexed="63"/>
      <name val="Calibri"/>
      <family val="2"/>
      <charset val="204"/>
    </font>
    <font>
      <b/>
      <sz val="10"/>
      <color indexed="8"/>
      <name val="Arial"/>
      <family val="2"/>
      <charset val="204"/>
    </font>
    <font>
      <b/>
      <sz val="11"/>
      <color indexed="8"/>
      <name val="Calibri"/>
      <family val="2"/>
      <charset val="204"/>
    </font>
    <font>
      <b/>
      <sz val="10"/>
      <color indexed="9"/>
      <name val="Arial"/>
      <family val="2"/>
      <charset val="204"/>
    </font>
    <font>
      <b/>
      <sz val="11"/>
      <color indexed="9"/>
      <name val="Calibri"/>
      <family val="2"/>
      <charset val="204"/>
    </font>
    <font>
      <b/>
      <sz val="18"/>
      <color indexed="63"/>
      <name val="Cambria"/>
      <family val="2"/>
      <charset val="204"/>
    </font>
    <font>
      <sz val="10"/>
      <color indexed="60"/>
      <name val="Arial"/>
      <family val="2"/>
      <charset val="204"/>
    </font>
    <font>
      <sz val="11"/>
      <color indexed="60"/>
      <name val="Calibri"/>
      <family val="2"/>
      <charset val="204"/>
    </font>
    <font>
      <sz val="14"/>
      <name val="Times New Roman"/>
      <family val="1"/>
      <charset val="204"/>
    </font>
    <font>
      <b/>
      <sz val="14"/>
      <name val="Times New Roman"/>
      <family val="1"/>
      <charset val="204"/>
    </font>
    <font>
      <sz val="10"/>
      <name val="Arial"/>
      <family val="2"/>
      <charset val="204"/>
    </font>
    <font>
      <sz val="10"/>
      <color theme="1"/>
      <name val="Arial"/>
      <family val="2"/>
      <charset val="204"/>
    </font>
    <font>
      <sz val="11"/>
      <color theme="1"/>
      <name val="Calibri"/>
      <family val="2"/>
      <scheme val="minor"/>
    </font>
    <font>
      <sz val="11"/>
      <color indexed="8"/>
      <name val="Calibri"/>
      <family val="2"/>
    </font>
    <font>
      <sz val="10"/>
      <name val="Arial Cyr"/>
      <charset val="204"/>
    </font>
    <font>
      <b/>
      <sz val="14"/>
      <name val="Arial"/>
      <family val="2"/>
    </font>
    <font>
      <sz val="10"/>
      <color indexed="24"/>
      <name val="Arial"/>
      <family val="2"/>
    </font>
    <font>
      <b/>
      <sz val="11"/>
      <name val="Arial"/>
      <family val="2"/>
    </font>
    <font>
      <b/>
      <sz val="15"/>
      <color indexed="56"/>
      <name val="Calibri"/>
      <family val="2"/>
      <charset val="204"/>
    </font>
    <font>
      <b/>
      <sz val="13"/>
      <color indexed="56"/>
      <name val="Calibri"/>
      <family val="2"/>
      <charset val="204"/>
    </font>
    <font>
      <b/>
      <sz val="11"/>
      <color indexed="56"/>
      <name val="Calibri"/>
      <family val="2"/>
      <charset val="204"/>
    </font>
    <font>
      <b/>
      <sz val="18"/>
      <color indexed="56"/>
      <name val="Cambria"/>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0"/>
      <name val="Arial"/>
      <family val="2"/>
      <charset val="204"/>
    </font>
    <font>
      <sz val="10"/>
      <color rgb="FF000000"/>
      <name val="Arial Cyr"/>
      <charset val="204"/>
    </font>
    <font>
      <sz val="11"/>
      <color rgb="FF000000"/>
      <name val="Arial"/>
      <family val="2"/>
      <charset val="204"/>
    </font>
    <font>
      <sz val="11"/>
      <color rgb="FF000000"/>
      <name val="Calibri"/>
      <family val="2"/>
      <charset val="204"/>
    </font>
    <font>
      <sz val="10"/>
      <color rgb="FF3F3F76"/>
      <name val="Arial"/>
      <family val="2"/>
      <charset val="204"/>
    </font>
    <font>
      <b/>
      <sz val="10"/>
      <color rgb="FF3F3F3F"/>
      <name val="Arial"/>
      <family val="2"/>
      <charset val="204"/>
    </font>
    <font>
      <b/>
      <sz val="10"/>
      <color rgb="FFFA7D00"/>
      <name val="Arial"/>
      <family val="2"/>
      <charset val="204"/>
    </font>
    <font>
      <b/>
      <sz val="15"/>
      <color theme="3"/>
      <name val="Arial"/>
      <family val="2"/>
      <charset val="204"/>
    </font>
    <font>
      <b/>
      <sz val="13"/>
      <color theme="3"/>
      <name val="Arial"/>
      <family val="2"/>
      <charset val="204"/>
    </font>
    <font>
      <b/>
      <sz val="11"/>
      <color theme="3"/>
      <name val="Arial"/>
      <family val="2"/>
      <charset val="204"/>
    </font>
    <font>
      <b/>
      <sz val="10"/>
      <color theme="1"/>
      <name val="Arial"/>
      <family val="2"/>
      <charset val="204"/>
    </font>
    <font>
      <b/>
      <sz val="10"/>
      <color theme="0"/>
      <name val="Arial"/>
      <family val="2"/>
      <charset val="204"/>
    </font>
    <font>
      <b/>
      <sz val="18"/>
      <color theme="3"/>
      <name val="Cambria"/>
      <family val="2"/>
      <charset val="204"/>
    </font>
    <font>
      <sz val="10"/>
      <color rgb="FF9C6500"/>
      <name val="Arial"/>
      <family val="2"/>
      <charset val="204"/>
    </font>
    <font>
      <sz val="14"/>
      <color theme="1"/>
      <name val="Times New Roman"/>
      <family val="2"/>
      <charset val="204"/>
    </font>
    <font>
      <sz val="11"/>
      <color theme="1"/>
      <name val="Times New Roman"/>
      <family val="2"/>
      <charset val="204"/>
    </font>
    <font>
      <sz val="10"/>
      <color rgb="FF9C0006"/>
      <name val="Arial"/>
      <family val="2"/>
      <charset val="204"/>
    </font>
    <font>
      <i/>
      <sz val="10"/>
      <color rgb="FF7F7F7F"/>
      <name val="Arial"/>
      <family val="2"/>
      <charset val="204"/>
    </font>
    <font>
      <sz val="10"/>
      <color rgb="FFFA7D00"/>
      <name val="Arial"/>
      <family val="2"/>
      <charset val="204"/>
    </font>
    <font>
      <sz val="10"/>
      <color rgb="FFFF0000"/>
      <name val="Arial"/>
      <family val="2"/>
      <charset val="204"/>
    </font>
    <font>
      <sz val="10"/>
      <color rgb="FF006100"/>
      <name val="Arial"/>
      <family val="2"/>
      <charset val="204"/>
    </font>
    <font>
      <sz val="14"/>
      <color rgb="FFFF0000"/>
      <name val="Times New Roman"/>
      <family val="1"/>
      <charset val="204"/>
    </font>
    <font>
      <b/>
      <sz val="18"/>
      <color theme="3"/>
      <name val="Calibri Light"/>
      <family val="2"/>
      <charset val="204"/>
      <scheme val="major"/>
    </font>
    <font>
      <sz val="12"/>
      <name val="Times New Roman"/>
      <family val="1"/>
      <charset val="204"/>
    </font>
    <font>
      <sz val="10"/>
      <name val="Times New Roman"/>
      <family val="1"/>
      <charset val="204"/>
    </font>
    <font>
      <sz val="14"/>
      <name val="Arial"/>
      <family val="2"/>
      <charset val="204"/>
    </font>
    <font>
      <sz val="14"/>
      <name val="Calibri"/>
      <family val="2"/>
      <scheme val="minor"/>
    </font>
    <font>
      <sz val="14"/>
      <name val="Calibri"/>
      <family val="2"/>
      <charset val="204"/>
      <scheme val="minor"/>
    </font>
    <font>
      <b/>
      <sz val="14"/>
      <name val="Calibri"/>
      <family val="2"/>
      <charset val="204"/>
      <scheme val="minor"/>
    </font>
    <font>
      <sz val="9"/>
      <color indexed="81"/>
      <name val="Tahoma"/>
      <family val="2"/>
      <charset val="204"/>
    </font>
    <font>
      <b/>
      <i/>
      <sz val="9"/>
      <color indexed="81"/>
      <name val="Tahoma"/>
      <family val="2"/>
      <charset val="204"/>
    </font>
    <font>
      <b/>
      <sz val="14"/>
      <name val="Calibri"/>
      <family val="2"/>
      <charset val="204"/>
    </font>
    <font>
      <sz val="14"/>
      <name val="Calibri"/>
      <family val="2"/>
      <charset val="204"/>
    </font>
    <font>
      <sz val="11"/>
      <name val="Calibri"/>
      <family val="2"/>
      <scheme val="minor"/>
    </font>
    <font>
      <sz val="9"/>
      <name val="Times New Roman"/>
      <family val="1"/>
      <charset val="204"/>
    </font>
    <font>
      <sz val="8"/>
      <name val="Times New Roman"/>
      <family val="1"/>
      <charset val="204"/>
    </font>
    <font>
      <sz val="14"/>
      <name val="Calibri"/>
      <family val="2"/>
      <charset val="1"/>
    </font>
    <font>
      <b/>
      <sz val="12"/>
      <name val="Calibri"/>
      <family val="2"/>
      <charset val="204"/>
    </font>
    <font>
      <b/>
      <sz val="11"/>
      <name val="Calibri"/>
      <family val="2"/>
      <charset val="204"/>
    </font>
    <font>
      <sz val="16"/>
      <name val="Calibri"/>
      <family val="2"/>
      <scheme val="minor"/>
    </font>
    <font>
      <sz val="11"/>
      <name val="Times New Roman"/>
      <family val="1"/>
      <charset val="204"/>
    </font>
    <font>
      <b/>
      <sz val="11"/>
      <name val="Calibri"/>
      <family val="2"/>
      <charset val="204"/>
      <scheme val="minor"/>
    </font>
    <font>
      <b/>
      <sz val="8"/>
      <name val="Times New Roman"/>
      <family val="1"/>
      <charset val="204"/>
    </font>
    <font>
      <sz val="10"/>
      <name val="Calibri"/>
      <family val="2"/>
      <charset val="204"/>
    </font>
    <font>
      <sz val="14"/>
      <color rgb="FF9900FF"/>
      <name val="Times New Roman"/>
      <family val="1"/>
      <charset val="204"/>
    </font>
    <font>
      <sz val="14"/>
      <color rgb="FF00B050"/>
      <name val="Times New Roman"/>
      <family val="1"/>
      <charset val="204"/>
    </font>
    <font>
      <b/>
      <sz val="14"/>
      <color rgb="FF00B050"/>
      <name val="Times New Roman"/>
      <family val="1"/>
      <charset val="204"/>
    </font>
    <font>
      <b/>
      <sz val="14"/>
      <color rgb="FF00B050"/>
      <name val="Calibri"/>
      <family val="2"/>
      <scheme val="minor"/>
    </font>
    <font>
      <sz val="14"/>
      <color rgb="FF00B050"/>
      <name val="Calibri"/>
      <family val="2"/>
      <scheme val="minor"/>
    </font>
    <font>
      <sz val="10"/>
      <color rgb="FF00B050"/>
      <name val="Arial"/>
      <family val="2"/>
      <charset val="204"/>
    </font>
    <font>
      <sz val="10"/>
      <color rgb="FF00B050"/>
      <name val="Times New Roman"/>
      <family val="1"/>
      <charset val="204"/>
    </font>
    <font>
      <sz val="14"/>
      <color rgb="FF00B050"/>
      <name val="Calibri"/>
      <family val="2"/>
      <charset val="204"/>
    </font>
    <font>
      <b/>
      <sz val="12"/>
      <color rgb="FF00B050"/>
      <name val="Calibri"/>
      <family val="2"/>
      <charset val="204"/>
    </font>
    <font>
      <b/>
      <sz val="11"/>
      <color rgb="FF00B050"/>
      <name val="Calibri"/>
      <family val="2"/>
      <charset val="204"/>
    </font>
    <font>
      <b/>
      <sz val="14"/>
      <color rgb="FF00B050"/>
      <name val="Calibri"/>
      <family val="2"/>
      <charset val="204"/>
      <scheme val="minor"/>
    </font>
    <font>
      <sz val="14"/>
      <color rgb="FF00B050"/>
      <name val="Arial"/>
      <family val="2"/>
      <charset val="204"/>
    </font>
    <font>
      <b/>
      <sz val="11"/>
      <color rgb="FF00B050"/>
      <name val="Calibri"/>
      <family val="2"/>
      <charset val="204"/>
      <scheme val="minor"/>
    </font>
    <font>
      <b/>
      <sz val="14"/>
      <color rgb="FF00B050"/>
      <name val="Calibri"/>
      <family val="2"/>
      <charset val="204"/>
    </font>
    <font>
      <i/>
      <sz val="11"/>
      <color rgb="FF7F7F7F"/>
      <name val="Calibri"/>
      <family val="2"/>
      <charset val="204"/>
      <scheme val="minor"/>
    </font>
    <font>
      <b/>
      <sz val="9"/>
      <color indexed="81"/>
      <name val="Tahoma"/>
      <family val="2"/>
      <charset val="204"/>
    </font>
    <font>
      <b/>
      <u/>
      <sz val="14"/>
      <name val="Times New Roman"/>
      <family val="1"/>
      <charset val="204"/>
    </font>
    <font>
      <b/>
      <u/>
      <sz val="14"/>
      <color rgb="FF00B050"/>
      <name val="Times New Roman"/>
      <family val="1"/>
      <charset val="204"/>
    </font>
    <font>
      <u/>
      <sz val="14"/>
      <name val="Times New Roman"/>
      <family val="1"/>
      <charset val="204"/>
    </font>
    <font>
      <b/>
      <u/>
      <sz val="14"/>
      <name val="Calibri"/>
      <family val="2"/>
      <scheme val="minor"/>
    </font>
    <font>
      <b/>
      <u/>
      <sz val="14"/>
      <color rgb="FF660066"/>
      <name val="Times New Roman"/>
      <family val="1"/>
      <charset val="204"/>
    </font>
    <font>
      <b/>
      <u/>
      <sz val="14"/>
      <color rgb="FFFF0000"/>
      <name val="Times New Roman"/>
      <family val="1"/>
      <charset val="204"/>
    </font>
    <font>
      <u/>
      <sz val="10"/>
      <color theme="10"/>
      <name val="Arial"/>
      <family val="2"/>
      <charset val="204"/>
    </font>
    <font>
      <b/>
      <u/>
      <sz val="14"/>
      <color rgb="FF00B050"/>
      <name val="Calibri"/>
      <family val="2"/>
      <scheme val="minor"/>
    </font>
    <font>
      <b/>
      <sz val="11"/>
      <color theme="0"/>
      <name val="Calibri"/>
      <family val="2"/>
      <charset val="204"/>
      <scheme val="minor"/>
    </font>
    <font>
      <sz val="14"/>
      <color theme="0"/>
      <name val="Times New Roman"/>
      <family val="1"/>
      <charset val="204"/>
    </font>
    <font>
      <b/>
      <sz val="14"/>
      <color theme="0"/>
      <name val="Times New Roman"/>
      <family val="1"/>
      <charset val="204"/>
    </font>
    <font>
      <b/>
      <i/>
      <sz val="14"/>
      <color theme="0"/>
      <name val="Times New Roman"/>
      <family val="1"/>
      <charset val="204"/>
    </font>
    <font>
      <i/>
      <sz val="14"/>
      <color theme="0"/>
      <name val="Times New Roman"/>
      <family val="1"/>
      <charset val="204"/>
    </font>
    <font>
      <b/>
      <u/>
      <sz val="14"/>
      <color theme="0"/>
      <name val="Times New Roman"/>
      <family val="1"/>
      <charset val="204"/>
    </font>
    <font>
      <sz val="10"/>
      <color theme="0"/>
      <name val="Times New Roman"/>
      <family val="1"/>
      <charset val="204"/>
    </font>
    <font>
      <sz val="14"/>
      <color theme="0"/>
      <name val="Calibri"/>
      <family val="2"/>
      <scheme val="minor"/>
    </font>
    <font>
      <b/>
      <sz val="14"/>
      <color theme="0"/>
      <name val="Calibri"/>
      <family val="2"/>
      <scheme val="minor"/>
    </font>
    <font>
      <b/>
      <sz val="14"/>
      <color theme="0"/>
      <name val="Calibri"/>
      <family val="2"/>
      <charset val="204"/>
      <scheme val="minor"/>
    </font>
    <font>
      <sz val="8"/>
      <color theme="0"/>
      <name val="Times New Roman"/>
      <family val="1"/>
      <charset val="204"/>
    </font>
    <font>
      <sz val="9"/>
      <color theme="0"/>
      <name val="Times New Roman"/>
      <family val="1"/>
      <charset val="204"/>
    </font>
    <font>
      <sz val="12"/>
      <color theme="0"/>
      <name val="Times New Roman"/>
      <family val="1"/>
      <charset val="204"/>
    </font>
    <font>
      <sz val="14"/>
      <color theme="0"/>
      <name val="Calibri"/>
      <family val="2"/>
      <charset val="1"/>
    </font>
    <font>
      <sz val="14"/>
      <color theme="0"/>
      <name val="Calibri"/>
      <family val="2"/>
      <charset val="204"/>
    </font>
    <font>
      <b/>
      <sz val="14"/>
      <color theme="0"/>
      <name val="Calibri"/>
      <family val="2"/>
      <charset val="204"/>
    </font>
    <font>
      <sz val="11"/>
      <color theme="0"/>
      <name val="Calibri"/>
      <family val="2"/>
      <scheme val="minor"/>
    </font>
    <font>
      <sz val="14"/>
      <color theme="0"/>
      <name val="Arial"/>
      <family val="2"/>
      <charset val="204"/>
    </font>
    <font>
      <u/>
      <sz val="14"/>
      <color theme="0"/>
      <name val="Times New Roman"/>
      <family val="1"/>
      <charset val="204"/>
    </font>
    <font>
      <sz val="12"/>
      <color theme="0"/>
      <name val="Calibri"/>
      <family val="2"/>
      <scheme val="minor"/>
    </font>
    <font>
      <sz val="14"/>
      <color theme="0"/>
      <name val="Calibri"/>
      <family val="2"/>
      <charset val="204"/>
      <scheme val="minor"/>
    </font>
    <font>
      <b/>
      <sz val="12"/>
      <color theme="0"/>
      <name val="Calibri"/>
      <family val="2"/>
      <charset val="204"/>
    </font>
    <font>
      <sz val="16"/>
      <color theme="0"/>
      <name val="Calibri"/>
      <family val="2"/>
      <scheme val="minor"/>
    </font>
    <font>
      <b/>
      <sz val="18"/>
      <color theme="0"/>
      <name val="Calibri"/>
      <family val="2"/>
      <charset val="204"/>
      <scheme val="minor"/>
    </font>
    <font>
      <sz val="26"/>
      <color theme="0"/>
      <name val="Calibri"/>
      <family val="2"/>
      <scheme val="minor"/>
    </font>
    <font>
      <sz val="11"/>
      <color theme="0"/>
      <name val="Times New Roman"/>
      <family val="1"/>
      <charset val="204"/>
    </font>
    <font>
      <b/>
      <sz val="24"/>
      <color theme="0"/>
      <name val="Times New Roman"/>
      <family val="1"/>
      <charset val="204"/>
    </font>
    <font>
      <sz val="14"/>
      <color theme="0"/>
      <name val="Times New Roman"/>
      <family val="1"/>
      <charset val="1"/>
    </font>
    <font>
      <b/>
      <sz val="14"/>
      <color theme="0"/>
      <name val="Times New Roman1"/>
      <charset val="204"/>
    </font>
    <font>
      <sz val="14"/>
      <color theme="0"/>
      <name val="Times New Roman1"/>
      <charset val="204"/>
    </font>
    <font>
      <b/>
      <i/>
      <u/>
      <sz val="14"/>
      <color theme="0"/>
      <name val="Times New Roman"/>
      <family val="1"/>
      <charset val="204"/>
    </font>
    <font>
      <b/>
      <u/>
      <sz val="14"/>
      <color theme="0"/>
      <name val="Calibri"/>
      <family val="2"/>
      <scheme val="minor"/>
    </font>
    <font>
      <sz val="14"/>
      <color theme="0"/>
      <name val="ахметова*322"/>
      <charset val="204"/>
    </font>
    <font>
      <b/>
      <sz val="16"/>
      <color theme="0"/>
      <name val="Times New Roman"/>
      <family val="1"/>
      <charset val="204"/>
    </font>
    <font>
      <sz val="28"/>
      <color theme="0"/>
      <name val="Times New Roman"/>
      <family val="1"/>
      <charset val="204"/>
    </font>
    <font>
      <sz val="16"/>
      <color theme="0"/>
      <name val="Times New Roman"/>
      <family val="1"/>
      <charset val="204"/>
    </font>
    <font>
      <b/>
      <u/>
      <sz val="11"/>
      <color theme="0"/>
      <name val="Times New Roman"/>
      <family val="1"/>
      <charset val="204"/>
    </font>
    <font>
      <b/>
      <sz val="8"/>
      <color theme="0"/>
      <name val="Times New Roman"/>
      <family val="1"/>
      <charset val="204"/>
    </font>
    <font>
      <sz val="10"/>
      <color theme="0"/>
      <name val="Calibri"/>
      <family val="2"/>
      <charset val="204"/>
    </font>
    <font>
      <u/>
      <sz val="10"/>
      <color theme="0"/>
      <name val="Arial"/>
      <family val="2"/>
      <charset val="204"/>
    </font>
  </fonts>
  <fills count="111">
    <fill>
      <patternFill patternType="none"/>
    </fill>
    <fill>
      <patternFill patternType="gray125"/>
    </fill>
    <fill>
      <patternFill patternType="solid">
        <fgColor indexed="58"/>
        <bgColor indexed="56"/>
      </patternFill>
    </fill>
    <fill>
      <patternFill patternType="solid">
        <fgColor indexed="31"/>
        <bgColor indexed="38"/>
      </patternFill>
    </fill>
    <fill>
      <patternFill patternType="solid">
        <fgColor indexed="28"/>
        <bgColor indexed="56"/>
      </patternFill>
    </fill>
    <fill>
      <patternFill patternType="solid">
        <fgColor indexed="45"/>
        <bgColor indexed="19"/>
      </patternFill>
    </fill>
    <fill>
      <patternFill patternType="solid">
        <fgColor indexed="39"/>
        <bgColor indexed="32"/>
      </patternFill>
    </fill>
    <fill>
      <patternFill patternType="solid">
        <fgColor indexed="42"/>
        <bgColor indexed="41"/>
      </patternFill>
    </fill>
    <fill>
      <patternFill patternType="solid">
        <fgColor indexed="56"/>
        <bgColor indexed="58"/>
      </patternFill>
    </fill>
    <fill>
      <patternFill patternType="solid">
        <fgColor indexed="46"/>
        <bgColor indexed="24"/>
      </patternFill>
    </fill>
    <fill>
      <patternFill patternType="mediumGray">
        <fgColor indexed="58"/>
        <bgColor indexed="27"/>
      </patternFill>
    </fill>
    <fill>
      <patternFill patternType="darkGray">
        <fgColor indexed="27"/>
        <bgColor indexed="42"/>
      </patternFill>
    </fill>
    <fill>
      <patternFill patternType="solid">
        <fgColor indexed="18"/>
        <bgColor indexed="39"/>
      </patternFill>
    </fill>
    <fill>
      <patternFill patternType="solid">
        <fgColor indexed="47"/>
        <bgColor indexed="14"/>
      </patternFill>
    </fill>
    <fill>
      <patternFill patternType="darkGray">
        <fgColor indexed="31"/>
        <bgColor indexed="15"/>
      </patternFill>
    </fill>
    <fill>
      <patternFill patternType="solid">
        <fgColor indexed="44"/>
        <bgColor indexed="57"/>
      </patternFill>
    </fill>
    <fill>
      <patternFill patternType="solid">
        <fgColor indexed="61"/>
        <bgColor indexed="14"/>
      </patternFill>
    </fill>
    <fill>
      <patternFill patternType="solid">
        <fgColor indexed="29"/>
        <bgColor indexed="25"/>
      </patternFill>
    </fill>
    <fill>
      <patternFill patternType="solid">
        <fgColor indexed="30"/>
        <bgColor indexed="41"/>
      </patternFill>
    </fill>
    <fill>
      <patternFill patternType="solid">
        <fgColor indexed="11"/>
        <bgColor indexed="49"/>
      </patternFill>
    </fill>
    <fill>
      <patternFill patternType="solid">
        <fgColor indexed="38"/>
        <bgColor indexed="22"/>
      </patternFill>
    </fill>
    <fill>
      <patternFill patternType="solid">
        <fgColor indexed="15"/>
        <bgColor indexed="31"/>
      </patternFill>
    </fill>
    <fill>
      <patternFill patternType="solid">
        <fgColor indexed="17"/>
        <bgColor indexed="47"/>
      </patternFill>
    </fill>
    <fill>
      <patternFill patternType="darkGray">
        <fgColor indexed="51"/>
        <bgColor indexed="13"/>
      </patternFill>
    </fill>
    <fill>
      <patternFill patternType="solid">
        <fgColor indexed="57"/>
        <bgColor indexed="24"/>
      </patternFill>
    </fill>
    <fill>
      <patternFill patternType="mediumGray">
        <fgColor indexed="21"/>
        <bgColor indexed="48"/>
      </patternFill>
    </fill>
    <fill>
      <patternFill patternType="solid">
        <fgColor indexed="19"/>
        <bgColor indexed="29"/>
      </patternFill>
    </fill>
    <fill>
      <patternFill patternType="solid">
        <fgColor indexed="35"/>
        <bgColor indexed="30"/>
      </patternFill>
    </fill>
    <fill>
      <patternFill patternType="darkGray">
        <fgColor indexed="24"/>
        <bgColor indexed="55"/>
      </patternFill>
    </fill>
    <fill>
      <patternFill patternType="solid">
        <fgColor indexed="20"/>
        <bgColor indexed="16"/>
      </patternFill>
    </fill>
    <fill>
      <patternFill patternType="darkGray">
        <fgColor indexed="44"/>
        <bgColor indexed="57"/>
      </patternFill>
    </fill>
    <fill>
      <patternFill patternType="solid">
        <fgColor indexed="49"/>
        <bgColor indexed="40"/>
      </patternFill>
    </fill>
    <fill>
      <patternFill patternType="solid">
        <fgColor indexed="14"/>
        <bgColor indexed="47"/>
      </patternFill>
    </fill>
    <fill>
      <patternFill patternType="solid">
        <fgColor indexed="52"/>
        <bgColor indexed="25"/>
      </patternFill>
    </fill>
    <fill>
      <patternFill patternType="solid">
        <fgColor indexed="43"/>
        <bgColor indexed="34"/>
      </patternFill>
    </fill>
    <fill>
      <patternFill patternType="solid">
        <fgColor indexed="48"/>
        <bgColor indexed="54"/>
      </patternFill>
    </fill>
    <fill>
      <patternFill patternType="solid">
        <fgColor indexed="62"/>
        <bgColor indexed="59"/>
      </patternFill>
    </fill>
    <fill>
      <patternFill patternType="darkGray">
        <fgColor indexed="60"/>
        <bgColor indexed="54"/>
      </patternFill>
    </fill>
    <fill>
      <patternFill patternType="solid">
        <fgColor indexed="10"/>
        <bgColor indexed="36"/>
      </patternFill>
    </fill>
    <fill>
      <patternFill patternType="darkGray">
        <fgColor indexed="50"/>
        <bgColor indexed="55"/>
      </patternFill>
    </fill>
    <fill>
      <patternFill patternType="mediumGray">
        <fgColor indexed="48"/>
        <bgColor indexed="21"/>
      </patternFill>
    </fill>
    <fill>
      <patternFill patternType="solid">
        <fgColor indexed="54"/>
        <bgColor indexed="23"/>
      </patternFill>
    </fill>
    <fill>
      <patternFill patternType="darkGray">
        <fgColor indexed="49"/>
        <bgColor indexed="48"/>
      </patternFill>
    </fill>
    <fill>
      <patternFill patternType="solid">
        <fgColor indexed="25"/>
        <bgColor indexed="52"/>
      </patternFill>
    </fill>
    <fill>
      <patternFill patternType="solid">
        <fgColor indexed="53"/>
        <bgColor indexed="52"/>
      </patternFill>
    </fill>
    <fill>
      <patternFill patternType="solid">
        <fgColor indexed="32"/>
        <bgColor indexed="39"/>
      </patternFill>
    </fill>
    <fill>
      <patternFill patternType="solid">
        <fgColor indexed="22"/>
        <bgColor indexed="38"/>
      </patternFill>
    </fill>
    <fill>
      <patternFill patternType="solid">
        <fgColor indexed="55"/>
        <bgColor indexed="24"/>
      </patternFill>
    </fill>
    <fill>
      <patternFill patternType="darkGray">
        <fgColor indexed="55"/>
        <bgColor indexed="23"/>
      </patternFill>
    </fill>
    <fill>
      <patternFill patternType="solid">
        <fgColor indexed="34"/>
        <b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0000"/>
        <bgColor indexed="64"/>
      </patternFill>
    </fill>
    <fill>
      <patternFill patternType="solid">
        <fgColor rgb="FF92D0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CFF"/>
        <bgColor indexed="64"/>
      </patternFill>
    </fill>
    <fill>
      <patternFill patternType="solid">
        <fgColor theme="8"/>
        <bgColor indexed="64"/>
      </patternFill>
    </fill>
    <fill>
      <patternFill patternType="solid">
        <fgColor rgb="FFFF99CC"/>
        <bgColor indexed="64"/>
      </patternFill>
    </fill>
    <fill>
      <patternFill patternType="solid">
        <fgColor rgb="FF00FFFF"/>
        <bgColor indexed="64"/>
      </patternFill>
    </fill>
  </fills>
  <borders count="104">
    <border>
      <left/>
      <right/>
      <top/>
      <bottom/>
      <diagonal/>
    </border>
    <border>
      <left style="thin">
        <color indexed="20"/>
      </left>
      <right style="thin">
        <color indexed="20"/>
      </right>
      <top style="thin">
        <color indexed="20"/>
      </top>
      <bottom style="thin">
        <color indexed="20"/>
      </bottom>
      <diagonal/>
    </border>
    <border>
      <left style="thin">
        <color indexed="54"/>
      </left>
      <right style="thin">
        <color indexed="54"/>
      </right>
      <top style="thin">
        <color indexed="54"/>
      </top>
      <bottom style="thin">
        <color indexed="54"/>
      </bottom>
      <diagonal/>
    </border>
    <border>
      <left style="thin">
        <color indexed="23"/>
      </left>
      <right style="thin">
        <color indexed="23"/>
      </right>
      <top style="thin">
        <color indexed="23"/>
      </top>
      <bottom style="thin">
        <color indexed="23"/>
      </bottom>
      <diagonal/>
    </border>
    <border>
      <left style="thin">
        <color indexed="59"/>
      </left>
      <right style="thin">
        <color indexed="59"/>
      </right>
      <top style="thin">
        <color indexed="59"/>
      </top>
      <bottom style="thin">
        <color indexed="59"/>
      </bottom>
      <diagonal/>
    </border>
    <border>
      <left style="thin">
        <color indexed="63"/>
      </left>
      <right style="thin">
        <color indexed="63"/>
      </right>
      <top style="thin">
        <color indexed="63"/>
      </top>
      <bottom style="thin">
        <color indexed="63"/>
      </bottom>
      <diagonal/>
    </border>
    <border>
      <left/>
      <right/>
      <top/>
      <bottom style="thick">
        <color indexed="48"/>
      </bottom>
      <diagonal/>
    </border>
    <border>
      <left/>
      <right/>
      <top/>
      <bottom style="thick">
        <color indexed="62"/>
      </bottom>
      <diagonal/>
    </border>
    <border>
      <left/>
      <right/>
      <top/>
      <bottom style="thick">
        <color indexed="57"/>
      </bottom>
      <diagonal/>
    </border>
    <border>
      <left/>
      <right/>
      <top/>
      <bottom style="thick">
        <color indexed="22"/>
      </bottom>
      <diagonal/>
    </border>
    <border>
      <left/>
      <right/>
      <top/>
      <bottom style="medium">
        <color indexed="57"/>
      </bottom>
      <diagonal/>
    </border>
    <border>
      <left/>
      <right/>
      <top/>
      <bottom style="medium">
        <color indexed="21"/>
      </bottom>
      <diagonal/>
    </border>
    <border>
      <left/>
      <right/>
      <top style="thin">
        <color indexed="48"/>
      </top>
      <bottom style="double">
        <color indexed="48"/>
      </bottom>
      <diagonal/>
    </border>
    <border>
      <left/>
      <right/>
      <top style="thin">
        <color indexed="62"/>
      </top>
      <bottom style="double">
        <color indexed="62"/>
      </bottom>
      <diagonal/>
    </border>
    <border>
      <left style="double">
        <color indexed="59"/>
      </left>
      <right style="double">
        <color indexed="59"/>
      </right>
      <top style="double">
        <color indexed="59"/>
      </top>
      <bottom style="double">
        <color indexed="59"/>
      </bottom>
      <diagonal/>
    </border>
    <border>
      <left style="double">
        <color indexed="63"/>
      </left>
      <right style="double">
        <color indexed="63"/>
      </right>
      <top style="double">
        <color indexed="63"/>
      </top>
      <bottom style="double">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ashed">
        <color indexed="28"/>
      </left>
      <right style="dashed">
        <color indexed="28"/>
      </right>
      <top style="dashed">
        <color indexed="28"/>
      </top>
      <bottom style="dashed">
        <color indexed="28"/>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22894">
    <xf numFmtId="0" fontId="0" fillId="0" borderId="0"/>
    <xf numFmtId="167" fontId="37" fillId="0" borderId="0" applyFill="0" applyBorder="0" applyAlignment="0" applyProtection="0"/>
    <xf numFmtId="166" fontId="37" fillId="0" borderId="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8"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8" fillId="9"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8" fillId="11"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8" fillId="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15"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3" borderId="0" applyNumberFormat="0" applyBorder="0" applyAlignment="0" applyProtection="0"/>
    <xf numFmtId="0" fontId="7" fillId="22" borderId="0" applyNumberFormat="0" applyBorder="0" applyAlignment="0" applyProtection="0"/>
    <xf numFmtId="0" fontId="9" fillId="24" borderId="0" applyNumberFormat="0" applyBorder="0" applyAlignment="0" applyProtection="0"/>
    <xf numFmtId="0" fontId="10" fillId="25" borderId="0" applyNumberFormat="0" applyBorder="0" applyAlignment="0" applyProtection="0"/>
    <xf numFmtId="0" fontId="9" fillId="24" borderId="0" applyNumberFormat="0" applyBorder="0" applyAlignment="0" applyProtection="0"/>
    <xf numFmtId="0" fontId="9" fillId="26" borderId="0" applyNumberFormat="0" applyBorder="0" applyAlignment="0" applyProtection="0"/>
    <xf numFmtId="0" fontId="10" fillId="1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0" fillId="19"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0" fillId="29" borderId="0" applyNumberFormat="0" applyBorder="0" applyAlignment="0" applyProtection="0"/>
    <xf numFmtId="0" fontId="9" fillId="28" borderId="0" applyNumberFormat="0" applyBorder="0" applyAlignment="0" applyProtection="0"/>
    <xf numFmtId="0" fontId="9" fillId="30" borderId="0" applyNumberFormat="0" applyBorder="0" applyAlignment="0" applyProtection="0"/>
    <xf numFmtId="0" fontId="10" fillId="31"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10" fillId="33" borderId="0" applyNumberFormat="0" applyBorder="0" applyAlignment="0" applyProtection="0"/>
    <xf numFmtId="0" fontId="9" fillId="32" borderId="0" applyNumberFormat="0" applyBorder="0" applyAlignment="0" applyProtection="0"/>
    <xf numFmtId="0" fontId="11" fillId="0" borderId="0" applyNumberFormat="0" applyFill="0" applyBorder="0" applyAlignment="0" applyProtection="0"/>
    <xf numFmtId="0" fontId="12" fillId="34" borderId="1" applyNumberFormat="0">
      <alignment vertical="center"/>
      <protection locked="0"/>
    </xf>
    <xf numFmtId="0" fontId="13" fillId="0" borderId="0"/>
    <xf numFmtId="0" fontId="8" fillId="0" borderId="0"/>
    <xf numFmtId="0" fontId="14" fillId="0" borderId="0" applyNumberFormat="0">
      <alignment vertical="center"/>
    </xf>
    <xf numFmtId="0" fontId="15" fillId="0" borderId="0" applyNumberFormat="0">
      <alignment vertical="center"/>
    </xf>
    <xf numFmtId="0" fontId="9" fillId="35" borderId="0" applyNumberFormat="0" applyBorder="0" applyAlignment="0" applyProtection="0"/>
    <xf numFmtId="0" fontId="10" fillId="36"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10" fillId="38" borderId="0" applyNumberFormat="0" applyBorder="0" applyAlignment="0" applyProtection="0"/>
    <xf numFmtId="0" fontId="9" fillId="37" borderId="0" applyNumberFormat="0" applyBorder="0" applyAlignment="0" applyProtection="0"/>
    <xf numFmtId="0" fontId="9" fillId="39" borderId="0" applyNumberFormat="0" applyBorder="0" applyAlignment="0" applyProtection="0"/>
    <xf numFmtId="0" fontId="10" fillId="40"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10" fillId="29"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10" fillId="3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10" fillId="44" borderId="0" applyNumberFormat="0" applyBorder="0" applyAlignment="0" applyProtection="0"/>
    <xf numFmtId="0" fontId="9" fillId="43" borderId="0" applyNumberFormat="0" applyBorder="0" applyAlignment="0" applyProtection="0"/>
    <xf numFmtId="0" fontId="16" fillId="13" borderId="2"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6" fillId="13" borderId="2" applyNumberFormat="0" applyAlignment="0" applyProtection="0"/>
    <xf numFmtId="0" fontId="18" fillId="45" borderId="4"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8" fillId="45" borderId="4" applyNumberFormat="0" applyAlignment="0" applyProtection="0"/>
    <xf numFmtId="0" fontId="20" fillId="45" borderId="2"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0" fillId="45" borderId="2" applyNumberFormat="0" applyAlignment="0" applyProtection="0"/>
    <xf numFmtId="166" fontId="37" fillId="0" borderId="0" applyFill="0" applyBorder="0" applyAlignment="0" applyProtection="0"/>
    <xf numFmtId="0" fontId="22" fillId="0" borderId="6" applyNumberFormat="0" applyFill="0" applyAlignment="0" applyProtection="0"/>
    <xf numFmtId="0" fontId="23" fillId="0" borderId="7" applyNumberFormat="0" applyFill="0" applyAlignment="0" applyProtection="0"/>
    <xf numFmtId="0" fontId="22" fillId="0" borderId="6"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6" fillId="0" borderId="10"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30" fillId="47" borderId="14" applyNumberFormat="0" applyAlignment="0" applyProtection="0"/>
    <xf numFmtId="0" fontId="31" fillId="48" borderId="15" applyNumberFormat="0" applyAlignment="0" applyProtection="0"/>
    <xf numFmtId="0" fontId="30" fillId="47" borderId="14" applyNumberFormat="0" applyAlignment="0" applyProtection="0"/>
    <xf numFmtId="0" fontId="32" fillId="0" borderId="0" applyNumberFormat="0" applyFill="0" applyBorder="0" applyAlignment="0" applyProtection="0"/>
    <xf numFmtId="0" fontId="33" fillId="49" borderId="0" applyNumberFormat="0" applyBorder="0" applyAlignment="0" applyProtection="0"/>
    <xf numFmtId="0" fontId="34" fillId="34" borderId="0" applyNumberFormat="0" applyBorder="0" applyAlignment="0" applyProtection="0"/>
    <xf numFmtId="0" fontId="33" fillId="4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9" fillId="0" borderId="0"/>
    <xf numFmtId="0" fontId="38" fillId="73" borderId="0" applyNumberFormat="0" applyBorder="0" applyAlignment="0" applyProtection="0"/>
    <xf numFmtId="0" fontId="8" fillId="73" borderId="0" applyNumberFormat="0" applyBorder="0" applyAlignment="0" applyProtection="0"/>
    <xf numFmtId="0" fontId="38" fillId="73" borderId="0" applyNumberFormat="0" applyBorder="0" applyAlignment="0" applyProtection="0"/>
    <xf numFmtId="0" fontId="38" fillId="74" borderId="0" applyNumberFormat="0" applyBorder="0" applyAlignment="0" applyProtection="0"/>
    <xf numFmtId="0" fontId="8" fillId="74" borderId="0" applyNumberFormat="0" applyBorder="0" applyAlignment="0" applyProtection="0"/>
    <xf numFmtId="0" fontId="38" fillId="74" borderId="0" applyNumberFormat="0" applyBorder="0" applyAlignment="0" applyProtection="0"/>
    <xf numFmtId="0" fontId="38" fillId="75" borderId="0" applyNumberFormat="0" applyBorder="0" applyAlignment="0" applyProtection="0"/>
    <xf numFmtId="0" fontId="8" fillId="75" borderId="0" applyNumberFormat="0" applyBorder="0" applyAlignment="0" applyProtection="0"/>
    <xf numFmtId="0" fontId="38" fillId="75" borderId="0" applyNumberFormat="0" applyBorder="0" applyAlignment="0" applyProtection="0"/>
    <xf numFmtId="0" fontId="38" fillId="76" borderId="0" applyNumberFormat="0" applyBorder="0" applyAlignment="0" applyProtection="0"/>
    <xf numFmtId="0" fontId="8" fillId="76" borderId="0" applyNumberFormat="0" applyBorder="0" applyAlignment="0" applyProtection="0"/>
    <xf numFmtId="0" fontId="38" fillId="76" borderId="0" applyNumberFormat="0" applyBorder="0" applyAlignment="0" applyProtection="0"/>
    <xf numFmtId="0" fontId="38" fillId="67" borderId="0" applyNumberFormat="0" applyBorder="0" applyAlignment="0" applyProtection="0"/>
    <xf numFmtId="0" fontId="8" fillId="77" borderId="0" applyNumberFormat="0" applyBorder="0" applyAlignment="0" applyProtection="0"/>
    <xf numFmtId="0" fontId="38" fillId="67" borderId="0" applyNumberFormat="0" applyBorder="0" applyAlignment="0" applyProtection="0"/>
    <xf numFmtId="0" fontId="38" fillId="71" borderId="0" applyNumberFormat="0" applyBorder="0" applyAlignment="0" applyProtection="0"/>
    <xf numFmtId="0" fontId="8" fillId="78" borderId="0" applyNumberFormat="0" applyBorder="0" applyAlignment="0" applyProtection="0"/>
    <xf numFmtId="0" fontId="38" fillId="71" borderId="0" applyNumberFormat="0" applyBorder="0" applyAlignment="0" applyProtection="0"/>
    <xf numFmtId="0" fontId="38" fillId="58" borderId="0" applyNumberFormat="0" applyBorder="0" applyAlignment="0" applyProtection="0"/>
    <xf numFmtId="0" fontId="8" fillId="79" borderId="0" applyNumberFormat="0" applyBorder="0" applyAlignment="0" applyProtection="0"/>
    <xf numFmtId="0" fontId="38" fillId="58" borderId="0" applyNumberFormat="0" applyBorder="0" applyAlignment="0" applyProtection="0"/>
    <xf numFmtId="0" fontId="38" fillId="61" borderId="0" applyNumberFormat="0" applyBorder="0" applyAlignment="0" applyProtection="0"/>
    <xf numFmtId="0" fontId="8" fillId="80" borderId="0" applyNumberFormat="0" applyBorder="0" applyAlignment="0" applyProtection="0"/>
    <xf numFmtId="0" fontId="38" fillId="61" borderId="0" applyNumberFormat="0" applyBorder="0" applyAlignment="0" applyProtection="0"/>
    <xf numFmtId="0" fontId="38" fillId="81" borderId="0" applyNumberFormat="0" applyBorder="0" applyAlignment="0" applyProtection="0"/>
    <xf numFmtId="0" fontId="8" fillId="81" borderId="0" applyNumberFormat="0" applyBorder="0" applyAlignment="0" applyProtection="0"/>
    <xf numFmtId="0" fontId="38" fillId="81" borderId="0" applyNumberFormat="0" applyBorder="0" applyAlignment="0" applyProtection="0"/>
    <xf numFmtId="0" fontId="38" fillId="65" borderId="0" applyNumberFormat="0" applyBorder="0" applyAlignment="0" applyProtection="0"/>
    <xf numFmtId="0" fontId="8" fillId="76" borderId="0" applyNumberFormat="0" applyBorder="0" applyAlignment="0" applyProtection="0"/>
    <xf numFmtId="0" fontId="38" fillId="65" borderId="0" applyNumberFormat="0" applyBorder="0" applyAlignment="0" applyProtection="0"/>
    <xf numFmtId="0" fontId="38" fillId="68" borderId="0" applyNumberFormat="0" applyBorder="0" applyAlignment="0" applyProtection="0"/>
    <xf numFmtId="0" fontId="8" fillId="79" borderId="0" applyNumberFormat="0" applyBorder="0" applyAlignment="0" applyProtection="0"/>
    <xf numFmtId="0" fontId="38" fillId="68" borderId="0" applyNumberFormat="0" applyBorder="0" applyAlignment="0" applyProtection="0"/>
    <xf numFmtId="0" fontId="38" fillId="72" borderId="0" applyNumberFormat="0" applyBorder="0" applyAlignment="0" applyProtection="0"/>
    <xf numFmtId="0" fontId="8" fillId="82" borderId="0" applyNumberFormat="0" applyBorder="0" applyAlignment="0" applyProtection="0"/>
    <xf numFmtId="0" fontId="38" fillId="72" borderId="0" applyNumberFormat="0" applyBorder="0" applyAlignment="0" applyProtection="0"/>
    <xf numFmtId="0" fontId="54" fillId="59" borderId="0" applyNumberFormat="0" applyBorder="0" applyAlignment="0" applyProtection="0"/>
    <xf numFmtId="0" fontId="10" fillId="83" borderId="0" applyNumberFormat="0" applyBorder="0" applyAlignment="0" applyProtection="0"/>
    <xf numFmtId="0" fontId="54" fillId="59" borderId="0" applyNumberFormat="0" applyBorder="0" applyAlignment="0" applyProtection="0"/>
    <xf numFmtId="0" fontId="54" fillId="62" borderId="0" applyNumberFormat="0" applyBorder="0" applyAlignment="0" applyProtection="0"/>
    <xf numFmtId="0" fontId="10" fillId="80" borderId="0" applyNumberFormat="0" applyBorder="0" applyAlignment="0" applyProtection="0"/>
    <xf numFmtId="0" fontId="54" fillId="62" borderId="0" applyNumberFormat="0" applyBorder="0" applyAlignment="0" applyProtection="0"/>
    <xf numFmtId="0" fontId="54" fillId="81" borderId="0" applyNumberFormat="0" applyBorder="0" applyAlignment="0" applyProtection="0"/>
    <xf numFmtId="0" fontId="10" fillId="81" borderId="0" applyNumberFormat="0" applyBorder="0" applyAlignment="0" applyProtection="0"/>
    <xf numFmtId="0" fontId="54" fillId="81" borderId="0" applyNumberFormat="0" applyBorder="0" applyAlignment="0" applyProtection="0"/>
    <xf numFmtId="0" fontId="54" fillId="84" borderId="0" applyNumberFormat="0" applyBorder="0" applyAlignment="0" applyProtection="0"/>
    <xf numFmtId="0" fontId="10" fillId="84" borderId="0" applyNumberFormat="0" applyBorder="0" applyAlignment="0" applyProtection="0"/>
    <xf numFmtId="0" fontId="54" fillId="84" borderId="0" applyNumberFormat="0" applyBorder="0" applyAlignment="0" applyProtection="0"/>
    <xf numFmtId="0" fontId="54" fillId="69" borderId="0" applyNumberFormat="0" applyBorder="0" applyAlignment="0" applyProtection="0"/>
    <xf numFmtId="0" fontId="10" fillId="85" borderId="0" applyNumberFormat="0" applyBorder="0" applyAlignment="0" applyProtection="0"/>
    <xf numFmtId="0" fontId="54" fillId="69" borderId="0" applyNumberFormat="0" applyBorder="0" applyAlignment="0" applyProtection="0"/>
    <xf numFmtId="0" fontId="54" fillId="86" borderId="0" applyNumberFormat="0" applyBorder="0" applyAlignment="0" applyProtection="0"/>
    <xf numFmtId="0" fontId="10" fillId="86" borderId="0" applyNumberFormat="0" applyBorder="0" applyAlignment="0" applyProtection="0"/>
    <xf numFmtId="0" fontId="54" fillId="86" borderId="0" applyNumberFormat="0" applyBorder="0" applyAlignment="0" applyProtection="0"/>
    <xf numFmtId="0" fontId="8" fillId="0" borderId="0"/>
    <xf numFmtId="0" fontId="8" fillId="0" borderId="0"/>
    <xf numFmtId="0" fontId="8" fillId="0" borderId="0"/>
    <xf numFmtId="0" fontId="8" fillId="0" borderId="0"/>
    <xf numFmtId="171" fontId="55" fillId="0" borderId="0"/>
    <xf numFmtId="171" fontId="56" fillId="0" borderId="0"/>
    <xf numFmtId="170" fontId="43" fillId="87" borderId="25" applyNumberFormat="0">
      <alignment vertical="center"/>
      <protection locked="0"/>
    </xf>
    <xf numFmtId="0" fontId="57" fillId="0" borderId="0"/>
    <xf numFmtId="170" fontId="42" fillId="0" borderId="0" applyNumberFormat="0">
      <alignment vertical="center"/>
    </xf>
    <xf numFmtId="170" fontId="44" fillId="0" borderId="0" applyNumberFormat="0">
      <alignment vertical="center"/>
    </xf>
    <xf numFmtId="0" fontId="54" fillId="57" borderId="0" applyNumberFormat="0" applyBorder="0" applyAlignment="0" applyProtection="0"/>
    <xf numFmtId="0" fontId="10" fillId="88" borderId="0" applyNumberFormat="0" applyBorder="0" applyAlignment="0" applyProtection="0"/>
    <xf numFmtId="0" fontId="54" fillId="57" borderId="0" applyNumberFormat="0" applyBorder="0" applyAlignment="0" applyProtection="0"/>
    <xf numFmtId="0" fontId="54" fillId="60" borderId="0" applyNumberFormat="0" applyBorder="0" applyAlignment="0" applyProtection="0"/>
    <xf numFmtId="0" fontId="10" fillId="89"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10" fillId="90" borderId="0" applyNumberFormat="0" applyBorder="0" applyAlignment="0" applyProtection="0"/>
    <xf numFmtId="0" fontId="54" fillId="63" borderId="0" applyNumberFormat="0" applyBorder="0" applyAlignment="0" applyProtection="0"/>
    <xf numFmtId="0" fontId="54" fillId="64" borderId="0" applyNumberFormat="0" applyBorder="0" applyAlignment="0" applyProtection="0"/>
    <xf numFmtId="0" fontId="10" fillId="84" borderId="0" applyNumberFormat="0" applyBorder="0" applyAlignment="0" applyProtection="0"/>
    <xf numFmtId="0" fontId="54" fillId="64" borderId="0" applyNumberFormat="0" applyBorder="0" applyAlignment="0" applyProtection="0"/>
    <xf numFmtId="0" fontId="54" fillId="66" borderId="0" applyNumberFormat="0" applyBorder="0" applyAlignment="0" applyProtection="0"/>
    <xf numFmtId="0" fontId="10" fillId="85" borderId="0" applyNumberFormat="0" applyBorder="0" applyAlignment="0" applyProtection="0"/>
    <xf numFmtId="0" fontId="54" fillId="66" borderId="0" applyNumberFormat="0" applyBorder="0" applyAlignment="0" applyProtection="0"/>
    <xf numFmtId="0" fontId="54" fillId="70" borderId="0" applyNumberFormat="0" applyBorder="0" applyAlignment="0" applyProtection="0"/>
    <xf numFmtId="0" fontId="10" fillId="91" borderId="0" applyNumberFormat="0" applyBorder="0" applyAlignment="0" applyProtection="0"/>
    <xf numFmtId="0" fontId="54" fillId="70" borderId="0" applyNumberFormat="0" applyBorder="0" applyAlignment="0" applyProtection="0"/>
    <xf numFmtId="0" fontId="58" fillId="53" borderId="19" applyNumberFormat="0" applyAlignment="0" applyProtection="0"/>
    <xf numFmtId="0" fontId="17" fillId="78" borderId="3" applyNumberFormat="0" applyAlignment="0" applyProtection="0"/>
    <xf numFmtId="0" fontId="17" fillId="78" borderId="3" applyNumberFormat="0" applyAlignment="0" applyProtection="0"/>
    <xf numFmtId="0" fontId="58" fillId="53" borderId="19" applyNumberFormat="0" applyAlignment="0" applyProtection="0"/>
    <xf numFmtId="0" fontId="59" fillId="54" borderId="20" applyNumberFormat="0" applyAlignment="0" applyProtection="0"/>
    <xf numFmtId="0" fontId="19" fillId="92" borderId="5" applyNumberFormat="0" applyAlignment="0" applyProtection="0"/>
    <xf numFmtId="0" fontId="19" fillId="92" borderId="5" applyNumberFormat="0" applyAlignment="0" applyProtection="0"/>
    <xf numFmtId="0" fontId="59" fillId="54" borderId="20" applyNumberFormat="0" applyAlignment="0" applyProtection="0"/>
    <xf numFmtId="0" fontId="60" fillId="54" borderId="19" applyNumberFormat="0" applyAlignment="0" applyProtection="0"/>
    <xf numFmtId="0" fontId="21" fillId="92" borderId="3" applyNumberFormat="0" applyAlignment="0" applyProtection="0"/>
    <xf numFmtId="0" fontId="21" fillId="92" borderId="3" applyNumberFormat="0" applyAlignment="0" applyProtection="0"/>
    <xf numFmtId="0" fontId="60" fillId="54" borderId="19" applyNumberFormat="0" applyAlignment="0" applyProtection="0"/>
    <xf numFmtId="164" fontId="40" fillId="0" borderId="0" applyFont="0" applyFill="0" applyBorder="0" applyAlignment="0" applyProtection="0"/>
    <xf numFmtId="164" fontId="40" fillId="0" borderId="0" applyFont="0" applyFill="0" applyBorder="0" applyAlignment="0" applyProtection="0"/>
    <xf numFmtId="0" fontId="61" fillId="0" borderId="16" applyNumberFormat="0" applyFill="0" applyAlignment="0" applyProtection="0"/>
    <xf numFmtId="0" fontId="45" fillId="0" borderId="7" applyNumberFormat="0" applyFill="0" applyAlignment="0" applyProtection="0"/>
    <xf numFmtId="0" fontId="61" fillId="0" borderId="16" applyNumberFormat="0" applyFill="0" applyAlignment="0" applyProtection="0"/>
    <xf numFmtId="0" fontId="62" fillId="0" borderId="17" applyNumberFormat="0" applyFill="0" applyAlignment="0" applyProtection="0"/>
    <xf numFmtId="0" fontId="46" fillId="0" borderId="9" applyNumberFormat="0" applyFill="0" applyAlignment="0" applyProtection="0"/>
    <xf numFmtId="0" fontId="62" fillId="0" borderId="17" applyNumberFormat="0" applyFill="0" applyAlignment="0" applyProtection="0"/>
    <xf numFmtId="0" fontId="63" fillId="0" borderId="18" applyNumberFormat="0" applyFill="0" applyAlignment="0" applyProtection="0"/>
    <xf numFmtId="0" fontId="47" fillId="0" borderId="26" applyNumberFormat="0" applyFill="0" applyAlignment="0" applyProtection="0"/>
    <xf numFmtId="0" fontId="63" fillId="0" borderId="18" applyNumberFormat="0" applyFill="0" applyAlignment="0" applyProtection="0"/>
    <xf numFmtId="0" fontId="63" fillId="0" borderId="0" applyNumberFormat="0" applyFill="0" applyBorder="0" applyAlignment="0" applyProtection="0"/>
    <xf numFmtId="0" fontId="47" fillId="0" borderId="0" applyNumberFormat="0" applyFill="0" applyBorder="0" applyAlignment="0" applyProtection="0"/>
    <xf numFmtId="0" fontId="63" fillId="0" borderId="0" applyNumberFormat="0" applyFill="0" applyBorder="0" applyAlignment="0" applyProtection="0"/>
    <xf numFmtId="0" fontId="64" fillId="0" borderId="24" applyNumberFormat="0" applyFill="0" applyAlignment="0" applyProtection="0"/>
    <xf numFmtId="0" fontId="64" fillId="0" borderId="24" applyNumberFormat="0" applyFill="0" applyAlignment="0" applyProtection="0"/>
    <xf numFmtId="0" fontId="65" fillId="55" borderId="22" applyNumberFormat="0" applyAlignment="0" applyProtection="0"/>
    <xf numFmtId="0" fontId="31" fillId="93" borderId="15" applyNumberFormat="0" applyAlignment="0" applyProtection="0"/>
    <xf numFmtId="0" fontId="65" fillId="55" borderId="22" applyNumberFormat="0" applyAlignment="0" applyProtection="0"/>
    <xf numFmtId="0" fontId="66" fillId="0" borderId="0" applyNumberFormat="0" applyFill="0" applyBorder="0" applyAlignment="0" applyProtection="0"/>
    <xf numFmtId="0" fontId="48" fillId="0" borderId="0" applyNumberFormat="0" applyFill="0" applyBorder="0" applyAlignment="0" applyProtection="0"/>
    <xf numFmtId="0" fontId="67" fillId="52" borderId="0" applyNumberFormat="0" applyBorder="0" applyAlignment="0" applyProtection="0"/>
    <xf numFmtId="0" fontId="34" fillId="94" borderId="0" applyNumberFormat="0" applyBorder="0" applyAlignment="0" applyProtection="0"/>
    <xf numFmtId="0" fontId="67"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0" borderId="0"/>
    <xf numFmtId="0" fontId="41" fillId="0" borderId="0"/>
    <xf numFmtId="0" fontId="7" fillId="0" borderId="0"/>
    <xf numFmtId="0" fontId="7"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0" borderId="0"/>
    <xf numFmtId="0" fontId="8" fillId="0" borderId="0"/>
    <xf numFmtId="0" fontId="39" fillId="0" borderId="0"/>
    <xf numFmtId="0" fontId="70" fillId="51" borderId="0" applyNumberFormat="0" applyBorder="0" applyAlignment="0" applyProtection="0"/>
    <xf numFmtId="0" fontId="49" fillId="74" borderId="0" applyNumberFormat="0" applyBorder="0" applyAlignment="0" applyProtection="0"/>
    <xf numFmtId="0" fontId="70" fillId="51" borderId="0" applyNumberFormat="0" applyBorder="0" applyAlignment="0" applyProtection="0"/>
    <xf numFmtId="0" fontId="71" fillId="0" borderId="0" applyNumberFormat="0" applyFill="0" applyBorder="0" applyAlignment="0" applyProtection="0"/>
    <xf numFmtId="0" fontId="50" fillId="0" borderId="0" applyNumberFormat="0" applyFill="0" applyBorder="0" applyAlignment="0" applyProtection="0"/>
    <xf numFmtId="0" fontId="71" fillId="0" borderId="0" applyNumberFormat="0" applyFill="0" applyBorder="0" applyAlignment="0" applyProtection="0"/>
    <xf numFmtId="0" fontId="7" fillId="56" borderId="23" applyNumberFormat="0" applyFont="0" applyAlignment="0" applyProtection="0"/>
    <xf numFmtId="0" fontId="8" fillId="95" borderId="27" applyNumberFormat="0" applyFont="0" applyAlignment="0" applyProtection="0"/>
    <xf numFmtId="0" fontId="7" fillId="56" borderId="23" applyNumberFormat="0" applyFont="0" applyAlignment="0" applyProtection="0"/>
    <xf numFmtId="0" fontId="8" fillId="95" borderId="27" applyNumberFormat="0" applyFont="0" applyAlignment="0" applyProtection="0"/>
    <xf numFmtId="0" fontId="7" fillId="56" borderId="23" applyNumberFormat="0" applyFont="0" applyAlignment="0" applyProtection="0"/>
    <xf numFmtId="0" fontId="7" fillId="56" borderId="23"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72" fillId="0" borderId="21" applyNumberFormat="0" applyFill="0" applyAlignment="0" applyProtection="0"/>
    <xf numFmtId="0" fontId="51" fillId="0" borderId="28" applyNumberFormat="0" applyFill="0" applyAlignment="0" applyProtection="0"/>
    <xf numFmtId="0" fontId="72" fillId="0" borderId="21" applyNumberFormat="0" applyFill="0" applyAlignment="0" applyProtection="0"/>
    <xf numFmtId="0" fontId="73" fillId="0" borderId="0" applyNumberFormat="0" applyFill="0" applyBorder="0" applyAlignment="0" applyProtection="0"/>
    <xf numFmtId="0" fontId="52" fillId="0" borderId="0" applyNumberFormat="0" applyFill="0" applyBorder="0" applyAlignment="0" applyProtection="0"/>
    <xf numFmtId="0" fontId="73" fillId="0" borderId="0" applyNumberFormat="0" applyFill="0" applyBorder="0" applyAlignment="0" applyProtection="0"/>
    <xf numFmtId="165" fontId="40" fillId="0" borderId="0" applyFont="0" applyFill="0" applyBorder="0" applyAlignment="0" applyProtection="0"/>
    <xf numFmtId="165" fontId="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74" fillId="50" borderId="0" applyNumberFormat="0" applyBorder="0" applyAlignment="0" applyProtection="0"/>
    <xf numFmtId="0" fontId="53" fillId="75" borderId="0" applyNumberFormat="0" applyBorder="0" applyAlignment="0" applyProtection="0"/>
    <xf numFmtId="0" fontId="74" fillId="50" borderId="0" applyNumberFormat="0" applyBorder="0" applyAlignment="0" applyProtection="0"/>
    <xf numFmtId="0" fontId="76" fillId="0" borderId="0" applyNumberFormat="0" applyFill="0" applyBorder="0" applyAlignment="0" applyProtection="0"/>
    <xf numFmtId="0" fontId="39" fillId="0" borderId="0"/>
    <xf numFmtId="0" fontId="38" fillId="98"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9" borderId="0" applyNumberFormat="0" applyBorder="0" applyAlignment="0" applyProtection="0"/>
    <xf numFmtId="0" fontId="38" fillId="100" borderId="0" applyNumberFormat="0" applyBorder="0" applyAlignment="0" applyProtection="0"/>
    <xf numFmtId="0" fontId="38" fillId="100" borderId="0" applyNumberFormat="0" applyBorder="0" applyAlignment="0" applyProtection="0"/>
    <xf numFmtId="0" fontId="38" fillId="103" borderId="0" applyNumberFormat="0" applyBorder="0" applyAlignment="0" applyProtection="0"/>
    <xf numFmtId="0" fontId="38" fillId="103" borderId="0" applyNumberFormat="0" applyBorder="0" applyAlignment="0" applyProtection="0"/>
    <xf numFmtId="0" fontId="38" fillId="101" borderId="0" applyNumberFormat="0" applyBorder="0" applyAlignment="0" applyProtection="0"/>
    <xf numFmtId="0" fontId="38" fillId="101" borderId="0" applyNumberFormat="0" applyBorder="0" applyAlignment="0" applyProtection="0"/>
    <xf numFmtId="0" fontId="54" fillId="102" borderId="0" applyNumberFormat="0" applyBorder="0" applyAlignment="0" applyProtection="0"/>
    <xf numFmtId="0" fontId="54" fillId="102" borderId="0" applyNumberFormat="0" applyBorder="0" applyAlignment="0" applyProtection="0"/>
    <xf numFmtId="0" fontId="54" fillId="104" borderId="0" applyNumberFormat="0" applyBorder="0" applyAlignment="0" applyProtection="0"/>
    <xf numFmtId="0" fontId="54" fillId="104" borderId="0" applyNumberFormat="0" applyBorder="0" applyAlignment="0" applyProtection="0"/>
    <xf numFmtId="0" fontId="54" fillId="105" borderId="0" applyNumberFormat="0" applyBorder="0" applyAlignment="0" applyProtection="0"/>
    <xf numFmtId="0" fontId="54" fillId="105"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68"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 fillId="0" borderId="0" applyFont="0" applyFill="0" applyBorder="0" applyAlignment="0" applyProtection="0"/>
    <xf numFmtId="0" fontId="68" fillId="0" borderId="0"/>
    <xf numFmtId="0" fontId="41" fillId="0" borderId="0"/>
    <xf numFmtId="0" fontId="39" fillId="0" borderId="0"/>
    <xf numFmtId="0" fontId="17" fillId="78" borderId="30" applyNumberFormat="0" applyAlignment="0" applyProtection="0"/>
    <xf numFmtId="0" fontId="17" fillId="78" borderId="30" applyNumberFormat="0" applyAlignment="0" applyProtection="0"/>
    <xf numFmtId="0" fontId="19" fillId="92" borderId="31" applyNumberFormat="0" applyAlignment="0" applyProtection="0"/>
    <xf numFmtId="0" fontId="19" fillId="92" borderId="31" applyNumberFormat="0" applyAlignment="0" applyProtection="0"/>
    <xf numFmtId="0" fontId="21" fillId="92" borderId="30" applyNumberFormat="0" applyAlignment="0" applyProtection="0"/>
    <xf numFmtId="0" fontId="21" fillId="92" borderId="30" applyNumberFormat="0" applyAlignment="0" applyProtection="0"/>
    <xf numFmtId="0" fontId="39" fillId="0" borderId="0"/>
    <xf numFmtId="0" fontId="29" fillId="0" borderId="32" applyNumberFormat="0" applyFill="0" applyAlignment="0" applyProtection="0"/>
    <xf numFmtId="0" fontId="29" fillId="0" borderId="3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0" borderId="0"/>
    <xf numFmtId="0" fontId="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95" borderId="33" applyNumberFormat="0" applyFont="0" applyAlignment="0" applyProtection="0"/>
    <xf numFmtId="0" fontId="8" fillId="95" borderId="33" applyNumberFormat="0" applyFont="0" applyAlignment="0" applyProtection="0"/>
    <xf numFmtId="172" fontId="37" fillId="0" borderId="0" applyFont="0" applyFill="0" applyBorder="0" applyAlignment="0" applyProtection="0"/>
    <xf numFmtId="0" fontId="41" fillId="0" borderId="0"/>
    <xf numFmtId="0" fontId="68" fillId="0" borderId="0"/>
    <xf numFmtId="0" fontId="41" fillId="0" borderId="0"/>
    <xf numFmtId="0" fontId="41" fillId="0" borderId="0"/>
    <xf numFmtId="0" fontId="41"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9" fillId="0" borderId="0"/>
    <xf numFmtId="0" fontId="8" fillId="0" borderId="0"/>
    <xf numFmtId="0" fontId="8" fillId="0" borderId="0"/>
    <xf numFmtId="165" fontId="39" fillId="0" borderId="0" applyFont="0" applyFill="0" applyBorder="0" applyAlignment="0" applyProtection="0"/>
    <xf numFmtId="167" fontId="37" fillId="0" borderId="0" applyFill="0" applyBorder="0" applyAlignment="0" applyProtection="0"/>
    <xf numFmtId="0" fontId="8" fillId="0" borderId="0"/>
    <xf numFmtId="0" fontId="8" fillId="0" borderId="0"/>
    <xf numFmtId="167" fontId="8" fillId="0" borderId="0"/>
    <xf numFmtId="171" fontId="57" fillId="0" borderId="0"/>
    <xf numFmtId="0" fontId="8" fillId="0" borderId="0"/>
    <xf numFmtId="0" fontId="2" fillId="0" borderId="0"/>
    <xf numFmtId="0" fontId="39" fillId="0" borderId="0"/>
    <xf numFmtId="0" fontId="13" fillId="0" borderId="0">
      <alignment horizontal="left"/>
    </xf>
    <xf numFmtId="0" fontId="7" fillId="0" borderId="0"/>
    <xf numFmtId="0" fontId="40" fillId="0" borderId="0"/>
    <xf numFmtId="0" fontId="1" fillId="0" borderId="0"/>
    <xf numFmtId="0" fontId="41" fillId="0" borderId="0"/>
    <xf numFmtId="0" fontId="112" fillId="0" borderId="0" applyNumberFormat="0" applyFill="0" applyBorder="0" applyAlignment="0" applyProtection="0"/>
    <xf numFmtId="0" fontId="39" fillId="0" borderId="0"/>
    <xf numFmtId="0" fontId="120" fillId="0" borderId="0" applyNumberFormat="0" applyFill="0" applyBorder="0" applyAlignment="0" applyProtection="0"/>
  </cellStyleXfs>
  <cellXfs count="1403">
    <xf numFmtId="0" fontId="0" fillId="0" borderId="0" xfId="0"/>
    <xf numFmtId="0" fontId="35" fillId="0" borderId="0" xfId="1539" applyFont="1" applyFill="1" applyAlignment="1">
      <alignment horizontal="left" vertical="top" wrapText="1"/>
    </xf>
    <xf numFmtId="4" fontId="35" fillId="0" borderId="29" xfId="0" applyNumberFormat="1" applyFont="1" applyFill="1" applyBorder="1" applyAlignment="1">
      <alignment horizontal="right" vertical="top" wrapText="1"/>
    </xf>
    <xf numFmtId="0" fontId="35" fillId="0" borderId="0" xfId="0" applyFont="1" applyFill="1" applyAlignment="1">
      <alignment horizontal="right" vertical="top" wrapText="1"/>
    </xf>
    <xf numFmtId="4" fontId="35" fillId="0" borderId="0" xfId="1539" applyNumberFormat="1" applyFont="1" applyFill="1" applyAlignment="1">
      <alignment horizontal="left" vertical="top" wrapText="1"/>
    </xf>
    <xf numFmtId="3" fontId="35" fillId="0" borderId="0" xfId="1539" applyNumberFormat="1" applyFont="1" applyFill="1" applyAlignment="1">
      <alignment horizontal="left" vertical="top" wrapText="1"/>
    </xf>
    <xf numFmtId="3" fontId="35" fillId="0" borderId="0" xfId="1539" applyNumberFormat="1" applyFont="1" applyFill="1" applyAlignment="1">
      <alignment horizontal="center" vertical="top" wrapText="1"/>
    </xf>
    <xf numFmtId="0" fontId="35" fillId="0" borderId="0" xfId="1539" applyFont="1" applyFill="1" applyAlignment="1">
      <alignment horizontal="right" vertical="top" wrapText="1"/>
    </xf>
    <xf numFmtId="168" fontId="35" fillId="0" borderId="0" xfId="1539" applyNumberFormat="1" applyFont="1" applyFill="1" applyAlignment="1">
      <alignment horizontal="right" vertical="top" wrapText="1"/>
    </xf>
    <xf numFmtId="3" fontId="35" fillId="0" borderId="0" xfId="1539" applyNumberFormat="1" applyFont="1" applyFill="1" applyAlignment="1">
      <alignment horizontal="right" vertical="top" wrapText="1"/>
    </xf>
    <xf numFmtId="4" fontId="35" fillId="0" borderId="0" xfId="1539" applyNumberFormat="1" applyFont="1" applyFill="1" applyAlignment="1">
      <alignment horizontal="right" vertical="top" wrapText="1"/>
    </xf>
    <xf numFmtId="4" fontId="36" fillId="0" borderId="0" xfId="1539" applyNumberFormat="1" applyFont="1" applyFill="1" applyAlignment="1">
      <alignment horizontal="center" vertical="top" wrapText="1"/>
    </xf>
    <xf numFmtId="0" fontId="35" fillId="96" borderId="0" xfId="1539" applyFont="1" applyFill="1" applyAlignment="1">
      <alignment vertical="top" wrapText="1"/>
    </xf>
    <xf numFmtId="4" fontId="35" fillId="96" borderId="0" xfId="1539" applyNumberFormat="1" applyFont="1" applyFill="1" applyAlignment="1">
      <alignment horizontal="left" vertical="top" wrapText="1"/>
    </xf>
    <xf numFmtId="4" fontId="35" fillId="0" borderId="0" xfId="0" applyNumberFormat="1" applyFont="1" applyFill="1" applyBorder="1" applyAlignment="1">
      <alignment horizontal="right" vertical="top" wrapText="1"/>
    </xf>
    <xf numFmtId="4" fontId="35" fillId="0" borderId="35" xfId="0" applyNumberFormat="1" applyFont="1" applyFill="1" applyBorder="1" applyAlignment="1">
      <alignment horizontal="right" vertical="top" wrapText="1"/>
    </xf>
    <xf numFmtId="0" fontId="35" fillId="0" borderId="48" xfId="0" applyFont="1" applyFill="1" applyBorder="1" applyAlignment="1">
      <alignment horizontal="left" vertical="top" wrapText="1"/>
    </xf>
    <xf numFmtId="4" fontId="35" fillId="0" borderId="48" xfId="0" applyNumberFormat="1" applyFont="1" applyFill="1" applyBorder="1" applyAlignment="1">
      <alignment horizontal="right" vertical="top" wrapText="1"/>
    </xf>
    <xf numFmtId="3" fontId="35" fillId="0" borderId="0" xfId="1539" applyNumberFormat="1" applyFont="1" applyFill="1" applyAlignment="1">
      <alignment vertical="top" wrapText="1"/>
    </xf>
    <xf numFmtId="0" fontId="35" fillId="106" borderId="0" xfId="0" applyFont="1" applyFill="1" applyBorder="1" applyAlignment="1">
      <alignment vertical="top"/>
    </xf>
    <xf numFmtId="0" fontId="35" fillId="106" borderId="0" xfId="0" applyFont="1" applyFill="1" applyAlignment="1">
      <alignment vertical="top"/>
    </xf>
    <xf numFmtId="0" fontId="35" fillId="107" borderId="0" xfId="0" applyFont="1" applyFill="1" applyAlignment="1">
      <alignment horizontal="left" vertical="top" wrapText="1"/>
    </xf>
    <xf numFmtId="4" fontId="35" fillId="107" borderId="0" xfId="0" applyNumberFormat="1" applyFont="1" applyFill="1" applyAlignment="1">
      <alignment horizontal="center" vertical="top" wrapText="1"/>
    </xf>
    <xf numFmtId="4" fontId="35" fillId="108" borderId="0" xfId="0" applyNumberFormat="1" applyFont="1" applyFill="1" applyAlignment="1">
      <alignment horizontal="left" vertical="top" wrapText="1"/>
    </xf>
    <xf numFmtId="0" fontId="35" fillId="108" borderId="0" xfId="0" applyFont="1" applyFill="1" applyAlignment="1">
      <alignment horizontal="left" vertical="top" wrapText="1"/>
    </xf>
    <xf numFmtId="4" fontId="35" fillId="108" borderId="0" xfId="0" applyNumberFormat="1" applyFont="1" applyFill="1" applyAlignment="1">
      <alignment horizontal="center" vertical="top" wrapText="1"/>
    </xf>
    <xf numFmtId="0" fontId="35" fillId="108" borderId="0" xfId="0" applyFont="1" applyFill="1" applyAlignment="1">
      <alignment vertical="top"/>
    </xf>
    <xf numFmtId="0" fontId="35" fillId="108" borderId="0" xfId="0" applyFont="1" applyFill="1" applyBorder="1" applyAlignment="1">
      <alignment horizontal="left" vertical="top" wrapText="1"/>
    </xf>
    <xf numFmtId="0" fontId="35" fillId="0" borderId="0" xfId="0" applyFont="1" applyFill="1" applyBorder="1" applyAlignment="1">
      <alignment vertical="top" wrapText="1"/>
    </xf>
    <xf numFmtId="0" fontId="35" fillId="0" borderId="0" xfId="1539" applyFont="1" applyFill="1" applyBorder="1" applyAlignment="1">
      <alignment vertical="top" wrapText="1"/>
    </xf>
    <xf numFmtId="0" fontId="35" fillId="0" borderId="81" xfId="0" applyFont="1" applyFill="1" applyBorder="1" applyAlignment="1">
      <alignment horizontal="left" vertical="top" wrapText="1"/>
    </xf>
    <xf numFmtId="0" fontId="75" fillId="0" borderId="0" xfId="0" applyFont="1" applyFill="1" applyAlignment="1">
      <alignment vertical="top"/>
    </xf>
    <xf numFmtId="4" fontId="35" fillId="0" borderId="57" xfId="0" applyNumberFormat="1" applyFont="1" applyFill="1" applyBorder="1" applyAlignment="1">
      <alignment horizontal="right" vertical="top" wrapText="1"/>
    </xf>
    <xf numFmtId="4" fontId="35" fillId="109" borderId="0" xfId="0" applyNumberFormat="1" applyFont="1" applyFill="1" applyAlignment="1">
      <alignment horizontal="right" vertical="top" wrapText="1"/>
    </xf>
    <xf numFmtId="4" fontId="35" fillId="0" borderId="0" xfId="1539" applyNumberFormat="1" applyFont="1" applyFill="1" applyBorder="1" applyAlignment="1">
      <alignment horizontal="center" vertical="center" wrapText="1"/>
    </xf>
    <xf numFmtId="0" fontId="36" fillId="0" borderId="0" xfId="1539" applyFont="1" applyFill="1" applyBorder="1" applyAlignment="1">
      <alignment horizontal="center" vertical="top" wrapText="1"/>
    </xf>
    <xf numFmtId="0" fontId="35" fillId="0" borderId="0" xfId="0" applyFont="1" applyFill="1" applyBorder="1" applyAlignment="1">
      <alignment horizontal="right" vertical="top" wrapText="1"/>
    </xf>
    <xf numFmtId="0" fontId="35" fillId="97" borderId="0" xfId="0" applyFont="1" applyFill="1" applyBorder="1" applyAlignment="1">
      <alignment horizontal="left" vertical="top"/>
    </xf>
    <xf numFmtId="4" fontId="35" fillId="108" borderId="0" xfId="0" applyNumberFormat="1" applyFont="1" applyFill="1" applyAlignment="1">
      <alignment horizontal="right" vertical="top" wrapText="1"/>
    </xf>
    <xf numFmtId="4" fontId="36" fillId="108" borderId="0" xfId="1539" applyNumberFormat="1" applyFont="1" applyFill="1" applyAlignment="1">
      <alignment horizontal="left" vertical="top" wrapText="1"/>
    </xf>
    <xf numFmtId="4" fontId="35" fillId="108" borderId="0" xfId="0" applyNumberFormat="1" applyFont="1" applyFill="1" applyBorder="1" applyAlignment="1">
      <alignment horizontal="right" vertical="top" wrapText="1"/>
    </xf>
    <xf numFmtId="4" fontId="35" fillId="108" borderId="0" xfId="0" quotePrefix="1" applyNumberFormat="1" applyFont="1" applyFill="1" applyBorder="1" applyAlignment="1">
      <alignment horizontal="right" vertical="top" wrapText="1"/>
    </xf>
    <xf numFmtId="4" fontId="35" fillId="108" borderId="0" xfId="0" applyNumberFormat="1" applyFont="1" applyFill="1" applyBorder="1" applyAlignment="1">
      <alignment horizontal="left" vertical="top" wrapText="1"/>
    </xf>
    <xf numFmtId="0" fontId="35" fillId="107" borderId="0" xfId="0" applyFont="1" applyFill="1" applyBorder="1" applyAlignment="1">
      <alignment horizontal="left" vertical="top" wrapText="1"/>
    </xf>
    <xf numFmtId="4" fontId="35" fillId="107" borderId="0" xfId="0" applyNumberFormat="1" applyFont="1" applyFill="1" applyBorder="1" applyAlignment="1">
      <alignment horizontal="right" vertical="top" wrapText="1"/>
    </xf>
    <xf numFmtId="4" fontId="36" fillId="107" borderId="0" xfId="1539" applyNumberFormat="1" applyFont="1" applyFill="1" applyAlignment="1">
      <alignment horizontal="left" vertical="top" wrapText="1"/>
    </xf>
    <xf numFmtId="4" fontId="35" fillId="107" borderId="0" xfId="0" applyNumberFormat="1" applyFont="1" applyFill="1" applyAlignment="1">
      <alignment horizontal="right" vertical="top" wrapText="1"/>
    </xf>
    <xf numFmtId="4" fontId="35" fillId="107" borderId="0" xfId="17897" quotePrefix="1" applyNumberFormat="1" applyFont="1" applyFill="1" applyBorder="1" applyAlignment="1">
      <alignment horizontal="right" vertical="top" wrapText="1"/>
    </xf>
    <xf numFmtId="0" fontId="35" fillId="110" borderId="0" xfId="0" applyFont="1" applyFill="1" applyBorder="1" applyAlignment="1">
      <alignment horizontal="left" vertical="top" wrapText="1"/>
    </xf>
    <xf numFmtId="4" fontId="35" fillId="110" borderId="0" xfId="0" applyNumberFormat="1" applyFont="1" applyFill="1" applyBorder="1" applyAlignment="1">
      <alignment horizontal="right" vertical="top" wrapText="1"/>
    </xf>
    <xf numFmtId="4" fontId="35" fillId="110" borderId="0" xfId="0" applyNumberFormat="1" applyFont="1" applyFill="1" applyAlignment="1">
      <alignment horizontal="center" vertical="top" wrapText="1"/>
    </xf>
    <xf numFmtId="4" fontId="35" fillId="110" borderId="0" xfId="0" applyNumberFormat="1" applyFont="1" applyFill="1" applyBorder="1" applyAlignment="1">
      <alignment horizontal="center" vertical="top" wrapText="1"/>
    </xf>
    <xf numFmtId="4" fontId="35" fillId="110" borderId="0" xfId="0" applyNumberFormat="1" applyFont="1" applyFill="1" applyAlignment="1">
      <alignment horizontal="right" vertical="top" wrapText="1"/>
    </xf>
    <xf numFmtId="4" fontId="36" fillId="110" borderId="0" xfId="1539" applyNumberFormat="1" applyFont="1" applyFill="1" applyAlignment="1">
      <alignment horizontal="left" vertical="top" wrapText="1"/>
    </xf>
    <xf numFmtId="0" fontId="35" fillId="110" borderId="0" xfId="0" applyFont="1" applyFill="1" applyAlignment="1">
      <alignment horizontal="left" vertical="top" wrapText="1"/>
    </xf>
    <xf numFmtId="4" fontId="35" fillId="110" borderId="0" xfId="0" quotePrefix="1" applyNumberFormat="1" applyFont="1" applyFill="1" applyBorder="1" applyAlignment="1">
      <alignment horizontal="right" vertical="top" wrapText="1"/>
    </xf>
    <xf numFmtId="0" fontId="35" fillId="109" borderId="0" xfId="0" applyFont="1" applyFill="1" applyBorder="1" applyAlignment="1">
      <alignment horizontal="left" vertical="top" wrapText="1"/>
    </xf>
    <xf numFmtId="4" fontId="35" fillId="109" borderId="0" xfId="0" applyNumberFormat="1" applyFont="1" applyFill="1" applyAlignment="1">
      <alignment horizontal="center" vertical="top" wrapText="1"/>
    </xf>
    <xf numFmtId="4" fontId="36" fillId="109" borderId="0" xfId="1539" applyNumberFormat="1" applyFont="1" applyFill="1" applyAlignment="1">
      <alignment horizontal="left" vertical="top" wrapText="1"/>
    </xf>
    <xf numFmtId="0" fontId="35" fillId="109" borderId="0" xfId="0" applyFont="1" applyFill="1" applyAlignment="1">
      <alignment horizontal="left" vertical="top" wrapText="1"/>
    </xf>
    <xf numFmtId="4" fontId="35" fillId="109" borderId="0" xfId="22877" quotePrefix="1" applyNumberFormat="1" applyFont="1" applyFill="1" applyBorder="1" applyAlignment="1">
      <alignment horizontal="right" vertical="top" wrapText="1"/>
    </xf>
    <xf numFmtId="4" fontId="35" fillId="109" borderId="0" xfId="0" applyNumberFormat="1" applyFont="1" applyFill="1" applyBorder="1" applyAlignment="1">
      <alignment horizontal="right" vertical="top" wrapText="1"/>
    </xf>
    <xf numFmtId="0" fontId="35" fillId="96" borderId="0" xfId="1539" applyFont="1" applyFill="1" applyBorder="1" applyAlignment="1">
      <alignment vertical="top" wrapText="1"/>
    </xf>
    <xf numFmtId="4" fontId="35" fillId="96" borderId="0" xfId="0" applyNumberFormat="1" applyFont="1" applyFill="1" applyAlignment="1">
      <alignment horizontal="right" vertical="top" wrapText="1"/>
    </xf>
    <xf numFmtId="0" fontId="98" fillId="0" borderId="0" xfId="0" applyFont="1" applyFill="1" applyBorder="1" applyAlignment="1">
      <alignment horizontal="right" vertical="top" wrapText="1"/>
    </xf>
    <xf numFmtId="0" fontId="98" fillId="0" borderId="0" xfId="0" applyFont="1" applyFill="1" applyBorder="1" applyAlignment="1">
      <alignment vertical="top" wrapText="1"/>
    </xf>
    <xf numFmtId="168" fontId="35" fillId="0" borderId="88" xfId="0" applyNumberFormat="1" applyFont="1" applyFill="1" applyBorder="1" applyAlignment="1">
      <alignment horizontal="right" vertical="top" wrapText="1"/>
    </xf>
    <xf numFmtId="168" fontId="35" fillId="0" borderId="88" xfId="0" applyNumberFormat="1" applyFont="1" applyFill="1" applyBorder="1" applyAlignment="1">
      <alignment horizontal="right" vertical="top"/>
    </xf>
    <xf numFmtId="3" fontId="35" fillId="0" borderId="88" xfId="0" applyNumberFormat="1" applyFont="1" applyFill="1" applyBorder="1" applyAlignment="1">
      <alignment horizontal="right" vertical="top" wrapText="1"/>
    </xf>
    <xf numFmtId="3" fontId="35" fillId="0" borderId="88" xfId="0" applyNumberFormat="1" applyFont="1" applyFill="1" applyBorder="1" applyAlignment="1">
      <alignment horizontal="right" vertical="top"/>
    </xf>
    <xf numFmtId="4" fontId="35" fillId="0" borderId="88" xfId="0" applyNumberFormat="1" applyFont="1" applyFill="1" applyBorder="1" applyAlignment="1">
      <alignment horizontal="right" vertical="top" wrapText="1"/>
    </xf>
    <xf numFmtId="0" fontId="80" fillId="0" borderId="0" xfId="0" applyFont="1" applyFill="1" applyBorder="1" applyAlignment="1">
      <alignment horizontal="left" vertical="top"/>
    </xf>
    <xf numFmtId="4" fontId="35" fillId="0" borderId="0" xfId="0" applyNumberFormat="1" applyFont="1" applyFill="1" applyBorder="1" applyAlignment="1">
      <alignment horizontal="left" vertical="top" wrapText="1"/>
    </xf>
    <xf numFmtId="1" fontId="35" fillId="0" borderId="88" xfId="0" applyNumberFormat="1" applyFont="1" applyFill="1" applyBorder="1" applyAlignment="1">
      <alignment horizontal="right" vertical="top" wrapText="1"/>
    </xf>
    <xf numFmtId="4" fontId="35" fillId="0" borderId="88" xfId="0" applyNumberFormat="1" applyFont="1" applyFill="1" applyBorder="1" applyAlignment="1">
      <alignment vertical="top" wrapText="1"/>
    </xf>
    <xf numFmtId="0" fontId="35" fillId="0" borderId="0" xfId="0" applyFont="1" applyFill="1" applyBorder="1" applyAlignment="1">
      <alignment vertical="top"/>
    </xf>
    <xf numFmtId="0" fontId="35" fillId="0" borderId="88" xfId="0" applyFont="1" applyFill="1" applyBorder="1" applyAlignment="1">
      <alignment horizontal="right" vertical="top"/>
    </xf>
    <xf numFmtId="0" fontId="35" fillId="0" borderId="88" xfId="0" applyFont="1" applyFill="1" applyBorder="1" applyAlignment="1">
      <alignment horizontal="center" vertical="top" wrapText="1"/>
    </xf>
    <xf numFmtId="0" fontId="35" fillId="0" borderId="0" xfId="0" applyFont="1" applyFill="1" applyBorder="1" applyAlignment="1">
      <alignment horizontal="left" vertical="top"/>
    </xf>
    <xf numFmtId="0" fontId="101" fillId="0" borderId="0" xfId="0" applyFont="1" applyFill="1" applyBorder="1" applyAlignment="1">
      <alignment vertical="top"/>
    </xf>
    <xf numFmtId="3" fontId="99" fillId="0" borderId="0" xfId="1539" applyNumberFormat="1" applyFont="1" applyFill="1" applyAlignment="1">
      <alignment horizontal="center" vertical="top" wrapText="1"/>
    </xf>
    <xf numFmtId="0" fontId="99" fillId="0" borderId="0" xfId="0" applyFont="1" applyFill="1" applyAlignment="1">
      <alignment vertical="top"/>
    </xf>
    <xf numFmtId="0" fontId="99" fillId="0" borderId="0" xfId="0" applyFont="1" applyFill="1" applyAlignment="1">
      <alignment horizontal="left" vertical="top" wrapText="1"/>
    </xf>
    <xf numFmtId="4" fontId="99" fillId="0" borderId="0" xfId="0" applyNumberFormat="1" applyFont="1" applyFill="1" applyAlignment="1">
      <alignment horizontal="left" vertical="top" wrapText="1"/>
    </xf>
    <xf numFmtId="4" fontId="99" fillId="0" borderId="0" xfId="0" applyNumberFormat="1" applyFont="1" applyFill="1" applyAlignment="1">
      <alignment horizontal="right" vertical="top" wrapText="1"/>
    </xf>
    <xf numFmtId="0" fontId="100" fillId="0" borderId="0" xfId="0" applyFont="1" applyFill="1" applyBorder="1" applyAlignment="1">
      <alignment vertical="top" wrapText="1"/>
    </xf>
    <xf numFmtId="0" fontId="102" fillId="0" borderId="0" xfId="0" applyFont="1" applyFill="1" applyBorder="1" applyAlignment="1">
      <alignment horizontal="left" vertical="top"/>
    </xf>
    <xf numFmtId="0" fontId="99" fillId="0" borderId="0" xfId="0" applyFont="1" applyFill="1" applyAlignment="1">
      <alignment vertical="top" wrapText="1"/>
    </xf>
    <xf numFmtId="0" fontId="35" fillId="0" borderId="88" xfId="0" applyFont="1" applyFill="1" applyBorder="1" applyAlignment="1">
      <alignment horizontal="left" vertical="top"/>
    </xf>
    <xf numFmtId="0" fontId="99" fillId="0" borderId="0" xfId="0" applyFont="1" applyFill="1" applyBorder="1" applyAlignment="1">
      <alignment vertical="top" wrapText="1"/>
    </xf>
    <xf numFmtId="0" fontId="80" fillId="0" borderId="0" xfId="0" applyFont="1" applyFill="1" applyBorder="1" applyAlignment="1">
      <alignment vertical="top"/>
    </xf>
    <xf numFmtId="0" fontId="102" fillId="0" borderId="0" xfId="0" applyFont="1" applyFill="1" applyBorder="1" applyAlignment="1">
      <alignment vertical="top"/>
    </xf>
    <xf numFmtId="0" fontId="37" fillId="0" borderId="0" xfId="0" applyFont="1" applyFill="1" applyBorder="1" applyAlignment="1">
      <alignment vertical="top"/>
    </xf>
    <xf numFmtId="0" fontId="103" fillId="0" borderId="0" xfId="0" applyFont="1" applyFill="1" applyAlignment="1">
      <alignment vertical="top"/>
    </xf>
    <xf numFmtId="0" fontId="99" fillId="0" borderId="0" xfId="0" applyFont="1" applyFill="1" applyBorder="1" applyAlignment="1">
      <alignment horizontal="left" vertical="top" wrapText="1"/>
    </xf>
    <xf numFmtId="1" fontId="35" fillId="0" borderId="88" xfId="0" applyNumberFormat="1" applyFont="1" applyFill="1" applyBorder="1" applyAlignment="1">
      <alignment horizontal="center" vertical="top" wrapText="1"/>
    </xf>
    <xf numFmtId="0" fontId="106" fillId="0" borderId="0" xfId="0" applyFont="1" applyFill="1" applyBorder="1" applyAlignment="1">
      <alignment vertical="top"/>
    </xf>
    <xf numFmtId="0" fontId="107" fillId="0" borderId="0" xfId="0" applyFont="1" applyFill="1" applyBorder="1" applyAlignment="1">
      <alignment vertical="top"/>
    </xf>
    <xf numFmtId="0" fontId="102" fillId="0" borderId="0" xfId="0" applyFont="1" applyFill="1" applyAlignment="1">
      <alignment vertical="top"/>
    </xf>
    <xf numFmtId="0" fontId="99" fillId="0" borderId="0" xfId="1540" applyFont="1" applyFill="1" applyBorder="1" applyAlignment="1">
      <alignment horizontal="left" vertical="top" wrapText="1"/>
    </xf>
    <xf numFmtId="0" fontId="109" fillId="0" borderId="0" xfId="0" applyFont="1" applyFill="1" applyBorder="1" applyAlignment="1">
      <alignment horizontal="left" vertical="top"/>
    </xf>
    <xf numFmtId="0" fontId="110" fillId="0" borderId="0" xfId="0" applyFont="1" applyFill="1" applyBorder="1" applyAlignment="1">
      <alignment vertical="top"/>
    </xf>
    <xf numFmtId="0" fontId="78" fillId="0" borderId="0" xfId="0" applyFont="1" applyFill="1" applyBorder="1" applyAlignment="1">
      <alignment vertical="top"/>
    </xf>
    <xf numFmtId="0" fontId="99" fillId="0" borderId="0" xfId="1539" applyFont="1" applyFill="1" applyBorder="1" applyAlignment="1">
      <alignment vertical="top" wrapText="1"/>
    </xf>
    <xf numFmtId="1" fontId="35" fillId="0" borderId="88" xfId="0" applyNumberFormat="1" applyFont="1" applyFill="1" applyBorder="1" applyAlignment="1">
      <alignment horizontal="left" vertical="top" wrapText="1"/>
    </xf>
    <xf numFmtId="0" fontId="99" fillId="0" borderId="0" xfId="0" applyFont="1" applyFill="1" applyAlignment="1">
      <alignment horizontal="right" vertical="top" wrapText="1"/>
    </xf>
    <xf numFmtId="0" fontId="35" fillId="97" borderId="0" xfId="0" applyFont="1" applyFill="1" applyAlignment="1">
      <alignment horizontal="left" vertical="top"/>
    </xf>
    <xf numFmtId="0" fontId="99" fillId="0" borderId="0" xfId="0" applyFont="1" applyFill="1" applyBorder="1" applyAlignment="1">
      <alignment horizontal="right" vertical="top" wrapText="1"/>
    </xf>
    <xf numFmtId="4" fontId="35" fillId="0" borderId="73" xfId="0" applyNumberFormat="1" applyFont="1" applyFill="1" applyBorder="1" applyAlignment="1">
      <alignment horizontal="center" vertical="top" wrapText="1"/>
    </xf>
    <xf numFmtId="1" fontId="35" fillId="0" borderId="63" xfId="0" applyNumberFormat="1" applyFont="1" applyFill="1" applyBorder="1" applyAlignment="1">
      <alignment horizontal="center" vertical="top" wrapText="1"/>
    </xf>
    <xf numFmtId="1" fontId="35" fillId="0" borderId="84" xfId="0" applyNumberFormat="1" applyFont="1" applyFill="1" applyBorder="1" applyAlignment="1">
      <alignment horizontal="center" vertical="top" wrapText="1"/>
    </xf>
    <xf numFmtId="0" fontId="111" fillId="0" borderId="0" xfId="0" applyFont="1" applyFill="1" applyBorder="1" applyAlignment="1">
      <alignment vertical="top"/>
    </xf>
    <xf numFmtId="0" fontId="35" fillId="0" borderId="0" xfId="0" applyFont="1" applyFill="1" applyAlignment="1">
      <alignment vertical="top"/>
    </xf>
    <xf numFmtId="0" fontId="35" fillId="0" borderId="0" xfId="22875" applyFont="1" applyFill="1" applyBorder="1" applyAlignment="1">
      <alignment horizontal="center" vertical="top" wrapText="1"/>
    </xf>
    <xf numFmtId="0" fontId="100" fillId="0" borderId="0" xfId="1539" applyFont="1" applyFill="1" applyBorder="1" applyAlignment="1">
      <alignment vertical="top" wrapText="1"/>
    </xf>
    <xf numFmtId="0" fontId="99" fillId="0" borderId="0" xfId="0" applyFont="1" applyFill="1" applyBorder="1" applyAlignment="1">
      <alignment vertical="top"/>
    </xf>
    <xf numFmtId="171" fontId="99" fillId="0" borderId="0" xfId="17890" applyNumberFormat="1" applyFont="1" applyFill="1" applyBorder="1" applyAlignment="1">
      <alignment vertical="top"/>
    </xf>
    <xf numFmtId="0" fontId="99" fillId="0" borderId="0" xfId="22875" applyFont="1" applyFill="1" applyBorder="1" applyAlignment="1">
      <alignment vertical="top"/>
    </xf>
    <xf numFmtId="0" fontId="99" fillId="0" borderId="0" xfId="0" applyFont="1" applyFill="1" applyBorder="1" applyAlignment="1">
      <alignment horizontal="center" vertical="top" wrapText="1"/>
    </xf>
    <xf numFmtId="0" fontId="99" fillId="0" borderId="0" xfId="17897" applyFont="1" applyFill="1" applyAlignment="1">
      <alignment vertical="top" wrapText="1"/>
    </xf>
    <xf numFmtId="0" fontId="35" fillId="0" borderId="74" xfId="0" applyFont="1" applyFill="1" applyBorder="1" applyAlignment="1">
      <alignment vertical="top" wrapText="1"/>
    </xf>
    <xf numFmtId="4" fontId="35" fillId="0" borderId="84" xfId="0" applyNumberFormat="1" applyFont="1" applyFill="1" applyBorder="1" applyAlignment="1">
      <alignment horizontal="right" vertical="top" wrapText="1"/>
    </xf>
    <xf numFmtId="4" fontId="35" fillId="0" borderId="86" xfId="0" applyNumberFormat="1" applyFont="1" applyFill="1" applyBorder="1" applyAlignment="1">
      <alignment horizontal="right" vertical="top" wrapText="1"/>
    </xf>
    <xf numFmtId="0" fontId="78" fillId="0" borderId="0" xfId="0" applyFont="1" applyFill="1" applyBorder="1" applyAlignment="1">
      <alignment horizontal="left" vertical="top" wrapText="1"/>
    </xf>
    <xf numFmtId="4" fontId="35" fillId="0" borderId="0" xfId="0" quotePrefix="1" applyNumberFormat="1" applyFont="1" applyFill="1" applyBorder="1" applyAlignment="1">
      <alignment horizontal="right" vertical="top" wrapText="1"/>
    </xf>
    <xf numFmtId="0" fontId="35" fillId="0" borderId="74" xfId="0" applyFont="1" applyFill="1" applyBorder="1" applyAlignment="1">
      <alignment horizontal="left" vertical="top" wrapText="1"/>
    </xf>
    <xf numFmtId="0" fontId="35" fillId="0" borderId="74" xfId="0" applyFont="1" applyFill="1" applyBorder="1" applyAlignment="1">
      <alignment horizontal="center" vertical="top" wrapText="1"/>
    </xf>
    <xf numFmtId="0" fontId="35" fillId="0" borderId="74" xfId="0" applyFont="1" applyFill="1" applyBorder="1" applyAlignment="1">
      <alignment horizontal="right" vertical="top" wrapText="1"/>
    </xf>
    <xf numFmtId="0" fontId="114" fillId="0" borderId="0" xfId="0" applyFont="1" applyFill="1" applyBorder="1" applyAlignment="1">
      <alignment vertical="top" wrapText="1"/>
    </xf>
    <xf numFmtId="4" fontId="114" fillId="0" borderId="0" xfId="0" applyNumberFormat="1" applyFont="1" applyFill="1" applyBorder="1" applyAlignment="1">
      <alignment horizontal="left" vertical="top" wrapText="1"/>
    </xf>
    <xf numFmtId="0" fontId="114" fillId="0" borderId="0" xfId="1539" applyFont="1" applyFill="1" applyBorder="1" applyAlignment="1">
      <alignment horizontal="left" vertical="top" wrapText="1"/>
    </xf>
    <xf numFmtId="0" fontId="114" fillId="0" borderId="0" xfId="0" applyFont="1" applyFill="1" applyBorder="1" applyAlignment="1">
      <alignment horizontal="left" vertical="top" wrapText="1"/>
    </xf>
    <xf numFmtId="4" fontId="114" fillId="0" borderId="0" xfId="0" applyNumberFormat="1" applyFont="1" applyFill="1" applyAlignment="1">
      <alignment horizontal="right" vertical="top" wrapText="1"/>
    </xf>
    <xf numFmtId="0" fontId="114" fillId="0" borderId="0" xfId="0" applyFont="1" applyFill="1" applyAlignment="1">
      <alignment horizontal="left" vertical="top" wrapText="1"/>
    </xf>
    <xf numFmtId="0" fontId="114" fillId="0" borderId="0" xfId="0" applyFont="1" applyFill="1" applyAlignment="1">
      <alignment vertical="top"/>
    </xf>
    <xf numFmtId="0" fontId="114" fillId="0" borderId="0" xfId="0" applyFont="1" applyFill="1" applyBorder="1" applyAlignment="1">
      <alignment horizontal="right" vertical="top" wrapText="1"/>
    </xf>
    <xf numFmtId="0" fontId="114" fillId="0" borderId="0" xfId="0" applyFont="1" applyFill="1" applyBorder="1" applyAlignment="1">
      <alignment vertical="top"/>
    </xf>
    <xf numFmtId="0" fontId="114" fillId="0" borderId="88" xfId="0" applyFont="1" applyFill="1" applyBorder="1" applyAlignment="1">
      <alignment horizontal="left" vertical="top" wrapText="1"/>
    </xf>
    <xf numFmtId="1" fontId="35" fillId="0" borderId="74" xfId="0" applyNumberFormat="1" applyFont="1" applyFill="1" applyBorder="1" applyAlignment="1">
      <alignment horizontal="left" vertical="top" wrapText="1"/>
    </xf>
    <xf numFmtId="0" fontId="116" fillId="0" borderId="0" xfId="0" applyFont="1" applyFill="1" applyBorder="1" applyAlignment="1">
      <alignment vertical="top"/>
    </xf>
    <xf numFmtId="0" fontId="35" fillId="0" borderId="0" xfId="0" applyFont="1" applyFill="1" applyAlignment="1">
      <alignment horizontal="center" vertical="top"/>
    </xf>
    <xf numFmtId="4" fontId="114" fillId="0" borderId="0" xfId="0" applyNumberFormat="1" applyFont="1" applyFill="1" applyBorder="1" applyAlignment="1">
      <alignment horizontal="right" vertical="top" wrapText="1"/>
    </xf>
    <xf numFmtId="0" fontId="114" fillId="0" borderId="0" xfId="1539" applyFont="1" applyFill="1" applyBorder="1" applyAlignment="1">
      <alignment vertical="top" wrapText="1"/>
    </xf>
    <xf numFmtId="0" fontId="114" fillId="0" borderId="0" xfId="0" applyFont="1" applyFill="1" applyBorder="1" applyAlignment="1">
      <alignment horizontal="left" vertical="top"/>
    </xf>
    <xf numFmtId="4" fontId="114" fillId="0" borderId="0" xfId="0" applyNumberFormat="1" applyFont="1" applyFill="1" applyAlignment="1">
      <alignment horizontal="left" vertical="top" wrapText="1"/>
    </xf>
    <xf numFmtId="0" fontId="118" fillId="0" borderId="0" xfId="0" applyFont="1" applyFill="1" applyAlignment="1">
      <alignment vertical="top"/>
    </xf>
    <xf numFmtId="0" fontId="35" fillId="0" borderId="84" xfId="0" applyFont="1" applyFill="1" applyBorder="1" applyAlignment="1">
      <alignment horizontal="left" vertical="top" wrapText="1"/>
    </xf>
    <xf numFmtId="1" fontId="35" fillId="0" borderId="92" xfId="0" applyNumberFormat="1" applyFont="1" applyFill="1" applyBorder="1" applyAlignment="1">
      <alignment horizontal="center" vertical="top" wrapText="1"/>
    </xf>
    <xf numFmtId="0" fontId="114" fillId="0" borderId="0" xfId="22875" applyFont="1" applyFill="1" applyBorder="1" applyAlignment="1">
      <alignment horizontal="left" vertical="top" wrapText="1"/>
    </xf>
    <xf numFmtId="0" fontId="116" fillId="0" borderId="0" xfId="1539" applyFont="1" applyFill="1" applyBorder="1" applyAlignment="1">
      <alignment vertical="top" wrapText="1"/>
    </xf>
    <xf numFmtId="0" fontId="119" fillId="0" borderId="0" xfId="1539" applyFont="1" applyFill="1" applyBorder="1" applyAlignment="1">
      <alignment vertical="top" wrapText="1"/>
    </xf>
    <xf numFmtId="0" fontId="35" fillId="0" borderId="92" xfId="0" applyFont="1" applyFill="1" applyBorder="1" applyAlignment="1">
      <alignment horizontal="center" vertical="top" wrapText="1"/>
    </xf>
    <xf numFmtId="0" fontId="35" fillId="0" borderId="81" xfId="0" applyFont="1" applyFill="1" applyBorder="1" applyAlignment="1">
      <alignment horizontal="center" vertical="top" wrapText="1"/>
    </xf>
    <xf numFmtId="0" fontId="117" fillId="0" borderId="0" xfId="0" applyFont="1" applyFill="1" applyBorder="1" applyAlignment="1">
      <alignment vertical="top"/>
    </xf>
    <xf numFmtId="0" fontId="35" fillId="0" borderId="0" xfId="0" applyFont="1" applyFill="1" applyAlignment="1">
      <alignment horizontal="left" vertical="top" wrapText="1"/>
    </xf>
    <xf numFmtId="0" fontId="35" fillId="0" borderId="92" xfId="0" applyFont="1" applyFill="1" applyBorder="1" applyAlignment="1">
      <alignment vertical="top" wrapText="1"/>
    </xf>
    <xf numFmtId="0" fontId="35" fillId="0" borderId="92" xfId="0" applyFont="1" applyFill="1" applyBorder="1" applyAlignment="1">
      <alignment horizontal="right" vertical="top" wrapText="1"/>
    </xf>
    <xf numFmtId="0" fontId="35" fillId="0" borderId="92" xfId="0" applyFont="1" applyFill="1" applyBorder="1" applyAlignment="1">
      <alignment horizontal="right" vertical="top"/>
    </xf>
    <xf numFmtId="4" fontId="35" fillId="0" borderId="85" xfId="0" applyNumberFormat="1" applyFont="1" applyFill="1" applyBorder="1" applyAlignment="1">
      <alignment horizontal="right" vertical="top" wrapText="1"/>
    </xf>
    <xf numFmtId="3" fontId="35" fillId="0" borderId="92" xfId="0" applyNumberFormat="1" applyFont="1" applyFill="1" applyBorder="1" applyAlignment="1">
      <alignment horizontal="right" vertical="top" wrapText="1"/>
    </xf>
    <xf numFmtId="0" fontId="35" fillId="0" borderId="96" xfId="0" applyFont="1" applyFill="1" applyBorder="1" applyAlignment="1">
      <alignment horizontal="center" vertical="top" wrapText="1"/>
    </xf>
    <xf numFmtId="168" fontId="35" fillId="0" borderId="92" xfId="0" applyNumberFormat="1" applyFont="1" applyFill="1" applyBorder="1" applyAlignment="1">
      <alignment horizontal="right" vertical="top" wrapText="1"/>
    </xf>
    <xf numFmtId="49" fontId="35" fillId="0" borderId="92" xfId="0" applyNumberFormat="1" applyFont="1" applyFill="1" applyBorder="1" applyAlignment="1">
      <alignment horizontal="right" vertical="top" wrapText="1"/>
    </xf>
    <xf numFmtId="168" fontId="35" fillId="106" borderId="0" xfId="0" applyNumberFormat="1" applyFont="1" applyFill="1" applyAlignment="1">
      <alignment vertical="top"/>
    </xf>
    <xf numFmtId="4" fontId="35" fillId="0" borderId="98" xfId="0" applyNumberFormat="1" applyFont="1" applyFill="1" applyBorder="1" applyAlignment="1">
      <alignment horizontal="right" vertical="top" wrapText="1"/>
    </xf>
    <xf numFmtId="1" fontId="35" fillId="0" borderId="98" xfId="0" applyNumberFormat="1" applyFont="1" applyFill="1" applyBorder="1" applyAlignment="1">
      <alignment horizontal="center" vertical="top" wrapText="1"/>
    </xf>
    <xf numFmtId="0" fontId="35" fillId="0" borderId="88" xfId="0" applyFont="1" applyFill="1" applyBorder="1" applyAlignment="1">
      <alignment horizontal="left" vertical="top" wrapText="1"/>
    </xf>
    <xf numFmtId="0" fontId="35" fillId="0" borderId="29" xfId="0" applyFont="1" applyFill="1" applyBorder="1" applyAlignment="1">
      <alignment horizontal="left" vertical="top" wrapText="1"/>
    </xf>
    <xf numFmtId="0" fontId="108" fillId="0" borderId="0" xfId="0" applyFont="1" applyFill="1" applyBorder="1" applyAlignment="1">
      <alignment horizontal="left" vertical="top"/>
    </xf>
    <xf numFmtId="3" fontId="35" fillId="0" borderId="98" xfId="0" applyNumberFormat="1" applyFont="1" applyFill="1" applyBorder="1" applyAlignment="1">
      <alignment horizontal="center" vertical="top" wrapText="1"/>
    </xf>
    <xf numFmtId="168" fontId="35" fillId="0" borderId="0" xfId="0" applyNumberFormat="1" applyFont="1" applyFill="1" applyAlignment="1">
      <alignment vertical="top"/>
    </xf>
    <xf numFmtId="49" fontId="35" fillId="0" borderId="96" xfId="0" applyNumberFormat="1" applyFont="1" applyFill="1" applyBorder="1" applyAlignment="1">
      <alignment horizontal="right" vertical="top" wrapText="1"/>
    </xf>
    <xf numFmtId="1" fontId="35" fillId="0" borderId="29" xfId="0" applyNumberFormat="1" applyFont="1" applyFill="1" applyBorder="1" applyAlignment="1">
      <alignment horizontal="right" vertical="top"/>
    </xf>
    <xf numFmtId="49" fontId="35" fillId="0" borderId="49" xfId="0" applyNumberFormat="1" applyFont="1" applyFill="1" applyBorder="1" applyAlignment="1">
      <alignment horizontal="right" vertical="top" wrapText="1"/>
    </xf>
    <xf numFmtId="0" fontId="35" fillId="0" borderId="73" xfId="0" applyFont="1" applyFill="1" applyBorder="1" applyAlignment="1">
      <alignment horizontal="center" vertical="top" wrapText="1"/>
    </xf>
    <xf numFmtId="1" fontId="35" fillId="0" borderId="29" xfId="0" applyNumberFormat="1" applyFont="1" applyFill="1" applyBorder="1" applyAlignment="1">
      <alignment horizontal="right" vertical="top" wrapText="1"/>
    </xf>
    <xf numFmtId="0" fontId="35" fillId="0" borderId="29" xfId="19567" applyFont="1" applyFill="1" applyBorder="1" applyAlignment="1">
      <alignment horizontal="left" vertical="top" wrapText="1"/>
    </xf>
    <xf numFmtId="49" fontId="35" fillId="0" borderId="73" xfId="0" applyNumberFormat="1" applyFont="1" applyFill="1" applyBorder="1" applyAlignment="1">
      <alignment horizontal="right" vertical="top" wrapText="1"/>
    </xf>
    <xf numFmtId="4" fontId="35" fillId="0" borderId="0" xfId="17897" quotePrefix="1" applyNumberFormat="1" applyFont="1" applyFill="1" applyBorder="1" applyAlignment="1">
      <alignment horizontal="right" vertical="top" wrapText="1"/>
    </xf>
    <xf numFmtId="1" fontId="35" fillId="0" borderId="29" xfId="0" applyNumberFormat="1" applyFont="1" applyFill="1" applyBorder="1" applyAlignment="1">
      <alignment horizontal="left" vertical="top" wrapText="1"/>
    </xf>
    <xf numFmtId="168" fontId="35" fillId="0" borderId="98" xfId="0" applyNumberFormat="1" applyFont="1" applyFill="1" applyBorder="1" applyAlignment="1">
      <alignment horizontal="right" vertical="top" wrapText="1"/>
    </xf>
    <xf numFmtId="49" fontId="35" fillId="0" borderId="98" xfId="0" applyNumberFormat="1" applyFont="1" applyFill="1" applyBorder="1" applyAlignment="1">
      <alignment horizontal="right" vertical="top" wrapText="1"/>
    </xf>
    <xf numFmtId="49" fontId="35" fillId="0" borderId="88" xfId="0" applyNumberFormat="1" applyFont="1" applyFill="1" applyBorder="1" applyAlignment="1">
      <alignment horizontal="right" vertical="top" wrapText="1"/>
    </xf>
    <xf numFmtId="3" fontId="35" fillId="0" borderId="88" xfId="0" applyNumberFormat="1" applyFont="1" applyFill="1" applyBorder="1" applyAlignment="1">
      <alignment horizontal="left" vertical="top" wrapText="1"/>
    </xf>
    <xf numFmtId="1" fontId="35" fillId="0" borderId="74" xfId="0" applyNumberFormat="1" applyFont="1" applyFill="1" applyBorder="1" applyAlignment="1">
      <alignment horizontal="right" vertical="top" wrapText="1"/>
    </xf>
    <xf numFmtId="3" fontId="35" fillId="0" borderId="74" xfId="0" applyNumberFormat="1" applyFont="1" applyFill="1" applyBorder="1" applyAlignment="1">
      <alignment horizontal="right" vertical="top" wrapText="1"/>
    </xf>
    <xf numFmtId="0" fontId="35" fillId="0" borderId="102" xfId="0" applyFont="1" applyFill="1" applyBorder="1" applyAlignment="1">
      <alignment horizontal="left" vertical="top" wrapText="1"/>
    </xf>
    <xf numFmtId="4" fontId="35" fillId="0" borderId="102" xfId="0" applyNumberFormat="1" applyFont="1" applyFill="1" applyBorder="1" applyAlignment="1">
      <alignment horizontal="right" vertical="top" wrapText="1"/>
    </xf>
    <xf numFmtId="0" fontId="99" fillId="0" borderId="0" xfId="1539" applyFont="1" applyFill="1" applyAlignment="1">
      <alignment vertical="top" wrapText="1"/>
    </xf>
    <xf numFmtId="0" fontId="35" fillId="0" borderId="35" xfId="0" applyFont="1" applyFill="1" applyBorder="1" applyAlignment="1">
      <alignment horizontal="center" vertical="top" wrapText="1"/>
    </xf>
    <xf numFmtId="0" fontId="35" fillId="0" borderId="102" xfId="0" applyFont="1" applyFill="1" applyBorder="1" applyAlignment="1">
      <alignment vertical="top" wrapText="1"/>
    </xf>
    <xf numFmtId="0" fontId="105" fillId="0" borderId="0" xfId="0" applyFont="1" applyFill="1" applyAlignment="1">
      <alignment vertical="top"/>
    </xf>
    <xf numFmtId="0" fontId="35" fillId="0" borderId="0" xfId="0" applyFont="1" applyFill="1" applyAlignment="1">
      <alignment vertical="top" wrapText="1"/>
    </xf>
    <xf numFmtId="1" fontId="35" fillId="0" borderId="0" xfId="1539" applyNumberFormat="1" applyFont="1" applyFill="1" applyAlignment="1">
      <alignment horizontal="left" vertical="top" wrapText="1"/>
    </xf>
    <xf numFmtId="3" fontId="35" fillId="0" borderId="0" xfId="0" applyNumberFormat="1" applyFont="1" applyFill="1" applyAlignment="1">
      <alignment horizontal="right" vertical="top" wrapText="1"/>
    </xf>
    <xf numFmtId="4" fontId="35" fillId="0" borderId="0" xfId="1539" applyNumberFormat="1" applyFont="1" applyFill="1" applyAlignment="1">
      <alignment vertical="top" wrapText="1"/>
    </xf>
    <xf numFmtId="4" fontId="35" fillId="0" borderId="92" xfId="0" applyNumberFormat="1" applyFont="1" applyFill="1" applyBorder="1" applyAlignment="1">
      <alignment vertical="top" wrapText="1"/>
    </xf>
    <xf numFmtId="4" fontId="35" fillId="0" borderId="96" xfId="0" applyNumberFormat="1" applyFont="1" applyFill="1" applyBorder="1" applyAlignment="1">
      <alignment vertical="top" wrapText="1"/>
    </xf>
    <xf numFmtId="4" fontId="35" fillId="0" borderId="35" xfId="1539" applyNumberFormat="1" applyFont="1" applyFill="1" applyBorder="1" applyAlignment="1">
      <alignment vertical="top" wrapText="1"/>
    </xf>
    <xf numFmtId="4" fontId="35" fillId="0" borderId="84" xfId="0" applyNumberFormat="1" applyFont="1" applyFill="1" applyBorder="1" applyAlignment="1">
      <alignment vertical="top" wrapText="1"/>
    </xf>
    <xf numFmtId="168" fontId="35" fillId="108" borderId="0" xfId="0" applyNumberFormat="1" applyFont="1" applyFill="1" applyAlignment="1">
      <alignment vertical="top"/>
    </xf>
    <xf numFmtId="3" fontId="35" fillId="0" borderId="92" xfId="0" applyNumberFormat="1" applyFont="1" applyFill="1" applyBorder="1" applyAlignment="1">
      <alignment horizontal="left" vertical="top" wrapText="1"/>
    </xf>
    <xf numFmtId="0" fontId="103" fillId="0" borderId="0" xfId="17897" applyFont="1" applyFill="1" applyAlignment="1">
      <alignment vertical="top"/>
    </xf>
    <xf numFmtId="4" fontId="35" fillId="0" borderId="102" xfId="19567" applyNumberFormat="1" applyFont="1" applyFill="1" applyBorder="1" applyAlignment="1">
      <alignment horizontal="right" vertical="top" wrapText="1"/>
    </xf>
    <xf numFmtId="1" fontId="35" fillId="0" borderId="48" xfId="0" applyNumberFormat="1" applyFont="1" applyFill="1" applyBorder="1" applyAlignment="1">
      <alignment horizontal="left" vertical="top" wrapText="1"/>
    </xf>
    <xf numFmtId="0" fontId="35" fillId="0" borderId="54" xfId="0" applyFont="1" applyFill="1" applyBorder="1" applyAlignment="1">
      <alignment horizontal="left" vertical="top" wrapText="1" shrinkToFit="1"/>
    </xf>
    <xf numFmtId="0" fontId="35" fillId="0" borderId="83" xfId="0" applyFont="1" applyFill="1" applyBorder="1" applyAlignment="1">
      <alignment horizontal="left" vertical="top" wrapText="1" shrinkToFit="1"/>
    </xf>
    <xf numFmtId="168" fontId="35" fillId="106" borderId="0" xfId="0" applyNumberFormat="1" applyFont="1" applyFill="1" applyBorder="1" applyAlignment="1">
      <alignment vertical="top"/>
    </xf>
    <xf numFmtId="4" fontId="35" fillId="0" borderId="48" xfId="0" applyNumberFormat="1" applyFont="1" applyFill="1" applyBorder="1" applyAlignment="1">
      <alignment vertical="top" wrapText="1"/>
    </xf>
    <xf numFmtId="4" fontId="35" fillId="0" borderId="49" xfId="0" applyNumberFormat="1" applyFont="1" applyFill="1" applyBorder="1" applyAlignment="1">
      <alignment vertical="top" wrapText="1"/>
    </xf>
    <xf numFmtId="4" fontId="35" fillId="0" borderId="35" xfId="0" applyNumberFormat="1" applyFont="1" applyFill="1" applyBorder="1" applyAlignment="1">
      <alignment vertical="top" wrapText="1"/>
    </xf>
    <xf numFmtId="0" fontId="35" fillId="0" borderId="98" xfId="0" applyFont="1" applyFill="1" applyBorder="1" applyAlignment="1">
      <alignment vertical="top" wrapText="1"/>
    </xf>
    <xf numFmtId="1" fontId="35" fillId="0" borderId="98" xfId="0" applyNumberFormat="1" applyFont="1" applyFill="1" applyBorder="1" applyAlignment="1">
      <alignment horizontal="left" vertical="top" wrapText="1"/>
    </xf>
    <xf numFmtId="3" fontId="35" fillId="0" borderId="98" xfId="0" applyNumberFormat="1" applyFont="1" applyFill="1" applyBorder="1" applyAlignment="1">
      <alignment horizontal="right" vertical="top" wrapText="1"/>
    </xf>
    <xf numFmtId="4" fontId="35" fillId="0" borderId="98" xfId="0" applyNumberFormat="1" applyFont="1" applyFill="1" applyBorder="1" applyAlignment="1">
      <alignment vertical="top" wrapText="1"/>
    </xf>
    <xf numFmtId="4" fontId="35" fillId="0" borderId="98" xfId="1539" applyNumberFormat="1" applyFont="1" applyFill="1" applyBorder="1" applyAlignment="1">
      <alignment vertical="top" wrapText="1"/>
    </xf>
    <xf numFmtId="1" fontId="35" fillId="0" borderId="98" xfId="0" applyNumberFormat="1" applyFont="1" applyFill="1" applyBorder="1" applyAlignment="1">
      <alignment horizontal="right" vertical="top" wrapText="1"/>
    </xf>
    <xf numFmtId="3" fontId="35" fillId="0" borderId="102" xfId="0" applyNumberFormat="1" applyFont="1" applyFill="1" applyBorder="1" applyAlignment="1">
      <alignment horizontal="right" vertical="top" wrapText="1"/>
    </xf>
    <xf numFmtId="3" fontId="35" fillId="0" borderId="29" xfId="0" applyNumberFormat="1" applyFont="1" applyFill="1" applyBorder="1" applyAlignment="1">
      <alignment horizontal="right" vertical="top" wrapText="1"/>
    </xf>
    <xf numFmtId="0" fontId="121" fillId="0" borderId="0" xfId="0" applyFont="1" applyFill="1" applyBorder="1" applyAlignment="1">
      <alignment vertical="top"/>
    </xf>
    <xf numFmtId="0" fontId="99" fillId="0" borderId="0" xfId="1540" applyFont="1" applyFill="1" applyBorder="1" applyAlignment="1">
      <alignment vertical="top" wrapText="1"/>
    </xf>
    <xf numFmtId="0" fontId="115" fillId="0" borderId="0" xfId="0" applyFont="1" applyFill="1" applyBorder="1" applyAlignment="1">
      <alignment vertical="top"/>
    </xf>
    <xf numFmtId="0" fontId="75" fillId="0" borderId="0" xfId="0" applyFont="1" applyFill="1" applyBorder="1" applyAlignment="1">
      <alignment horizontal="right" vertical="top" wrapText="1"/>
    </xf>
    <xf numFmtId="0" fontId="35" fillId="0" borderId="48" xfId="0" applyFont="1" applyFill="1" applyBorder="1" applyAlignment="1">
      <alignment horizontal="center" vertical="top" wrapText="1"/>
    </xf>
    <xf numFmtId="1" fontId="35" fillId="0" borderId="102" xfId="1539" applyNumberFormat="1" applyFont="1" applyFill="1" applyBorder="1" applyAlignment="1">
      <alignment horizontal="center" vertical="center" wrapText="1"/>
    </xf>
    <xf numFmtId="0" fontId="73" fillId="0" borderId="0" xfId="17897" applyFont="1" applyFill="1" applyAlignment="1">
      <alignment vertical="top"/>
    </xf>
    <xf numFmtId="4" fontId="35" fillId="0" borderId="0" xfId="1539" applyNumberFormat="1" applyFont="1" applyFill="1" applyBorder="1" applyAlignment="1">
      <alignment horizontal="center" vertical="center" textRotation="90" wrapText="1"/>
    </xf>
    <xf numFmtId="0" fontId="35" fillId="0" borderId="0" xfId="0" applyFont="1" applyFill="1" applyAlignment="1">
      <alignment horizontal="center" vertical="top" wrapText="1"/>
    </xf>
    <xf numFmtId="3" fontId="35" fillId="0" borderId="0" xfId="0" applyNumberFormat="1" applyFont="1" applyFill="1" applyAlignment="1">
      <alignment horizontal="center" vertical="top" wrapText="1"/>
    </xf>
    <xf numFmtId="4" fontId="35" fillId="0" borderId="0" xfId="0" applyNumberFormat="1" applyFont="1" applyFill="1" applyAlignment="1">
      <alignment horizontal="center" vertical="top" wrapText="1"/>
    </xf>
    <xf numFmtId="3" fontId="35" fillId="0" borderId="102" xfId="1539" applyNumberFormat="1" applyFont="1" applyFill="1" applyBorder="1" applyAlignment="1">
      <alignment horizontal="center" vertical="center" wrapText="1"/>
    </xf>
    <xf numFmtId="4" fontId="35" fillId="0" borderId="102" xfId="1539" applyNumberFormat="1" applyFont="1" applyFill="1" applyBorder="1" applyAlignment="1">
      <alignment horizontal="center" vertical="center" textRotation="90" wrapText="1"/>
    </xf>
    <xf numFmtId="168" fontId="35" fillId="0" borderId="102" xfId="1539" applyNumberFormat="1" applyFont="1" applyFill="1" applyBorder="1" applyAlignment="1">
      <alignment horizontal="center" vertical="center" wrapText="1"/>
    </xf>
    <xf numFmtId="4" fontId="35" fillId="0" borderId="102" xfId="1539" applyNumberFormat="1" applyFont="1" applyFill="1" applyBorder="1" applyAlignment="1">
      <alignment horizontal="center" vertical="center" wrapText="1"/>
    </xf>
    <xf numFmtId="4" fontId="35" fillId="0" borderId="0" xfId="1539" applyNumberFormat="1" applyFont="1" applyFill="1" applyBorder="1" applyAlignment="1">
      <alignment horizontal="right" vertical="top" wrapText="1"/>
    </xf>
    <xf numFmtId="3" fontId="35" fillId="0" borderId="100" xfId="1539" applyNumberFormat="1" applyFont="1" applyFill="1" applyBorder="1" applyAlignment="1">
      <alignment horizontal="center" vertical="top" wrapText="1"/>
    </xf>
    <xf numFmtId="4" fontId="35" fillId="0" borderId="100" xfId="1539" applyNumberFormat="1" applyFont="1" applyFill="1" applyBorder="1" applyAlignment="1">
      <alignment horizontal="center" vertical="top" wrapText="1"/>
    </xf>
    <xf numFmtId="0" fontId="35" fillId="0" borderId="98" xfId="0" applyFont="1" applyFill="1" applyBorder="1" applyAlignment="1">
      <alignment horizontal="center" vertical="top" wrapText="1"/>
    </xf>
    <xf numFmtId="0" fontId="35" fillId="0" borderId="98" xfId="0" applyFont="1" applyFill="1" applyBorder="1" applyAlignment="1">
      <alignment horizontal="left" vertical="top" wrapText="1"/>
    </xf>
    <xf numFmtId="0" fontId="35" fillId="0" borderId="102" xfId="0" applyFont="1" applyFill="1" applyBorder="1" applyAlignment="1">
      <alignment horizontal="center" vertical="top" wrapText="1"/>
    </xf>
    <xf numFmtId="1" fontId="35" fillId="0" borderId="102" xfId="0" applyNumberFormat="1" applyFont="1" applyFill="1" applyBorder="1" applyAlignment="1">
      <alignment horizontal="left" vertical="top" wrapText="1"/>
    </xf>
    <xf numFmtId="3" fontId="35" fillId="0" borderId="102" xfId="1539" applyNumberFormat="1" applyFont="1" applyFill="1" applyBorder="1" applyAlignment="1">
      <alignment horizontal="center" vertical="top" wrapText="1"/>
    </xf>
    <xf numFmtId="0" fontId="35" fillId="0" borderId="0" xfId="1539" applyFont="1" applyFill="1" applyAlignment="1">
      <alignment horizontal="center" vertical="top" wrapText="1"/>
    </xf>
    <xf numFmtId="3" fontId="35" fillId="0" borderId="0" xfId="0" applyNumberFormat="1" applyFont="1" applyFill="1" applyBorder="1" applyAlignment="1">
      <alignment horizontal="center" vertical="top" wrapText="1"/>
    </xf>
    <xf numFmtId="0" fontId="35" fillId="0" borderId="0" xfId="1539" applyFont="1" applyFill="1" applyBorder="1" applyAlignment="1">
      <alignment horizontal="center" vertical="top" wrapText="1"/>
    </xf>
    <xf numFmtId="0" fontId="35" fillId="0" borderId="35" xfId="0" applyFont="1" applyFill="1" applyBorder="1" applyAlignment="1">
      <alignment horizontal="left" vertical="top" wrapText="1"/>
    </xf>
    <xf numFmtId="0" fontId="35" fillId="0" borderId="0" xfId="0" applyFont="1" applyFill="1" applyBorder="1" applyAlignment="1">
      <alignment horizontal="left" vertical="top" wrapText="1"/>
    </xf>
    <xf numFmtId="4" fontId="35" fillId="0" borderId="0" xfId="0" applyNumberFormat="1" applyFont="1" applyFill="1" applyAlignment="1">
      <alignment horizontal="right" vertical="top" wrapText="1"/>
    </xf>
    <xf numFmtId="1" fontId="35" fillId="0" borderId="92" xfId="0" applyNumberFormat="1" applyFont="1" applyFill="1" applyBorder="1" applyAlignment="1">
      <alignment horizontal="left" vertical="top" wrapText="1"/>
    </xf>
    <xf numFmtId="0" fontId="35" fillId="0" borderId="0" xfId="0" applyFont="1" applyFill="1" applyBorder="1" applyAlignment="1">
      <alignment horizontal="center" vertical="top" wrapText="1"/>
    </xf>
    <xf numFmtId="0" fontId="35" fillId="0" borderId="92" xfId="0" applyFont="1" applyFill="1" applyBorder="1" applyAlignment="1">
      <alignment horizontal="left" vertical="top" wrapText="1"/>
    </xf>
    <xf numFmtId="0" fontId="35" fillId="0" borderId="101" xfId="0" applyFont="1" applyFill="1" applyBorder="1" applyAlignment="1">
      <alignment horizontal="center" vertical="top" wrapText="1"/>
    </xf>
    <xf numFmtId="3" fontId="35" fillId="0" borderId="84" xfId="0" applyNumberFormat="1" applyFont="1" applyFill="1" applyBorder="1" applyAlignment="1">
      <alignment horizontal="center" vertical="top" wrapText="1"/>
    </xf>
    <xf numFmtId="0" fontId="35" fillId="0" borderId="84" xfId="0" applyFont="1" applyFill="1" applyBorder="1" applyAlignment="1">
      <alignment vertical="top" wrapText="1"/>
    </xf>
    <xf numFmtId="3" fontId="35" fillId="0" borderId="88" xfId="0" applyNumberFormat="1" applyFont="1" applyFill="1" applyBorder="1" applyAlignment="1">
      <alignment vertical="top" wrapText="1"/>
    </xf>
    <xf numFmtId="0" fontId="35" fillId="0" borderId="29" xfId="0" applyFont="1" applyFill="1" applyBorder="1" applyAlignment="1">
      <alignment vertical="top" wrapText="1"/>
    </xf>
    <xf numFmtId="0" fontId="35" fillId="0" borderId="101" xfId="0" applyFont="1" applyFill="1" applyBorder="1" applyAlignment="1">
      <alignment horizontal="left" vertical="top" wrapText="1"/>
    </xf>
    <xf numFmtId="0" fontId="35" fillId="0" borderId="97" xfId="0" applyFont="1" applyFill="1" applyBorder="1" applyAlignment="1">
      <alignment horizontal="left" vertical="top" wrapText="1"/>
    </xf>
    <xf numFmtId="0" fontId="35" fillId="0" borderId="88" xfId="0" applyFont="1" applyFill="1" applyBorder="1" applyAlignment="1">
      <alignment vertical="top" wrapText="1"/>
    </xf>
    <xf numFmtId="3" fontId="35" fillId="0" borderId="48" xfId="0" applyNumberFormat="1" applyFont="1" applyFill="1" applyBorder="1" applyAlignment="1">
      <alignment horizontal="right" vertical="top" wrapText="1"/>
    </xf>
    <xf numFmtId="3" fontId="35" fillId="0" borderId="49" xfId="0" applyNumberFormat="1" applyFont="1" applyFill="1" applyBorder="1" applyAlignment="1">
      <alignment horizontal="center" vertical="top" wrapText="1"/>
    </xf>
    <xf numFmtId="1" fontId="35" fillId="0" borderId="77" xfId="0" applyNumberFormat="1" applyFont="1" applyFill="1" applyBorder="1" applyAlignment="1">
      <alignment horizontal="left" vertical="top" wrapText="1"/>
    </xf>
    <xf numFmtId="168" fontId="35" fillId="0" borderId="29" xfId="0" applyNumberFormat="1" applyFont="1" applyFill="1" applyBorder="1" applyAlignment="1">
      <alignment horizontal="right" vertical="top" wrapText="1"/>
    </xf>
    <xf numFmtId="1" fontId="35" fillId="0" borderId="84" xfId="0" applyNumberFormat="1" applyFont="1" applyFill="1" applyBorder="1" applyAlignment="1">
      <alignment horizontal="left" vertical="top" wrapText="1"/>
    </xf>
    <xf numFmtId="1" fontId="35" fillId="0" borderId="84" xfId="0" applyNumberFormat="1" applyFont="1" applyFill="1" applyBorder="1" applyAlignment="1">
      <alignment horizontal="right" vertical="top" wrapText="1"/>
    </xf>
    <xf numFmtId="168" fontId="35" fillId="0" borderId="84" xfId="0" applyNumberFormat="1" applyFont="1" applyFill="1" applyBorder="1" applyAlignment="1">
      <alignment horizontal="right" vertical="top" wrapText="1"/>
    </xf>
    <xf numFmtId="3" fontId="35" fillId="0" borderId="84" xfId="0" applyNumberFormat="1" applyFont="1" applyFill="1" applyBorder="1" applyAlignment="1">
      <alignment horizontal="right" vertical="top" wrapText="1"/>
    </xf>
    <xf numFmtId="49" fontId="35" fillId="0" borderId="84" xfId="0" applyNumberFormat="1" applyFont="1" applyFill="1" applyBorder="1" applyAlignment="1">
      <alignment horizontal="right" vertical="top" wrapText="1"/>
    </xf>
    <xf numFmtId="1" fontId="35" fillId="0" borderId="65" xfId="0" applyNumberFormat="1" applyFont="1" applyFill="1" applyBorder="1" applyAlignment="1">
      <alignment horizontal="center" vertical="top" wrapText="1"/>
    </xf>
    <xf numFmtId="0" fontId="35" fillId="0" borderId="65" xfId="0" applyFont="1" applyFill="1" applyBorder="1" applyAlignment="1">
      <alignment horizontal="center" vertical="top" wrapText="1"/>
    </xf>
    <xf numFmtId="4" fontId="35" fillId="0" borderId="65" xfId="0" applyNumberFormat="1" applyFont="1" applyFill="1" applyBorder="1" applyAlignment="1">
      <alignment vertical="top" wrapText="1"/>
    </xf>
    <xf numFmtId="49" fontId="35" fillId="0" borderId="65" xfId="0" applyNumberFormat="1" applyFont="1" applyFill="1" applyBorder="1" applyAlignment="1">
      <alignment horizontal="right" vertical="top" wrapText="1"/>
    </xf>
    <xf numFmtId="0" fontId="35" fillId="0" borderId="96" xfId="0" applyFont="1" applyFill="1" applyBorder="1" applyAlignment="1">
      <alignment vertical="top" wrapText="1"/>
    </xf>
    <xf numFmtId="1" fontId="35" fillId="0" borderId="96" xfId="0" applyNumberFormat="1" applyFont="1" applyFill="1" applyBorder="1" applyAlignment="1">
      <alignment horizontal="left" vertical="top" wrapText="1"/>
    </xf>
    <xf numFmtId="168" fontId="35" fillId="0" borderId="96" xfId="0" applyNumberFormat="1" applyFont="1" applyFill="1" applyBorder="1" applyAlignment="1">
      <alignment horizontal="right" vertical="top" wrapText="1"/>
    </xf>
    <xf numFmtId="3" fontId="35" fillId="0" borderId="96" xfId="0" applyNumberFormat="1" applyFont="1" applyFill="1" applyBorder="1" applyAlignment="1">
      <alignment horizontal="right" vertical="top" wrapText="1"/>
    </xf>
    <xf numFmtId="4" fontId="35" fillId="0" borderId="63" xfId="0" applyNumberFormat="1" applyFont="1" applyFill="1" applyBorder="1" applyAlignment="1">
      <alignment vertical="top" wrapText="1"/>
    </xf>
    <xf numFmtId="4" fontId="35" fillId="0" borderId="60" xfId="0" applyNumberFormat="1" applyFont="1" applyFill="1" applyBorder="1" applyAlignment="1">
      <alignment vertical="top" wrapText="1"/>
    </xf>
    <xf numFmtId="4" fontId="35" fillId="0" borderId="96" xfId="0" applyNumberFormat="1" applyFont="1" applyFill="1" applyBorder="1" applyAlignment="1">
      <alignment horizontal="center" vertical="top" wrapText="1"/>
    </xf>
    <xf numFmtId="1" fontId="35" fillId="0" borderId="29" xfId="0" applyNumberFormat="1" applyFont="1" applyFill="1" applyBorder="1" applyAlignment="1">
      <alignment horizontal="left" vertical="top"/>
    </xf>
    <xf numFmtId="168" fontId="35" fillId="0" borderId="29" xfId="0" applyNumberFormat="1" applyFont="1" applyFill="1" applyBorder="1" applyAlignment="1">
      <alignment horizontal="right" vertical="top"/>
    </xf>
    <xf numFmtId="0" fontId="35" fillId="0" borderId="101" xfId="0" applyFont="1" applyFill="1" applyBorder="1" applyAlignment="1">
      <alignment vertical="top" wrapText="1"/>
    </xf>
    <xf numFmtId="4" fontId="35" fillId="0" borderId="101" xfId="0" applyNumberFormat="1" applyFont="1" applyFill="1" applyBorder="1" applyAlignment="1">
      <alignment vertical="top" wrapText="1"/>
    </xf>
    <xf numFmtId="168" fontId="35" fillId="0" borderId="74" xfId="0" applyNumberFormat="1" applyFont="1" applyFill="1" applyBorder="1" applyAlignment="1">
      <alignment horizontal="right" vertical="top" wrapText="1"/>
    </xf>
    <xf numFmtId="3" fontId="35" fillId="0" borderId="63" xfId="0" applyNumberFormat="1" applyFont="1" applyFill="1" applyBorder="1" applyAlignment="1">
      <alignment horizontal="center" vertical="top" wrapText="1"/>
    </xf>
    <xf numFmtId="168" fontId="35" fillId="0" borderId="96" xfId="19592" applyNumberFormat="1" applyFont="1" applyFill="1" applyBorder="1" applyAlignment="1">
      <alignment horizontal="right" vertical="top" wrapText="1"/>
    </xf>
    <xf numFmtId="0" fontId="35" fillId="0" borderId="74" xfId="5508" applyFont="1" applyFill="1" applyBorder="1" applyAlignment="1">
      <alignment horizontal="left" vertical="top" wrapText="1"/>
    </xf>
    <xf numFmtId="3" fontId="35" fillId="0" borderId="74" xfId="5508" applyNumberFormat="1" applyFont="1" applyFill="1" applyBorder="1" applyAlignment="1">
      <alignment horizontal="right" vertical="top" wrapText="1"/>
    </xf>
    <xf numFmtId="1" fontId="35" fillId="0" borderId="81" xfId="0" applyNumberFormat="1" applyFont="1" applyFill="1" applyBorder="1" applyAlignment="1">
      <alignment horizontal="left" vertical="top" wrapText="1"/>
    </xf>
    <xf numFmtId="3" fontId="35" fillId="0" borderId="81" xfId="0" applyNumberFormat="1" applyFont="1" applyFill="1" applyBorder="1" applyAlignment="1">
      <alignment horizontal="right" vertical="top" wrapText="1"/>
    </xf>
    <xf numFmtId="168" fontId="35" fillId="0" borderId="81" xfId="0" applyNumberFormat="1" applyFont="1" applyFill="1" applyBorder="1" applyAlignment="1">
      <alignment horizontal="right" vertical="top" wrapText="1"/>
    </xf>
    <xf numFmtId="4" fontId="35" fillId="0" borderId="81" xfId="0" applyNumberFormat="1" applyFont="1" applyFill="1" applyBorder="1" applyAlignment="1">
      <alignment vertical="top" wrapText="1"/>
    </xf>
    <xf numFmtId="49" fontId="35" fillId="0" borderId="81" xfId="0" applyNumberFormat="1" applyFont="1" applyFill="1" applyBorder="1" applyAlignment="1">
      <alignment horizontal="right" vertical="top" wrapText="1"/>
    </xf>
    <xf numFmtId="0" fontId="35" fillId="0" borderId="63" xfId="0" applyFont="1" applyFill="1" applyBorder="1" applyAlignment="1">
      <alignment horizontal="center" vertical="top" wrapText="1"/>
    </xf>
    <xf numFmtId="49" fontId="35" fillId="0" borderId="63" xfId="0" applyNumberFormat="1" applyFont="1" applyFill="1" applyBorder="1" applyAlignment="1">
      <alignment horizontal="right" vertical="top" wrapText="1"/>
    </xf>
    <xf numFmtId="0" fontId="35" fillId="0" borderId="96" xfId="5508" applyFont="1" applyFill="1" applyBorder="1" applyAlignment="1">
      <alignment horizontal="left" vertical="top" wrapText="1"/>
    </xf>
    <xf numFmtId="3" fontId="35" fillId="0" borderId="96" xfId="5508" applyNumberFormat="1" applyFont="1" applyFill="1" applyBorder="1" applyAlignment="1">
      <alignment horizontal="right" vertical="top" wrapText="1"/>
    </xf>
    <xf numFmtId="0" fontId="35" fillId="0" borderId="81" xfId="0" applyFont="1" applyFill="1" applyBorder="1" applyAlignment="1">
      <alignment vertical="top" wrapText="1"/>
    </xf>
    <xf numFmtId="1" fontId="35" fillId="0" borderId="81" xfId="0" applyNumberFormat="1" applyFont="1" applyFill="1" applyBorder="1" applyAlignment="1">
      <alignment horizontal="center" vertical="top" wrapText="1"/>
    </xf>
    <xf numFmtId="0" fontId="35" fillId="0" borderId="96" xfId="19567" applyFont="1" applyFill="1" applyBorder="1" applyAlignment="1">
      <alignment horizontal="left" vertical="top" wrapText="1"/>
    </xf>
    <xf numFmtId="168" fontId="35" fillId="0" borderId="74" xfId="19592" applyNumberFormat="1" applyFont="1" applyFill="1" applyBorder="1" applyAlignment="1">
      <alignment horizontal="right" vertical="top" wrapText="1"/>
    </xf>
    <xf numFmtId="1" fontId="35" fillId="0" borderId="74" xfId="0" applyNumberFormat="1" applyFont="1" applyFill="1" applyBorder="1" applyAlignment="1">
      <alignment vertical="top" wrapText="1" shrinkToFit="1"/>
    </xf>
    <xf numFmtId="0" fontId="35" fillId="0" borderId="55" xfId="0" applyFont="1" applyFill="1" applyBorder="1" applyAlignment="1">
      <alignment vertical="top" wrapText="1" shrinkToFit="1"/>
    </xf>
    <xf numFmtId="1" fontId="35" fillId="0" borderId="55" xfId="0" applyNumberFormat="1" applyFont="1" applyFill="1" applyBorder="1" applyAlignment="1">
      <alignment horizontal="left" vertical="top" wrapText="1"/>
    </xf>
    <xf numFmtId="1" fontId="35" fillId="0" borderId="53" xfId="0" applyNumberFormat="1" applyFont="1" applyFill="1" applyBorder="1" applyAlignment="1">
      <alignment horizontal="right" vertical="top" wrapText="1"/>
    </xf>
    <xf numFmtId="1" fontId="35" fillId="0" borderId="55" xfId="0" applyNumberFormat="1" applyFont="1" applyFill="1" applyBorder="1" applyAlignment="1">
      <alignment horizontal="left" vertical="top"/>
    </xf>
    <xf numFmtId="1" fontId="35" fillId="0" borderId="29" xfId="0" applyNumberFormat="1" applyFont="1" applyFill="1" applyBorder="1" applyAlignment="1">
      <alignment vertical="top" wrapText="1" shrinkToFit="1"/>
    </xf>
    <xf numFmtId="1" fontId="35" fillId="0" borderId="49" xfId="0" applyNumberFormat="1" applyFont="1" applyFill="1" applyBorder="1" applyAlignment="1">
      <alignment horizontal="center" vertical="top" wrapText="1"/>
    </xf>
    <xf numFmtId="0" fontId="35" fillId="0" borderId="29" xfId="0" applyFont="1" applyFill="1" applyBorder="1" applyAlignment="1">
      <alignment vertical="top" wrapText="1" shrinkToFit="1"/>
    </xf>
    <xf numFmtId="3" fontId="35" fillId="0" borderId="59" xfId="0" applyNumberFormat="1" applyFont="1" applyFill="1" applyBorder="1" applyAlignment="1">
      <alignment horizontal="center" vertical="top" wrapText="1"/>
    </xf>
    <xf numFmtId="49" fontId="35" fillId="0" borderId="60" xfId="0" applyNumberFormat="1" applyFont="1" applyFill="1" applyBorder="1" applyAlignment="1">
      <alignment horizontal="right" vertical="top" wrapText="1"/>
    </xf>
    <xf numFmtId="3" fontId="35" fillId="0" borderId="74" xfId="17892" applyNumberFormat="1" applyFont="1" applyFill="1" applyBorder="1" applyAlignment="1">
      <alignment horizontal="left" vertical="top" wrapText="1"/>
    </xf>
    <xf numFmtId="1" fontId="35" fillId="0" borderId="60" xfId="0" applyNumberFormat="1" applyFont="1" applyFill="1" applyBorder="1" applyAlignment="1">
      <alignment horizontal="center" vertical="top" wrapText="1"/>
    </xf>
    <xf numFmtId="0" fontId="35" fillId="0" borderId="74" xfId="0" applyFont="1" applyFill="1" applyBorder="1" applyAlignment="1">
      <alignment vertical="top" wrapText="1" shrinkToFit="1"/>
    </xf>
    <xf numFmtId="3" fontId="35" fillId="0" borderId="60" xfId="0" applyNumberFormat="1" applyFont="1" applyFill="1" applyBorder="1" applyAlignment="1">
      <alignment horizontal="center" vertical="top" wrapText="1"/>
    </xf>
    <xf numFmtId="3" fontId="35" fillId="0" borderId="76" xfId="0" applyNumberFormat="1" applyFont="1" applyFill="1" applyBorder="1" applyAlignment="1">
      <alignment horizontal="right" vertical="top" wrapText="1"/>
    </xf>
    <xf numFmtId="3" fontId="35" fillId="0" borderId="69" xfId="0" applyNumberFormat="1" applyFont="1" applyFill="1" applyBorder="1" applyAlignment="1">
      <alignment horizontal="center" vertical="top" wrapText="1"/>
    </xf>
    <xf numFmtId="4" fontId="35" fillId="0" borderId="70" xfId="0" applyNumberFormat="1" applyFont="1" applyFill="1" applyBorder="1" applyAlignment="1">
      <alignment vertical="top" wrapText="1"/>
    </xf>
    <xf numFmtId="49" fontId="35" fillId="0" borderId="70" xfId="0" applyNumberFormat="1" applyFont="1" applyFill="1" applyBorder="1" applyAlignment="1">
      <alignment horizontal="right" vertical="top" wrapText="1"/>
    </xf>
    <xf numFmtId="3" fontId="35" fillId="0" borderId="70" xfId="0" applyNumberFormat="1" applyFont="1" applyFill="1" applyBorder="1" applyAlignment="1">
      <alignment horizontal="center" vertical="top" wrapText="1"/>
    </xf>
    <xf numFmtId="1" fontId="35" fillId="0" borderId="70" xfId="0" applyNumberFormat="1" applyFont="1" applyFill="1" applyBorder="1" applyAlignment="1">
      <alignment horizontal="center" vertical="top" wrapText="1"/>
    </xf>
    <xf numFmtId="0" fontId="35" fillId="0" borderId="74" xfId="17892" applyFont="1" applyFill="1" applyBorder="1" applyAlignment="1">
      <alignment vertical="top" wrapText="1" shrinkToFit="1"/>
    </xf>
    <xf numFmtId="1" fontId="35" fillId="0" borderId="74" xfId="17892" applyNumberFormat="1" applyFont="1" applyFill="1" applyBorder="1" applyAlignment="1">
      <alignment horizontal="left" vertical="top"/>
    </xf>
    <xf numFmtId="0" fontId="35" fillId="0" borderId="74" xfId="17892" applyFont="1" applyFill="1" applyBorder="1" applyAlignment="1">
      <alignment horizontal="right" vertical="top"/>
    </xf>
    <xf numFmtId="0" fontId="35" fillId="0" borderId="70" xfId="0" applyFont="1" applyFill="1" applyBorder="1" applyAlignment="1">
      <alignment horizontal="center" vertical="top" wrapText="1"/>
    </xf>
    <xf numFmtId="3" fontId="35" fillId="0" borderId="50" xfId="0" applyNumberFormat="1" applyFont="1" applyFill="1" applyBorder="1" applyAlignment="1">
      <alignment horizontal="right" vertical="top" wrapText="1"/>
    </xf>
    <xf numFmtId="3" fontId="35" fillId="0" borderId="71" xfId="0" applyNumberFormat="1" applyFont="1" applyFill="1" applyBorder="1" applyAlignment="1">
      <alignment horizontal="center" vertical="top" wrapText="1"/>
    </xf>
    <xf numFmtId="0" fontId="35" fillId="0" borderId="75" xfId="0" applyFont="1" applyFill="1" applyBorder="1" applyAlignment="1">
      <alignment vertical="top" wrapText="1"/>
    </xf>
    <xf numFmtId="0" fontId="35" fillId="0" borderId="69" xfId="0" applyFont="1" applyFill="1" applyBorder="1" applyAlignment="1">
      <alignment horizontal="center" vertical="top" wrapText="1"/>
    </xf>
    <xf numFmtId="0" fontId="35" fillId="0" borderId="74" xfId="19567" applyFont="1" applyFill="1" applyBorder="1" applyAlignment="1">
      <alignment horizontal="left" vertical="top" wrapText="1"/>
    </xf>
    <xf numFmtId="4" fontId="35" fillId="0" borderId="70" xfId="0" applyNumberFormat="1" applyFont="1" applyFill="1" applyBorder="1" applyAlignment="1">
      <alignment horizontal="center" vertical="top" wrapText="1"/>
    </xf>
    <xf numFmtId="1" fontId="35" fillId="0" borderId="74" xfId="0" applyNumberFormat="1" applyFont="1" applyFill="1" applyBorder="1" applyAlignment="1">
      <alignment vertical="top" wrapText="1"/>
    </xf>
    <xf numFmtId="0" fontId="35" fillId="0" borderId="75" xfId="0" applyFont="1" applyFill="1" applyBorder="1" applyAlignment="1">
      <alignment horizontal="left" vertical="top" wrapText="1"/>
    </xf>
    <xf numFmtId="168" fontId="35" fillId="0" borderId="75" xfId="0" applyNumberFormat="1" applyFont="1" applyFill="1" applyBorder="1" applyAlignment="1">
      <alignment horizontal="right" vertical="top" wrapText="1"/>
    </xf>
    <xf numFmtId="3" fontId="35" fillId="0" borderId="75" xfId="0" applyNumberFormat="1" applyFont="1" applyFill="1" applyBorder="1" applyAlignment="1">
      <alignment horizontal="right" vertical="top" wrapText="1"/>
    </xf>
    <xf numFmtId="0" fontId="35" fillId="0" borderId="66" xfId="0" applyFont="1" applyFill="1" applyBorder="1" applyAlignment="1">
      <alignment horizontal="center" vertical="top" wrapText="1"/>
    </xf>
    <xf numFmtId="1" fontId="35" fillId="0" borderId="81" xfId="0" applyNumberFormat="1" applyFont="1" applyFill="1" applyBorder="1" applyAlignment="1">
      <alignment vertical="top" wrapText="1"/>
    </xf>
    <xf numFmtId="1" fontId="35" fillId="0" borderId="81" xfId="0" applyNumberFormat="1" applyFont="1" applyFill="1" applyBorder="1" applyAlignment="1">
      <alignment horizontal="right" vertical="top" wrapText="1"/>
    </xf>
    <xf numFmtId="0" fontId="35" fillId="0" borderId="81" xfId="0" applyFont="1" applyFill="1" applyBorder="1" applyAlignment="1">
      <alignment vertical="top" wrapText="1" shrinkToFit="1"/>
    </xf>
    <xf numFmtId="1" fontId="35" fillId="0" borderId="81" xfId="0" applyNumberFormat="1" applyFont="1" applyFill="1" applyBorder="1" applyAlignment="1">
      <alignment horizontal="left" vertical="top" wrapText="1" shrinkToFit="1"/>
    </xf>
    <xf numFmtId="3" fontId="35" fillId="0" borderId="81" xfId="0" applyNumberFormat="1" applyFont="1" applyFill="1" applyBorder="1" applyAlignment="1">
      <alignment horizontal="left" vertical="top" wrapText="1" shrinkToFit="1"/>
    </xf>
    <xf numFmtId="3" fontId="35" fillId="0" borderId="81" xfId="17892" applyNumberFormat="1" applyFont="1" applyFill="1" applyBorder="1" applyAlignment="1">
      <alignment horizontal="right" vertical="top" wrapText="1"/>
    </xf>
    <xf numFmtId="0" fontId="35" fillId="0" borderId="81" xfId="1539" applyFont="1" applyFill="1" applyBorder="1" applyAlignment="1">
      <alignment vertical="top" wrapText="1"/>
    </xf>
    <xf numFmtId="3" fontId="35" fillId="0" borderId="81" xfId="0" applyNumberFormat="1" applyFont="1" applyFill="1" applyBorder="1" applyAlignment="1">
      <alignment horizontal="center" vertical="top" wrapText="1"/>
    </xf>
    <xf numFmtId="4" fontId="35" fillId="0" borderId="82" xfId="0" applyNumberFormat="1" applyFont="1" applyFill="1" applyBorder="1" applyAlignment="1">
      <alignment vertical="top" wrapText="1"/>
    </xf>
    <xf numFmtId="49" fontId="35" fillId="0" borderId="82" xfId="0" applyNumberFormat="1" applyFont="1" applyFill="1" applyBorder="1" applyAlignment="1">
      <alignment horizontal="right" vertical="top" wrapText="1"/>
    </xf>
    <xf numFmtId="0" fontId="35" fillId="0" borderId="82" xfId="1539" applyFont="1" applyFill="1" applyBorder="1" applyAlignment="1">
      <alignment vertical="top" wrapText="1"/>
    </xf>
    <xf numFmtId="0" fontId="35" fillId="0" borderId="82" xfId="0" applyFont="1" applyFill="1" applyBorder="1" applyAlignment="1">
      <alignment horizontal="left" vertical="top" wrapText="1"/>
    </xf>
    <xf numFmtId="1" fontId="35" fillId="0" borderId="82" xfId="0" applyNumberFormat="1" applyFont="1" applyFill="1" applyBorder="1" applyAlignment="1">
      <alignment horizontal="right" vertical="top" wrapText="1"/>
    </xf>
    <xf numFmtId="168" fontId="35" fillId="0" borderId="82" xfId="0" applyNumberFormat="1" applyFont="1" applyFill="1" applyBorder="1" applyAlignment="1">
      <alignment horizontal="right" vertical="top" wrapText="1"/>
    </xf>
    <xf numFmtId="3" fontId="35" fillId="0" borderId="82" xfId="0" applyNumberFormat="1" applyFont="1" applyFill="1" applyBorder="1" applyAlignment="1">
      <alignment horizontal="right" vertical="top" wrapText="1"/>
    </xf>
    <xf numFmtId="3" fontId="35" fillId="0" borderId="82" xfId="0" applyNumberFormat="1" applyFont="1" applyFill="1" applyBorder="1" applyAlignment="1">
      <alignment horizontal="center" vertical="top" wrapText="1"/>
    </xf>
    <xf numFmtId="0" fontId="35" fillId="0" borderId="82" xfId="0" applyFont="1" applyFill="1" applyBorder="1" applyAlignment="1">
      <alignment horizontal="center" vertical="top" wrapText="1"/>
    </xf>
    <xf numFmtId="0" fontId="35" fillId="0" borderId="82" xfId="0" applyFont="1" applyFill="1" applyBorder="1" applyAlignment="1">
      <alignment vertical="top" wrapText="1"/>
    </xf>
    <xf numFmtId="1" fontId="35" fillId="0" borderId="82" xfId="0" applyNumberFormat="1" applyFont="1" applyFill="1" applyBorder="1" applyAlignment="1">
      <alignment vertical="top" wrapText="1"/>
    </xf>
    <xf numFmtId="1" fontId="35" fillId="0" borderId="82" xfId="0" applyNumberFormat="1" applyFont="1" applyFill="1" applyBorder="1" applyAlignment="1">
      <alignment horizontal="left" vertical="top" wrapText="1"/>
    </xf>
    <xf numFmtId="1" fontId="35" fillId="0" borderId="82" xfId="0" applyNumberFormat="1" applyFont="1" applyFill="1" applyBorder="1" applyAlignment="1">
      <alignment horizontal="center" vertical="top" wrapText="1"/>
    </xf>
    <xf numFmtId="4" fontId="35" fillId="0" borderId="47" xfId="0" applyNumberFormat="1" applyFont="1" applyFill="1" applyBorder="1" applyAlignment="1">
      <alignment vertical="top" wrapText="1"/>
    </xf>
    <xf numFmtId="4" fontId="35" fillId="0" borderId="73" xfId="17894" applyNumberFormat="1" applyFont="1" applyFill="1" applyBorder="1" applyAlignment="1" applyProtection="1">
      <alignment vertical="top" wrapText="1"/>
    </xf>
    <xf numFmtId="4" fontId="35" fillId="0" borderId="73" xfId="0" applyNumberFormat="1" applyFont="1" applyFill="1" applyBorder="1" applyAlignment="1">
      <alignment vertical="top" wrapText="1"/>
    </xf>
    <xf numFmtId="1" fontId="35" fillId="0" borderId="73" xfId="0" applyNumberFormat="1" applyFont="1" applyFill="1" applyBorder="1" applyAlignment="1">
      <alignment horizontal="center" vertical="top" wrapText="1"/>
    </xf>
    <xf numFmtId="1" fontId="35" fillId="0" borderId="29" xfId="0" applyNumberFormat="1" applyFont="1" applyFill="1" applyBorder="1" applyAlignment="1">
      <alignment vertical="top" wrapText="1"/>
    </xf>
    <xf numFmtId="3" fontId="35" fillId="0" borderId="74" xfId="0" applyNumberFormat="1" applyFont="1" applyFill="1" applyBorder="1" applyAlignment="1">
      <alignment horizontal="left" vertical="top" wrapText="1"/>
    </xf>
    <xf numFmtId="1" fontId="35" fillId="0" borderId="91" xfId="0" applyNumberFormat="1" applyFont="1" applyFill="1" applyBorder="1" applyAlignment="1">
      <alignment horizontal="left" vertical="top" wrapText="1"/>
    </xf>
    <xf numFmtId="3" fontId="35" fillId="0" borderId="91" xfId="0" applyNumberFormat="1" applyFont="1" applyFill="1" applyBorder="1" applyAlignment="1">
      <alignment horizontal="right" vertical="top" wrapText="1"/>
    </xf>
    <xf numFmtId="168" fontId="35" fillId="0" borderId="91" xfId="0" applyNumberFormat="1" applyFont="1" applyFill="1" applyBorder="1" applyAlignment="1">
      <alignment horizontal="right" vertical="top" wrapText="1"/>
    </xf>
    <xf numFmtId="4" fontId="35" fillId="0" borderId="91" xfId="0" applyNumberFormat="1" applyFont="1" applyFill="1" applyBorder="1" applyAlignment="1">
      <alignment vertical="top" wrapText="1"/>
    </xf>
    <xf numFmtId="49" fontId="35" fillId="0" borderId="91" xfId="0" applyNumberFormat="1" applyFont="1" applyFill="1" applyBorder="1" applyAlignment="1">
      <alignment horizontal="right" vertical="top" wrapText="1"/>
    </xf>
    <xf numFmtId="168" fontId="35" fillId="0" borderId="0" xfId="0" applyNumberFormat="1" applyFont="1" applyFill="1" applyBorder="1" applyAlignment="1">
      <alignment horizontal="right" vertical="top"/>
    </xf>
    <xf numFmtId="0" fontId="35" fillId="0" borderId="91" xfId="0" applyFont="1" applyFill="1" applyBorder="1" applyAlignment="1">
      <alignment horizontal="center" vertical="top" wrapText="1"/>
    </xf>
    <xf numFmtId="0" fontId="35" fillId="0" borderId="91" xfId="0" applyFont="1" applyFill="1" applyBorder="1" applyAlignment="1">
      <alignment vertical="top" wrapText="1"/>
    </xf>
    <xf numFmtId="1" fontId="35" fillId="0" borderId="29" xfId="17892" applyNumberFormat="1" applyFont="1" applyFill="1" applyBorder="1" applyAlignment="1">
      <alignment horizontal="left" vertical="top" wrapText="1"/>
    </xf>
    <xf numFmtId="1" fontId="35" fillId="0" borderId="101" xfId="0" applyNumberFormat="1" applyFont="1" applyFill="1" applyBorder="1" applyAlignment="1">
      <alignment horizontal="left" vertical="top" wrapText="1"/>
    </xf>
    <xf numFmtId="168" fontId="35" fillId="0" borderId="29" xfId="19592" applyNumberFormat="1" applyFont="1" applyFill="1" applyBorder="1" applyAlignment="1">
      <alignment horizontal="right" vertical="top" wrapText="1"/>
    </xf>
    <xf numFmtId="4" fontId="35" fillId="0" borderId="35" xfId="17897" applyNumberFormat="1" applyFont="1" applyFill="1" applyBorder="1" applyAlignment="1">
      <alignment vertical="top" wrapText="1"/>
    </xf>
    <xf numFmtId="0" fontId="35" fillId="0" borderId="91" xfId="19567" applyFont="1" applyFill="1" applyBorder="1" applyAlignment="1">
      <alignment horizontal="left" vertical="top" wrapText="1"/>
    </xf>
    <xf numFmtId="4" fontId="35" fillId="0" borderId="91" xfId="17897" applyNumberFormat="1" applyFont="1" applyFill="1" applyBorder="1" applyAlignment="1">
      <alignment vertical="top" wrapText="1"/>
    </xf>
    <xf numFmtId="4" fontId="35" fillId="0" borderId="84" xfId="17897" applyNumberFormat="1" applyFont="1" applyFill="1" applyBorder="1" applyAlignment="1">
      <alignment vertical="top" wrapText="1"/>
    </xf>
    <xf numFmtId="0" fontId="35" fillId="0" borderId="29" xfId="5508" applyFont="1" applyFill="1" applyBorder="1" applyAlignment="1">
      <alignment horizontal="left" vertical="top" wrapText="1"/>
    </xf>
    <xf numFmtId="3" fontId="35" fillId="0" borderId="29" xfId="5508" applyNumberFormat="1" applyFont="1" applyFill="1" applyBorder="1" applyAlignment="1">
      <alignment horizontal="right" vertical="top" wrapText="1"/>
    </xf>
    <xf numFmtId="0" fontId="35" fillId="0" borderId="91" xfId="5508" applyFont="1" applyFill="1" applyBorder="1" applyAlignment="1">
      <alignment horizontal="left" vertical="top" wrapText="1"/>
    </xf>
    <xf numFmtId="3" fontId="35" fillId="0" borderId="91" xfId="5508" applyNumberFormat="1" applyFont="1" applyFill="1" applyBorder="1" applyAlignment="1">
      <alignment horizontal="right" vertical="top" wrapText="1"/>
    </xf>
    <xf numFmtId="4" fontId="35" fillId="0" borderId="91" xfId="0" applyNumberFormat="1" applyFont="1" applyFill="1" applyBorder="1" applyAlignment="1">
      <alignment horizontal="center" vertical="top" wrapText="1"/>
    </xf>
    <xf numFmtId="169" fontId="35" fillId="0" borderId="73" xfId="0" applyNumberFormat="1" applyFont="1" applyFill="1" applyBorder="1" applyAlignment="1">
      <alignment horizontal="center" vertical="top" wrapText="1"/>
    </xf>
    <xf numFmtId="0" fontId="35" fillId="0" borderId="29" xfId="17892" applyFont="1" applyFill="1" applyBorder="1" applyAlignment="1">
      <alignment vertical="top" wrapText="1" shrinkToFit="1"/>
    </xf>
    <xf numFmtId="3" fontId="35" fillId="0" borderId="78" xfId="0" applyNumberFormat="1" applyFont="1" applyFill="1" applyBorder="1" applyAlignment="1">
      <alignment horizontal="right" vertical="top"/>
    </xf>
    <xf numFmtId="3" fontId="35" fillId="0" borderId="78" xfId="0" applyNumberFormat="1" applyFont="1" applyFill="1" applyBorder="1" applyAlignment="1">
      <alignment horizontal="right" vertical="top" wrapText="1"/>
    </xf>
    <xf numFmtId="3" fontId="35" fillId="0" borderId="73" xfId="0" applyNumberFormat="1" applyFont="1" applyFill="1" applyBorder="1" applyAlignment="1">
      <alignment horizontal="center" vertical="top" wrapText="1"/>
    </xf>
    <xf numFmtId="0" fontId="35" fillId="0" borderId="29" xfId="17892" applyFont="1" applyFill="1" applyBorder="1" applyAlignment="1">
      <alignment vertical="top" wrapText="1"/>
    </xf>
    <xf numFmtId="3" fontId="35" fillId="0" borderId="29" xfId="17892" applyNumberFormat="1" applyFont="1" applyFill="1" applyBorder="1" applyAlignment="1">
      <alignment horizontal="left" vertical="top" wrapText="1"/>
    </xf>
    <xf numFmtId="3" fontId="35" fillId="0" borderId="29" xfId="17892" applyNumberFormat="1" applyFont="1" applyFill="1" applyBorder="1" applyAlignment="1">
      <alignment horizontal="right" vertical="top" wrapText="1"/>
    </xf>
    <xf numFmtId="168" fontId="35" fillId="0" borderId="29" xfId="17892" applyNumberFormat="1" applyFont="1" applyFill="1" applyBorder="1" applyAlignment="1">
      <alignment horizontal="right" vertical="top" wrapText="1"/>
    </xf>
    <xf numFmtId="49" fontId="35" fillId="0" borderId="102" xfId="0" applyNumberFormat="1" applyFont="1" applyFill="1" applyBorder="1" applyAlignment="1">
      <alignment horizontal="right" vertical="top" wrapText="1"/>
    </xf>
    <xf numFmtId="4" fontId="35" fillId="0" borderId="96" xfId="17897" applyNumberFormat="1" applyFont="1" applyFill="1" applyBorder="1" applyAlignment="1">
      <alignment vertical="top" wrapText="1"/>
    </xf>
    <xf numFmtId="0" fontId="35" fillId="0" borderId="45" xfId="0" applyFont="1" applyFill="1" applyBorder="1" applyAlignment="1">
      <alignment horizontal="center" vertical="top" wrapText="1"/>
    </xf>
    <xf numFmtId="4" fontId="35" fillId="0" borderId="63" xfId="17894" applyNumberFormat="1" applyFont="1" applyFill="1" applyBorder="1" applyAlignment="1" applyProtection="1">
      <alignment vertical="top" wrapText="1"/>
    </xf>
    <xf numFmtId="3" fontId="35" fillId="0" borderId="101" xfId="0" applyNumberFormat="1" applyFont="1" applyFill="1" applyBorder="1" applyAlignment="1">
      <alignment horizontal="right" vertical="top" wrapText="1"/>
    </xf>
    <xf numFmtId="49" fontId="35" fillId="0" borderId="101" xfId="0" applyNumberFormat="1" applyFont="1" applyFill="1" applyBorder="1" applyAlignment="1">
      <alignment horizontal="right" vertical="top" wrapText="1"/>
    </xf>
    <xf numFmtId="168" fontId="35" fillId="0" borderId="101" xfId="0" applyNumberFormat="1" applyFont="1" applyFill="1" applyBorder="1" applyAlignment="1">
      <alignment horizontal="right" vertical="top" wrapText="1"/>
    </xf>
    <xf numFmtId="1" fontId="35" fillId="0" borderId="101" xfId="0" applyNumberFormat="1" applyFont="1" applyFill="1" applyBorder="1" applyAlignment="1">
      <alignment horizontal="center" vertical="top" wrapText="1"/>
    </xf>
    <xf numFmtId="0" fontId="35" fillId="0" borderId="29" xfId="0" applyNumberFormat="1" applyFont="1" applyFill="1" applyBorder="1" applyAlignment="1">
      <alignment vertical="top" wrapText="1"/>
    </xf>
    <xf numFmtId="0" fontId="35" fillId="0" borderId="29" xfId="0" applyNumberFormat="1" applyFont="1" applyFill="1" applyBorder="1" applyAlignment="1">
      <alignment horizontal="left" vertical="top" wrapText="1"/>
    </xf>
    <xf numFmtId="0" fontId="35" fillId="0" borderId="72" xfId="0" applyFont="1" applyFill="1" applyBorder="1" applyAlignment="1">
      <alignment horizontal="left" vertical="top" wrapText="1"/>
    </xf>
    <xf numFmtId="3" fontId="35" fillId="0" borderId="79" xfId="0" applyNumberFormat="1" applyFont="1" applyFill="1" applyBorder="1" applyAlignment="1">
      <alignment horizontal="right" vertical="top" wrapText="1"/>
    </xf>
    <xf numFmtId="2" fontId="35" fillId="0" borderId="63" xfId="0" applyNumberFormat="1" applyFont="1" applyFill="1" applyBorder="1" applyAlignment="1">
      <alignment horizontal="center" vertical="top" wrapText="1"/>
    </xf>
    <xf numFmtId="0" fontId="35" fillId="0" borderId="79" xfId="0" applyFont="1" applyFill="1" applyBorder="1" applyAlignment="1">
      <alignment horizontal="left" vertical="top" wrapText="1"/>
    </xf>
    <xf numFmtId="4" fontId="35" fillId="0" borderId="97" xfId="0" applyNumberFormat="1" applyFont="1" applyFill="1" applyBorder="1" applyAlignment="1">
      <alignment vertical="top" wrapText="1"/>
    </xf>
    <xf numFmtId="49" fontId="35" fillId="0" borderId="97" xfId="0" applyNumberFormat="1" applyFont="1" applyFill="1" applyBorder="1" applyAlignment="1">
      <alignment horizontal="right" vertical="top" wrapText="1"/>
    </xf>
    <xf numFmtId="1" fontId="35" fillId="0" borderId="80" xfId="0" applyNumberFormat="1" applyFont="1" applyFill="1" applyBorder="1" applyAlignment="1">
      <alignment horizontal="left" vertical="top" wrapText="1"/>
    </xf>
    <xf numFmtId="0" fontId="35" fillId="0" borderId="80" xfId="0" applyFont="1" applyFill="1" applyBorder="1" applyAlignment="1">
      <alignment horizontal="left" vertical="top" wrapText="1"/>
    </xf>
    <xf numFmtId="3" fontId="35" fillId="0" borderId="80" xfId="0" applyNumberFormat="1" applyFont="1" applyFill="1" applyBorder="1" applyAlignment="1">
      <alignment horizontal="right" vertical="top" wrapText="1"/>
    </xf>
    <xf numFmtId="168" fontId="35" fillId="0" borderId="80" xfId="0" applyNumberFormat="1" applyFont="1" applyFill="1" applyBorder="1" applyAlignment="1">
      <alignment horizontal="right" vertical="top" wrapText="1"/>
    </xf>
    <xf numFmtId="4" fontId="35" fillId="0" borderId="48" xfId="22877" applyNumberFormat="1" applyFont="1" applyFill="1" applyBorder="1" applyAlignment="1">
      <alignment vertical="top" wrapText="1"/>
    </xf>
    <xf numFmtId="0" fontId="35" fillId="0" borderId="97" xfId="0" applyFont="1" applyFill="1" applyBorder="1" applyAlignment="1">
      <alignment horizontal="center" vertical="top" wrapText="1"/>
    </xf>
    <xf numFmtId="1" fontId="35" fillId="0" borderId="97" xfId="0" applyNumberFormat="1" applyFont="1" applyFill="1" applyBorder="1" applyAlignment="1">
      <alignment horizontal="left" vertical="top" wrapText="1"/>
    </xf>
    <xf numFmtId="3" fontId="35" fillId="0" borderId="97" xfId="0" applyNumberFormat="1" applyFont="1" applyFill="1" applyBorder="1" applyAlignment="1">
      <alignment horizontal="right" vertical="top" wrapText="1"/>
    </xf>
    <xf numFmtId="168" fontId="35" fillId="0" borderId="97" xfId="0" applyNumberFormat="1" applyFont="1" applyFill="1" applyBorder="1" applyAlignment="1">
      <alignment horizontal="right" vertical="top" wrapText="1"/>
    </xf>
    <xf numFmtId="0" fontId="35" fillId="0" borderId="80" xfId="0" applyFont="1" applyFill="1" applyBorder="1" applyAlignment="1">
      <alignment vertical="top" wrapText="1"/>
    </xf>
    <xf numFmtId="0" fontId="35" fillId="0" borderId="80" xfId="5508" applyFont="1" applyFill="1" applyBorder="1" applyAlignment="1">
      <alignment horizontal="left" vertical="top" wrapText="1"/>
    </xf>
    <xf numFmtId="0" fontId="35" fillId="0" borderId="80" xfId="19567" applyFont="1" applyFill="1" applyBorder="1" applyAlignment="1">
      <alignment horizontal="left" vertical="top" wrapText="1"/>
    </xf>
    <xf numFmtId="1" fontId="35" fillId="0" borderId="80" xfId="0" applyNumberFormat="1" applyFont="1" applyFill="1" applyBorder="1" applyAlignment="1">
      <alignment horizontal="right" vertical="top" wrapText="1"/>
    </xf>
    <xf numFmtId="0" fontId="35" fillId="0" borderId="97" xfId="0" applyFont="1" applyFill="1" applyBorder="1" applyAlignment="1">
      <alignment vertical="top" wrapText="1"/>
    </xf>
    <xf numFmtId="0" fontId="35" fillId="0" borderId="0" xfId="0" applyFont="1" applyFill="1" applyAlignment="1">
      <alignment horizontal="left" vertical="top"/>
    </xf>
    <xf numFmtId="0" fontId="35" fillId="108" borderId="0" xfId="0" applyFont="1" applyFill="1" applyAlignment="1">
      <alignment horizontal="left" vertical="top"/>
    </xf>
    <xf numFmtId="0" fontId="35" fillId="0" borderId="78" xfId="0" applyFont="1" applyFill="1" applyBorder="1" applyAlignment="1">
      <alignment horizontal="left" vertical="top" wrapText="1"/>
    </xf>
    <xf numFmtId="4" fontId="35" fillId="0" borderId="102" xfId="0" applyNumberFormat="1" applyFont="1" applyFill="1" applyBorder="1" applyAlignment="1">
      <alignment vertical="top" wrapText="1"/>
    </xf>
    <xf numFmtId="168" fontId="35" fillId="0" borderId="102" xfId="0" applyNumberFormat="1" applyFont="1" applyFill="1" applyBorder="1" applyAlignment="1">
      <alignment horizontal="right" vertical="top" wrapText="1"/>
    </xf>
    <xf numFmtId="0" fontId="94" fillId="0" borderId="88" xfId="0" applyFont="1" applyFill="1" applyBorder="1" applyAlignment="1">
      <alignment horizontal="right" vertical="top"/>
    </xf>
    <xf numFmtId="1" fontId="94" fillId="0" borderId="88" xfId="0" applyNumberFormat="1" applyFont="1" applyFill="1" applyBorder="1" applyAlignment="1">
      <alignment horizontal="right" vertical="top" wrapText="1"/>
    </xf>
    <xf numFmtId="0" fontId="77" fillId="0" borderId="88" xfId="0" applyFont="1" applyFill="1" applyBorder="1" applyAlignment="1">
      <alignment horizontal="right" vertical="top"/>
    </xf>
    <xf numFmtId="0" fontId="35" fillId="0" borderId="98" xfId="0" applyFont="1" applyFill="1" applyBorder="1" applyAlignment="1">
      <alignment vertical="top" wrapText="1" shrinkToFit="1"/>
    </xf>
    <xf numFmtId="3" fontId="35" fillId="0" borderId="99" xfId="0" applyNumberFormat="1" applyFont="1" applyFill="1" applyBorder="1" applyAlignment="1">
      <alignment horizontal="right" vertical="top" wrapText="1"/>
    </xf>
    <xf numFmtId="0" fontId="35" fillId="0" borderId="84" xfId="0" applyFont="1" applyFill="1" applyBorder="1" applyAlignment="1">
      <alignment vertical="top" wrapText="1" shrinkToFit="1"/>
    </xf>
    <xf numFmtId="168" fontId="79" fillId="0" borderId="92" xfId="0" applyNumberFormat="1" applyFont="1" applyFill="1" applyBorder="1" applyAlignment="1">
      <alignment horizontal="right" vertical="top"/>
    </xf>
    <xf numFmtId="3" fontId="79" fillId="0" borderId="92" xfId="0" applyNumberFormat="1" applyFont="1" applyFill="1" applyBorder="1" applyAlignment="1">
      <alignment horizontal="right" vertical="top"/>
    </xf>
    <xf numFmtId="4" fontId="79" fillId="0" borderId="92" xfId="0" applyNumberFormat="1" applyFont="1" applyFill="1" applyBorder="1" applyAlignment="1">
      <alignment vertical="top"/>
    </xf>
    <xf numFmtId="168" fontId="79" fillId="0" borderId="92" xfId="0" applyNumberFormat="1" applyFont="1" applyFill="1" applyBorder="1" applyAlignment="1">
      <alignment vertical="top"/>
    </xf>
    <xf numFmtId="0" fontId="35" fillId="0" borderId="0" xfId="19567" applyFont="1" applyFill="1" applyBorder="1" applyAlignment="1">
      <alignment vertical="top" wrapText="1"/>
    </xf>
    <xf numFmtId="3" fontId="35" fillId="0" borderId="65" xfId="0" applyNumberFormat="1" applyFont="1" applyFill="1" applyBorder="1" applyAlignment="1">
      <alignment horizontal="center" vertical="top" wrapText="1"/>
    </xf>
    <xf numFmtId="0" fontId="35" fillId="0" borderId="0" xfId="0" applyFont="1" applyFill="1" applyBorder="1" applyAlignment="1">
      <alignment horizontal="center" vertical="top"/>
    </xf>
    <xf numFmtId="0" fontId="35" fillId="0" borderId="68" xfId="0" applyFont="1" applyFill="1" applyBorder="1" applyAlignment="1">
      <alignment horizontal="center" vertical="top" wrapText="1"/>
    </xf>
    <xf numFmtId="0" fontId="35" fillId="0" borderId="84" xfId="0" applyFont="1" applyFill="1" applyBorder="1" applyAlignment="1">
      <alignment horizontal="left" vertical="top" wrapText="1" shrinkToFit="1"/>
    </xf>
    <xf numFmtId="4" fontId="35" fillId="0" borderId="46" xfId="19567" applyNumberFormat="1" applyFont="1" applyFill="1" applyBorder="1" applyAlignment="1">
      <alignment horizontal="right" vertical="top" wrapText="1"/>
    </xf>
    <xf numFmtId="4" fontId="35" fillId="0" borderId="83" xfId="0" applyNumberFormat="1" applyFont="1" applyFill="1" applyBorder="1" applyAlignment="1">
      <alignment horizontal="right" vertical="top" wrapText="1" shrinkToFit="1"/>
    </xf>
    <xf numFmtId="3" fontId="35" fillId="0" borderId="84" xfId="0" applyNumberFormat="1" applyFont="1" applyFill="1" applyBorder="1" applyAlignment="1">
      <alignment horizontal="right" vertical="top" wrapText="1" shrinkToFit="1"/>
    </xf>
    <xf numFmtId="4" fontId="35" fillId="0" borderId="84" xfId="0" applyNumberFormat="1" applyFont="1" applyFill="1" applyBorder="1" applyAlignment="1">
      <alignment horizontal="right" vertical="top" wrapText="1" shrinkToFit="1"/>
    </xf>
    <xf numFmtId="4" fontId="35" fillId="0" borderId="50" xfId="0" applyNumberFormat="1" applyFont="1" applyFill="1" applyBorder="1" applyAlignment="1">
      <alignment horizontal="right" vertical="top" wrapText="1" shrinkToFit="1"/>
    </xf>
    <xf numFmtId="4" fontId="35" fillId="0" borderId="88" xfId="0" applyNumberFormat="1" applyFont="1" applyFill="1" applyBorder="1" applyAlignment="1">
      <alignment horizontal="right" vertical="top" wrapText="1" shrinkToFit="1"/>
    </xf>
    <xf numFmtId="3" fontId="35" fillId="0" borderId="83" xfId="0" applyNumberFormat="1" applyFont="1" applyFill="1" applyBorder="1" applyAlignment="1">
      <alignment horizontal="right" vertical="top" wrapText="1" shrinkToFit="1"/>
    </xf>
    <xf numFmtId="4" fontId="35" fillId="0" borderId="61" xfId="0" applyNumberFormat="1" applyFont="1" applyFill="1" applyBorder="1" applyAlignment="1">
      <alignment horizontal="right" vertical="top" wrapText="1"/>
    </xf>
    <xf numFmtId="4" fontId="35" fillId="0" borderId="87" xfId="0" applyNumberFormat="1" applyFont="1" applyFill="1" applyBorder="1" applyAlignment="1">
      <alignment horizontal="right" vertical="top" wrapText="1" shrinkToFit="1"/>
    </xf>
    <xf numFmtId="4" fontId="35" fillId="0" borderId="29" xfId="0" applyNumberFormat="1" applyFont="1" applyFill="1" applyBorder="1" applyAlignment="1">
      <alignment horizontal="right" vertical="top" wrapText="1" shrinkToFit="1"/>
    </xf>
    <xf numFmtId="4" fontId="35" fillId="0" borderId="103" xfId="0" applyNumberFormat="1" applyFont="1" applyFill="1" applyBorder="1" applyAlignment="1">
      <alignment horizontal="right" vertical="top" wrapText="1"/>
    </xf>
    <xf numFmtId="4" fontId="35" fillId="0" borderId="89" xfId="0" applyNumberFormat="1" applyFont="1" applyFill="1" applyBorder="1" applyAlignment="1">
      <alignment horizontal="right" vertical="top" wrapText="1"/>
    </xf>
    <xf numFmtId="4" fontId="35" fillId="0" borderId="74" xfId="0" applyNumberFormat="1" applyFont="1" applyFill="1" applyBorder="1" applyAlignment="1">
      <alignment horizontal="right" vertical="top" wrapText="1"/>
    </xf>
    <xf numFmtId="4" fontId="35" fillId="0" borderId="45" xfId="19567" applyNumberFormat="1" applyFont="1" applyFill="1" applyBorder="1" applyAlignment="1">
      <alignment horizontal="right" vertical="top" wrapText="1"/>
    </xf>
    <xf numFmtId="4" fontId="35" fillId="0" borderId="45" xfId="0" applyNumberFormat="1" applyFont="1" applyFill="1" applyBorder="1" applyAlignment="1">
      <alignment horizontal="right" vertical="top" wrapText="1"/>
    </xf>
    <xf numFmtId="3" fontId="35" fillId="0" borderId="45" xfId="0" applyNumberFormat="1" applyFont="1" applyFill="1" applyBorder="1" applyAlignment="1">
      <alignment horizontal="right" vertical="top" wrapText="1"/>
    </xf>
    <xf numFmtId="0" fontId="35" fillId="0" borderId="74" xfId="1539" applyFont="1" applyFill="1" applyBorder="1" applyAlignment="1">
      <alignment horizontal="left" vertical="top" wrapText="1"/>
    </xf>
    <xf numFmtId="0" fontId="35" fillId="0" borderId="102" xfId="0" applyFont="1" applyFill="1" applyBorder="1" applyAlignment="1">
      <alignment horizontal="left" vertical="top" wrapText="1" shrinkToFit="1"/>
    </xf>
    <xf numFmtId="4" fontId="35" fillId="0" borderId="102" xfId="0" applyNumberFormat="1" applyFont="1" applyFill="1" applyBorder="1" applyAlignment="1">
      <alignment horizontal="right" vertical="top" wrapText="1" shrinkToFit="1"/>
    </xf>
    <xf numFmtId="3" fontId="35" fillId="0" borderId="102" xfId="0" applyNumberFormat="1" applyFont="1" applyFill="1" applyBorder="1" applyAlignment="1">
      <alignment horizontal="right" vertical="top" wrapText="1" shrinkToFit="1"/>
    </xf>
    <xf numFmtId="0" fontId="35" fillId="0" borderId="98" xfId="0" applyFont="1" applyFill="1" applyBorder="1" applyAlignment="1">
      <alignment horizontal="left" vertical="top" wrapText="1" shrinkToFit="1"/>
    </xf>
    <xf numFmtId="4" fontId="35" fillId="0" borderId="98" xfId="0" applyNumberFormat="1" applyFont="1" applyFill="1" applyBorder="1" applyAlignment="1">
      <alignment horizontal="right" vertical="top" wrapText="1" shrinkToFit="1"/>
    </xf>
    <xf numFmtId="3" fontId="35" fillId="0" borderId="98" xfId="0" applyNumberFormat="1" applyFont="1" applyFill="1" applyBorder="1" applyAlignment="1">
      <alignment horizontal="right" vertical="top" wrapText="1" shrinkToFit="1"/>
    </xf>
    <xf numFmtId="4" fontId="35" fillId="0" borderId="45" xfId="0" applyNumberFormat="1" applyFont="1" applyFill="1" applyBorder="1" applyAlignment="1">
      <alignment horizontal="right" vertical="top" wrapText="1" shrinkToFit="1"/>
    </xf>
    <xf numFmtId="4" fontId="35" fillId="0" borderId="99" xfId="0" applyNumberFormat="1" applyFont="1" applyFill="1" applyBorder="1" applyAlignment="1">
      <alignment horizontal="right" vertical="top" wrapText="1"/>
    </xf>
    <xf numFmtId="0" fontId="35" fillId="0" borderId="29" xfId="0" applyFont="1" applyFill="1" applyBorder="1" applyAlignment="1">
      <alignment horizontal="left" vertical="top" wrapText="1" shrinkToFit="1"/>
    </xf>
    <xf numFmtId="3" fontId="35" fillId="0" borderId="29" xfId="0" applyNumberFormat="1" applyFont="1" applyFill="1" applyBorder="1" applyAlignment="1">
      <alignment horizontal="right" vertical="top" wrapText="1" shrinkToFit="1"/>
    </xf>
    <xf numFmtId="0" fontId="35" fillId="0" borderId="45" xfId="0" applyFont="1" applyFill="1" applyBorder="1" applyAlignment="1">
      <alignment horizontal="left" vertical="top" wrapText="1" shrinkToFit="1"/>
    </xf>
    <xf numFmtId="3" fontId="35" fillId="0" borderId="45" xfId="0" applyNumberFormat="1" applyFont="1" applyFill="1" applyBorder="1" applyAlignment="1">
      <alignment horizontal="right" vertical="top" wrapText="1" shrinkToFit="1"/>
    </xf>
    <xf numFmtId="4" fontId="35" fillId="0" borderId="35" xfId="19567" applyNumberFormat="1" applyFont="1" applyFill="1" applyBorder="1" applyAlignment="1">
      <alignment horizontal="right" vertical="top" wrapText="1"/>
    </xf>
    <xf numFmtId="3" fontId="35" fillId="0" borderId="35" xfId="0" applyNumberFormat="1" applyFont="1" applyFill="1" applyBorder="1" applyAlignment="1">
      <alignment horizontal="right" vertical="top" wrapText="1"/>
    </xf>
    <xf numFmtId="4" fontId="35" fillId="0" borderId="35" xfId="0" applyNumberFormat="1" applyFont="1" applyFill="1" applyBorder="1" applyAlignment="1">
      <alignment horizontal="right" vertical="top" wrapText="1" shrinkToFit="1"/>
    </xf>
    <xf numFmtId="3" fontId="35" fillId="0" borderId="35" xfId="0" applyNumberFormat="1" applyFont="1" applyFill="1" applyBorder="1" applyAlignment="1">
      <alignment horizontal="right" vertical="top" wrapText="1" shrinkToFit="1"/>
    </xf>
    <xf numFmtId="3" fontId="35" fillId="0" borderId="88" xfId="0" applyNumberFormat="1" applyFont="1" applyFill="1" applyBorder="1" applyAlignment="1">
      <alignment horizontal="right" vertical="top" wrapText="1" shrinkToFit="1"/>
    </xf>
    <xf numFmtId="4" fontId="35" fillId="0" borderId="48" xfId="19567" applyNumberFormat="1" applyFont="1" applyFill="1" applyBorder="1" applyAlignment="1">
      <alignment horizontal="right" vertical="top" wrapText="1"/>
    </xf>
    <xf numFmtId="4" fontId="35" fillId="0" borderId="102" xfId="19569" applyNumberFormat="1" applyFont="1" applyFill="1" applyBorder="1" applyAlignment="1">
      <alignment horizontal="right" vertical="top"/>
    </xf>
    <xf numFmtId="4" fontId="35" fillId="0" borderId="58" xfId="0" applyNumberFormat="1" applyFont="1" applyFill="1" applyBorder="1" applyAlignment="1">
      <alignment horizontal="right" vertical="top" wrapText="1"/>
    </xf>
    <xf numFmtId="4" fontId="35" fillId="0" borderId="60" xfId="0" applyNumberFormat="1" applyFont="1" applyFill="1" applyBorder="1" applyAlignment="1">
      <alignment horizontal="right" vertical="top" wrapText="1"/>
    </xf>
    <xf numFmtId="0" fontId="35" fillId="0" borderId="0" xfId="19567" applyFont="1" applyFill="1" applyBorder="1" applyAlignment="1">
      <alignment horizontal="left" vertical="top" wrapText="1"/>
    </xf>
    <xf numFmtId="4" fontId="35" fillId="0" borderId="38" xfId="0" applyNumberFormat="1" applyFont="1" applyFill="1" applyBorder="1" applyAlignment="1">
      <alignment horizontal="right" vertical="top" wrapText="1"/>
    </xf>
    <xf numFmtId="4" fontId="35" fillId="0" borderId="46" xfId="0" applyNumberFormat="1" applyFont="1" applyFill="1" applyBorder="1" applyAlignment="1">
      <alignment horizontal="right" vertical="top" wrapText="1"/>
    </xf>
    <xf numFmtId="1" fontId="35" fillId="0" borderId="68" xfId="0" applyNumberFormat="1" applyFont="1" applyFill="1" applyBorder="1" applyAlignment="1">
      <alignment horizontal="left" vertical="top" wrapText="1" shrinkToFit="1"/>
    </xf>
    <xf numFmtId="4" fontId="35" fillId="0" borderId="68" xfId="0" applyNumberFormat="1" applyFont="1" applyFill="1" applyBorder="1" applyAlignment="1">
      <alignment horizontal="right" vertical="top" wrapText="1" shrinkToFit="1"/>
    </xf>
    <xf numFmtId="3" fontId="35" fillId="0" borderId="68" xfId="0" applyNumberFormat="1" applyFont="1" applyFill="1" applyBorder="1" applyAlignment="1">
      <alignment horizontal="right" vertical="top" wrapText="1" shrinkToFit="1"/>
    </xf>
    <xf numFmtId="4" fontId="35" fillId="0" borderId="68" xfId="0" applyNumberFormat="1" applyFont="1" applyFill="1" applyBorder="1" applyAlignment="1">
      <alignment horizontal="right" vertical="top" wrapText="1"/>
    </xf>
    <xf numFmtId="4" fontId="35" fillId="0" borderId="57" xfId="0" applyNumberFormat="1" applyFont="1" applyFill="1" applyBorder="1" applyAlignment="1">
      <alignment horizontal="right" vertical="top" wrapText="1" shrinkToFit="1"/>
    </xf>
    <xf numFmtId="0" fontId="35" fillId="0" borderId="67" xfId="0" applyFont="1" applyFill="1" applyBorder="1" applyAlignment="1">
      <alignment horizontal="left" vertical="top" wrapText="1" shrinkToFit="1"/>
    </xf>
    <xf numFmtId="0" fontId="35" fillId="0" borderId="68" xfId="0" applyFont="1" applyFill="1" applyBorder="1" applyAlignment="1">
      <alignment horizontal="left" vertical="top" wrapText="1" shrinkToFit="1"/>
    </xf>
    <xf numFmtId="4" fontId="35" fillId="0" borderId="67" xfId="0" applyNumberFormat="1" applyFont="1" applyFill="1" applyBorder="1" applyAlignment="1">
      <alignment horizontal="right" vertical="top" wrapText="1"/>
    </xf>
    <xf numFmtId="0" fontId="35" fillId="0" borderId="56" xfId="0" applyFont="1" applyFill="1" applyBorder="1" applyAlignment="1">
      <alignment horizontal="left" vertical="top" wrapText="1" shrinkToFit="1"/>
    </xf>
    <xf numFmtId="4" fontId="35" fillId="0" borderId="56" xfId="0" applyNumberFormat="1" applyFont="1" applyFill="1" applyBorder="1" applyAlignment="1">
      <alignment horizontal="right" vertical="top" wrapText="1" shrinkToFit="1"/>
    </xf>
    <xf numFmtId="3" fontId="35" fillId="0" borderId="56" xfId="0" applyNumberFormat="1" applyFont="1" applyFill="1" applyBorder="1" applyAlignment="1">
      <alignment horizontal="right" vertical="top" wrapText="1" shrinkToFit="1"/>
    </xf>
    <xf numFmtId="4" fontId="35" fillId="0" borderId="55" xfId="0" applyNumberFormat="1" applyFont="1" applyFill="1" applyBorder="1" applyAlignment="1">
      <alignment horizontal="right" vertical="top" wrapText="1"/>
    </xf>
    <xf numFmtId="1" fontId="35" fillId="0" borderId="29" xfId="0" applyNumberFormat="1" applyFont="1" applyFill="1" applyBorder="1" applyAlignment="1">
      <alignment horizontal="left" vertical="top" wrapText="1" shrinkToFit="1"/>
    </xf>
    <xf numFmtId="0" fontId="35" fillId="0" borderId="29" xfId="17892" applyFont="1" applyFill="1" applyBorder="1" applyAlignment="1">
      <alignment horizontal="left" vertical="top" wrapText="1" shrinkToFit="1"/>
    </xf>
    <xf numFmtId="4" fontId="35" fillId="0" borderId="86" xfId="0" applyNumberFormat="1" applyFont="1" applyFill="1" applyBorder="1" applyAlignment="1">
      <alignment horizontal="right" vertical="top" wrapText="1" shrinkToFit="1"/>
    </xf>
    <xf numFmtId="4" fontId="35" fillId="0" borderId="64" xfId="0" applyNumberFormat="1" applyFont="1" applyFill="1" applyBorder="1" applyAlignment="1">
      <alignment horizontal="right" vertical="top" wrapText="1" shrinkToFit="1"/>
    </xf>
    <xf numFmtId="4" fontId="35" fillId="0" borderId="64" xfId="0" applyNumberFormat="1" applyFont="1" applyFill="1" applyBorder="1" applyAlignment="1">
      <alignment horizontal="right" vertical="top" wrapText="1"/>
    </xf>
    <xf numFmtId="4" fontId="35" fillId="0" borderId="34" xfId="0" applyNumberFormat="1" applyFont="1" applyFill="1" applyBorder="1" applyAlignment="1">
      <alignment horizontal="right" vertical="top" wrapText="1" shrinkToFit="1"/>
    </xf>
    <xf numFmtId="4" fontId="35" fillId="0" borderId="36" xfId="0" applyNumberFormat="1" applyFont="1" applyFill="1" applyBorder="1" applyAlignment="1">
      <alignment horizontal="right" vertical="top" wrapText="1"/>
    </xf>
    <xf numFmtId="0" fontId="35" fillId="0" borderId="54" xfId="0" applyFont="1" applyFill="1" applyBorder="1" applyAlignment="1">
      <alignment horizontal="left" vertical="top" wrapText="1"/>
    </xf>
    <xf numFmtId="4" fontId="35" fillId="0" borderId="62" xfId="0" applyNumberFormat="1" applyFont="1" applyFill="1" applyBorder="1" applyAlignment="1">
      <alignment horizontal="right" vertical="top" wrapText="1"/>
    </xf>
    <xf numFmtId="4" fontId="35" fillId="0" borderId="54" xfId="0" applyNumberFormat="1" applyFont="1" applyFill="1" applyBorder="1" applyAlignment="1">
      <alignment horizontal="right" vertical="top" wrapText="1" shrinkToFit="1"/>
    </xf>
    <xf numFmtId="3" fontId="35" fillId="0" borderId="54" xfId="0" applyNumberFormat="1" applyFont="1" applyFill="1" applyBorder="1" applyAlignment="1">
      <alignment horizontal="right" vertical="top" wrapText="1" shrinkToFit="1"/>
    </xf>
    <xf numFmtId="4" fontId="35" fillId="0" borderId="37" xfId="0" applyNumberFormat="1" applyFont="1" applyFill="1" applyBorder="1" applyAlignment="1">
      <alignment horizontal="right" vertical="top" wrapText="1" shrinkToFit="1"/>
    </xf>
    <xf numFmtId="4" fontId="35" fillId="0" borderId="90" xfId="0" applyNumberFormat="1" applyFont="1" applyFill="1" applyBorder="1" applyAlignment="1">
      <alignment horizontal="right" vertical="top" wrapText="1" shrinkToFit="1"/>
    </xf>
    <xf numFmtId="0" fontId="35" fillId="0" borderId="0" xfId="19567" applyFont="1" applyFill="1" applyBorder="1" applyAlignment="1">
      <alignment horizontal="center" vertical="top" wrapText="1"/>
    </xf>
    <xf numFmtId="1" fontId="35" fillId="0" borderId="45" xfId="0" applyNumberFormat="1" applyFont="1" applyFill="1" applyBorder="1" applyAlignment="1">
      <alignment horizontal="left" vertical="top" wrapText="1" shrinkToFit="1"/>
    </xf>
    <xf numFmtId="0" fontId="35" fillId="0" borderId="42" xfId="0" applyFont="1" applyFill="1" applyBorder="1" applyAlignment="1">
      <alignment horizontal="left" vertical="top" wrapText="1" shrinkToFit="1"/>
    </xf>
    <xf numFmtId="0" fontId="35" fillId="0" borderId="45" xfId="17892" applyFont="1" applyFill="1" applyBorder="1" applyAlignment="1">
      <alignment horizontal="left" vertical="top" wrapText="1" shrinkToFit="1"/>
    </xf>
    <xf numFmtId="0" fontId="35" fillId="0" borderId="41" xfId="0" applyFont="1" applyFill="1" applyBorder="1" applyAlignment="1">
      <alignment horizontal="left" vertical="top" wrapText="1" shrinkToFit="1"/>
    </xf>
    <xf numFmtId="4" fontId="35" fillId="0" borderId="48" xfId="19569" applyNumberFormat="1" applyFont="1" applyFill="1" applyBorder="1" applyAlignment="1">
      <alignment horizontal="right" vertical="top"/>
    </xf>
    <xf numFmtId="0" fontId="35" fillId="0" borderId="48" xfId="0" applyFont="1" applyFill="1" applyBorder="1" applyAlignment="1">
      <alignment horizontal="left" vertical="top" wrapText="1" shrinkToFit="1"/>
    </xf>
    <xf numFmtId="0" fontId="35" fillId="0" borderId="48" xfId="17892" applyFont="1" applyFill="1" applyBorder="1" applyAlignment="1">
      <alignment horizontal="left" vertical="top" wrapText="1"/>
    </xf>
    <xf numFmtId="4" fontId="35" fillId="0" borderId="0" xfId="22875" applyNumberFormat="1" applyFont="1" applyFill="1" applyBorder="1" applyAlignment="1">
      <alignment horizontal="left" vertical="top" wrapText="1"/>
    </xf>
    <xf numFmtId="0" fontId="35" fillId="0" borderId="0" xfId="22875" applyFont="1" applyFill="1" applyBorder="1" applyAlignment="1">
      <alignment horizontal="left" vertical="top" wrapText="1"/>
    </xf>
    <xf numFmtId="171" fontId="35" fillId="0" borderId="0" xfId="17890" applyNumberFormat="1" applyFont="1" applyFill="1" applyBorder="1" applyAlignment="1">
      <alignment vertical="top"/>
    </xf>
    <xf numFmtId="0" fontId="35" fillId="0" borderId="0" xfId="19567" applyFont="1" applyFill="1" applyBorder="1" applyAlignment="1">
      <alignment vertical="top"/>
    </xf>
    <xf numFmtId="4" fontId="35" fillId="0" borderId="0" xfId="19567" applyNumberFormat="1" applyFont="1" applyFill="1" applyBorder="1" applyAlignment="1">
      <alignment horizontal="left" vertical="top" wrapText="1"/>
    </xf>
    <xf numFmtId="0" fontId="36" fillId="0" borderId="0" xfId="0" applyFont="1" applyFill="1" applyBorder="1" applyAlignment="1">
      <alignment vertical="top"/>
    </xf>
    <xf numFmtId="168" fontId="78" fillId="0" borderId="0" xfId="0" applyNumberFormat="1" applyFont="1" applyFill="1" applyBorder="1" applyAlignment="1">
      <alignment horizontal="center" vertical="top"/>
    </xf>
    <xf numFmtId="0" fontId="78" fillId="0" borderId="0" xfId="0" applyFont="1" applyFill="1" applyBorder="1" applyAlignment="1">
      <alignment horizontal="center" vertical="top"/>
    </xf>
    <xf numFmtId="0" fontId="88" fillId="0" borderId="0" xfId="0" applyFont="1" applyFill="1" applyBorder="1" applyAlignment="1">
      <alignment horizontal="center" vertical="top" wrapText="1"/>
    </xf>
    <xf numFmtId="4" fontId="78" fillId="0" borderId="0" xfId="0" applyNumberFormat="1" applyFont="1" applyFill="1" applyBorder="1" applyAlignment="1">
      <alignment horizontal="center" vertical="top"/>
    </xf>
    <xf numFmtId="4" fontId="78" fillId="0" borderId="0" xfId="19593" applyNumberFormat="1" applyFont="1" applyFill="1" applyBorder="1" applyAlignment="1">
      <alignment horizontal="center" vertical="top"/>
    </xf>
    <xf numFmtId="3" fontId="78" fillId="0" borderId="0" xfId="0" applyNumberFormat="1" applyFont="1" applyFill="1" applyBorder="1" applyAlignment="1">
      <alignment horizontal="center" vertical="top"/>
    </xf>
    <xf numFmtId="0" fontId="78" fillId="0" borderId="0" xfId="0" applyFont="1" applyFill="1" applyBorder="1" applyAlignment="1">
      <alignment horizontal="center" vertical="top" wrapText="1"/>
    </xf>
    <xf numFmtId="0" fontId="35" fillId="0" borderId="0" xfId="17834" applyFont="1" applyFill="1" applyBorder="1" applyAlignment="1">
      <alignment vertical="top" wrapText="1"/>
    </xf>
    <xf numFmtId="0" fontId="35" fillId="0" borderId="0" xfId="1540" applyFont="1" applyFill="1" applyBorder="1" applyAlignment="1">
      <alignment vertical="top" wrapText="1"/>
    </xf>
    <xf numFmtId="0" fontId="35" fillId="0" borderId="0" xfId="1540" applyFont="1" applyFill="1" applyBorder="1" applyAlignment="1">
      <alignment horizontal="left" vertical="top" wrapText="1"/>
    </xf>
    <xf numFmtId="0" fontId="89" fillId="0" borderId="0" xfId="0" applyFont="1" applyFill="1" applyBorder="1" applyAlignment="1">
      <alignment vertical="top" wrapText="1"/>
    </xf>
    <xf numFmtId="0" fontId="90" fillId="0" borderId="0" xfId="1540" applyFont="1" applyFill="1" applyBorder="1" applyAlignment="1">
      <alignment horizontal="center" vertical="top"/>
    </xf>
    <xf numFmtId="0" fontId="86" fillId="0" borderId="0" xfId="0" applyFont="1" applyFill="1" applyBorder="1" applyAlignment="1">
      <alignment vertical="top"/>
    </xf>
    <xf numFmtId="0" fontId="85" fillId="0" borderId="0" xfId="0" applyFont="1" applyFill="1" applyBorder="1" applyAlignment="1">
      <alignment vertical="top"/>
    </xf>
    <xf numFmtId="0" fontId="78" fillId="0" borderId="0" xfId="1540" applyFont="1" applyFill="1" applyBorder="1" applyAlignment="1">
      <alignment vertical="top" wrapText="1"/>
    </xf>
    <xf numFmtId="0" fontId="82" fillId="0" borderId="0" xfId="0" applyFont="1" applyFill="1" applyBorder="1" applyAlignment="1">
      <alignment horizontal="left" vertical="top"/>
    </xf>
    <xf numFmtId="0" fontId="87" fillId="0" borderId="0" xfId="0" applyFont="1" applyFill="1" applyBorder="1" applyAlignment="1">
      <alignment vertical="top"/>
    </xf>
    <xf numFmtId="0" fontId="78" fillId="0" borderId="0" xfId="0" applyFont="1" applyFill="1" applyBorder="1" applyAlignment="1">
      <alignment horizontal="left" vertical="top"/>
    </xf>
    <xf numFmtId="0" fontId="104" fillId="0" borderId="0" xfId="0" applyFont="1" applyFill="1" applyBorder="1" applyAlignment="1">
      <alignment vertical="top"/>
    </xf>
    <xf numFmtId="0" fontId="78" fillId="0" borderId="0" xfId="0" applyFont="1" applyFill="1" applyBorder="1" applyAlignment="1">
      <alignment vertical="top" wrapText="1"/>
    </xf>
    <xf numFmtId="0" fontId="79" fillId="0" borderId="0" xfId="0" applyFont="1" applyFill="1" applyBorder="1" applyAlignment="1">
      <alignment horizontal="left" vertical="top"/>
    </xf>
    <xf numFmtId="0" fontId="78" fillId="0" borderId="0" xfId="1541" applyFont="1" applyFill="1" applyBorder="1" applyAlignment="1">
      <alignment horizontal="center" vertical="top" wrapText="1"/>
    </xf>
    <xf numFmtId="0" fontId="81" fillId="0" borderId="0" xfId="0" applyFont="1" applyFill="1" applyBorder="1" applyAlignment="1">
      <alignment horizontal="left" vertical="top"/>
    </xf>
    <xf numFmtId="0" fontId="80" fillId="0" borderId="0" xfId="0" applyFont="1" applyFill="1" applyBorder="1" applyAlignment="1">
      <alignment horizontal="center" vertical="top"/>
    </xf>
    <xf numFmtId="0" fontId="91" fillId="0" borderId="0" xfId="0" applyFont="1" applyFill="1" applyBorder="1" applyAlignment="1">
      <alignment vertical="top"/>
    </xf>
    <xf numFmtId="0" fontId="92" fillId="0" borderId="0" xfId="0" applyFont="1" applyFill="1" applyBorder="1" applyAlignment="1">
      <alignment vertical="top"/>
    </xf>
    <xf numFmtId="0" fontId="93" fillId="0" borderId="0" xfId="0" applyFont="1" applyFill="1" applyBorder="1" applyAlignment="1">
      <alignment vertical="top"/>
    </xf>
    <xf numFmtId="0" fontId="75" fillId="0" borderId="0" xfId="0" applyFont="1" applyFill="1" applyBorder="1" applyAlignment="1">
      <alignment vertical="top" wrapText="1"/>
    </xf>
    <xf numFmtId="4" fontId="35" fillId="0" borderId="0" xfId="0" applyNumberFormat="1" applyFont="1" applyFill="1" applyBorder="1" applyAlignment="1">
      <alignment horizontal="left" vertical="top"/>
    </xf>
    <xf numFmtId="0" fontId="94" fillId="0" borderId="0" xfId="0" applyFont="1" applyFill="1" applyBorder="1" applyAlignment="1">
      <alignment vertical="top"/>
    </xf>
    <xf numFmtId="0" fontId="95" fillId="0" borderId="0" xfId="0" applyFont="1" applyFill="1" applyBorder="1" applyAlignment="1">
      <alignment vertical="top"/>
    </xf>
    <xf numFmtId="0" fontId="96" fillId="0" borderId="0" xfId="0" applyFont="1" applyFill="1" applyBorder="1" applyAlignment="1">
      <alignment vertical="top" wrapText="1"/>
    </xf>
    <xf numFmtId="0" fontId="97" fillId="0" borderId="0" xfId="0" applyFont="1" applyFill="1" applyBorder="1" applyAlignment="1">
      <alignment vertical="top"/>
    </xf>
    <xf numFmtId="0" fontId="123" fillId="0" borderId="0" xfId="1539" applyFont="1" applyFill="1" applyBorder="1" applyAlignment="1">
      <alignment horizontal="right" vertical="top" wrapText="1"/>
    </xf>
    <xf numFmtId="0" fontId="123" fillId="0" borderId="0" xfId="1539" applyFont="1" applyFill="1" applyBorder="1" applyAlignment="1">
      <alignment horizontal="center" vertical="top" wrapText="1"/>
    </xf>
    <xf numFmtId="4" fontId="123" fillId="0" borderId="0" xfId="1539" applyNumberFormat="1" applyFont="1" applyFill="1" applyBorder="1" applyAlignment="1">
      <alignment horizontal="left" vertical="top" wrapText="1"/>
    </xf>
    <xf numFmtId="0" fontId="123" fillId="0" borderId="0" xfId="1539" applyFont="1" applyFill="1" applyBorder="1" applyAlignment="1">
      <alignment horizontal="left" vertical="top" wrapText="1"/>
    </xf>
    <xf numFmtId="3" fontId="123" fillId="0" borderId="0" xfId="1539" applyNumberFormat="1" applyFont="1" applyFill="1" applyBorder="1" applyAlignment="1">
      <alignment horizontal="left" vertical="top" wrapText="1"/>
    </xf>
    <xf numFmtId="0" fontId="123" fillId="0" borderId="0" xfId="1539" applyFont="1" applyFill="1" applyBorder="1" applyAlignment="1">
      <alignment vertical="top" wrapText="1"/>
    </xf>
    <xf numFmtId="3" fontId="123" fillId="0" borderId="0" xfId="1539" applyNumberFormat="1" applyFont="1" applyFill="1" applyBorder="1" applyAlignment="1">
      <alignment horizontal="right" vertical="top" wrapText="1"/>
    </xf>
    <xf numFmtId="178" fontId="123" fillId="0" borderId="0" xfId="1539" applyNumberFormat="1" applyFont="1" applyFill="1" applyBorder="1" applyAlignment="1">
      <alignment vertical="top" wrapText="1"/>
    </xf>
    <xf numFmtId="178" fontId="123" fillId="0" borderId="0" xfId="1539" applyNumberFormat="1" applyFont="1" applyFill="1" applyBorder="1" applyAlignment="1">
      <alignment horizontal="right" vertical="top" wrapText="1"/>
    </xf>
    <xf numFmtId="4" fontId="123" fillId="0" borderId="0" xfId="1539" applyNumberFormat="1" applyFont="1" applyFill="1" applyBorder="1" applyAlignment="1">
      <alignment horizontal="right" vertical="top" wrapText="1"/>
    </xf>
    <xf numFmtId="190" fontId="123" fillId="0" borderId="0" xfId="1539" applyNumberFormat="1" applyFont="1" applyFill="1" applyBorder="1" applyAlignment="1">
      <alignment horizontal="right" vertical="top" wrapText="1"/>
    </xf>
    <xf numFmtId="178" fontId="123" fillId="0" borderId="0" xfId="1539" applyNumberFormat="1" applyFont="1" applyFill="1" applyBorder="1" applyAlignment="1">
      <alignment horizontal="right" vertical="top" textRotation="90" wrapText="1"/>
    </xf>
    <xf numFmtId="4" fontId="123" fillId="0" borderId="0" xfId="1539" applyNumberFormat="1" applyFont="1" applyFill="1" applyBorder="1" applyAlignment="1">
      <alignment horizontal="right" vertical="top" textRotation="90" wrapText="1"/>
    </xf>
    <xf numFmtId="190" fontId="123" fillId="0" borderId="0" xfId="1539" applyNumberFormat="1" applyFont="1" applyFill="1" applyBorder="1" applyAlignment="1">
      <alignment horizontal="right" vertical="top" textRotation="90" wrapText="1"/>
    </xf>
    <xf numFmtId="1" fontId="123" fillId="0" borderId="0" xfId="1539" applyNumberFormat="1" applyFont="1" applyFill="1" applyBorder="1" applyAlignment="1">
      <alignment vertical="top" wrapText="1"/>
    </xf>
    <xf numFmtId="1" fontId="123" fillId="0" borderId="0" xfId="1539" applyNumberFormat="1" applyFont="1" applyFill="1" applyBorder="1" applyAlignment="1">
      <alignment horizontal="center" vertical="top" wrapText="1"/>
    </xf>
    <xf numFmtId="3" fontId="124" fillId="0" borderId="0" xfId="1539" applyNumberFormat="1" applyFont="1" applyFill="1" applyBorder="1" applyAlignment="1">
      <alignment horizontal="right" vertical="top" wrapText="1"/>
    </xf>
    <xf numFmtId="1" fontId="124" fillId="0" borderId="0" xfId="1539" applyNumberFormat="1" applyFont="1" applyFill="1" applyBorder="1" applyAlignment="1">
      <alignment horizontal="center" vertical="top" wrapText="1"/>
    </xf>
    <xf numFmtId="178" fontId="124" fillId="0" borderId="0" xfId="1539" applyNumberFormat="1" applyFont="1" applyFill="1" applyBorder="1" applyAlignment="1">
      <alignment vertical="top" wrapText="1"/>
    </xf>
    <xf numFmtId="178" fontId="124" fillId="0" borderId="0" xfId="1539" applyNumberFormat="1" applyFont="1" applyFill="1" applyBorder="1" applyAlignment="1">
      <alignment horizontal="right" vertical="top" wrapText="1"/>
    </xf>
    <xf numFmtId="4" fontId="124" fillId="0" borderId="0" xfId="1539" applyNumberFormat="1" applyFont="1" applyFill="1" applyBorder="1" applyAlignment="1">
      <alignment horizontal="right" vertical="top" wrapText="1"/>
    </xf>
    <xf numFmtId="190" fontId="124" fillId="0" borderId="0" xfId="1539" applyNumberFormat="1" applyFont="1" applyFill="1" applyBorder="1" applyAlignment="1">
      <alignment horizontal="right" vertical="top" wrapText="1"/>
    </xf>
    <xf numFmtId="4" fontId="123" fillId="0" borderId="0" xfId="1539" applyNumberFormat="1" applyFont="1" applyFill="1" applyBorder="1" applyAlignment="1">
      <alignment horizontal="center" vertical="top" wrapText="1"/>
    </xf>
    <xf numFmtId="4" fontId="124" fillId="0" borderId="0" xfId="1539" applyNumberFormat="1" applyFont="1" applyFill="1" applyBorder="1" applyAlignment="1">
      <alignment horizontal="center" vertical="top" wrapText="1"/>
    </xf>
    <xf numFmtId="0" fontId="124" fillId="0" borderId="0" xfId="1539" applyFont="1" applyFill="1" applyBorder="1" applyAlignment="1">
      <alignment horizontal="center" vertical="top" wrapText="1"/>
    </xf>
    <xf numFmtId="3" fontId="123" fillId="0" borderId="0" xfId="0" applyNumberFormat="1" applyFont="1" applyFill="1" applyBorder="1" applyAlignment="1">
      <alignment horizontal="left" vertical="top" wrapText="1"/>
    </xf>
    <xf numFmtId="3" fontId="123" fillId="0" borderId="0" xfId="0" applyNumberFormat="1" applyFont="1" applyFill="1" applyBorder="1" applyAlignment="1">
      <alignment vertical="top" wrapText="1"/>
    </xf>
    <xf numFmtId="3" fontId="123" fillId="0" borderId="0" xfId="0" applyNumberFormat="1" applyFont="1" applyFill="1" applyBorder="1" applyAlignment="1">
      <alignment horizontal="right" vertical="top" wrapText="1"/>
    </xf>
    <xf numFmtId="3" fontId="123" fillId="0" borderId="0" xfId="1539" applyNumberFormat="1" applyFont="1" applyFill="1" applyBorder="1" applyAlignment="1">
      <alignment horizontal="center" vertical="top" wrapText="1"/>
    </xf>
    <xf numFmtId="178" fontId="123" fillId="0" borderId="0" xfId="0" applyNumberFormat="1" applyFont="1" applyFill="1" applyBorder="1" applyAlignment="1">
      <alignment vertical="top" wrapText="1"/>
    </xf>
    <xf numFmtId="178" fontId="123" fillId="0" borderId="0" xfId="0" applyNumberFormat="1" applyFont="1" applyFill="1" applyBorder="1" applyAlignment="1">
      <alignment horizontal="right" vertical="top" wrapText="1"/>
    </xf>
    <xf numFmtId="4" fontId="123" fillId="0" borderId="0" xfId="0" applyNumberFormat="1" applyFont="1" applyFill="1" applyBorder="1" applyAlignment="1">
      <alignment horizontal="right" vertical="top" wrapText="1"/>
    </xf>
    <xf numFmtId="190" fontId="123" fillId="0" borderId="0" xfId="0" applyNumberFormat="1" applyFont="1" applyFill="1" applyBorder="1" applyAlignment="1">
      <alignment horizontal="right" vertical="top" wrapText="1"/>
    </xf>
    <xf numFmtId="4" fontId="123" fillId="0" borderId="0" xfId="0" applyNumberFormat="1" applyFont="1" applyFill="1" applyBorder="1" applyAlignment="1">
      <alignment horizontal="center" vertical="top" wrapText="1"/>
    </xf>
    <xf numFmtId="4" fontId="123" fillId="0" borderId="0" xfId="0" applyNumberFormat="1" applyFont="1" applyFill="1" applyBorder="1" applyAlignment="1">
      <alignment horizontal="left" vertical="top" wrapText="1"/>
    </xf>
    <xf numFmtId="0" fontId="123" fillId="0" borderId="0" xfId="0" applyFont="1" applyFill="1" applyBorder="1" applyAlignment="1">
      <alignment horizontal="center" vertical="top" wrapText="1"/>
    </xf>
    <xf numFmtId="0" fontId="123" fillId="0" borderId="0" xfId="0" applyFont="1" applyFill="1" applyBorder="1" applyAlignment="1">
      <alignment horizontal="left" vertical="top" wrapText="1"/>
    </xf>
    <xf numFmtId="0" fontId="123" fillId="0" borderId="0" xfId="0" applyFont="1" applyFill="1" applyBorder="1" applyAlignment="1">
      <alignment vertical="top" wrapText="1"/>
    </xf>
    <xf numFmtId="0" fontId="123" fillId="0" borderId="0" xfId="0" applyFont="1" applyFill="1" applyBorder="1" applyAlignment="1">
      <alignment horizontal="right" vertical="top" wrapText="1"/>
    </xf>
    <xf numFmtId="0" fontId="123" fillId="0" borderId="0" xfId="0" applyFont="1" applyFill="1" applyBorder="1" applyAlignment="1">
      <alignment horizontal="right" vertical="top"/>
    </xf>
    <xf numFmtId="178" fontId="123" fillId="0" borderId="0" xfId="0" applyNumberFormat="1" applyFont="1" applyFill="1" applyBorder="1" applyAlignment="1">
      <alignment vertical="top"/>
    </xf>
    <xf numFmtId="178" fontId="123" fillId="0" borderId="0" xfId="0" applyNumberFormat="1" applyFont="1" applyFill="1" applyBorder="1" applyAlignment="1">
      <alignment horizontal="right" vertical="top"/>
    </xf>
    <xf numFmtId="4" fontId="123" fillId="0" borderId="0" xfId="0" applyNumberFormat="1" applyFont="1" applyFill="1" applyBorder="1" applyAlignment="1">
      <alignment horizontal="right" vertical="top"/>
    </xf>
    <xf numFmtId="190" fontId="123" fillId="0" borderId="0" xfId="0" applyNumberFormat="1" applyFont="1" applyFill="1" applyBorder="1" applyAlignment="1">
      <alignment horizontal="right" vertical="top"/>
    </xf>
    <xf numFmtId="3" fontId="123" fillId="0" borderId="0" xfId="0" applyNumberFormat="1" applyFont="1" applyFill="1" applyBorder="1" applyAlignment="1">
      <alignment horizontal="right" vertical="top"/>
    </xf>
    <xf numFmtId="4" fontId="123" fillId="0" borderId="0" xfId="0" applyNumberFormat="1" applyFont="1" applyFill="1" applyBorder="1" applyAlignment="1">
      <alignment vertical="top"/>
    </xf>
    <xf numFmtId="0" fontId="123" fillId="0" borderId="0" xfId="0" applyFont="1" applyFill="1" applyBorder="1" applyAlignment="1">
      <alignment vertical="top"/>
    </xf>
    <xf numFmtId="1" fontId="123" fillId="0" borderId="0" xfId="0" applyNumberFormat="1" applyFont="1" applyFill="1" applyBorder="1" applyAlignment="1">
      <alignment horizontal="right" vertical="top" wrapText="1"/>
    </xf>
    <xf numFmtId="186" fontId="123" fillId="0" borderId="0" xfId="22887" applyNumberFormat="1" applyFont="1" applyFill="1" applyBorder="1" applyAlignment="1">
      <alignment horizontal="right" vertical="top"/>
    </xf>
    <xf numFmtId="1" fontId="123" fillId="0" borderId="0" xfId="22888" applyNumberFormat="1" applyFont="1" applyFill="1" applyBorder="1" applyAlignment="1">
      <alignment horizontal="right" vertical="top" wrapText="1"/>
    </xf>
    <xf numFmtId="4" fontId="123" fillId="0" borderId="0" xfId="0" applyNumberFormat="1" applyFont="1" applyFill="1" applyBorder="1" applyAlignment="1">
      <alignment horizontal="center" vertical="top"/>
    </xf>
    <xf numFmtId="3" fontId="123" fillId="0" borderId="0" xfId="0" applyNumberFormat="1" applyFont="1" applyFill="1" applyBorder="1" applyAlignment="1">
      <alignment horizontal="center" vertical="top" wrapText="1"/>
    </xf>
    <xf numFmtId="178" fontId="124" fillId="0" borderId="0" xfId="0" applyNumberFormat="1" applyFont="1" applyFill="1" applyBorder="1" applyAlignment="1">
      <alignment horizontal="right" vertical="top"/>
    </xf>
    <xf numFmtId="1" fontId="123" fillId="0" borderId="0" xfId="0" applyNumberFormat="1" applyFont="1" applyFill="1" applyBorder="1" applyAlignment="1">
      <alignment horizontal="right" vertical="top"/>
    </xf>
    <xf numFmtId="185" fontId="123" fillId="0" borderId="0" xfId="22887" applyNumberFormat="1" applyFont="1" applyFill="1" applyBorder="1" applyAlignment="1">
      <alignment horizontal="right" vertical="top"/>
    </xf>
    <xf numFmtId="0" fontId="123" fillId="0" borderId="0" xfId="0" applyNumberFormat="1" applyFont="1" applyFill="1" applyBorder="1" applyAlignment="1">
      <alignment horizontal="center" vertical="top" wrapText="1"/>
    </xf>
    <xf numFmtId="178" fontId="123" fillId="0" borderId="0" xfId="19567" applyNumberFormat="1" applyFont="1" applyFill="1" applyBorder="1" applyAlignment="1">
      <alignment horizontal="right" vertical="top" wrapText="1"/>
    </xf>
    <xf numFmtId="4" fontId="123" fillId="0" borderId="0" xfId="19567" applyNumberFormat="1" applyFont="1" applyFill="1" applyBorder="1" applyAlignment="1">
      <alignment horizontal="right" vertical="top" wrapText="1"/>
    </xf>
    <xf numFmtId="190" fontId="123" fillId="0" borderId="0" xfId="19567" applyNumberFormat="1" applyFont="1" applyFill="1" applyBorder="1" applyAlignment="1">
      <alignment horizontal="right" vertical="top" wrapText="1"/>
    </xf>
    <xf numFmtId="4" fontId="123" fillId="0" borderId="0" xfId="17894" applyNumberFormat="1" applyFont="1" applyFill="1" applyBorder="1" applyAlignment="1" applyProtection="1">
      <alignment horizontal="right" vertical="top" wrapText="1"/>
    </xf>
    <xf numFmtId="0" fontId="123" fillId="0" borderId="0" xfId="22887" applyFont="1" applyFill="1" applyBorder="1" applyAlignment="1">
      <alignment horizontal="right" vertical="top" wrapText="1"/>
    </xf>
    <xf numFmtId="1" fontId="123" fillId="0" borderId="0" xfId="0" applyNumberFormat="1" applyFont="1" applyFill="1" applyBorder="1" applyAlignment="1">
      <alignment vertical="top" wrapText="1"/>
    </xf>
    <xf numFmtId="0" fontId="123" fillId="0" borderId="0" xfId="0" applyNumberFormat="1" applyFont="1" applyFill="1" applyBorder="1" applyAlignment="1">
      <alignment horizontal="right" vertical="top" wrapText="1"/>
    </xf>
    <xf numFmtId="186" fontId="123" fillId="0" borderId="0" xfId="0" applyNumberFormat="1" applyFont="1" applyFill="1" applyBorder="1" applyAlignment="1">
      <alignment horizontal="right" vertical="top"/>
    </xf>
    <xf numFmtId="168" fontId="123" fillId="0" borderId="0" xfId="0" applyNumberFormat="1" applyFont="1" applyFill="1" applyBorder="1" applyAlignment="1">
      <alignment horizontal="right" vertical="top"/>
    </xf>
    <xf numFmtId="173" fontId="123" fillId="0" borderId="0" xfId="0" applyNumberFormat="1" applyFont="1" applyFill="1" applyBorder="1" applyAlignment="1">
      <alignment horizontal="right" vertical="top"/>
    </xf>
    <xf numFmtId="0" fontId="123" fillId="0" borderId="0" xfId="0" applyFont="1" applyFill="1" applyBorder="1" applyAlignment="1" applyProtection="1">
      <alignment vertical="top" wrapText="1"/>
      <protection locked="0"/>
    </xf>
    <xf numFmtId="175" fontId="123" fillId="0" borderId="0" xfId="0" applyNumberFormat="1" applyFont="1" applyFill="1" applyBorder="1" applyAlignment="1">
      <alignment horizontal="right" vertical="top"/>
    </xf>
    <xf numFmtId="178" fontId="124" fillId="0" borderId="0" xfId="0" applyNumberFormat="1" applyFont="1" applyFill="1" applyBorder="1" applyAlignment="1">
      <alignment horizontal="right" vertical="top" wrapText="1"/>
    </xf>
    <xf numFmtId="3" fontId="123" fillId="0" borderId="0" xfId="22875" applyNumberFormat="1" applyFont="1" applyFill="1" applyBorder="1" applyAlignment="1">
      <alignment vertical="top" wrapText="1"/>
    </xf>
    <xf numFmtId="3" fontId="123" fillId="0" borderId="0" xfId="22875" applyNumberFormat="1" applyFont="1" applyFill="1" applyBorder="1" applyAlignment="1">
      <alignment horizontal="right" vertical="top" wrapText="1"/>
    </xf>
    <xf numFmtId="168" fontId="123" fillId="0" borderId="0" xfId="22875" applyNumberFormat="1" applyFont="1" applyFill="1" applyBorder="1" applyAlignment="1">
      <alignment horizontal="right" vertical="top" wrapText="1"/>
    </xf>
    <xf numFmtId="178" fontId="123" fillId="0" borderId="0" xfId="22875" applyNumberFormat="1" applyFont="1" applyFill="1" applyBorder="1" applyAlignment="1">
      <alignment horizontal="right" vertical="top" wrapText="1"/>
    </xf>
    <xf numFmtId="4" fontId="123" fillId="0" borderId="0" xfId="22875" applyNumberFormat="1" applyFont="1" applyFill="1" applyBorder="1" applyAlignment="1">
      <alignment horizontal="right" vertical="top" wrapText="1"/>
    </xf>
    <xf numFmtId="3" fontId="124" fillId="0" borderId="0" xfId="0" applyNumberFormat="1" applyFont="1" applyFill="1" applyBorder="1" applyAlignment="1">
      <alignment horizontal="center" vertical="top" wrapText="1"/>
    </xf>
    <xf numFmtId="4" fontId="124" fillId="0" borderId="0" xfId="0" applyNumberFormat="1" applyFont="1" applyFill="1" applyBorder="1" applyAlignment="1">
      <alignment horizontal="right" vertical="top" wrapText="1"/>
    </xf>
    <xf numFmtId="190" fontId="124" fillId="0" borderId="0" xfId="0" applyNumberFormat="1" applyFont="1" applyFill="1" applyBorder="1" applyAlignment="1">
      <alignment horizontal="right" vertical="top" wrapText="1"/>
    </xf>
    <xf numFmtId="0" fontId="124" fillId="0" borderId="0" xfId="0" applyFont="1" applyFill="1" applyBorder="1" applyAlignment="1">
      <alignment horizontal="center" vertical="top" wrapText="1"/>
    </xf>
    <xf numFmtId="173" fontId="123" fillId="0" borderId="0" xfId="17832" applyNumberFormat="1" applyFont="1" applyFill="1" applyBorder="1" applyAlignment="1">
      <alignment horizontal="right" vertical="top"/>
    </xf>
    <xf numFmtId="187" fontId="123" fillId="0" borderId="0" xfId="0" applyNumberFormat="1" applyFont="1" applyFill="1" applyBorder="1" applyAlignment="1">
      <alignment horizontal="center" vertical="top" wrapText="1"/>
    </xf>
    <xf numFmtId="178" fontId="123" fillId="0" borderId="0" xfId="17751" applyNumberFormat="1" applyFont="1" applyFill="1" applyBorder="1" applyAlignment="1">
      <alignment horizontal="right" vertical="top"/>
    </xf>
    <xf numFmtId="4" fontId="123" fillId="0" borderId="0" xfId="17832" applyNumberFormat="1" applyFont="1" applyFill="1" applyBorder="1" applyAlignment="1">
      <alignment horizontal="right" vertical="top"/>
    </xf>
    <xf numFmtId="190" fontId="123" fillId="0" borderId="0" xfId="17751" applyNumberFormat="1" applyFont="1" applyFill="1" applyBorder="1" applyAlignment="1">
      <alignment horizontal="right" vertical="top" wrapText="1"/>
    </xf>
    <xf numFmtId="4" fontId="123" fillId="0" borderId="0" xfId="17829" applyNumberFormat="1" applyFont="1" applyFill="1" applyBorder="1" applyAlignment="1" applyProtection="1">
      <alignment horizontal="right" vertical="top"/>
    </xf>
    <xf numFmtId="0" fontId="123" fillId="0" borderId="0" xfId="22875" applyFont="1" applyFill="1" applyBorder="1" applyAlignment="1">
      <alignment horizontal="center" vertical="top" wrapText="1"/>
    </xf>
    <xf numFmtId="187" fontId="123" fillId="0" borderId="0" xfId="17832" applyNumberFormat="1" applyFont="1" applyFill="1" applyBorder="1" applyAlignment="1">
      <alignment horizontal="right" vertical="top" wrapText="1"/>
    </xf>
    <xf numFmtId="190" fontId="123" fillId="0" borderId="0" xfId="17751" applyNumberFormat="1" applyFont="1" applyFill="1" applyBorder="1" applyAlignment="1">
      <alignment horizontal="right" vertical="top"/>
    </xf>
    <xf numFmtId="173" fontId="123" fillId="0" borderId="0" xfId="19567" applyNumberFormat="1" applyFont="1" applyFill="1" applyBorder="1" applyAlignment="1">
      <alignment horizontal="right" vertical="top"/>
    </xf>
    <xf numFmtId="3" fontId="123" fillId="0" borderId="0" xfId="19567" applyNumberFormat="1" applyFont="1" applyFill="1" applyBorder="1" applyAlignment="1">
      <alignment horizontal="right" vertical="top" wrapText="1"/>
    </xf>
    <xf numFmtId="0" fontId="123" fillId="0" borderId="0" xfId="0" applyNumberFormat="1" applyFont="1" applyFill="1" applyBorder="1" applyAlignment="1" applyProtection="1">
      <alignment horizontal="right" vertical="top"/>
    </xf>
    <xf numFmtId="4" fontId="123" fillId="0" borderId="0" xfId="0" applyNumberFormat="1" applyFont="1" applyFill="1" applyBorder="1" applyAlignment="1">
      <alignment vertical="top" wrapText="1"/>
    </xf>
    <xf numFmtId="168" fontId="123" fillId="0" borderId="0" xfId="0" applyNumberFormat="1" applyFont="1" applyFill="1" applyBorder="1" applyAlignment="1">
      <alignment horizontal="right" vertical="top" wrapText="1"/>
    </xf>
    <xf numFmtId="4" fontId="123" fillId="0" borderId="0" xfId="22875" applyNumberFormat="1" applyFont="1" applyFill="1" applyBorder="1" applyAlignment="1">
      <alignment horizontal="left" vertical="top" wrapText="1"/>
    </xf>
    <xf numFmtId="0" fontId="123" fillId="0" borderId="0" xfId="22875" applyFont="1" applyFill="1" applyBorder="1" applyAlignment="1">
      <alignment horizontal="left" vertical="top" wrapText="1"/>
    </xf>
    <xf numFmtId="4" fontId="123" fillId="0" borderId="0" xfId="17832" applyNumberFormat="1" applyFont="1" applyFill="1" applyBorder="1" applyAlignment="1">
      <alignment horizontal="right" vertical="top" wrapText="1"/>
    </xf>
    <xf numFmtId="185" fontId="123" fillId="0" borderId="0" xfId="0" applyNumberFormat="1" applyFont="1" applyFill="1" applyBorder="1" applyAlignment="1">
      <alignment horizontal="right" vertical="top"/>
    </xf>
    <xf numFmtId="187" fontId="123" fillId="0" borderId="0" xfId="0" applyNumberFormat="1" applyFont="1" applyFill="1" applyBorder="1" applyAlignment="1">
      <alignment horizontal="right" vertical="top" wrapText="1"/>
    </xf>
    <xf numFmtId="171" fontId="123" fillId="0" borderId="0" xfId="17751" applyNumberFormat="1" applyFont="1" applyFill="1" applyBorder="1" applyAlignment="1">
      <alignment horizontal="right" vertical="top" wrapText="1"/>
    </xf>
    <xf numFmtId="173" fontId="123" fillId="0" borderId="0" xfId="17751" applyNumberFormat="1" applyFont="1" applyFill="1" applyBorder="1" applyAlignment="1">
      <alignment horizontal="right" vertical="top"/>
    </xf>
    <xf numFmtId="178" fontId="124" fillId="0" borderId="0" xfId="17751" applyNumberFormat="1" applyFont="1" applyFill="1" applyBorder="1" applyAlignment="1">
      <alignment horizontal="right" vertical="top"/>
    </xf>
    <xf numFmtId="173" fontId="123" fillId="0" borderId="0" xfId="0" applyNumberFormat="1" applyFont="1" applyFill="1" applyBorder="1" applyAlignment="1">
      <alignment horizontal="left" vertical="top" wrapText="1"/>
    </xf>
    <xf numFmtId="171" fontId="123" fillId="0" borderId="0" xfId="17890" applyNumberFormat="1" applyFont="1" applyFill="1" applyBorder="1" applyAlignment="1">
      <alignment vertical="top"/>
    </xf>
    <xf numFmtId="171" fontId="123" fillId="0" borderId="0" xfId="17894" applyFont="1" applyFill="1" applyBorder="1" applyAlignment="1" applyProtection="1">
      <alignment horizontal="right" vertical="top" wrapText="1"/>
    </xf>
    <xf numFmtId="2" fontId="123" fillId="0" borderId="0" xfId="0" applyNumberFormat="1" applyFont="1" applyFill="1" applyBorder="1" applyAlignment="1">
      <alignment horizontal="right" vertical="top"/>
    </xf>
    <xf numFmtId="0" fontId="123" fillId="0" borderId="0" xfId="19567" applyFont="1" applyFill="1" applyBorder="1" applyAlignment="1">
      <alignment vertical="top"/>
    </xf>
    <xf numFmtId="1" fontId="123" fillId="0" borderId="0" xfId="0" applyNumberFormat="1" applyFont="1" applyFill="1" applyBorder="1" applyAlignment="1" applyProtection="1">
      <alignment horizontal="right" vertical="top"/>
    </xf>
    <xf numFmtId="4" fontId="124" fillId="0" borderId="0" xfId="19567" applyNumberFormat="1" applyFont="1" applyFill="1" applyBorder="1" applyAlignment="1">
      <alignment horizontal="right" vertical="top" wrapText="1"/>
    </xf>
    <xf numFmtId="0" fontId="123" fillId="0" borderId="0" xfId="17894" applyNumberFormat="1" applyFont="1" applyFill="1" applyBorder="1" applyAlignment="1" applyProtection="1">
      <alignment horizontal="center" vertical="top" wrapText="1"/>
    </xf>
    <xf numFmtId="188" fontId="123" fillId="0" borderId="0" xfId="0" applyNumberFormat="1" applyFont="1" applyFill="1" applyBorder="1" applyAlignment="1" applyProtection="1">
      <alignment horizontal="right" vertical="top"/>
      <protection locked="0"/>
    </xf>
    <xf numFmtId="1" fontId="123" fillId="0" borderId="0" xfId="0" applyNumberFormat="1" applyFont="1" applyFill="1" applyBorder="1" applyAlignment="1" applyProtection="1">
      <alignment horizontal="right" vertical="top"/>
      <protection locked="0"/>
    </xf>
    <xf numFmtId="171" fontId="123" fillId="0" borderId="0" xfId="0" applyNumberFormat="1" applyFont="1" applyFill="1" applyBorder="1" applyAlignment="1">
      <alignment horizontal="right" vertical="top" wrapText="1"/>
    </xf>
    <xf numFmtId="0" fontId="123" fillId="0" borderId="0" xfId="17751" applyNumberFormat="1" applyFont="1" applyFill="1" applyBorder="1" applyAlignment="1">
      <alignment horizontal="right" vertical="top" wrapText="1"/>
    </xf>
    <xf numFmtId="0" fontId="123" fillId="0" borderId="0" xfId="0" applyFont="1" applyFill="1" applyBorder="1" applyAlignment="1">
      <alignment horizontal="center" vertical="top"/>
    </xf>
    <xf numFmtId="187" fontId="123" fillId="0" borderId="0" xfId="0" applyNumberFormat="1" applyFont="1" applyFill="1" applyBorder="1" applyAlignment="1">
      <alignment horizontal="right" vertical="top"/>
    </xf>
    <xf numFmtId="1" fontId="123" fillId="0" borderId="0" xfId="17832" applyNumberFormat="1" applyFont="1" applyFill="1" applyBorder="1" applyAlignment="1">
      <alignment horizontal="center" vertical="top" wrapText="1"/>
    </xf>
    <xf numFmtId="0" fontId="123" fillId="0" borderId="0" xfId="22879" applyFont="1" applyFill="1" applyBorder="1" applyAlignment="1">
      <alignment vertical="top" wrapText="1"/>
    </xf>
    <xf numFmtId="4" fontId="124" fillId="0" borderId="0" xfId="17829" applyNumberFormat="1" applyFont="1" applyFill="1" applyBorder="1" applyAlignment="1" applyProtection="1">
      <alignment horizontal="right" vertical="top"/>
    </xf>
    <xf numFmtId="175" fontId="123" fillId="0" borderId="0" xfId="0" applyNumberFormat="1" applyFont="1" applyFill="1" applyBorder="1" applyAlignment="1" applyProtection="1">
      <alignment horizontal="right" vertical="top"/>
    </xf>
    <xf numFmtId="0" fontId="123" fillId="0" borderId="0" xfId="0" applyNumberFormat="1" applyFont="1" applyFill="1" applyBorder="1" applyAlignment="1">
      <alignment horizontal="right" vertical="top"/>
    </xf>
    <xf numFmtId="0" fontId="123" fillId="0" borderId="0" xfId="17832" applyNumberFormat="1" applyFont="1" applyFill="1" applyBorder="1" applyAlignment="1">
      <alignment vertical="top" wrapText="1"/>
    </xf>
    <xf numFmtId="4" fontId="124" fillId="0" borderId="0" xfId="0" applyNumberFormat="1" applyFont="1" applyFill="1" applyBorder="1" applyAlignment="1">
      <alignment horizontal="right" vertical="top"/>
    </xf>
    <xf numFmtId="1" fontId="123" fillId="0" borderId="0" xfId="19567" applyNumberFormat="1" applyFont="1" applyFill="1" applyBorder="1" applyAlignment="1">
      <alignment horizontal="right" vertical="top" wrapText="1"/>
    </xf>
    <xf numFmtId="0" fontId="123" fillId="0" borderId="0" xfId="21265" applyNumberFormat="1" applyFont="1" applyFill="1" applyBorder="1" applyAlignment="1" applyProtection="1">
      <alignment vertical="top" wrapText="1"/>
    </xf>
    <xf numFmtId="171" fontId="123" fillId="0" borderId="0" xfId="22887" applyNumberFormat="1" applyFont="1" applyFill="1" applyBorder="1" applyAlignment="1">
      <alignment horizontal="right" vertical="top" wrapText="1"/>
    </xf>
    <xf numFmtId="1" fontId="123" fillId="0" borderId="0" xfId="0" applyNumberFormat="1" applyFont="1" applyFill="1" applyBorder="1" applyAlignment="1">
      <alignment horizontal="center" vertical="top" wrapText="1"/>
    </xf>
    <xf numFmtId="0" fontId="124" fillId="0" borderId="0" xfId="0" applyFont="1" applyFill="1" applyBorder="1" applyAlignment="1">
      <alignment vertical="top"/>
    </xf>
    <xf numFmtId="1" fontId="123" fillId="0" borderId="0" xfId="22879" applyNumberFormat="1" applyFont="1" applyFill="1" applyBorder="1" applyAlignment="1">
      <alignment horizontal="right" vertical="top"/>
    </xf>
    <xf numFmtId="1" fontId="123" fillId="0" borderId="0" xfId="22888" applyNumberFormat="1" applyFont="1" applyFill="1" applyBorder="1" applyAlignment="1">
      <alignment horizontal="right" vertical="top"/>
    </xf>
    <xf numFmtId="175" fontId="123" fillId="0" borderId="0" xfId="0" applyNumberFormat="1" applyFont="1" applyFill="1" applyBorder="1" applyAlignment="1">
      <alignment horizontal="right" vertical="top" wrapText="1"/>
    </xf>
    <xf numFmtId="1" fontId="123" fillId="0" borderId="0" xfId="19567" applyNumberFormat="1" applyFont="1" applyFill="1" applyBorder="1" applyAlignment="1">
      <alignment horizontal="right" vertical="top"/>
    </xf>
    <xf numFmtId="190" fontId="123" fillId="0" borderId="0" xfId="19567" applyNumberFormat="1" applyFont="1" applyFill="1" applyBorder="1" applyAlignment="1">
      <alignment horizontal="right" vertical="top"/>
    </xf>
    <xf numFmtId="4" fontId="123" fillId="0" borderId="0" xfId="22875" applyNumberFormat="1" applyFont="1" applyFill="1" applyBorder="1" applyAlignment="1">
      <alignment horizontal="right" vertical="top"/>
    </xf>
    <xf numFmtId="4" fontId="123" fillId="0" borderId="0" xfId="17894" applyNumberFormat="1" applyFont="1" applyFill="1" applyBorder="1" applyAlignment="1" applyProtection="1">
      <alignment horizontal="right" vertical="top"/>
    </xf>
    <xf numFmtId="171" fontId="123" fillId="0" borderId="0" xfId="19567" applyNumberFormat="1" applyFont="1" applyFill="1" applyBorder="1" applyAlignment="1">
      <alignment horizontal="right" vertical="top" wrapText="1"/>
    </xf>
    <xf numFmtId="0" fontId="123" fillId="0" borderId="0" xfId="22887" applyFont="1" applyFill="1" applyBorder="1" applyAlignment="1">
      <alignment horizontal="right" vertical="top"/>
    </xf>
    <xf numFmtId="178" fontId="124" fillId="0" borderId="0" xfId="19567" applyNumberFormat="1" applyFont="1" applyFill="1" applyBorder="1" applyAlignment="1">
      <alignment horizontal="right" vertical="top" wrapText="1"/>
    </xf>
    <xf numFmtId="178" fontId="123" fillId="0" borderId="0" xfId="22875" applyNumberFormat="1" applyFont="1" applyFill="1" applyBorder="1" applyAlignment="1">
      <alignment vertical="top" wrapText="1"/>
    </xf>
    <xf numFmtId="0" fontId="123" fillId="0" borderId="0" xfId="15387" applyFont="1" applyFill="1" applyBorder="1" applyAlignment="1">
      <alignment vertical="top" wrapText="1"/>
    </xf>
    <xf numFmtId="0" fontId="123" fillId="0" borderId="0" xfId="22876" applyFont="1" applyFill="1" applyBorder="1" applyAlignment="1">
      <alignment horizontal="right" vertical="top" wrapText="1"/>
    </xf>
    <xf numFmtId="0" fontId="123" fillId="0" borderId="0" xfId="22876" applyFont="1" applyFill="1" applyBorder="1" applyAlignment="1">
      <alignment horizontal="right" vertical="top"/>
    </xf>
    <xf numFmtId="178" fontId="124" fillId="0" borderId="0" xfId="22875" applyNumberFormat="1" applyFont="1" applyFill="1" applyBorder="1" applyAlignment="1">
      <alignment horizontal="right" vertical="top" wrapText="1"/>
    </xf>
    <xf numFmtId="0" fontId="123" fillId="0" borderId="0" xfId="21265" applyFont="1" applyFill="1" applyBorder="1" applyAlignment="1" applyProtection="1">
      <alignment vertical="top" wrapText="1"/>
      <protection locked="0"/>
    </xf>
    <xf numFmtId="0" fontId="123" fillId="0" borderId="0" xfId="21265" applyFont="1" applyFill="1" applyBorder="1" applyAlignment="1">
      <alignment horizontal="center" vertical="top" wrapText="1"/>
    </xf>
    <xf numFmtId="190" fontId="123" fillId="0" borderId="0" xfId="17832" applyNumberFormat="1" applyFont="1" applyFill="1" applyBorder="1" applyAlignment="1">
      <alignment horizontal="right" vertical="top"/>
    </xf>
    <xf numFmtId="49" fontId="123" fillId="0" borderId="0" xfId="0" applyNumberFormat="1" applyFont="1" applyFill="1" applyBorder="1" applyAlignment="1">
      <alignment horizontal="right" vertical="top" wrapText="1"/>
    </xf>
    <xf numFmtId="0" fontId="123" fillId="0" borderId="0" xfId="19567" applyFont="1" applyFill="1" applyBorder="1" applyAlignment="1">
      <alignment horizontal="right" vertical="top" wrapText="1"/>
    </xf>
    <xf numFmtId="4" fontId="123" fillId="0" borderId="0" xfId="19567" applyNumberFormat="1" applyFont="1" applyFill="1" applyBorder="1" applyAlignment="1">
      <alignment horizontal="left" vertical="top" wrapText="1"/>
    </xf>
    <xf numFmtId="0" fontId="123" fillId="0" borderId="0" xfId="19567" applyFont="1" applyFill="1" applyBorder="1" applyAlignment="1">
      <alignment horizontal="left" vertical="top" wrapText="1"/>
    </xf>
    <xf numFmtId="0" fontId="123" fillId="0" borderId="0" xfId="17751" applyFont="1" applyFill="1" applyBorder="1" applyAlignment="1">
      <alignment horizontal="right" vertical="top" wrapText="1"/>
    </xf>
    <xf numFmtId="0" fontId="124" fillId="0" borderId="0" xfId="21265" applyFont="1" applyFill="1" applyBorder="1" applyAlignment="1">
      <alignment horizontal="center" vertical="top" wrapText="1"/>
    </xf>
    <xf numFmtId="173" fontId="123" fillId="0" borderId="0" xfId="17894" applyNumberFormat="1" applyFont="1" applyFill="1" applyBorder="1" applyAlignment="1" applyProtection="1">
      <alignment horizontal="center" vertical="top" wrapText="1"/>
    </xf>
    <xf numFmtId="4" fontId="124" fillId="0" borderId="0" xfId="17894" applyNumberFormat="1" applyFont="1" applyFill="1" applyBorder="1" applyAlignment="1" applyProtection="1">
      <alignment horizontal="right" vertical="top" wrapText="1"/>
    </xf>
    <xf numFmtId="3" fontId="123" fillId="0" borderId="0" xfId="17894" applyNumberFormat="1" applyFont="1" applyFill="1" applyBorder="1" applyAlignment="1" applyProtection="1">
      <alignment horizontal="right" vertical="top" wrapText="1"/>
    </xf>
    <xf numFmtId="3" fontId="123" fillId="0" borderId="0" xfId="17832" applyNumberFormat="1" applyFont="1" applyFill="1" applyBorder="1" applyAlignment="1">
      <alignment horizontal="right" vertical="top" wrapText="1"/>
    </xf>
    <xf numFmtId="0" fontId="123" fillId="0" borderId="0" xfId="0" applyFont="1" applyFill="1" applyBorder="1" applyAlignment="1">
      <alignment horizontal="left" vertical="top"/>
    </xf>
    <xf numFmtId="1" fontId="123" fillId="0" borderId="0" xfId="22875" applyNumberFormat="1" applyFont="1" applyFill="1" applyBorder="1" applyAlignment="1">
      <alignment horizontal="right" vertical="top" wrapText="1"/>
    </xf>
    <xf numFmtId="190" fontId="124" fillId="0" borderId="0" xfId="19567" applyNumberFormat="1" applyFont="1" applyFill="1" applyBorder="1" applyAlignment="1">
      <alignment horizontal="right" vertical="top" wrapText="1"/>
    </xf>
    <xf numFmtId="178" fontId="124" fillId="0" borderId="0" xfId="19567" applyNumberFormat="1" applyFont="1" applyFill="1" applyBorder="1" applyAlignment="1">
      <alignment vertical="top" wrapText="1"/>
    </xf>
    <xf numFmtId="4" fontId="125" fillId="0" borderId="0" xfId="1539" applyNumberFormat="1" applyFont="1" applyFill="1" applyBorder="1" applyAlignment="1">
      <alignment horizontal="left" vertical="top" wrapText="1"/>
    </xf>
    <xf numFmtId="1" fontId="123" fillId="0" borderId="0" xfId="0" applyNumberFormat="1" applyFont="1" applyFill="1" applyBorder="1" applyAlignment="1">
      <alignment horizontal="left" vertical="top" wrapText="1"/>
    </xf>
    <xf numFmtId="4" fontId="126" fillId="0" borderId="0" xfId="1539" applyNumberFormat="1" applyFont="1" applyFill="1" applyBorder="1" applyAlignment="1">
      <alignment horizontal="left" vertical="top" wrapText="1"/>
    </xf>
    <xf numFmtId="1" fontId="127" fillId="0" borderId="0" xfId="0" applyNumberFormat="1" applyFont="1" applyFill="1" applyBorder="1" applyAlignment="1">
      <alignment horizontal="left" vertical="top" wrapText="1"/>
    </xf>
    <xf numFmtId="1" fontId="127" fillId="0" borderId="0" xfId="0" applyNumberFormat="1" applyFont="1" applyFill="1" applyBorder="1" applyAlignment="1">
      <alignment vertical="top" wrapText="1"/>
    </xf>
    <xf numFmtId="0" fontId="127" fillId="0" borderId="0" xfId="0" applyFont="1" applyFill="1" applyBorder="1" applyAlignment="1">
      <alignment horizontal="right" vertical="top" wrapText="1"/>
    </xf>
    <xf numFmtId="0" fontId="127" fillId="0" borderId="0" xfId="0" applyFont="1" applyFill="1" applyBorder="1" applyAlignment="1">
      <alignment horizontal="right" vertical="top"/>
    </xf>
    <xf numFmtId="0" fontId="127" fillId="0" borderId="0" xfId="0" applyFont="1" applyFill="1" applyBorder="1" applyAlignment="1">
      <alignment horizontal="center" vertical="top" wrapText="1"/>
    </xf>
    <xf numFmtId="178" fontId="127" fillId="0" borderId="0" xfId="0" applyNumberFormat="1" applyFont="1" applyFill="1" applyBorder="1" applyAlignment="1">
      <alignment vertical="top" wrapText="1"/>
    </xf>
    <xf numFmtId="4" fontId="127" fillId="0" borderId="0" xfId="0" applyNumberFormat="1" applyFont="1" applyFill="1" applyBorder="1" applyAlignment="1">
      <alignment horizontal="right" vertical="top"/>
    </xf>
    <xf numFmtId="190" fontId="127" fillId="0" borderId="0" xfId="0" applyNumberFormat="1" applyFont="1" applyFill="1" applyBorder="1" applyAlignment="1">
      <alignment horizontal="right" vertical="top" wrapText="1"/>
    </xf>
    <xf numFmtId="3" fontId="127" fillId="0" borderId="0" xfId="0" applyNumberFormat="1" applyFont="1" applyFill="1" applyBorder="1" applyAlignment="1">
      <alignment horizontal="right" vertical="top"/>
    </xf>
    <xf numFmtId="4" fontId="127" fillId="0" borderId="0" xfId="1539" applyNumberFormat="1" applyFont="1" applyFill="1" applyBorder="1" applyAlignment="1">
      <alignment horizontal="right" vertical="top" wrapText="1"/>
    </xf>
    <xf numFmtId="4" fontId="127" fillId="0" borderId="0" xfId="0" applyNumberFormat="1" applyFont="1" applyFill="1" applyBorder="1" applyAlignment="1">
      <alignment vertical="top"/>
    </xf>
    <xf numFmtId="0" fontId="127" fillId="0" borderId="0" xfId="0" applyFont="1" applyFill="1" applyBorder="1" applyAlignment="1">
      <alignment vertical="top"/>
    </xf>
    <xf numFmtId="4" fontId="123" fillId="0" borderId="0" xfId="2" applyNumberFormat="1" applyFont="1" applyFill="1" applyBorder="1" applyAlignment="1">
      <alignment horizontal="right" vertical="top"/>
    </xf>
    <xf numFmtId="3" fontId="123" fillId="0" borderId="0" xfId="2" applyNumberFormat="1" applyFont="1" applyFill="1" applyBorder="1" applyAlignment="1">
      <alignment horizontal="right" vertical="top"/>
    </xf>
    <xf numFmtId="178" fontId="123" fillId="0" borderId="0" xfId="2" applyNumberFormat="1" applyFont="1" applyFill="1" applyBorder="1" applyAlignment="1">
      <alignment vertical="top"/>
    </xf>
    <xf numFmtId="178" fontId="123" fillId="0" borderId="0" xfId="2" applyNumberFormat="1" applyFont="1" applyFill="1" applyBorder="1" applyAlignment="1">
      <alignment horizontal="right" vertical="top"/>
    </xf>
    <xf numFmtId="190" fontId="123" fillId="0" borderId="0" xfId="2" applyNumberFormat="1" applyFont="1" applyFill="1" applyBorder="1" applyAlignment="1">
      <alignment horizontal="right" vertical="top"/>
    </xf>
    <xf numFmtId="168" fontId="128" fillId="0" borderId="0" xfId="0" applyNumberFormat="1" applyFont="1" applyFill="1" applyBorder="1" applyAlignment="1">
      <alignment horizontal="center" vertical="top"/>
    </xf>
    <xf numFmtId="0" fontId="128" fillId="0" borderId="0" xfId="0" applyFont="1" applyFill="1" applyBorder="1" applyAlignment="1">
      <alignment horizontal="center" vertical="top"/>
    </xf>
    <xf numFmtId="3" fontId="123" fillId="0" borderId="0" xfId="1540" applyNumberFormat="1" applyFont="1" applyFill="1" applyBorder="1" applyAlignment="1">
      <alignment horizontal="center" vertical="top" wrapText="1"/>
    </xf>
    <xf numFmtId="190" fontId="123" fillId="0" borderId="0" xfId="19599" applyNumberFormat="1" applyFont="1" applyFill="1" applyBorder="1" applyAlignment="1">
      <alignment horizontal="right" vertical="top" wrapText="1"/>
    </xf>
    <xf numFmtId="0" fontId="129" fillId="0" borderId="0" xfId="0" applyFont="1" applyFill="1" applyBorder="1" applyAlignment="1">
      <alignment horizontal="left" vertical="top"/>
    </xf>
    <xf numFmtId="4" fontId="129" fillId="0" borderId="0" xfId="0" applyNumberFormat="1" applyFont="1" applyFill="1" applyBorder="1" applyAlignment="1">
      <alignment horizontal="left" vertical="top"/>
    </xf>
    <xf numFmtId="168" fontId="123" fillId="0" borderId="0" xfId="17890" applyNumberFormat="1" applyFont="1" applyFill="1" applyBorder="1" applyAlignment="1">
      <alignment horizontal="right" vertical="top"/>
    </xf>
    <xf numFmtId="178" fontId="123" fillId="0" borderId="0" xfId="1540" applyNumberFormat="1" applyFont="1" applyFill="1" applyBorder="1" applyAlignment="1">
      <alignment vertical="top" wrapText="1"/>
    </xf>
    <xf numFmtId="178" fontId="123" fillId="0" borderId="0" xfId="1540" applyNumberFormat="1" applyFont="1" applyFill="1" applyBorder="1" applyAlignment="1">
      <alignment horizontal="right" vertical="top" wrapText="1"/>
    </xf>
    <xf numFmtId="4" fontId="123" fillId="0" borderId="0" xfId="1540" applyNumberFormat="1" applyFont="1" applyFill="1" applyBorder="1" applyAlignment="1">
      <alignment horizontal="right" vertical="top" wrapText="1"/>
    </xf>
    <xf numFmtId="190" fontId="123" fillId="0" borderId="0" xfId="1540" applyNumberFormat="1" applyFont="1" applyFill="1" applyBorder="1" applyAlignment="1">
      <alignment horizontal="right" vertical="top" wrapText="1"/>
    </xf>
    <xf numFmtId="3" fontId="123" fillId="0" borderId="0" xfId="1540" applyNumberFormat="1" applyFont="1" applyFill="1" applyBorder="1" applyAlignment="1">
      <alignment horizontal="right" vertical="top" wrapText="1"/>
    </xf>
    <xf numFmtId="178" fontId="123" fillId="0" borderId="0" xfId="18240" applyNumberFormat="1" applyFont="1" applyFill="1" applyBorder="1" applyAlignment="1">
      <alignment horizontal="right" vertical="top" wrapText="1"/>
    </xf>
    <xf numFmtId="178" fontId="123" fillId="0" borderId="0" xfId="18240" applyNumberFormat="1" applyFont="1" applyFill="1" applyBorder="1" applyAlignment="1">
      <alignment vertical="top" wrapText="1"/>
    </xf>
    <xf numFmtId="4" fontId="123" fillId="0" borderId="0" xfId="18240" applyNumberFormat="1" applyFont="1" applyFill="1" applyBorder="1" applyAlignment="1">
      <alignment horizontal="right" vertical="top" wrapText="1"/>
    </xf>
    <xf numFmtId="0" fontId="129" fillId="0" borderId="0" xfId="0" applyFont="1" applyFill="1" applyBorder="1" applyAlignment="1">
      <alignment vertical="top"/>
    </xf>
    <xf numFmtId="168" fontId="123" fillId="0" borderId="0" xfId="0" applyNumberFormat="1" applyFont="1" applyFill="1" applyBorder="1" applyAlignment="1">
      <alignment vertical="top"/>
    </xf>
    <xf numFmtId="168" fontId="123" fillId="0" borderId="0" xfId="17890" applyNumberFormat="1" applyFont="1" applyFill="1" applyBorder="1" applyAlignment="1">
      <alignment vertical="top"/>
    </xf>
    <xf numFmtId="3" fontId="123" fillId="0" borderId="0" xfId="0" applyNumberFormat="1" applyFont="1" applyFill="1" applyBorder="1" applyAlignment="1">
      <alignment vertical="top"/>
    </xf>
    <xf numFmtId="168" fontId="123" fillId="0" borderId="0" xfId="0" applyNumberFormat="1" applyFont="1" applyFill="1" applyBorder="1" applyAlignment="1">
      <alignment vertical="top" wrapText="1"/>
    </xf>
    <xf numFmtId="4" fontId="124" fillId="0" borderId="0" xfId="1540" applyNumberFormat="1" applyFont="1" applyFill="1" applyBorder="1" applyAlignment="1">
      <alignment horizontal="right" vertical="top" wrapText="1"/>
    </xf>
    <xf numFmtId="4" fontId="124" fillId="0" borderId="0" xfId="0" applyNumberFormat="1" applyFont="1" applyFill="1" applyBorder="1" applyAlignment="1">
      <alignment horizontal="left" vertical="top" wrapText="1"/>
    </xf>
    <xf numFmtId="4" fontId="130" fillId="0" borderId="0" xfId="0" applyNumberFormat="1" applyFont="1" applyFill="1" applyBorder="1" applyAlignment="1">
      <alignment horizontal="left" vertical="top"/>
    </xf>
    <xf numFmtId="0" fontId="130" fillId="0" borderId="0" xfId="0" applyFont="1" applyFill="1" applyBorder="1" applyAlignment="1">
      <alignment horizontal="left" vertical="top"/>
    </xf>
    <xf numFmtId="0" fontId="130" fillId="0" borderId="0" xfId="0" applyFont="1" applyFill="1" applyBorder="1" applyAlignment="1">
      <alignment vertical="top"/>
    </xf>
    <xf numFmtId="3" fontId="123" fillId="0" borderId="0" xfId="1540" applyNumberFormat="1" applyFont="1" applyFill="1" applyBorder="1" applyAlignment="1">
      <alignment horizontal="left" vertical="top" wrapText="1"/>
    </xf>
    <xf numFmtId="168" fontId="123" fillId="0" borderId="0" xfId="0" applyNumberFormat="1" applyFont="1" applyFill="1" applyBorder="1" applyAlignment="1">
      <alignment horizontal="left" vertical="top" wrapText="1"/>
    </xf>
    <xf numFmtId="168" fontId="123" fillId="0" borderId="0" xfId="17890" applyNumberFormat="1" applyFont="1" applyFill="1" applyBorder="1" applyAlignment="1">
      <alignment horizontal="left" vertical="top"/>
    </xf>
    <xf numFmtId="168" fontId="123" fillId="0" borderId="0" xfId="0" applyNumberFormat="1" applyFont="1" applyFill="1" applyBorder="1" applyAlignment="1">
      <alignment horizontal="left" vertical="top"/>
    </xf>
    <xf numFmtId="4" fontId="124" fillId="0" borderId="0" xfId="18240" applyNumberFormat="1" applyFont="1" applyFill="1" applyBorder="1" applyAlignment="1">
      <alignment horizontal="right" vertical="top" wrapText="1"/>
    </xf>
    <xf numFmtId="4" fontId="123" fillId="0" borderId="0" xfId="19594" applyNumberFormat="1" applyFont="1" applyFill="1" applyBorder="1" applyAlignment="1">
      <alignment horizontal="right" vertical="top" wrapText="1"/>
    </xf>
    <xf numFmtId="1" fontId="123" fillId="0" borderId="0" xfId="17834" applyNumberFormat="1" applyFont="1" applyFill="1" applyBorder="1" applyAlignment="1">
      <alignment horizontal="center" vertical="top" wrapText="1"/>
    </xf>
    <xf numFmtId="1" fontId="123" fillId="0" borderId="0" xfId="17834" applyNumberFormat="1" applyFont="1" applyFill="1" applyBorder="1" applyAlignment="1">
      <alignment vertical="top" wrapText="1"/>
    </xf>
    <xf numFmtId="3" fontId="123" fillId="0" borderId="0" xfId="17834" applyNumberFormat="1" applyFont="1" applyFill="1" applyBorder="1" applyAlignment="1">
      <alignment horizontal="right" vertical="top" wrapText="1"/>
    </xf>
    <xf numFmtId="168" fontId="123" fillId="0" borderId="0" xfId="22880" applyNumberFormat="1" applyFont="1" applyFill="1" applyBorder="1" applyAlignment="1">
      <alignment horizontal="right" vertical="top" wrapText="1"/>
    </xf>
    <xf numFmtId="168" fontId="123" fillId="0" borderId="0" xfId="17834" applyNumberFormat="1" applyFont="1" applyFill="1" applyBorder="1" applyAlignment="1">
      <alignment horizontal="right" vertical="top" wrapText="1"/>
    </xf>
    <xf numFmtId="3" fontId="123" fillId="0" borderId="0" xfId="22880" applyNumberFormat="1" applyFont="1" applyFill="1" applyBorder="1" applyAlignment="1">
      <alignment horizontal="right" vertical="top"/>
    </xf>
    <xf numFmtId="3" fontId="123" fillId="0" borderId="0" xfId="22880" applyNumberFormat="1" applyFont="1" applyFill="1" applyBorder="1" applyAlignment="1">
      <alignment horizontal="right" vertical="top" wrapText="1"/>
    </xf>
    <xf numFmtId="0" fontId="123" fillId="0" borderId="0" xfId="17834" applyFont="1" applyFill="1" applyBorder="1" applyAlignment="1">
      <alignment vertical="top" wrapText="1"/>
    </xf>
    <xf numFmtId="2" fontId="123" fillId="0" borderId="0" xfId="0" applyNumberFormat="1" applyFont="1" applyFill="1" applyBorder="1" applyAlignment="1">
      <alignment horizontal="center" vertical="top" wrapText="1"/>
    </xf>
    <xf numFmtId="0" fontId="123" fillId="0" borderId="0" xfId="17834" applyFont="1" applyFill="1" applyBorder="1" applyAlignment="1">
      <alignment horizontal="left" vertical="top" wrapText="1"/>
    </xf>
    <xf numFmtId="1" fontId="123" fillId="0" borderId="0" xfId="17834" applyNumberFormat="1" applyFont="1" applyFill="1" applyBorder="1" applyAlignment="1">
      <alignment horizontal="right" vertical="top" wrapText="1"/>
    </xf>
    <xf numFmtId="178" fontId="123" fillId="0" borderId="0" xfId="0" applyNumberFormat="1" applyFont="1" applyFill="1" applyBorder="1" applyAlignment="1">
      <alignment horizontal="left" vertical="top"/>
    </xf>
    <xf numFmtId="0" fontId="124" fillId="0" borderId="0" xfId="0" applyFont="1" applyFill="1" applyBorder="1" applyAlignment="1">
      <alignment horizontal="left" vertical="top"/>
    </xf>
    <xf numFmtId="0" fontId="131" fillId="0" borderId="0" xfId="0" applyFont="1" applyFill="1" applyBorder="1" applyAlignment="1">
      <alignment horizontal="center" vertical="top"/>
    </xf>
    <xf numFmtId="4" fontId="129" fillId="0" borderId="0" xfId="0" applyNumberFormat="1" applyFont="1" applyFill="1" applyBorder="1" applyAlignment="1">
      <alignment vertical="top"/>
    </xf>
    <xf numFmtId="168" fontId="123" fillId="0" borderId="0" xfId="22877" applyNumberFormat="1" applyFont="1" applyFill="1" applyBorder="1" applyAlignment="1">
      <alignment horizontal="right" vertical="top" wrapText="1"/>
    </xf>
    <xf numFmtId="3" fontId="123" fillId="0" borderId="0" xfId="22877" applyNumberFormat="1" applyFont="1" applyFill="1" applyBorder="1" applyAlignment="1">
      <alignment horizontal="right" vertical="top" wrapText="1"/>
    </xf>
    <xf numFmtId="178" fontId="123" fillId="0" borderId="0" xfId="22877" applyNumberFormat="1" applyFont="1" applyFill="1" applyBorder="1" applyAlignment="1">
      <alignment vertical="top" wrapText="1"/>
    </xf>
    <xf numFmtId="178" fontId="123" fillId="0" borderId="0" xfId="22877" applyNumberFormat="1" applyFont="1" applyFill="1" applyBorder="1" applyAlignment="1">
      <alignment horizontal="right" vertical="top" wrapText="1"/>
    </xf>
    <xf numFmtId="4" fontId="123" fillId="0" borderId="0" xfId="22877" applyNumberFormat="1" applyFont="1" applyFill="1" applyBorder="1" applyAlignment="1">
      <alignment horizontal="right" vertical="top" wrapText="1"/>
    </xf>
    <xf numFmtId="190" fontId="123" fillId="0" borderId="0" xfId="22877" applyNumberFormat="1" applyFont="1" applyFill="1" applyBorder="1" applyAlignment="1">
      <alignment horizontal="right" vertical="top" wrapText="1"/>
    </xf>
    <xf numFmtId="0" fontId="123" fillId="0" borderId="0" xfId="19567" applyFont="1" applyFill="1" applyBorder="1" applyAlignment="1">
      <alignment vertical="top" wrapText="1"/>
    </xf>
    <xf numFmtId="169" fontId="123" fillId="0" borderId="0" xfId="0" applyNumberFormat="1" applyFont="1" applyFill="1" applyBorder="1" applyAlignment="1">
      <alignment horizontal="right" vertical="top" wrapText="1"/>
    </xf>
    <xf numFmtId="169" fontId="123" fillId="0" borderId="0" xfId="0" applyNumberFormat="1" applyFont="1" applyFill="1" applyBorder="1" applyAlignment="1">
      <alignment horizontal="center" vertical="top" wrapText="1"/>
    </xf>
    <xf numFmtId="0" fontId="123" fillId="0" borderId="0" xfId="1540" applyFont="1" applyFill="1" applyBorder="1" applyAlignment="1">
      <alignment vertical="top" wrapText="1"/>
    </xf>
    <xf numFmtId="168" fontId="123" fillId="0" borderId="0" xfId="1540" applyNumberFormat="1" applyFont="1" applyFill="1" applyBorder="1" applyAlignment="1">
      <alignment horizontal="right" vertical="top" wrapText="1"/>
    </xf>
    <xf numFmtId="4" fontId="123" fillId="0" borderId="0" xfId="1540" applyNumberFormat="1" applyFont="1" applyFill="1" applyBorder="1" applyAlignment="1">
      <alignment horizontal="center" vertical="top" wrapText="1"/>
    </xf>
    <xf numFmtId="0" fontId="123" fillId="0" borderId="0" xfId="1540" applyFont="1" applyFill="1" applyBorder="1" applyAlignment="1">
      <alignment horizontal="left" vertical="top" wrapText="1"/>
    </xf>
    <xf numFmtId="0" fontId="123" fillId="0" borderId="0" xfId="1540" applyFont="1" applyFill="1" applyBorder="1" applyAlignment="1">
      <alignment horizontal="center" vertical="top" wrapText="1"/>
    </xf>
    <xf numFmtId="4" fontId="123" fillId="0" borderId="0" xfId="1540" applyNumberFormat="1" applyFont="1" applyFill="1" applyBorder="1" applyAlignment="1">
      <alignment horizontal="left" vertical="top" wrapText="1"/>
    </xf>
    <xf numFmtId="1" fontId="123" fillId="0" borderId="0" xfId="17892" applyNumberFormat="1" applyFont="1" applyFill="1" applyBorder="1" applyAlignment="1">
      <alignment horizontal="center" vertical="top" wrapText="1"/>
    </xf>
    <xf numFmtId="0" fontId="132" fillId="0" borderId="0" xfId="0" applyFont="1" applyFill="1" applyBorder="1" applyAlignment="1">
      <alignment vertical="top" wrapText="1"/>
    </xf>
    <xf numFmtId="1" fontId="123" fillId="0" borderId="0" xfId="17892" applyNumberFormat="1" applyFont="1" applyFill="1" applyBorder="1" applyAlignment="1">
      <alignment horizontal="right" vertical="top" wrapText="1"/>
    </xf>
    <xf numFmtId="176" fontId="133" fillId="0" borderId="0" xfId="1540" applyNumberFormat="1" applyFont="1" applyFill="1" applyBorder="1" applyAlignment="1">
      <alignment horizontal="left" vertical="top" wrapText="1"/>
    </xf>
    <xf numFmtId="168" fontId="123" fillId="0" borderId="0" xfId="17892" applyNumberFormat="1" applyFont="1" applyFill="1" applyBorder="1" applyAlignment="1">
      <alignment horizontal="right" vertical="top" wrapText="1"/>
    </xf>
    <xf numFmtId="0" fontId="54" fillId="0" borderId="0" xfId="0" applyFont="1" applyFill="1" applyBorder="1" applyAlignment="1">
      <alignment vertical="top"/>
    </xf>
    <xf numFmtId="0" fontId="54" fillId="0" borderId="0" xfId="0" applyFont="1" applyFill="1" applyBorder="1" applyAlignment="1">
      <alignment horizontal="left" vertical="top"/>
    </xf>
    <xf numFmtId="168" fontId="134" fillId="0" borderId="0" xfId="0" applyNumberFormat="1" applyFont="1" applyFill="1" applyBorder="1" applyAlignment="1">
      <alignment horizontal="right" vertical="top" wrapText="1"/>
    </xf>
    <xf numFmtId="4" fontId="123" fillId="0" borderId="0" xfId="18240" applyNumberFormat="1" applyFont="1" applyFill="1" applyBorder="1" applyAlignment="1">
      <alignment horizontal="right" vertical="top"/>
    </xf>
    <xf numFmtId="3" fontId="123" fillId="0" borderId="0" xfId="18240" applyNumberFormat="1" applyFont="1" applyFill="1" applyBorder="1" applyAlignment="1">
      <alignment horizontal="right" vertical="top"/>
    </xf>
    <xf numFmtId="178" fontId="124" fillId="0" borderId="0" xfId="18240" applyNumberFormat="1" applyFont="1" applyFill="1" applyBorder="1" applyAlignment="1">
      <alignment horizontal="right" vertical="top" wrapText="1"/>
    </xf>
    <xf numFmtId="168" fontId="123" fillId="0" borderId="0" xfId="1539" applyNumberFormat="1" applyFont="1" applyFill="1" applyBorder="1" applyAlignment="1">
      <alignment horizontal="right" vertical="top" wrapText="1"/>
    </xf>
    <xf numFmtId="3" fontId="123" fillId="0" borderId="0" xfId="1540" applyNumberFormat="1" applyFont="1" applyFill="1" applyBorder="1" applyAlignment="1" applyProtection="1">
      <alignment vertical="top" wrapText="1"/>
      <protection locked="0"/>
    </xf>
    <xf numFmtId="168" fontId="123" fillId="0" borderId="0" xfId="1540" applyNumberFormat="1" applyFont="1" applyFill="1" applyBorder="1" applyAlignment="1" applyProtection="1">
      <alignment horizontal="right" vertical="top"/>
      <protection locked="0"/>
    </xf>
    <xf numFmtId="3" fontId="123" fillId="0" borderId="0" xfId="1540" applyNumberFormat="1" applyFont="1" applyFill="1" applyBorder="1" applyAlignment="1" applyProtection="1">
      <alignment horizontal="right" vertical="top"/>
      <protection locked="0"/>
    </xf>
    <xf numFmtId="190" fontId="123" fillId="0" borderId="0" xfId="18240" applyNumberFormat="1" applyFont="1" applyFill="1" applyBorder="1" applyAlignment="1">
      <alignment horizontal="right" vertical="top" wrapText="1"/>
    </xf>
    <xf numFmtId="0" fontId="135" fillId="0" borderId="0" xfId="1540" applyFont="1" applyFill="1" applyBorder="1" applyAlignment="1">
      <alignment horizontal="center" vertical="top"/>
    </xf>
    <xf numFmtId="0" fontId="135" fillId="0" borderId="0" xfId="1540" applyFont="1" applyFill="1" applyBorder="1" applyAlignment="1">
      <alignment horizontal="left" vertical="top"/>
    </xf>
    <xf numFmtId="0" fontId="123" fillId="0" borderId="0" xfId="18240" applyFont="1" applyFill="1" applyBorder="1" applyAlignment="1">
      <alignment horizontal="center" vertical="top" wrapText="1"/>
    </xf>
    <xf numFmtId="49" fontId="123" fillId="0" borderId="0" xfId="18240" applyNumberFormat="1" applyFont="1" applyFill="1" applyBorder="1" applyAlignment="1">
      <alignment vertical="top" wrapText="1"/>
    </xf>
    <xf numFmtId="0" fontId="123" fillId="0" borderId="0" xfId="18240" applyFont="1" applyFill="1" applyBorder="1" applyAlignment="1">
      <alignment horizontal="right" vertical="top" wrapText="1"/>
    </xf>
    <xf numFmtId="168" fontId="123" fillId="0" borderId="0" xfId="18240" applyNumberFormat="1" applyFont="1" applyFill="1" applyBorder="1" applyAlignment="1">
      <alignment horizontal="right" vertical="top" wrapText="1"/>
    </xf>
    <xf numFmtId="168" fontId="123" fillId="0" borderId="0" xfId="18240" applyNumberFormat="1" applyFont="1" applyFill="1" applyBorder="1" applyAlignment="1">
      <alignment horizontal="right" vertical="top"/>
    </xf>
    <xf numFmtId="0" fontId="136" fillId="0" borderId="0" xfId="0" applyFont="1" applyFill="1" applyBorder="1" applyAlignment="1">
      <alignment vertical="top"/>
    </xf>
    <xf numFmtId="0" fontId="136" fillId="0" borderId="0" xfId="0" applyFont="1" applyFill="1" applyBorder="1" applyAlignment="1">
      <alignment horizontal="left" vertical="top"/>
    </xf>
    <xf numFmtId="3" fontId="123" fillId="0" borderId="0" xfId="18240" applyNumberFormat="1" applyFont="1" applyFill="1" applyBorder="1" applyAlignment="1">
      <alignment horizontal="right" vertical="top" wrapText="1"/>
    </xf>
    <xf numFmtId="4" fontId="129" fillId="0" borderId="0" xfId="0" applyNumberFormat="1" applyFont="1" applyFill="1" applyBorder="1" applyAlignment="1">
      <alignment horizontal="right" vertical="top"/>
    </xf>
    <xf numFmtId="0" fontId="136" fillId="0" borderId="0" xfId="0" applyFont="1" applyFill="1" applyBorder="1" applyAlignment="1">
      <alignment horizontal="center" vertical="top"/>
    </xf>
    <xf numFmtId="190" fontId="123" fillId="0" borderId="0" xfId="18240" applyNumberFormat="1" applyFont="1" applyFill="1" applyBorder="1" applyAlignment="1">
      <alignment horizontal="right" vertical="top"/>
    </xf>
    <xf numFmtId="0" fontId="137" fillId="0" borderId="0" xfId="0" applyFont="1" applyFill="1" applyBorder="1" applyAlignment="1">
      <alignment vertical="top"/>
    </xf>
    <xf numFmtId="0" fontId="137" fillId="0" borderId="0" xfId="0" applyFont="1" applyFill="1" applyBorder="1" applyAlignment="1">
      <alignment horizontal="left" vertical="top"/>
    </xf>
    <xf numFmtId="4" fontId="137" fillId="0" borderId="0" xfId="0" applyNumberFormat="1" applyFont="1" applyFill="1" applyBorder="1" applyAlignment="1">
      <alignment vertical="top"/>
    </xf>
    <xf numFmtId="0" fontId="123" fillId="0" borderId="0" xfId="3423" applyFont="1" applyFill="1" applyBorder="1" applyAlignment="1">
      <alignment horizontal="center" vertical="top"/>
    </xf>
    <xf numFmtId="0" fontId="123" fillId="0" borderId="0" xfId="22876" applyFont="1" applyFill="1" applyBorder="1" applyAlignment="1">
      <alignment vertical="top" wrapText="1"/>
    </xf>
    <xf numFmtId="0" fontId="123" fillId="0" borderId="0" xfId="3423" applyFont="1" applyFill="1" applyBorder="1" applyAlignment="1">
      <alignment horizontal="right" vertical="top" wrapText="1"/>
    </xf>
    <xf numFmtId="168" fontId="123" fillId="0" borderId="0" xfId="3423" applyNumberFormat="1" applyFont="1" applyFill="1" applyBorder="1" applyAlignment="1">
      <alignment horizontal="right" vertical="top"/>
    </xf>
    <xf numFmtId="3" fontId="123" fillId="0" borderId="0" xfId="3423" applyNumberFormat="1" applyFont="1" applyFill="1" applyBorder="1" applyAlignment="1">
      <alignment horizontal="right" vertical="top"/>
    </xf>
    <xf numFmtId="0" fontId="123" fillId="0" borderId="0" xfId="22876" applyFont="1" applyFill="1" applyBorder="1" applyAlignment="1">
      <alignment horizontal="center" vertical="top" wrapText="1"/>
    </xf>
    <xf numFmtId="0" fontId="128" fillId="0" borderId="0" xfId="1540" applyFont="1" applyFill="1" applyBorder="1" applyAlignment="1">
      <alignment vertical="top" wrapText="1"/>
    </xf>
    <xf numFmtId="1" fontId="123" fillId="0" borderId="0" xfId="1540" applyNumberFormat="1" applyFont="1" applyFill="1" applyBorder="1" applyAlignment="1">
      <alignment horizontal="center" vertical="top" wrapText="1"/>
    </xf>
    <xf numFmtId="0" fontId="123" fillId="0" borderId="0" xfId="17890" applyFont="1" applyFill="1" applyBorder="1" applyAlignment="1">
      <alignment vertical="top" wrapText="1"/>
    </xf>
    <xf numFmtId="3" fontId="123" fillId="0" borderId="0" xfId="17890" applyNumberFormat="1" applyFont="1" applyFill="1" applyBorder="1" applyAlignment="1">
      <alignment horizontal="right" vertical="top"/>
    </xf>
    <xf numFmtId="0" fontId="131" fillId="0" borderId="0" xfId="0" applyFont="1" applyFill="1" applyBorder="1" applyAlignment="1">
      <alignment horizontal="left" vertical="top"/>
    </xf>
    <xf numFmtId="4" fontId="131" fillId="0" borderId="0" xfId="0" applyNumberFormat="1" applyFont="1" applyFill="1" applyBorder="1" applyAlignment="1">
      <alignment horizontal="left" vertical="top"/>
    </xf>
    <xf numFmtId="49" fontId="123" fillId="0" borderId="0" xfId="22881" applyNumberFormat="1" applyFont="1" applyFill="1" applyBorder="1" applyAlignment="1" applyProtection="1">
      <alignment horizontal="center" vertical="top" wrapText="1"/>
    </xf>
    <xf numFmtId="49" fontId="123" fillId="0" borderId="0" xfId="17890" applyNumberFormat="1" applyFont="1" applyFill="1" applyBorder="1" applyAlignment="1">
      <alignment vertical="top" wrapText="1"/>
    </xf>
    <xf numFmtId="171" fontId="123" fillId="0" borderId="0" xfId="22882" applyFont="1" applyFill="1" applyBorder="1" applyAlignment="1">
      <alignment vertical="top" wrapText="1"/>
    </xf>
    <xf numFmtId="168" fontId="123" fillId="0" borderId="0" xfId="22882" applyNumberFormat="1" applyFont="1" applyFill="1" applyBorder="1" applyAlignment="1">
      <alignment horizontal="right" vertical="top"/>
    </xf>
    <xf numFmtId="0" fontId="138" fillId="0" borderId="0" xfId="0" applyFont="1" applyFill="1" applyBorder="1" applyAlignment="1">
      <alignment vertical="top"/>
    </xf>
    <xf numFmtId="0" fontId="138" fillId="0" borderId="0" xfId="0" applyFont="1" applyFill="1" applyBorder="1" applyAlignment="1">
      <alignment horizontal="left" vertical="top"/>
    </xf>
    <xf numFmtId="168" fontId="123" fillId="0" borderId="0" xfId="3540" applyNumberFormat="1" applyFont="1" applyFill="1" applyBorder="1" applyAlignment="1">
      <alignment horizontal="right" vertical="top" wrapText="1"/>
    </xf>
    <xf numFmtId="0" fontId="123" fillId="0" borderId="0" xfId="1057" applyFont="1" applyFill="1" applyBorder="1" applyAlignment="1">
      <alignment horizontal="right" vertical="top" wrapText="1"/>
    </xf>
    <xf numFmtId="0" fontId="123" fillId="0" borderId="0" xfId="1058" applyFont="1" applyFill="1" applyBorder="1" applyAlignment="1">
      <alignment horizontal="right" vertical="top" wrapText="1"/>
    </xf>
    <xf numFmtId="1" fontId="123" fillId="0" borderId="0" xfId="21265" applyNumberFormat="1" applyFont="1" applyFill="1" applyBorder="1" applyAlignment="1">
      <alignment horizontal="center" vertical="top" wrapText="1"/>
    </xf>
    <xf numFmtId="0" fontId="123" fillId="0" borderId="0" xfId="5200" applyFont="1" applyFill="1" applyBorder="1" applyAlignment="1">
      <alignment vertical="top" wrapText="1"/>
    </xf>
    <xf numFmtId="168" fontId="123" fillId="0" borderId="0" xfId="21265" applyNumberFormat="1" applyFont="1" applyFill="1" applyBorder="1" applyAlignment="1">
      <alignment horizontal="right" vertical="top" wrapText="1"/>
    </xf>
    <xf numFmtId="168" fontId="123" fillId="0" borderId="0" xfId="19567" applyNumberFormat="1" applyFont="1" applyFill="1" applyBorder="1" applyAlignment="1">
      <alignment horizontal="right" vertical="top"/>
    </xf>
    <xf numFmtId="168" fontId="123" fillId="0" borderId="0" xfId="22877" applyNumberFormat="1" applyFont="1" applyFill="1" applyBorder="1" applyAlignment="1">
      <alignment horizontal="right" vertical="top"/>
    </xf>
    <xf numFmtId="3" fontId="123" fillId="0" borderId="0" xfId="21265" applyNumberFormat="1" applyFont="1" applyFill="1" applyBorder="1" applyAlignment="1">
      <alignment horizontal="right" vertical="top" wrapText="1"/>
    </xf>
    <xf numFmtId="4" fontId="123" fillId="0" borderId="0" xfId="19593" applyNumberFormat="1" applyFont="1" applyFill="1" applyBorder="1" applyAlignment="1">
      <alignment horizontal="right" vertical="top"/>
    </xf>
    <xf numFmtId="168" fontId="123" fillId="0" borderId="0" xfId="19567" applyNumberFormat="1" applyFont="1" applyFill="1" applyBorder="1" applyAlignment="1">
      <alignment horizontal="right" vertical="top" wrapText="1"/>
    </xf>
    <xf numFmtId="0" fontId="123" fillId="0" borderId="0" xfId="19567" applyFont="1" applyFill="1" applyBorder="1" applyAlignment="1">
      <alignment horizontal="center" vertical="top" wrapText="1"/>
    </xf>
    <xf numFmtId="0" fontId="128" fillId="0" borderId="0" xfId="0" applyFont="1" applyFill="1" applyBorder="1" applyAlignment="1">
      <alignment vertical="top"/>
    </xf>
    <xf numFmtId="0" fontId="128" fillId="0" borderId="0" xfId="0" applyFont="1" applyFill="1" applyBorder="1" applyAlignment="1">
      <alignment horizontal="left" vertical="top"/>
    </xf>
    <xf numFmtId="4" fontId="128" fillId="0" borderId="0" xfId="0" applyNumberFormat="1" applyFont="1" applyFill="1" applyBorder="1" applyAlignment="1">
      <alignment vertical="top"/>
    </xf>
    <xf numFmtId="0" fontId="128" fillId="0" borderId="0" xfId="0" applyFont="1" applyFill="1" applyBorder="1" applyAlignment="1">
      <alignment vertical="top" wrapText="1"/>
    </xf>
    <xf numFmtId="178" fontId="123" fillId="0" borderId="0" xfId="1540" applyNumberFormat="1" applyFont="1" applyFill="1" applyBorder="1" applyAlignment="1">
      <alignment horizontal="right" vertical="top"/>
    </xf>
    <xf numFmtId="4" fontId="123" fillId="0" borderId="0" xfId="1540" applyNumberFormat="1" applyFont="1" applyFill="1" applyBorder="1" applyAlignment="1">
      <alignment horizontal="right" vertical="top"/>
    </xf>
    <xf numFmtId="190" fontId="123" fillId="0" borderId="0" xfId="1540" applyNumberFormat="1" applyFont="1" applyFill="1" applyBorder="1" applyAlignment="1">
      <alignment horizontal="right" vertical="top"/>
    </xf>
    <xf numFmtId="2" fontId="128" fillId="0" borderId="0" xfId="0" applyNumberFormat="1" applyFont="1" applyFill="1" applyBorder="1" applyAlignment="1">
      <alignment horizontal="center" vertical="top"/>
    </xf>
    <xf numFmtId="3" fontId="123" fillId="0" borderId="0" xfId="19594" applyNumberFormat="1" applyFont="1" applyFill="1" applyBorder="1" applyAlignment="1">
      <alignment horizontal="right" vertical="top" wrapText="1"/>
    </xf>
    <xf numFmtId="3" fontId="123" fillId="0" borderId="0" xfId="1540" applyNumberFormat="1" applyFont="1" applyFill="1" applyBorder="1" applyAlignment="1">
      <alignment vertical="top" wrapText="1"/>
    </xf>
    <xf numFmtId="178" fontId="123" fillId="0" borderId="0" xfId="19592" applyNumberFormat="1" applyFont="1" applyFill="1" applyBorder="1" applyAlignment="1">
      <alignment horizontal="right" vertical="top"/>
    </xf>
    <xf numFmtId="0" fontId="123" fillId="0" borderId="0" xfId="19568" applyFont="1" applyFill="1" applyBorder="1" applyAlignment="1">
      <alignment vertical="top" wrapText="1"/>
    </xf>
    <xf numFmtId="168" fontId="123" fillId="0" borderId="0" xfId="19568" applyNumberFormat="1" applyFont="1" applyFill="1" applyBorder="1" applyAlignment="1">
      <alignment horizontal="right" vertical="top" wrapText="1"/>
    </xf>
    <xf numFmtId="3" fontId="123" fillId="0" borderId="0" xfId="19568" applyNumberFormat="1" applyFont="1" applyFill="1" applyBorder="1" applyAlignment="1">
      <alignment horizontal="right" vertical="top" wrapText="1"/>
    </xf>
    <xf numFmtId="4" fontId="126" fillId="0" borderId="0" xfId="1540" applyNumberFormat="1" applyFont="1" applyFill="1" applyBorder="1" applyAlignment="1">
      <alignment horizontal="center" vertical="top" wrapText="1"/>
    </xf>
    <xf numFmtId="0" fontId="139" fillId="0" borderId="0" xfId="0" applyFont="1" applyFill="1" applyBorder="1" applyAlignment="1">
      <alignment horizontal="left" vertical="top"/>
    </xf>
    <xf numFmtId="190" fontId="124" fillId="0" borderId="0" xfId="1540" applyNumberFormat="1" applyFont="1" applyFill="1" applyBorder="1" applyAlignment="1">
      <alignment horizontal="right" vertical="top" wrapText="1"/>
    </xf>
    <xf numFmtId="0" fontId="123" fillId="0" borderId="0" xfId="21265" applyFont="1" applyFill="1" applyBorder="1" applyAlignment="1">
      <alignment vertical="top" wrapText="1"/>
    </xf>
    <xf numFmtId="0" fontId="123" fillId="0" borderId="0" xfId="21265" applyFont="1" applyFill="1" applyBorder="1" applyAlignment="1">
      <alignment horizontal="right" vertical="top" wrapText="1"/>
    </xf>
    <xf numFmtId="0" fontId="123" fillId="0" borderId="0" xfId="18240" applyFont="1" applyFill="1" applyBorder="1" applyAlignment="1">
      <alignment vertical="top" wrapText="1"/>
    </xf>
    <xf numFmtId="178" fontId="123" fillId="0" borderId="0" xfId="19594" applyNumberFormat="1" applyFont="1" applyFill="1" applyBorder="1" applyAlignment="1">
      <alignment horizontal="right" vertical="top" wrapText="1"/>
    </xf>
    <xf numFmtId="3" fontId="123" fillId="0" borderId="0" xfId="19592" applyNumberFormat="1" applyFont="1" applyFill="1" applyBorder="1" applyAlignment="1">
      <alignment horizontal="right" vertical="top" wrapText="1"/>
    </xf>
    <xf numFmtId="0" fontId="123" fillId="0" borderId="0" xfId="5508" applyFont="1" applyFill="1" applyBorder="1" applyAlignment="1">
      <alignment horizontal="right" vertical="top" wrapText="1"/>
    </xf>
    <xf numFmtId="174" fontId="123" fillId="0" borderId="0" xfId="22877" applyNumberFormat="1" applyFont="1" applyFill="1" applyBorder="1" applyAlignment="1">
      <alignment horizontal="right" vertical="top" wrapText="1"/>
    </xf>
    <xf numFmtId="3" fontId="123" fillId="0" borderId="0" xfId="5508" applyNumberFormat="1" applyFont="1" applyFill="1" applyBorder="1" applyAlignment="1">
      <alignment horizontal="right" vertical="top" wrapText="1"/>
    </xf>
    <xf numFmtId="0" fontId="123" fillId="0" borderId="0" xfId="5508" applyFont="1" applyFill="1" applyBorder="1" applyAlignment="1">
      <alignment horizontal="center" vertical="top" wrapText="1"/>
    </xf>
    <xf numFmtId="178" fontId="123" fillId="0" borderId="0" xfId="8630" applyNumberFormat="1" applyFont="1" applyFill="1" applyBorder="1" applyAlignment="1">
      <alignment horizontal="right" vertical="top"/>
    </xf>
    <xf numFmtId="4" fontId="123" fillId="0" borderId="0" xfId="8630" applyNumberFormat="1" applyFont="1" applyFill="1" applyBorder="1" applyAlignment="1">
      <alignment horizontal="right" vertical="top"/>
    </xf>
    <xf numFmtId="190" fontId="123" fillId="0" borderId="0" xfId="8630" applyNumberFormat="1" applyFont="1" applyFill="1" applyBorder="1" applyAlignment="1">
      <alignment horizontal="right" vertical="top"/>
    </xf>
    <xf numFmtId="4" fontId="129" fillId="0" borderId="0" xfId="0" applyNumberFormat="1" applyFont="1" applyFill="1" applyBorder="1" applyAlignment="1">
      <alignment horizontal="right" vertical="top" wrapText="1" shrinkToFit="1"/>
    </xf>
    <xf numFmtId="3" fontId="129" fillId="0" borderId="0" xfId="0" applyNumberFormat="1" applyFont="1" applyFill="1" applyBorder="1" applyAlignment="1">
      <alignment horizontal="right" vertical="top" wrapText="1" shrinkToFit="1"/>
    </xf>
    <xf numFmtId="190" fontId="124" fillId="0" borderId="0" xfId="0" applyNumberFormat="1" applyFont="1" applyFill="1" applyBorder="1" applyAlignment="1">
      <alignment horizontal="right" vertical="top"/>
    </xf>
    <xf numFmtId="4" fontId="123" fillId="0" borderId="0" xfId="5508" applyNumberFormat="1" applyFont="1" applyFill="1" applyBorder="1" applyAlignment="1">
      <alignment horizontal="right" vertical="top" wrapText="1"/>
    </xf>
    <xf numFmtId="3" fontId="123" fillId="0" borderId="0" xfId="1541" applyNumberFormat="1" applyFont="1" applyFill="1" applyBorder="1" applyAlignment="1">
      <alignment horizontal="right" vertical="top" wrapText="1"/>
    </xf>
    <xf numFmtId="0" fontId="123" fillId="0" borderId="0" xfId="22889" applyFont="1" applyFill="1" applyBorder="1" applyAlignment="1">
      <alignment horizontal="center" vertical="top" wrapText="1"/>
    </xf>
    <xf numFmtId="4" fontId="123" fillId="0" borderId="0" xfId="22884" applyNumberFormat="1" applyFont="1" applyFill="1" applyBorder="1" applyAlignment="1">
      <alignment horizontal="right" vertical="top" wrapText="1"/>
    </xf>
    <xf numFmtId="190" fontId="123" fillId="0" borderId="0" xfId="22889" applyNumberFormat="1" applyFont="1" applyFill="1" applyBorder="1" applyAlignment="1">
      <alignment horizontal="right" vertical="top" wrapText="1"/>
    </xf>
    <xf numFmtId="4" fontId="123" fillId="0" borderId="0" xfId="1541" applyNumberFormat="1" applyFont="1" applyFill="1" applyBorder="1" applyAlignment="1">
      <alignment horizontal="right" vertical="top" wrapText="1"/>
    </xf>
    <xf numFmtId="0" fontId="128" fillId="0" borderId="0" xfId="1541" applyFont="1" applyFill="1" applyBorder="1" applyAlignment="1">
      <alignment horizontal="center" vertical="top" wrapText="1"/>
    </xf>
    <xf numFmtId="1" fontId="123" fillId="0" borderId="0" xfId="1541" applyNumberFormat="1" applyFont="1" applyFill="1" applyBorder="1" applyAlignment="1">
      <alignment horizontal="right" vertical="top" wrapText="1"/>
    </xf>
    <xf numFmtId="3" fontId="123" fillId="0" borderId="0" xfId="8630" applyNumberFormat="1" applyFont="1" applyFill="1" applyBorder="1" applyAlignment="1">
      <alignment horizontal="right" vertical="top" wrapText="1" shrinkToFit="1"/>
    </xf>
    <xf numFmtId="190" fontId="124" fillId="0" borderId="0" xfId="8630" applyNumberFormat="1" applyFont="1" applyFill="1" applyBorder="1" applyAlignment="1">
      <alignment horizontal="right" vertical="top"/>
    </xf>
    <xf numFmtId="4" fontId="124" fillId="0" borderId="0" xfId="8630" applyNumberFormat="1" applyFont="1" applyFill="1" applyBorder="1" applyAlignment="1">
      <alignment horizontal="right" vertical="top"/>
    </xf>
    <xf numFmtId="4" fontId="124" fillId="0" borderId="0" xfId="0" applyNumberFormat="1" applyFont="1" applyFill="1" applyBorder="1" applyAlignment="1">
      <alignment vertical="top" wrapText="1"/>
    </xf>
    <xf numFmtId="174" fontId="123" fillId="0" borderId="0" xfId="19595" applyNumberFormat="1" applyFont="1" applyFill="1" applyBorder="1" applyAlignment="1">
      <alignment horizontal="right" vertical="top" wrapText="1"/>
    </xf>
    <xf numFmtId="3" fontId="123" fillId="0" borderId="0" xfId="8630" applyNumberFormat="1" applyFont="1" applyFill="1" applyBorder="1" applyAlignment="1">
      <alignment horizontal="right" vertical="top"/>
    </xf>
    <xf numFmtId="1" fontId="123" fillId="0" borderId="0" xfId="17890" applyNumberFormat="1" applyFont="1" applyFill="1" applyBorder="1" applyAlignment="1">
      <alignment horizontal="right" vertical="top" wrapText="1"/>
    </xf>
    <xf numFmtId="0" fontId="123" fillId="0" borderId="0" xfId="0" applyFont="1" applyFill="1" applyBorder="1" applyAlignment="1">
      <alignment horizontal="center" vertical="top" wrapText="1" shrinkToFit="1"/>
    </xf>
    <xf numFmtId="182" fontId="123" fillId="0" borderId="0" xfId="5508" applyNumberFormat="1" applyFont="1" applyFill="1" applyBorder="1" applyAlignment="1">
      <alignment horizontal="right" vertical="top" wrapText="1"/>
    </xf>
    <xf numFmtId="182" fontId="123" fillId="0" borderId="0" xfId="0" applyNumberFormat="1" applyFont="1" applyFill="1" applyBorder="1" applyAlignment="1">
      <alignment horizontal="right" vertical="top" wrapText="1"/>
    </xf>
    <xf numFmtId="182" fontId="123" fillId="0" borderId="0" xfId="0" applyNumberFormat="1" applyFont="1" applyFill="1" applyBorder="1" applyAlignment="1">
      <alignment horizontal="right" vertical="top"/>
    </xf>
    <xf numFmtId="3" fontId="123" fillId="0" borderId="0" xfId="17890" applyNumberFormat="1" applyFont="1" applyFill="1" applyBorder="1" applyAlignment="1">
      <alignment horizontal="right" vertical="top" wrapText="1"/>
    </xf>
    <xf numFmtId="0" fontId="123" fillId="0" borderId="0" xfId="0" applyNumberFormat="1" applyFont="1" applyFill="1" applyBorder="1" applyAlignment="1">
      <alignment vertical="top" wrapText="1"/>
    </xf>
    <xf numFmtId="0" fontId="123" fillId="0" borderId="0" xfId="0" applyFont="1" applyFill="1" applyBorder="1" applyAlignment="1">
      <alignment vertical="top" wrapText="1" shrinkToFit="1"/>
    </xf>
    <xf numFmtId="3" fontId="123" fillId="0" borderId="0" xfId="0" applyNumberFormat="1" applyFont="1" applyFill="1" applyBorder="1" applyAlignment="1">
      <alignment horizontal="right" vertical="top" wrapText="1" shrinkToFit="1"/>
    </xf>
    <xf numFmtId="4" fontId="123" fillId="0" borderId="0" xfId="0" applyNumberFormat="1" applyFont="1" applyFill="1" applyBorder="1" applyAlignment="1">
      <alignment horizontal="left" vertical="top" wrapText="1" shrinkToFit="1"/>
    </xf>
    <xf numFmtId="178" fontId="124" fillId="0" borderId="0" xfId="8630" applyNumberFormat="1" applyFont="1" applyFill="1" applyBorder="1" applyAlignment="1">
      <alignment horizontal="right" vertical="top"/>
    </xf>
    <xf numFmtId="1" fontId="123" fillId="0" borderId="0" xfId="1539" applyNumberFormat="1" applyFont="1" applyFill="1" applyBorder="1" applyAlignment="1">
      <alignment horizontal="right" vertical="top" wrapText="1"/>
    </xf>
    <xf numFmtId="180" fontId="123" fillId="0" borderId="0" xfId="0" applyNumberFormat="1" applyFont="1" applyFill="1" applyBorder="1" applyAlignment="1">
      <alignment horizontal="right" vertical="top" wrapText="1"/>
    </xf>
    <xf numFmtId="1" fontId="123" fillId="0" borderId="0" xfId="21265" applyNumberFormat="1" applyFont="1" applyFill="1" applyBorder="1" applyAlignment="1">
      <alignment horizontal="right" vertical="top" wrapText="1"/>
    </xf>
    <xf numFmtId="1" fontId="123" fillId="0" borderId="0" xfId="21265" applyNumberFormat="1" applyFont="1" applyFill="1" applyBorder="1" applyAlignment="1">
      <alignment horizontal="left" vertical="top" wrapText="1"/>
    </xf>
    <xf numFmtId="0" fontId="123" fillId="0" borderId="0" xfId="7083" applyFont="1" applyFill="1" applyBorder="1" applyAlignment="1">
      <alignment vertical="top" wrapText="1"/>
    </xf>
    <xf numFmtId="0" fontId="123" fillId="0" borderId="0" xfId="22884" applyFont="1" applyFill="1" applyBorder="1" applyAlignment="1">
      <alignment vertical="top" wrapText="1"/>
    </xf>
    <xf numFmtId="3" fontId="123" fillId="0" borderId="0" xfId="17892" applyNumberFormat="1" applyFont="1" applyFill="1" applyBorder="1" applyAlignment="1">
      <alignment horizontal="right" vertical="top" wrapText="1"/>
    </xf>
    <xf numFmtId="2" fontId="123" fillId="0" borderId="0" xfId="0" applyNumberFormat="1" applyFont="1" applyFill="1" applyBorder="1" applyAlignment="1">
      <alignment horizontal="right" vertical="top" wrapText="1"/>
    </xf>
    <xf numFmtId="0" fontId="123" fillId="0" borderId="0" xfId="18240" applyFont="1" applyFill="1" applyBorder="1" applyAlignment="1">
      <alignment horizontal="right" vertical="top"/>
    </xf>
    <xf numFmtId="1" fontId="123" fillId="0" borderId="0" xfId="3539" applyNumberFormat="1" applyFont="1" applyFill="1" applyBorder="1" applyAlignment="1">
      <alignment horizontal="right" vertical="top" wrapText="1"/>
    </xf>
    <xf numFmtId="0" fontId="123" fillId="0" borderId="0" xfId="3539" applyFont="1" applyFill="1" applyBorder="1" applyAlignment="1">
      <alignment horizontal="right" vertical="top" wrapText="1"/>
    </xf>
    <xf numFmtId="179" fontId="123" fillId="0" borderId="0" xfId="0" applyNumberFormat="1" applyFont="1" applyFill="1" applyBorder="1" applyAlignment="1">
      <alignment horizontal="right" vertical="top" wrapText="1"/>
    </xf>
    <xf numFmtId="4" fontId="124" fillId="0" borderId="0" xfId="22877" applyNumberFormat="1" applyFont="1" applyFill="1" applyBorder="1" applyAlignment="1">
      <alignment horizontal="right" vertical="top" wrapText="1"/>
    </xf>
    <xf numFmtId="190" fontId="124" fillId="0" borderId="0" xfId="22877" applyNumberFormat="1" applyFont="1" applyFill="1" applyBorder="1" applyAlignment="1">
      <alignment horizontal="right" vertical="top" wrapText="1"/>
    </xf>
    <xf numFmtId="0" fontId="123" fillId="0" borderId="0" xfId="5201" applyFont="1" applyFill="1" applyBorder="1" applyAlignment="1">
      <alignment vertical="top" wrapText="1"/>
    </xf>
    <xf numFmtId="3" fontId="123" fillId="0" borderId="0" xfId="3539" applyNumberFormat="1" applyFont="1" applyFill="1" applyBorder="1" applyAlignment="1">
      <alignment horizontal="right" vertical="top" wrapText="1"/>
    </xf>
    <xf numFmtId="3" fontId="123" fillId="0" borderId="0" xfId="19599" applyNumberFormat="1" applyFont="1" applyFill="1" applyBorder="1" applyAlignment="1">
      <alignment horizontal="right" vertical="top" wrapText="1"/>
    </xf>
    <xf numFmtId="0" fontId="123" fillId="0" borderId="0" xfId="3539" applyFont="1" applyFill="1" applyBorder="1" applyAlignment="1">
      <alignment horizontal="center" vertical="top" wrapText="1"/>
    </xf>
    <xf numFmtId="178" fontId="123" fillId="0" borderId="0" xfId="19599" applyNumberFormat="1" applyFont="1" applyFill="1" applyBorder="1" applyAlignment="1">
      <alignment horizontal="right" vertical="top" wrapText="1"/>
    </xf>
    <xf numFmtId="4" fontId="123" fillId="0" borderId="0" xfId="19599" applyNumberFormat="1" applyFont="1" applyFill="1" applyBorder="1" applyAlignment="1">
      <alignment horizontal="right" vertical="top" wrapText="1"/>
    </xf>
    <xf numFmtId="178" fontId="124" fillId="0" borderId="0" xfId="17818" applyNumberFormat="1" applyFont="1" applyFill="1" applyBorder="1" applyAlignment="1">
      <alignment horizontal="right" vertical="top" wrapText="1"/>
    </xf>
    <xf numFmtId="4" fontId="123" fillId="0" borderId="0" xfId="17818" applyNumberFormat="1" applyFont="1" applyFill="1" applyBorder="1" applyAlignment="1">
      <alignment horizontal="right" vertical="top" wrapText="1"/>
    </xf>
    <xf numFmtId="190" fontId="123" fillId="0" borderId="0" xfId="17818" applyNumberFormat="1" applyFont="1" applyFill="1" applyBorder="1" applyAlignment="1">
      <alignment horizontal="right" vertical="top" wrapText="1"/>
    </xf>
    <xf numFmtId="3" fontId="123" fillId="0" borderId="0" xfId="17818" applyNumberFormat="1" applyFont="1" applyFill="1" applyBorder="1" applyAlignment="1">
      <alignment horizontal="right" vertical="top" wrapText="1"/>
    </xf>
    <xf numFmtId="1" fontId="123" fillId="0" borderId="0" xfId="3539" applyNumberFormat="1" applyFont="1" applyFill="1" applyBorder="1" applyAlignment="1">
      <alignment horizontal="left" vertical="top" wrapText="1"/>
    </xf>
    <xf numFmtId="49" fontId="123" fillId="0" borderId="0" xfId="19567" applyNumberFormat="1" applyFont="1" applyFill="1" applyBorder="1" applyAlignment="1">
      <alignment horizontal="right" vertical="top" wrapText="1"/>
    </xf>
    <xf numFmtId="49" fontId="123" fillId="0" borderId="0" xfId="19599" applyNumberFormat="1" applyFont="1" applyFill="1" applyBorder="1" applyAlignment="1">
      <alignment horizontal="right" vertical="top" wrapText="1"/>
    </xf>
    <xf numFmtId="178" fontId="123" fillId="0" borderId="0" xfId="19567" applyNumberFormat="1" applyFont="1" applyFill="1" applyBorder="1" applyAlignment="1">
      <alignment vertical="top" wrapText="1"/>
    </xf>
    <xf numFmtId="4" fontId="124" fillId="0" borderId="0" xfId="1539" applyNumberFormat="1" applyFont="1" applyFill="1" applyBorder="1" applyAlignment="1">
      <alignment horizontal="left" vertical="top" wrapText="1"/>
    </xf>
    <xf numFmtId="3" fontId="123" fillId="0" borderId="0" xfId="22887" applyNumberFormat="1" applyFont="1" applyFill="1" applyBorder="1" applyAlignment="1">
      <alignment horizontal="right" vertical="top" wrapText="1"/>
    </xf>
    <xf numFmtId="189" fontId="123" fillId="0" borderId="0" xfId="0" applyNumberFormat="1" applyFont="1" applyFill="1" applyBorder="1" applyAlignment="1" applyProtection="1">
      <alignment horizontal="right" vertical="top"/>
      <protection locked="0"/>
    </xf>
    <xf numFmtId="0" fontId="123" fillId="0" borderId="0" xfId="22875" applyFont="1" applyFill="1" applyBorder="1" applyAlignment="1">
      <alignment vertical="top"/>
    </xf>
    <xf numFmtId="0" fontId="124" fillId="0" borderId="0" xfId="0" applyFont="1" applyFill="1" applyBorder="1" applyAlignment="1">
      <alignment horizontal="left" vertical="top" wrapText="1"/>
    </xf>
    <xf numFmtId="1" fontId="124" fillId="0" borderId="0" xfId="0" applyNumberFormat="1" applyFont="1" applyFill="1" applyBorder="1" applyAlignment="1">
      <alignment horizontal="right" vertical="top"/>
    </xf>
    <xf numFmtId="0" fontId="124" fillId="0" borderId="0" xfId="0" applyFont="1" applyFill="1" applyBorder="1" applyAlignment="1">
      <alignment horizontal="right" vertical="top"/>
    </xf>
    <xf numFmtId="0" fontId="124" fillId="0" borderId="0" xfId="0" applyFont="1" applyFill="1" applyBorder="1" applyAlignment="1">
      <alignment horizontal="right" vertical="top" wrapText="1"/>
    </xf>
    <xf numFmtId="189" fontId="124" fillId="0" borderId="0" xfId="0" applyNumberFormat="1" applyFont="1" applyFill="1" applyBorder="1" applyAlignment="1" applyProtection="1">
      <alignment horizontal="right" vertical="top"/>
      <protection locked="0"/>
    </xf>
    <xf numFmtId="1" fontId="124" fillId="0" borderId="0" xfId="0" applyNumberFormat="1" applyFont="1" applyFill="1" applyBorder="1" applyAlignment="1" applyProtection="1">
      <alignment horizontal="right" vertical="top"/>
      <protection locked="0"/>
    </xf>
    <xf numFmtId="178" fontId="124" fillId="0" borderId="0" xfId="1539" applyNumberFormat="1" applyFont="1" applyFill="1" applyBorder="1" applyAlignment="1">
      <alignment horizontal="center" vertical="top" wrapText="1"/>
    </xf>
    <xf numFmtId="4" fontId="124" fillId="0" borderId="0" xfId="17832" applyNumberFormat="1" applyFont="1" applyFill="1" applyBorder="1" applyAlignment="1">
      <alignment horizontal="right" vertical="top" wrapText="1"/>
    </xf>
    <xf numFmtId="0" fontId="124" fillId="0" borderId="0" xfId="17890" applyFont="1" applyFill="1" applyBorder="1" applyAlignment="1">
      <alignment horizontal="right" vertical="top"/>
    </xf>
    <xf numFmtId="0" fontId="124" fillId="0" borderId="0" xfId="22875" applyFont="1" applyFill="1" applyBorder="1" applyAlignment="1">
      <alignment horizontal="right" vertical="top" wrapText="1"/>
    </xf>
    <xf numFmtId="188" fontId="124" fillId="0" borderId="0" xfId="0" applyNumberFormat="1" applyFont="1" applyFill="1" applyBorder="1" applyAlignment="1" applyProtection="1">
      <alignment horizontal="right" vertical="top"/>
      <protection locked="0"/>
    </xf>
    <xf numFmtId="178" fontId="124" fillId="0" borderId="0" xfId="0" applyNumberFormat="1" applyFont="1" applyFill="1" applyBorder="1" applyAlignment="1">
      <alignment horizontal="center" vertical="top" wrapText="1"/>
    </xf>
    <xf numFmtId="3" fontId="124" fillId="0" borderId="0" xfId="0" applyNumberFormat="1" applyFont="1" applyFill="1" applyBorder="1" applyAlignment="1">
      <alignment horizontal="right" vertical="top" wrapText="1"/>
    </xf>
    <xf numFmtId="168" fontId="124" fillId="0" borderId="0" xfId="0" applyNumberFormat="1" applyFont="1" applyFill="1" applyBorder="1" applyAlignment="1">
      <alignment horizontal="right" vertical="top" wrapText="1"/>
    </xf>
    <xf numFmtId="3" fontId="124" fillId="0" borderId="0" xfId="19567" applyNumberFormat="1" applyFont="1" applyFill="1" applyBorder="1" applyAlignment="1">
      <alignment horizontal="right" vertical="top" wrapText="1"/>
    </xf>
    <xf numFmtId="178" fontId="124" fillId="0" borderId="0" xfId="0" applyNumberFormat="1" applyFont="1" applyFill="1" applyBorder="1" applyAlignment="1">
      <alignment horizontal="center" vertical="top"/>
    </xf>
    <xf numFmtId="0" fontId="127" fillId="0" borderId="0" xfId="0" applyFont="1" applyFill="1" applyBorder="1" applyAlignment="1">
      <alignment vertical="top" wrapText="1"/>
    </xf>
    <xf numFmtId="178" fontId="127" fillId="0" borderId="0" xfId="0" applyNumberFormat="1" applyFont="1" applyFill="1" applyBorder="1" applyAlignment="1">
      <alignment horizontal="right" vertical="top"/>
    </xf>
    <xf numFmtId="190" fontId="127" fillId="0" borderId="0" xfId="0" applyNumberFormat="1" applyFont="1" applyFill="1" applyBorder="1" applyAlignment="1">
      <alignment horizontal="right" vertical="top"/>
    </xf>
    <xf numFmtId="3" fontId="124" fillId="0" borderId="0" xfId="0" applyNumberFormat="1" applyFont="1" applyFill="1" applyBorder="1" applyAlignment="1">
      <alignment horizontal="right" vertical="top"/>
    </xf>
    <xf numFmtId="4" fontId="127" fillId="0" borderId="0" xfId="0" applyNumberFormat="1" applyFont="1" applyFill="1" applyBorder="1" applyAlignment="1">
      <alignment horizontal="left" vertical="top" wrapText="1"/>
    </xf>
    <xf numFmtId="178" fontId="124" fillId="0" borderId="0" xfId="0" applyNumberFormat="1" applyFont="1" applyFill="1" applyBorder="1" applyAlignment="1">
      <alignment vertical="top" wrapText="1"/>
    </xf>
    <xf numFmtId="178" fontId="123" fillId="0" borderId="0" xfId="0" applyNumberFormat="1" applyFont="1" applyFill="1" applyBorder="1" applyAlignment="1">
      <alignment horizontal="left" vertical="top" wrapText="1"/>
    </xf>
    <xf numFmtId="186" fontId="124" fillId="0" borderId="0" xfId="22887" applyNumberFormat="1" applyFont="1" applyFill="1" applyBorder="1" applyAlignment="1">
      <alignment horizontal="right" vertical="top"/>
    </xf>
    <xf numFmtId="168" fontId="124" fillId="0" borderId="0" xfId="0" applyNumberFormat="1" applyFont="1" applyFill="1" applyBorder="1" applyAlignment="1">
      <alignment horizontal="right" vertical="top"/>
    </xf>
    <xf numFmtId="49" fontId="124" fillId="0" borderId="0" xfId="0" applyNumberFormat="1" applyFont="1" applyFill="1" applyBorder="1" applyAlignment="1">
      <alignment horizontal="right" vertical="top" wrapText="1"/>
    </xf>
    <xf numFmtId="1" fontId="124" fillId="0" borderId="0" xfId="0" applyNumberFormat="1" applyFont="1" applyFill="1" applyBorder="1" applyAlignment="1">
      <alignment horizontal="right" vertical="top" wrapText="1"/>
    </xf>
    <xf numFmtId="178" fontId="124" fillId="0" borderId="0" xfId="22875" applyNumberFormat="1" applyFont="1" applyFill="1" applyBorder="1" applyAlignment="1">
      <alignment horizontal="center" vertical="top" wrapText="1"/>
    </xf>
    <xf numFmtId="0" fontId="124" fillId="0" borderId="0" xfId="1539" applyFont="1" applyFill="1" applyBorder="1" applyAlignment="1">
      <alignment horizontal="left" vertical="top" wrapText="1"/>
    </xf>
    <xf numFmtId="2" fontId="124" fillId="0" borderId="0" xfId="1539" applyNumberFormat="1" applyFont="1" applyFill="1" applyBorder="1" applyAlignment="1">
      <alignment horizontal="right" vertical="top" wrapText="1"/>
    </xf>
    <xf numFmtId="175" fontId="124" fillId="0" borderId="0" xfId="0" applyNumberFormat="1" applyFont="1" applyFill="1" applyBorder="1" applyAlignment="1">
      <alignment horizontal="right" vertical="top"/>
    </xf>
    <xf numFmtId="3" fontId="124" fillId="0" borderId="0" xfId="0" applyNumberFormat="1" applyFont="1" applyFill="1" applyBorder="1" applyAlignment="1">
      <alignment horizontal="left" vertical="top" wrapText="1"/>
    </xf>
    <xf numFmtId="1" fontId="124" fillId="0" borderId="0" xfId="19567" applyNumberFormat="1" applyFont="1" applyFill="1" applyBorder="1" applyAlignment="1">
      <alignment horizontal="right" vertical="top" wrapText="1"/>
    </xf>
    <xf numFmtId="0" fontId="124" fillId="0" borderId="0" xfId="19567" applyFont="1" applyFill="1" applyBorder="1" applyAlignment="1">
      <alignment horizontal="right" vertical="top" wrapText="1"/>
    </xf>
    <xf numFmtId="2" fontId="124" fillId="0" borderId="0" xfId="0" applyNumberFormat="1" applyFont="1" applyFill="1" applyBorder="1" applyAlignment="1">
      <alignment horizontal="right" vertical="top" wrapText="1"/>
    </xf>
    <xf numFmtId="175" fontId="124" fillId="0" borderId="0" xfId="0" applyNumberFormat="1" applyFont="1" applyFill="1" applyBorder="1" applyAlignment="1">
      <alignment horizontal="right" vertical="top" wrapText="1"/>
    </xf>
    <xf numFmtId="1" fontId="124" fillId="0" borderId="0" xfId="22888" applyNumberFormat="1" applyFont="1" applyFill="1" applyBorder="1" applyAlignment="1">
      <alignment horizontal="right" vertical="top" wrapText="1"/>
    </xf>
    <xf numFmtId="0" fontId="124" fillId="0" borderId="0" xfId="22887" applyFont="1" applyFill="1" applyBorder="1" applyAlignment="1">
      <alignment horizontal="right" vertical="top"/>
    </xf>
    <xf numFmtId="3" fontId="124" fillId="0" borderId="0" xfId="1539" applyNumberFormat="1" applyFont="1" applyFill="1" applyBorder="1" applyAlignment="1">
      <alignment horizontal="center" vertical="top" wrapText="1"/>
    </xf>
    <xf numFmtId="191" fontId="124" fillId="0" borderId="0" xfId="22876" applyNumberFormat="1" applyFont="1" applyFill="1" applyBorder="1" applyAlignment="1">
      <alignment horizontal="right" vertical="top" wrapText="1"/>
    </xf>
    <xf numFmtId="0" fontId="127" fillId="0" borderId="0" xfId="1539" applyFont="1" applyFill="1" applyBorder="1" applyAlignment="1">
      <alignment horizontal="left" vertical="top" wrapText="1"/>
    </xf>
    <xf numFmtId="1" fontId="127" fillId="0" borderId="0" xfId="22892" applyNumberFormat="1" applyFont="1" applyFill="1" applyBorder="1" applyAlignment="1">
      <alignment horizontal="right" vertical="top"/>
    </xf>
    <xf numFmtId="0" fontId="127" fillId="0" borderId="0" xfId="22892" applyFont="1" applyFill="1" applyBorder="1" applyAlignment="1">
      <alignment horizontal="right" vertical="top"/>
    </xf>
    <xf numFmtId="0" fontId="127" fillId="0" borderId="0" xfId="22892" applyFont="1" applyFill="1" applyBorder="1" applyAlignment="1">
      <alignment horizontal="right" vertical="top" wrapText="1"/>
    </xf>
    <xf numFmtId="189" fontId="127" fillId="0" borderId="0" xfId="22892" applyNumberFormat="1" applyFont="1" applyFill="1" applyBorder="1" applyAlignment="1" applyProtection="1">
      <alignment horizontal="right" vertical="top"/>
      <protection locked="0"/>
    </xf>
    <xf numFmtId="1" fontId="127" fillId="0" borderId="0" xfId="22892" applyNumberFormat="1" applyFont="1" applyFill="1" applyBorder="1" applyAlignment="1" applyProtection="1">
      <alignment horizontal="right" vertical="top"/>
      <protection locked="0"/>
    </xf>
    <xf numFmtId="3" fontId="127" fillId="0" borderId="0" xfId="1539" applyNumberFormat="1" applyFont="1" applyFill="1" applyBorder="1" applyAlignment="1">
      <alignment horizontal="center" vertical="top" wrapText="1"/>
    </xf>
    <xf numFmtId="178" fontId="127" fillId="0" borderId="0" xfId="0" applyNumberFormat="1" applyFont="1" applyFill="1" applyBorder="1" applyAlignment="1">
      <alignment vertical="top"/>
    </xf>
    <xf numFmtId="178" fontId="127" fillId="0" borderId="0" xfId="1539" applyNumberFormat="1" applyFont="1" applyFill="1" applyBorder="1" applyAlignment="1">
      <alignment horizontal="right" vertical="top" wrapText="1"/>
    </xf>
    <xf numFmtId="0" fontId="127" fillId="0" borderId="0" xfId="0" applyFont="1" applyFill="1" applyBorder="1" applyAlignment="1">
      <alignment horizontal="left" vertical="top" wrapText="1"/>
    </xf>
    <xf numFmtId="168" fontId="124" fillId="0" borderId="0" xfId="22875" applyNumberFormat="1" applyFont="1" applyFill="1" applyBorder="1" applyAlignment="1">
      <alignment horizontal="right" vertical="top" wrapText="1"/>
    </xf>
    <xf numFmtId="3" fontId="124" fillId="0" borderId="0" xfId="22875" applyNumberFormat="1" applyFont="1" applyFill="1" applyBorder="1" applyAlignment="1">
      <alignment horizontal="right" vertical="top" wrapText="1"/>
    </xf>
    <xf numFmtId="178" fontId="127" fillId="0" borderId="0" xfId="0" applyNumberFormat="1" applyFont="1" applyFill="1" applyBorder="1" applyAlignment="1">
      <alignment horizontal="center" vertical="top" wrapText="1"/>
    </xf>
    <xf numFmtId="1" fontId="140" fillId="0" borderId="0" xfId="0" applyNumberFormat="1" applyFont="1" applyFill="1" applyBorder="1" applyAlignment="1">
      <alignment horizontal="left" vertical="top" wrapText="1"/>
    </xf>
    <xf numFmtId="0" fontId="140" fillId="0" borderId="0" xfId="0" applyFont="1" applyFill="1" applyBorder="1" applyAlignment="1">
      <alignment vertical="top" wrapText="1"/>
    </xf>
    <xf numFmtId="0" fontId="140" fillId="0" borderId="0" xfId="0" applyFont="1" applyFill="1" applyBorder="1" applyAlignment="1">
      <alignment horizontal="right" vertical="top" wrapText="1"/>
    </xf>
    <xf numFmtId="0" fontId="140" fillId="0" borderId="0" xfId="0" applyFont="1" applyFill="1" applyBorder="1" applyAlignment="1">
      <alignment horizontal="right" vertical="top"/>
    </xf>
    <xf numFmtId="178" fontId="140" fillId="0" borderId="0" xfId="0" applyNumberFormat="1" applyFont="1" applyFill="1" applyBorder="1" applyAlignment="1">
      <alignment horizontal="center" vertical="top" wrapText="1"/>
    </xf>
    <xf numFmtId="4" fontId="140" fillId="0" borderId="0" xfId="0" applyNumberFormat="1" applyFont="1" applyFill="1" applyBorder="1" applyAlignment="1">
      <alignment horizontal="right" vertical="top"/>
    </xf>
    <xf numFmtId="4" fontId="140" fillId="0" borderId="0" xfId="0" applyNumberFormat="1" applyFont="1" applyFill="1" applyBorder="1" applyAlignment="1">
      <alignment vertical="top"/>
    </xf>
    <xf numFmtId="4" fontId="140" fillId="0" borderId="0" xfId="0" applyNumberFormat="1" applyFont="1" applyFill="1" applyBorder="1" applyAlignment="1">
      <alignment horizontal="left" vertical="top" wrapText="1"/>
    </xf>
    <xf numFmtId="0" fontId="140" fillId="0" borderId="0" xfId="0" applyFont="1" applyFill="1" applyBorder="1" applyAlignment="1">
      <alignment vertical="top"/>
    </xf>
    <xf numFmtId="183" fontId="123" fillId="0" borderId="0" xfId="0" applyNumberFormat="1" applyFont="1" applyFill="1" applyBorder="1" applyAlignment="1">
      <alignment horizontal="right" vertical="top"/>
    </xf>
    <xf numFmtId="4" fontId="124" fillId="0" borderId="0" xfId="17832" applyNumberFormat="1" applyFont="1" applyFill="1" applyBorder="1" applyAlignment="1">
      <alignment horizontal="right" vertical="top"/>
    </xf>
    <xf numFmtId="190" fontId="124" fillId="0" borderId="0" xfId="17751" applyNumberFormat="1" applyFont="1" applyFill="1" applyBorder="1" applyAlignment="1">
      <alignment horizontal="right" vertical="top"/>
    </xf>
    <xf numFmtId="183" fontId="123" fillId="0" borderId="0" xfId="17832" applyNumberFormat="1" applyFont="1" applyFill="1" applyBorder="1" applyAlignment="1">
      <alignment horizontal="right" vertical="top"/>
    </xf>
    <xf numFmtId="171" fontId="123" fillId="0" borderId="0" xfId="0" applyNumberFormat="1" applyFont="1" applyFill="1" applyBorder="1" applyAlignment="1">
      <alignment vertical="top" wrapText="1"/>
    </xf>
    <xf numFmtId="3" fontId="124" fillId="0" borderId="0" xfId="0" applyNumberFormat="1" applyFont="1" applyFill="1" applyBorder="1" applyAlignment="1">
      <alignment vertical="top" wrapText="1"/>
    </xf>
    <xf numFmtId="185" fontId="124" fillId="0" borderId="0" xfId="22887" applyNumberFormat="1" applyFont="1" applyFill="1" applyBorder="1" applyAlignment="1">
      <alignment horizontal="right" vertical="top"/>
    </xf>
    <xf numFmtId="178" fontId="124" fillId="0" borderId="0" xfId="0" applyNumberFormat="1" applyFont="1" applyFill="1" applyBorder="1" applyAlignment="1">
      <alignment horizontal="left" vertical="top" wrapText="1"/>
    </xf>
    <xf numFmtId="178" fontId="124" fillId="0" borderId="0" xfId="19567" applyNumberFormat="1" applyFont="1" applyFill="1" applyBorder="1" applyAlignment="1">
      <alignment horizontal="left" vertical="top" wrapText="1"/>
    </xf>
    <xf numFmtId="0" fontId="124" fillId="0" borderId="0" xfId="1539" applyFont="1" applyFill="1" applyBorder="1" applyAlignment="1">
      <alignment vertical="top" wrapText="1"/>
    </xf>
    <xf numFmtId="1" fontId="124" fillId="0" borderId="0" xfId="0" applyNumberFormat="1" applyFont="1" applyFill="1" applyBorder="1" applyAlignment="1">
      <alignment horizontal="left" vertical="top" wrapText="1"/>
    </xf>
    <xf numFmtId="0" fontId="124" fillId="0" borderId="0" xfId="0" applyFont="1" applyFill="1" applyBorder="1" applyAlignment="1">
      <alignment vertical="top" wrapText="1"/>
    </xf>
    <xf numFmtId="4" fontId="124" fillId="0" borderId="0" xfId="0" applyNumberFormat="1" applyFont="1" applyFill="1" applyBorder="1" applyAlignment="1">
      <alignment horizontal="center" vertical="top" wrapText="1"/>
    </xf>
    <xf numFmtId="178" fontId="124" fillId="0" borderId="0" xfId="0" applyNumberFormat="1" applyFont="1" applyFill="1" applyBorder="1" applyAlignment="1">
      <alignment horizontal="left" vertical="top"/>
    </xf>
    <xf numFmtId="178" fontId="124" fillId="0" borderId="0" xfId="22875" applyNumberFormat="1" applyFont="1" applyFill="1" applyBorder="1" applyAlignment="1">
      <alignment horizontal="left" vertical="top" wrapText="1"/>
    </xf>
    <xf numFmtId="185" fontId="124" fillId="0" borderId="0" xfId="0" applyNumberFormat="1" applyFont="1" applyFill="1" applyBorder="1" applyAlignment="1">
      <alignment horizontal="right" vertical="top"/>
    </xf>
    <xf numFmtId="0" fontId="124" fillId="0" borderId="0" xfId="17832" applyNumberFormat="1" applyFont="1" applyFill="1" applyBorder="1" applyAlignment="1">
      <alignment vertical="top" wrapText="1"/>
    </xf>
    <xf numFmtId="2" fontId="124" fillId="0" borderId="0" xfId="0" applyNumberFormat="1" applyFont="1" applyFill="1" applyBorder="1" applyAlignment="1">
      <alignment horizontal="right" vertical="top"/>
    </xf>
    <xf numFmtId="186" fontId="124" fillId="0" borderId="0" xfId="0" applyNumberFormat="1" applyFont="1" applyFill="1" applyBorder="1" applyAlignment="1">
      <alignment horizontal="right" vertical="top"/>
    </xf>
    <xf numFmtId="0" fontId="124" fillId="0" borderId="0" xfId="17890" applyFont="1" applyFill="1" applyBorder="1" applyAlignment="1">
      <alignment vertical="top" wrapText="1"/>
    </xf>
    <xf numFmtId="3" fontId="127" fillId="0" borderId="0" xfId="0" applyNumberFormat="1" applyFont="1" applyFill="1" applyBorder="1" applyAlignment="1">
      <alignment horizontal="left" vertical="top" wrapText="1"/>
    </xf>
    <xf numFmtId="178" fontId="127" fillId="0" borderId="0" xfId="0" applyNumberFormat="1" applyFont="1" applyFill="1" applyBorder="1" applyAlignment="1">
      <alignment horizontal="right" vertical="top" wrapText="1"/>
    </xf>
    <xf numFmtId="4" fontId="127" fillId="0" borderId="0" xfId="0" applyNumberFormat="1" applyFont="1" applyFill="1" applyBorder="1" applyAlignment="1">
      <alignment horizontal="right" vertical="top" wrapText="1"/>
    </xf>
    <xf numFmtId="0" fontId="127" fillId="0" borderId="0" xfId="1539" applyFont="1" applyFill="1" applyBorder="1" applyAlignment="1">
      <alignment vertical="top" wrapText="1"/>
    </xf>
    <xf numFmtId="3" fontId="127" fillId="0" borderId="0" xfId="1539" applyNumberFormat="1" applyFont="1" applyFill="1" applyBorder="1" applyAlignment="1">
      <alignment horizontal="right" vertical="top" wrapText="1"/>
    </xf>
    <xf numFmtId="3" fontId="127" fillId="0" borderId="0" xfId="19567" applyNumberFormat="1" applyFont="1" applyFill="1" applyBorder="1" applyAlignment="1">
      <alignment horizontal="right" vertical="top" wrapText="1"/>
    </xf>
    <xf numFmtId="3" fontId="127" fillId="0" borderId="0" xfId="22875" applyNumberFormat="1" applyFont="1" applyFill="1" applyBorder="1" applyAlignment="1">
      <alignment horizontal="right" vertical="top" wrapText="1"/>
    </xf>
    <xf numFmtId="4" fontId="127" fillId="0" borderId="0" xfId="1539" applyNumberFormat="1" applyFont="1" applyFill="1" applyBorder="1" applyAlignment="1">
      <alignment horizontal="center" vertical="top" wrapText="1"/>
    </xf>
    <xf numFmtId="3" fontId="127" fillId="0" borderId="0" xfId="0" applyNumberFormat="1" applyFont="1" applyFill="1" applyBorder="1" applyAlignment="1">
      <alignment horizontal="right" vertical="top" wrapText="1"/>
    </xf>
    <xf numFmtId="4" fontId="127" fillId="0" borderId="0" xfId="0" applyNumberFormat="1" applyFont="1" applyFill="1" applyBorder="1" applyAlignment="1">
      <alignment horizontal="center" vertical="top" wrapText="1"/>
    </xf>
    <xf numFmtId="0" fontId="127" fillId="0" borderId="0" xfId="0" applyFont="1" applyFill="1" applyBorder="1" applyAlignment="1">
      <alignment horizontal="left" vertical="top"/>
    </xf>
    <xf numFmtId="3" fontId="140" fillId="0" borderId="0" xfId="0" applyNumberFormat="1" applyFont="1" applyFill="1" applyBorder="1" applyAlignment="1">
      <alignment horizontal="left" vertical="top" wrapText="1"/>
    </xf>
    <xf numFmtId="0" fontId="140" fillId="0" borderId="0" xfId="1539" applyFont="1" applyFill="1" applyBorder="1" applyAlignment="1">
      <alignment vertical="top" wrapText="1"/>
    </xf>
    <xf numFmtId="4" fontId="127" fillId="0" borderId="0" xfId="22875" applyNumberFormat="1" applyFont="1" applyFill="1" applyBorder="1" applyAlignment="1">
      <alignment horizontal="center" vertical="top" wrapText="1"/>
    </xf>
    <xf numFmtId="1" fontId="124" fillId="0" borderId="0" xfId="0" applyNumberFormat="1" applyFont="1" applyFill="1" applyBorder="1" applyAlignment="1">
      <alignment vertical="top" wrapText="1"/>
    </xf>
    <xf numFmtId="1" fontId="124" fillId="0" borderId="0" xfId="22887" applyNumberFormat="1" applyFont="1" applyFill="1" applyBorder="1" applyAlignment="1">
      <alignment vertical="top" wrapText="1"/>
    </xf>
    <xf numFmtId="186" fontId="123" fillId="0" borderId="0" xfId="0" applyNumberFormat="1" applyFont="1" applyFill="1" applyBorder="1" applyAlignment="1">
      <alignment horizontal="center" vertical="top"/>
    </xf>
    <xf numFmtId="3" fontId="123" fillId="0" borderId="0" xfId="0" applyNumberFormat="1" applyFont="1" applyFill="1" applyBorder="1" applyAlignment="1">
      <alignment horizontal="center" vertical="top"/>
    </xf>
    <xf numFmtId="1" fontId="123" fillId="0" borderId="0" xfId="0" applyNumberFormat="1" applyFont="1" applyFill="1" applyBorder="1" applyAlignment="1">
      <alignment horizontal="center" vertical="top"/>
    </xf>
    <xf numFmtId="173" fontId="123" fillId="0" borderId="0" xfId="17832" applyNumberFormat="1" applyFont="1" applyFill="1" applyBorder="1" applyAlignment="1">
      <alignment horizontal="center" vertical="top"/>
    </xf>
    <xf numFmtId="187" fontId="123" fillId="0" borderId="0" xfId="17832" applyNumberFormat="1" applyFont="1" applyFill="1" applyBorder="1" applyAlignment="1">
      <alignment horizontal="center" vertical="top" wrapText="1"/>
    </xf>
    <xf numFmtId="185" fontId="123" fillId="0" borderId="0" xfId="0" applyNumberFormat="1" applyFont="1" applyFill="1" applyBorder="1" applyAlignment="1">
      <alignment horizontal="center" vertical="top"/>
    </xf>
    <xf numFmtId="168" fontId="123" fillId="0" borderId="0" xfId="0" applyNumberFormat="1" applyFont="1" applyFill="1" applyBorder="1" applyAlignment="1">
      <alignment horizontal="center" vertical="top"/>
    </xf>
    <xf numFmtId="173" fontId="123" fillId="0" borderId="0" xfId="0" applyNumberFormat="1" applyFont="1" applyFill="1" applyBorder="1" applyAlignment="1">
      <alignment horizontal="center" vertical="top"/>
    </xf>
    <xf numFmtId="190" fontId="123" fillId="0" borderId="0" xfId="0" applyNumberFormat="1" applyFont="1" applyFill="1" applyBorder="1" applyAlignment="1">
      <alignment vertical="top"/>
    </xf>
    <xf numFmtId="178" fontId="129" fillId="0" borderId="0" xfId="0" applyNumberFormat="1" applyFont="1" applyFill="1" applyBorder="1" applyAlignment="1">
      <alignment vertical="top"/>
    </xf>
    <xf numFmtId="0" fontId="124" fillId="0" borderId="0" xfId="1540" applyFont="1" applyFill="1" applyBorder="1" applyAlignment="1">
      <alignment horizontal="center" vertical="top" wrapText="1"/>
    </xf>
    <xf numFmtId="190" fontId="124" fillId="0" borderId="0" xfId="19599" applyNumberFormat="1" applyFont="1" applyFill="1" applyBorder="1" applyAlignment="1">
      <alignment horizontal="right" vertical="top" wrapText="1"/>
    </xf>
    <xf numFmtId="168" fontId="123" fillId="0" borderId="0" xfId="0" applyNumberFormat="1" applyFont="1" applyFill="1" applyBorder="1" applyAlignment="1">
      <alignment horizontal="center" vertical="top" wrapText="1"/>
    </xf>
    <xf numFmtId="3" fontId="123" fillId="0" borderId="0" xfId="1539" applyNumberFormat="1" applyFont="1" applyFill="1" applyBorder="1" applyAlignment="1">
      <alignment horizontal="right" vertical="top"/>
    </xf>
    <xf numFmtId="178" fontId="127" fillId="0" borderId="0" xfId="18240" applyNumberFormat="1" applyFont="1" applyFill="1" applyBorder="1" applyAlignment="1">
      <alignment horizontal="right" vertical="top" wrapText="1"/>
    </xf>
    <xf numFmtId="178" fontId="124" fillId="0" borderId="0" xfId="1540" applyNumberFormat="1" applyFont="1" applyFill="1" applyBorder="1" applyAlignment="1">
      <alignment horizontal="right" vertical="top" wrapText="1"/>
    </xf>
    <xf numFmtId="4" fontId="128" fillId="0" borderId="0" xfId="0" applyNumberFormat="1" applyFont="1" applyFill="1" applyBorder="1" applyAlignment="1">
      <alignment horizontal="left" vertical="top" wrapText="1"/>
    </xf>
    <xf numFmtId="0" fontId="141" fillId="0" borderId="0" xfId="0" applyFont="1" applyFill="1" applyBorder="1" applyAlignment="1">
      <alignment horizontal="left" vertical="top"/>
    </xf>
    <xf numFmtId="4" fontId="54" fillId="0" borderId="0" xfId="0" applyNumberFormat="1" applyFont="1" applyFill="1" applyBorder="1" applyAlignment="1">
      <alignment horizontal="left" vertical="top"/>
    </xf>
    <xf numFmtId="4" fontId="141" fillId="0" borderId="0" xfId="0" applyNumberFormat="1" applyFont="1" applyFill="1" applyBorder="1" applyAlignment="1">
      <alignment horizontal="left" vertical="top"/>
    </xf>
    <xf numFmtId="0" fontId="123" fillId="0" borderId="0" xfId="17834" applyFont="1" applyFill="1" applyBorder="1" applyAlignment="1">
      <alignment horizontal="right" vertical="top" wrapText="1"/>
    </xf>
    <xf numFmtId="168" fontId="123" fillId="0" borderId="0" xfId="17897" applyNumberFormat="1" applyFont="1" applyFill="1" applyBorder="1" applyAlignment="1">
      <alignment horizontal="right" vertical="top" wrapText="1"/>
    </xf>
    <xf numFmtId="3" fontId="123" fillId="0" borderId="0" xfId="17897" applyNumberFormat="1" applyFont="1" applyFill="1" applyBorder="1" applyAlignment="1">
      <alignment horizontal="right" vertical="top"/>
    </xf>
    <xf numFmtId="3" fontId="123" fillId="0" borderId="0" xfId="17897" applyNumberFormat="1" applyFont="1" applyFill="1" applyBorder="1" applyAlignment="1">
      <alignment horizontal="right" vertical="top" wrapText="1"/>
    </xf>
    <xf numFmtId="0" fontId="123" fillId="0" borderId="0" xfId="17834" applyFont="1" applyFill="1" applyBorder="1" applyAlignment="1">
      <alignment horizontal="center" vertical="top" wrapText="1"/>
    </xf>
    <xf numFmtId="3" fontId="124" fillId="0" borderId="0" xfId="1540" applyNumberFormat="1" applyFont="1" applyFill="1" applyBorder="1" applyAlignment="1">
      <alignment horizontal="center" vertical="top" wrapText="1"/>
    </xf>
    <xf numFmtId="4" fontId="134" fillId="0" borderId="0" xfId="0" applyNumberFormat="1" applyFont="1" applyFill="1" applyBorder="1" applyAlignment="1">
      <alignment horizontal="left" vertical="top" wrapText="1"/>
    </xf>
    <xf numFmtId="168" fontId="124" fillId="0" borderId="0" xfId="1540" applyNumberFormat="1" applyFont="1" applyFill="1" applyBorder="1" applyAlignment="1">
      <alignment horizontal="right" vertical="top" wrapText="1"/>
    </xf>
    <xf numFmtId="176" fontId="123" fillId="0" borderId="0" xfId="1539" applyNumberFormat="1" applyFont="1" applyFill="1" applyBorder="1" applyAlignment="1">
      <alignment horizontal="left" vertical="top" wrapText="1"/>
    </xf>
    <xf numFmtId="0" fontId="142" fillId="0" borderId="0" xfId="0" applyFont="1" applyFill="1" applyBorder="1" applyAlignment="1">
      <alignment horizontal="left" vertical="top"/>
    </xf>
    <xf numFmtId="168" fontId="123" fillId="0" borderId="0" xfId="0" applyNumberFormat="1" applyFont="1" applyFill="1" applyBorder="1" applyAlignment="1" applyProtection="1">
      <alignment horizontal="right" vertical="top"/>
      <protection locked="0"/>
    </xf>
    <xf numFmtId="3" fontId="123" fillId="0" borderId="0" xfId="0" applyNumberFormat="1" applyFont="1" applyFill="1" applyBorder="1" applyAlignment="1" applyProtection="1">
      <alignment horizontal="right" vertical="top"/>
      <protection locked="0"/>
    </xf>
    <xf numFmtId="0" fontId="123" fillId="0" borderId="0" xfId="0" applyFont="1" applyFill="1" applyBorder="1" applyAlignment="1" applyProtection="1">
      <alignment horizontal="center" vertical="top" wrapText="1"/>
      <protection locked="0"/>
    </xf>
    <xf numFmtId="4" fontId="124" fillId="0" borderId="0" xfId="18240" applyNumberFormat="1" applyFont="1" applyFill="1" applyBorder="1" applyAlignment="1">
      <alignment horizontal="right" vertical="top"/>
    </xf>
    <xf numFmtId="0" fontId="129" fillId="0" borderId="0" xfId="0" applyFont="1" applyFill="1" applyBorder="1" applyAlignment="1">
      <alignment horizontal="center" vertical="top"/>
    </xf>
    <xf numFmtId="0" fontId="143" fillId="0" borderId="0" xfId="0" applyFont="1" applyFill="1" applyBorder="1" applyAlignment="1">
      <alignment horizontal="left" vertical="top"/>
    </xf>
    <xf numFmtId="0" fontId="143" fillId="0" borderId="0" xfId="0" applyFont="1" applyFill="1" applyBorder="1" applyAlignment="1">
      <alignment vertical="top"/>
    </xf>
    <xf numFmtId="190" fontId="123" fillId="0" borderId="0" xfId="0" applyNumberFormat="1" applyFont="1" applyFill="1" applyBorder="1" applyAlignment="1">
      <alignment vertical="top" wrapText="1"/>
    </xf>
    <xf numFmtId="0" fontId="127" fillId="0" borderId="0" xfId="0" applyFont="1" applyFill="1" applyBorder="1" applyAlignment="1">
      <alignment horizontal="center" vertical="top"/>
    </xf>
    <xf numFmtId="3" fontId="127" fillId="0" borderId="0" xfId="0" applyNumberFormat="1" applyFont="1" applyFill="1" applyBorder="1" applyAlignment="1">
      <alignment vertical="top" wrapText="1"/>
    </xf>
    <xf numFmtId="168" fontId="127" fillId="0" borderId="0" xfId="1539" applyNumberFormat="1" applyFont="1" applyFill="1" applyBorder="1" applyAlignment="1">
      <alignment horizontal="right" vertical="top" wrapText="1"/>
    </xf>
    <xf numFmtId="0" fontId="127" fillId="0" borderId="0" xfId="1539" applyFont="1" applyFill="1" applyBorder="1" applyAlignment="1">
      <alignment horizontal="center" vertical="top" wrapText="1"/>
    </xf>
    <xf numFmtId="178" fontId="127" fillId="0" borderId="0" xfId="18240" applyNumberFormat="1" applyFont="1" applyFill="1" applyBorder="1" applyAlignment="1">
      <alignment vertical="top" wrapText="1"/>
    </xf>
    <xf numFmtId="190" fontId="127" fillId="0" borderId="0" xfId="1539" applyNumberFormat="1" applyFont="1" applyFill="1" applyBorder="1" applyAlignment="1">
      <alignment horizontal="right" vertical="top" wrapText="1"/>
    </xf>
    <xf numFmtId="0" fontId="123" fillId="0" borderId="0" xfId="1057" applyFont="1" applyFill="1" applyBorder="1" applyAlignment="1">
      <alignment horizontal="left" vertical="top" wrapText="1"/>
    </xf>
    <xf numFmtId="0" fontId="123" fillId="0" borderId="0" xfId="1057" applyFont="1" applyFill="1" applyBorder="1" applyAlignment="1">
      <alignment vertical="top" wrapText="1"/>
    </xf>
    <xf numFmtId="168" fontId="123" fillId="0" borderId="0" xfId="1540" applyNumberFormat="1" applyFont="1" applyFill="1" applyBorder="1" applyAlignment="1">
      <alignment horizontal="right" vertical="top"/>
    </xf>
    <xf numFmtId="3" fontId="123" fillId="0" borderId="0" xfId="1540" applyNumberFormat="1" applyFont="1" applyFill="1" applyBorder="1" applyAlignment="1">
      <alignment horizontal="right" vertical="top"/>
    </xf>
    <xf numFmtId="0" fontId="144" fillId="0" borderId="0" xfId="0" applyFont="1" applyFill="1" applyBorder="1" applyAlignment="1">
      <alignment horizontal="left" vertical="top"/>
    </xf>
    <xf numFmtId="0" fontId="144" fillId="0" borderId="0" xfId="0" applyFont="1" applyFill="1" applyBorder="1" applyAlignment="1">
      <alignment vertical="top"/>
    </xf>
    <xf numFmtId="168" fontId="124" fillId="0" borderId="0" xfId="0" applyNumberFormat="1" applyFont="1" applyFill="1" applyBorder="1" applyAlignment="1" applyProtection="1">
      <alignment horizontal="right" vertical="top"/>
      <protection locked="0"/>
    </xf>
    <xf numFmtId="0" fontId="145" fillId="0" borderId="0" xfId="0" applyFont="1" applyFill="1" applyBorder="1" applyAlignment="1">
      <alignment horizontal="center" vertical="top"/>
    </xf>
    <xf numFmtId="4" fontId="146" fillId="0" borderId="0" xfId="0" applyNumberFormat="1" applyFont="1" applyFill="1" applyBorder="1" applyAlignment="1">
      <alignment vertical="top"/>
    </xf>
    <xf numFmtId="0" fontId="123" fillId="0" borderId="0" xfId="5508" applyFont="1" applyFill="1" applyBorder="1" applyAlignment="1">
      <alignment horizontal="left" vertical="top" wrapText="1"/>
    </xf>
    <xf numFmtId="4" fontId="123" fillId="0" borderId="0" xfId="5508" applyNumberFormat="1" applyFont="1" applyFill="1" applyBorder="1" applyAlignment="1">
      <alignment horizontal="left" vertical="top" wrapText="1"/>
    </xf>
    <xf numFmtId="174" fontId="123" fillId="0" borderId="0" xfId="0" applyNumberFormat="1" applyFont="1" applyFill="1" applyBorder="1" applyAlignment="1">
      <alignment horizontal="right" vertical="top" wrapText="1"/>
    </xf>
    <xf numFmtId="3" fontId="123" fillId="0" borderId="0" xfId="5508" applyNumberFormat="1" applyFont="1" applyFill="1" applyBorder="1" applyAlignment="1">
      <alignment horizontal="left" vertical="top" wrapText="1"/>
    </xf>
    <xf numFmtId="190" fontId="123" fillId="0" borderId="0" xfId="0" applyNumberFormat="1" applyFont="1" applyFill="1" applyBorder="1" applyAlignment="1">
      <alignment horizontal="center" vertical="top" wrapText="1"/>
    </xf>
    <xf numFmtId="0" fontId="123" fillId="0" borderId="0" xfId="22876" applyFont="1" applyFill="1" applyBorder="1" applyAlignment="1">
      <alignment horizontal="left" vertical="top" wrapText="1"/>
    </xf>
    <xf numFmtId="0" fontId="123" fillId="0" borderId="0" xfId="0" applyNumberFormat="1" applyFont="1" applyFill="1" applyBorder="1" applyAlignment="1">
      <alignment horizontal="left" vertical="top" wrapText="1"/>
    </xf>
    <xf numFmtId="0" fontId="124" fillId="0" borderId="0" xfId="5508" applyFont="1" applyFill="1" applyBorder="1" applyAlignment="1">
      <alignment horizontal="center" vertical="top" wrapText="1"/>
    </xf>
    <xf numFmtId="0" fontId="129" fillId="0" borderId="0" xfId="0" applyFont="1" applyFill="1" applyBorder="1" applyAlignment="1">
      <alignment horizontal="right" vertical="top"/>
    </xf>
    <xf numFmtId="181" fontId="123" fillId="0" borderId="0" xfId="19592" applyNumberFormat="1" applyFont="1" applyFill="1" applyBorder="1" applyAlignment="1">
      <alignment horizontal="right" vertical="top" wrapText="1"/>
    </xf>
    <xf numFmtId="0" fontId="147" fillId="0" borderId="0" xfId="0" applyFont="1" applyFill="1" applyBorder="1" applyAlignment="1">
      <alignment horizontal="right" vertical="top"/>
    </xf>
    <xf numFmtId="0" fontId="148" fillId="0" borderId="0" xfId="1539" applyFont="1" applyFill="1" applyBorder="1" applyAlignment="1">
      <alignment vertical="top" wrapText="1"/>
    </xf>
    <xf numFmtId="1" fontId="147" fillId="0" borderId="0" xfId="0" applyNumberFormat="1" applyFont="1" applyFill="1" applyBorder="1" applyAlignment="1">
      <alignment horizontal="right" vertical="top" wrapText="1"/>
    </xf>
    <xf numFmtId="0" fontId="134" fillId="0" borderId="0" xfId="0" applyFont="1" applyFill="1" applyBorder="1" applyAlignment="1">
      <alignment horizontal="right" vertical="top"/>
    </xf>
    <xf numFmtId="1" fontId="123" fillId="0" borderId="0" xfId="0" applyNumberFormat="1" applyFont="1" applyFill="1" applyBorder="1" applyAlignment="1">
      <alignment vertical="top" wrapText="1" shrinkToFit="1"/>
    </xf>
    <xf numFmtId="1" fontId="139" fillId="0" borderId="0" xfId="0" applyNumberFormat="1" applyFont="1" applyFill="1" applyBorder="1" applyAlignment="1">
      <alignment horizontal="right" vertical="top"/>
    </xf>
    <xf numFmtId="192" fontId="123" fillId="0" borderId="0" xfId="0" applyNumberFormat="1" applyFont="1" applyFill="1" applyBorder="1" applyAlignment="1">
      <alignment horizontal="center" vertical="top" wrapText="1"/>
    </xf>
    <xf numFmtId="192" fontId="124" fillId="0" borderId="0" xfId="0" applyNumberFormat="1" applyFont="1" applyFill="1" applyBorder="1" applyAlignment="1">
      <alignment horizontal="right" vertical="top" wrapText="1"/>
    </xf>
    <xf numFmtId="3" fontId="123" fillId="0" borderId="0" xfId="5200" applyNumberFormat="1" applyFont="1" applyFill="1" applyBorder="1" applyAlignment="1">
      <alignment horizontal="left" vertical="top" wrapText="1"/>
    </xf>
    <xf numFmtId="3" fontId="123" fillId="0" borderId="0" xfId="22884" applyNumberFormat="1" applyFont="1" applyFill="1" applyBorder="1" applyAlignment="1">
      <alignment horizontal="left" vertical="top" wrapText="1"/>
    </xf>
    <xf numFmtId="4" fontId="123" fillId="0" borderId="0" xfId="22877" applyNumberFormat="1" applyFont="1" applyFill="1" applyBorder="1" applyAlignment="1">
      <alignment vertical="top" wrapText="1"/>
    </xf>
    <xf numFmtId="4" fontId="124" fillId="0" borderId="0" xfId="1539" applyNumberFormat="1" applyFont="1" applyFill="1" applyBorder="1" applyAlignment="1">
      <alignment vertical="top" wrapText="1"/>
    </xf>
    <xf numFmtId="190" fontId="123" fillId="0" borderId="0" xfId="1539" applyNumberFormat="1" applyFont="1" applyFill="1" applyBorder="1" applyAlignment="1">
      <alignment vertical="top" wrapText="1"/>
    </xf>
    <xf numFmtId="4" fontId="123" fillId="0" borderId="0" xfId="1539" applyNumberFormat="1" applyFont="1" applyFill="1" applyBorder="1" applyAlignment="1">
      <alignment vertical="top" wrapText="1"/>
    </xf>
    <xf numFmtId="190" fontId="124" fillId="0" borderId="0" xfId="1539" applyNumberFormat="1" applyFont="1" applyFill="1" applyBorder="1" applyAlignment="1">
      <alignment vertical="top" wrapText="1"/>
    </xf>
    <xf numFmtId="4" fontId="124" fillId="0" borderId="0" xfId="19599" applyNumberFormat="1" applyFont="1" applyFill="1" applyBorder="1" applyAlignment="1">
      <alignment horizontal="right" vertical="top" wrapText="1"/>
    </xf>
    <xf numFmtId="178" fontId="123" fillId="0" borderId="0" xfId="17818" applyNumberFormat="1" applyFont="1" applyFill="1" applyBorder="1" applyAlignment="1">
      <alignment horizontal="right" vertical="top" wrapText="1"/>
    </xf>
    <xf numFmtId="4" fontId="124" fillId="0" borderId="0" xfId="17818" applyNumberFormat="1" applyFont="1" applyFill="1" applyBorder="1" applyAlignment="1">
      <alignment horizontal="right" vertical="top" wrapText="1"/>
    </xf>
    <xf numFmtId="0" fontId="123" fillId="0" borderId="0" xfId="17897" applyFont="1" applyFill="1" applyBorder="1" applyAlignment="1">
      <alignment vertical="top" wrapText="1"/>
    </xf>
    <xf numFmtId="1" fontId="123" fillId="0" borderId="0" xfId="22877" applyNumberFormat="1" applyFont="1" applyFill="1" applyBorder="1" applyAlignment="1">
      <alignment horizontal="right" vertical="top" wrapText="1"/>
    </xf>
    <xf numFmtId="178" fontId="123" fillId="0" borderId="0" xfId="17897" applyNumberFormat="1" applyFont="1" applyFill="1" applyBorder="1" applyAlignment="1">
      <alignment horizontal="right" vertical="top" wrapText="1"/>
    </xf>
    <xf numFmtId="4" fontId="123" fillId="0" borderId="0" xfId="17897" applyNumberFormat="1" applyFont="1" applyFill="1" applyBorder="1" applyAlignment="1">
      <alignment horizontal="right" vertical="top" wrapText="1"/>
    </xf>
    <xf numFmtId="190" fontId="123" fillId="0" borderId="0" xfId="17897" applyNumberFormat="1" applyFont="1" applyFill="1" applyBorder="1" applyAlignment="1">
      <alignment horizontal="right" vertical="top" wrapText="1"/>
    </xf>
    <xf numFmtId="0" fontId="123" fillId="0" borderId="0" xfId="17897" applyFont="1" applyFill="1" applyBorder="1" applyAlignment="1">
      <alignment horizontal="right" vertical="top" wrapText="1"/>
    </xf>
    <xf numFmtId="0" fontId="149" fillId="0" borderId="0" xfId="17897" applyFont="1" applyFill="1" applyBorder="1" applyAlignment="1">
      <alignment horizontal="left" vertical="top"/>
    </xf>
    <xf numFmtId="1" fontId="149" fillId="0" borderId="0" xfId="17897" applyNumberFormat="1" applyFont="1" applyFill="1" applyBorder="1" applyAlignment="1">
      <alignment horizontal="right" vertical="top" wrapText="1"/>
    </xf>
    <xf numFmtId="1" fontId="149" fillId="0" borderId="0" xfId="17897" applyNumberFormat="1" applyFont="1" applyFill="1" applyBorder="1" applyAlignment="1">
      <alignment horizontal="right" vertical="top"/>
    </xf>
    <xf numFmtId="0" fontId="149" fillId="0" borderId="0" xfId="17897" applyFont="1" applyFill="1" applyBorder="1" applyAlignment="1">
      <alignment horizontal="center" vertical="top" wrapText="1"/>
    </xf>
    <xf numFmtId="0" fontId="54" fillId="0" borderId="0" xfId="17897" applyFont="1" applyFill="1" applyBorder="1" applyAlignment="1">
      <alignment vertical="top"/>
    </xf>
    <xf numFmtId="1" fontId="123" fillId="0" borderId="0" xfId="22891" applyNumberFormat="1" applyFont="1" applyFill="1" applyBorder="1" applyAlignment="1">
      <alignment horizontal="left" vertical="top" wrapText="1"/>
    </xf>
    <xf numFmtId="1" fontId="149" fillId="0" borderId="0" xfId="22891" applyNumberFormat="1" applyFont="1" applyFill="1" applyBorder="1" applyAlignment="1">
      <alignment horizontal="right" vertical="top" wrapText="1"/>
    </xf>
    <xf numFmtId="0" fontId="123" fillId="0" borderId="0" xfId="22891" applyFont="1" applyFill="1" applyBorder="1" applyAlignment="1">
      <alignment horizontal="center" vertical="top" wrapText="1"/>
    </xf>
    <xf numFmtId="1" fontId="123" fillId="0" borderId="0" xfId="22891" applyNumberFormat="1" applyFont="1" applyFill="1" applyBorder="1" applyAlignment="1">
      <alignment horizontal="right" vertical="top" wrapText="1"/>
    </xf>
    <xf numFmtId="0" fontId="123" fillId="0" borderId="0" xfId="17897" applyFont="1" applyFill="1" applyBorder="1" applyAlignment="1">
      <alignment horizontal="center" vertical="top" wrapText="1"/>
    </xf>
    <xf numFmtId="190" fontId="124" fillId="0" borderId="0" xfId="17818" applyNumberFormat="1" applyFont="1" applyFill="1" applyBorder="1" applyAlignment="1">
      <alignment horizontal="right" vertical="top" wrapText="1"/>
    </xf>
    <xf numFmtId="174" fontId="123" fillId="0" borderId="0" xfId="22877" applyNumberFormat="1" applyFont="1" applyFill="1" applyBorder="1" applyAlignment="1">
      <alignment horizontal="left" vertical="top" wrapText="1"/>
    </xf>
    <xf numFmtId="3" fontId="123" fillId="0" borderId="0" xfId="19567" applyNumberFormat="1" applyFont="1" applyFill="1" applyBorder="1" applyAlignment="1">
      <alignment horizontal="left" vertical="top" wrapText="1"/>
    </xf>
    <xf numFmtId="3" fontId="123" fillId="0" borderId="0" xfId="17818" applyNumberFormat="1" applyFont="1" applyFill="1" applyBorder="1" applyAlignment="1">
      <alignment vertical="top" wrapText="1"/>
    </xf>
    <xf numFmtId="0" fontId="123" fillId="0" borderId="0" xfId="3539" applyFont="1" applyFill="1" applyBorder="1" applyAlignment="1">
      <alignment horizontal="left" vertical="top" wrapText="1"/>
    </xf>
    <xf numFmtId="49" fontId="123" fillId="0" borderId="0" xfId="0" applyNumberFormat="1" applyFont="1" applyFill="1" applyBorder="1" applyAlignment="1">
      <alignment vertical="top" wrapText="1"/>
    </xf>
    <xf numFmtId="3" fontId="123" fillId="0" borderId="0" xfId="19591" applyNumberFormat="1" applyFont="1" applyFill="1" applyBorder="1" applyAlignment="1">
      <alignment horizontal="right" vertical="top" wrapText="1"/>
    </xf>
    <xf numFmtId="3" fontId="123" fillId="0" borderId="0" xfId="22885" applyNumberFormat="1" applyFont="1" applyFill="1" applyBorder="1" applyAlignment="1">
      <alignment horizontal="right" vertical="top" wrapText="1"/>
    </xf>
    <xf numFmtId="4" fontId="150" fillId="0" borderId="0" xfId="1539" applyNumberFormat="1" applyFont="1" applyFill="1" applyBorder="1" applyAlignment="1">
      <alignment horizontal="right" vertical="top" wrapText="1"/>
    </xf>
    <xf numFmtId="190" fontId="151" fillId="0" borderId="0" xfId="1539" applyNumberFormat="1" applyFont="1" applyFill="1" applyBorder="1" applyAlignment="1">
      <alignment horizontal="right" vertical="top" wrapText="1"/>
    </xf>
    <xf numFmtId="4" fontId="151" fillId="0" borderId="0" xfId="1539" applyNumberFormat="1" applyFont="1" applyFill="1" applyBorder="1" applyAlignment="1">
      <alignment horizontal="right" vertical="top" wrapText="1"/>
    </xf>
    <xf numFmtId="3" fontId="151" fillId="0" borderId="0" xfId="1539" applyNumberFormat="1" applyFont="1" applyFill="1" applyBorder="1" applyAlignment="1">
      <alignment horizontal="right" vertical="top" wrapText="1"/>
    </xf>
    <xf numFmtId="0" fontId="123" fillId="0" borderId="0" xfId="8630" applyFont="1" applyFill="1" applyBorder="1" applyAlignment="1">
      <alignment vertical="top" wrapText="1"/>
    </xf>
    <xf numFmtId="168" fontId="123" fillId="0" borderId="0" xfId="19599" applyNumberFormat="1" applyFont="1" applyFill="1" applyBorder="1" applyAlignment="1">
      <alignment horizontal="right" vertical="top" wrapText="1"/>
    </xf>
    <xf numFmtId="3" fontId="127" fillId="0" borderId="0" xfId="0" applyNumberFormat="1" applyFont="1" applyFill="1" applyBorder="1" applyAlignment="1">
      <alignment horizontal="left" vertical="top"/>
    </xf>
    <xf numFmtId="2" fontId="127" fillId="0" borderId="0" xfId="1539" applyNumberFormat="1" applyFont="1" applyFill="1" applyBorder="1" applyAlignment="1">
      <alignment horizontal="right" vertical="top" wrapText="1"/>
    </xf>
    <xf numFmtId="4" fontId="125" fillId="0" borderId="0" xfId="0" applyNumberFormat="1" applyFont="1" applyFill="1" applyBorder="1" applyAlignment="1">
      <alignment horizontal="left" vertical="top" wrapText="1"/>
    </xf>
    <xf numFmtId="168" fontId="127" fillId="0" borderId="0" xfId="1539" applyNumberFormat="1" applyFont="1" applyFill="1" applyBorder="1" applyAlignment="1">
      <alignment horizontal="right" vertical="top"/>
    </xf>
    <xf numFmtId="175" fontId="127" fillId="0" borderId="0" xfId="1539" applyNumberFormat="1" applyFont="1" applyFill="1" applyBorder="1" applyAlignment="1">
      <alignment horizontal="right" vertical="top"/>
    </xf>
    <xf numFmtId="0" fontId="127" fillId="0" borderId="0" xfId="1539" applyFont="1" applyFill="1" applyBorder="1" applyAlignment="1">
      <alignment horizontal="right" vertical="top"/>
    </xf>
    <xf numFmtId="0" fontId="152" fillId="0" borderId="0" xfId="17832" applyNumberFormat="1" applyFont="1" applyFill="1" applyBorder="1" applyAlignment="1">
      <alignment horizontal="left" vertical="top" wrapText="1"/>
    </xf>
    <xf numFmtId="0" fontId="127" fillId="0" borderId="0" xfId="1539" applyFont="1" applyFill="1" applyBorder="1" applyAlignment="1">
      <alignment horizontal="right" vertical="top" wrapText="1"/>
    </xf>
    <xf numFmtId="1" fontId="127" fillId="0" borderId="0" xfId="1539" applyNumberFormat="1" applyFont="1" applyFill="1" applyBorder="1" applyAlignment="1" applyProtection="1">
      <alignment horizontal="right" vertical="top"/>
      <protection locked="0"/>
    </xf>
    <xf numFmtId="186" fontId="127" fillId="0" borderId="0" xfId="22887" applyNumberFormat="1" applyFont="1" applyFill="1" applyBorder="1" applyAlignment="1">
      <alignment horizontal="right" vertical="top"/>
    </xf>
    <xf numFmtId="1" fontId="127" fillId="0" borderId="0" xfId="1539" applyNumberFormat="1" applyFont="1" applyFill="1" applyBorder="1" applyAlignment="1">
      <alignment horizontal="right" vertical="top" wrapText="1"/>
    </xf>
    <xf numFmtId="0" fontId="127" fillId="0" borderId="0" xfId="17890" applyFont="1" applyFill="1" applyBorder="1" applyAlignment="1">
      <alignment horizontal="left" vertical="top" wrapText="1"/>
    </xf>
    <xf numFmtId="3" fontId="127" fillId="0" borderId="0" xfId="1539" applyNumberFormat="1" applyFont="1" applyFill="1" applyBorder="1" applyAlignment="1">
      <alignment horizontal="left" vertical="top" wrapText="1"/>
    </xf>
    <xf numFmtId="0" fontId="127" fillId="0" borderId="0" xfId="17890" applyFont="1" applyFill="1" applyBorder="1" applyAlignment="1">
      <alignment horizontal="right" vertical="top"/>
    </xf>
    <xf numFmtId="188" fontId="127" fillId="0" borderId="0" xfId="22892" applyNumberFormat="1" applyFont="1" applyFill="1" applyBorder="1" applyAlignment="1" applyProtection="1">
      <alignment horizontal="right" vertical="top"/>
      <protection locked="0"/>
    </xf>
    <xf numFmtId="0" fontId="153" fillId="0" borderId="0" xfId="1539" applyFont="1" applyFill="1" applyBorder="1" applyAlignment="1">
      <alignment horizontal="right" vertical="top"/>
    </xf>
    <xf numFmtId="0" fontId="127" fillId="0" borderId="0" xfId="19567" applyFont="1" applyFill="1" applyBorder="1" applyAlignment="1">
      <alignment horizontal="right" vertical="top" wrapText="1"/>
    </xf>
    <xf numFmtId="0" fontId="127" fillId="0" borderId="0" xfId="22892" applyNumberFormat="1" applyFont="1" applyFill="1" applyBorder="1" applyAlignment="1">
      <alignment horizontal="right" vertical="top" wrapText="1"/>
    </xf>
    <xf numFmtId="168" fontId="127" fillId="0" borderId="0" xfId="22875" applyNumberFormat="1" applyFont="1" applyFill="1" applyBorder="1" applyAlignment="1">
      <alignment horizontal="right" vertical="top" wrapText="1"/>
    </xf>
    <xf numFmtId="3" fontId="127" fillId="0" borderId="0" xfId="22892" applyNumberFormat="1" applyFont="1" applyFill="1" applyBorder="1" applyAlignment="1">
      <alignment horizontal="right" vertical="top" wrapText="1"/>
    </xf>
    <xf numFmtId="0" fontId="127" fillId="0" borderId="0" xfId="22875" applyFont="1" applyFill="1" applyBorder="1" applyAlignment="1">
      <alignment horizontal="right" vertical="top" wrapText="1"/>
    </xf>
    <xf numFmtId="1" fontId="127" fillId="0" borderId="0" xfId="22892" applyNumberFormat="1" applyFont="1" applyFill="1" applyBorder="1" applyAlignment="1">
      <alignment horizontal="right" vertical="top" wrapText="1"/>
    </xf>
    <xf numFmtId="1" fontId="127" fillId="0" borderId="0" xfId="22888" applyNumberFormat="1" applyFont="1" applyFill="1" applyBorder="1" applyAlignment="1">
      <alignment horizontal="right" vertical="top" wrapText="1"/>
    </xf>
    <xf numFmtId="0" fontId="123" fillId="0" borderId="0" xfId="0" applyFont="1" applyFill="1" applyBorder="1" applyAlignment="1" applyProtection="1">
      <alignment vertical="top" wrapText="1"/>
    </xf>
    <xf numFmtId="178" fontId="124" fillId="0" borderId="0" xfId="0" applyNumberFormat="1" applyFont="1" applyFill="1" applyBorder="1" applyAlignment="1">
      <alignment vertical="top"/>
    </xf>
    <xf numFmtId="178" fontId="127" fillId="0" borderId="0" xfId="1539" applyNumberFormat="1" applyFont="1" applyFill="1" applyBorder="1" applyAlignment="1">
      <alignment horizontal="center" vertical="top" wrapText="1"/>
    </xf>
    <xf numFmtId="0" fontId="152" fillId="0" borderId="0" xfId="0" applyFont="1" applyFill="1" applyBorder="1" applyAlignment="1">
      <alignment horizontal="left" vertical="top"/>
    </xf>
    <xf numFmtId="178" fontId="127" fillId="0" borderId="0" xfId="0" applyNumberFormat="1" applyFont="1" applyFill="1" applyBorder="1" applyAlignment="1">
      <alignment horizontal="center" vertical="top"/>
    </xf>
    <xf numFmtId="49" fontId="123" fillId="0" borderId="0" xfId="0" applyNumberFormat="1" applyFont="1" applyFill="1" applyBorder="1" applyAlignment="1" applyProtection="1">
      <alignment horizontal="right" vertical="top"/>
      <protection locked="0"/>
    </xf>
    <xf numFmtId="185" fontId="123" fillId="0" borderId="0" xfId="0" applyNumberFormat="1" applyFont="1" applyFill="1" applyBorder="1" applyAlignment="1">
      <alignment horizontal="right" vertical="top" wrapText="1"/>
    </xf>
    <xf numFmtId="4" fontId="123" fillId="0" borderId="0" xfId="0" applyNumberFormat="1" applyFont="1" applyFill="1" applyBorder="1" applyAlignment="1">
      <alignment horizontal="left" vertical="top"/>
    </xf>
    <xf numFmtId="0" fontId="123" fillId="0" borderId="0" xfId="17832" applyNumberFormat="1" applyFont="1" applyFill="1" applyBorder="1" applyAlignment="1">
      <alignment horizontal="left" vertical="top" wrapText="1"/>
    </xf>
    <xf numFmtId="4" fontId="123" fillId="0" borderId="0" xfId="17832" applyNumberFormat="1" applyFont="1" applyFill="1" applyBorder="1" applyAlignment="1">
      <alignment horizontal="left" vertical="top" wrapText="1"/>
    </xf>
    <xf numFmtId="0" fontId="154" fillId="0" borderId="0" xfId="0" applyFont="1" applyFill="1" applyBorder="1" applyAlignment="1">
      <alignment vertical="top" wrapText="1"/>
    </xf>
    <xf numFmtId="49" fontId="123" fillId="0" borderId="0" xfId="1539" applyNumberFormat="1" applyFont="1" applyFill="1" applyBorder="1" applyAlignment="1">
      <alignment horizontal="right" vertical="top" wrapText="1"/>
    </xf>
    <xf numFmtId="1" fontId="123" fillId="0" borderId="0" xfId="0" applyNumberFormat="1" applyFont="1" applyFill="1" applyBorder="1" applyAlignment="1">
      <alignment horizontal="left" vertical="top"/>
    </xf>
    <xf numFmtId="4" fontId="54" fillId="0" borderId="0" xfId="0" applyNumberFormat="1" applyFont="1" applyFill="1" applyBorder="1" applyAlignment="1">
      <alignment vertical="top"/>
    </xf>
    <xf numFmtId="190" fontId="123" fillId="0" borderId="0" xfId="0" applyNumberFormat="1" applyFont="1" applyFill="1" applyBorder="1" applyAlignment="1">
      <alignment horizontal="left" vertical="top"/>
    </xf>
    <xf numFmtId="0" fontId="126" fillId="0" borderId="0" xfId="17832" applyNumberFormat="1" applyFont="1" applyFill="1" applyBorder="1" applyAlignment="1">
      <alignment horizontal="left" vertical="top" wrapText="1"/>
    </xf>
    <xf numFmtId="3" fontId="123" fillId="0" borderId="0" xfId="0" applyNumberFormat="1" applyFont="1" applyFill="1" applyBorder="1" applyAlignment="1">
      <alignment horizontal="left" vertical="top"/>
    </xf>
    <xf numFmtId="173" fontId="123" fillId="0" borderId="0" xfId="0" applyNumberFormat="1" applyFont="1" applyFill="1" applyBorder="1" applyAlignment="1">
      <alignment horizontal="center" vertical="top" wrapText="1"/>
    </xf>
    <xf numFmtId="190" fontId="123" fillId="0" borderId="0" xfId="0" applyNumberFormat="1" applyFont="1" applyFill="1" applyBorder="1" applyAlignment="1">
      <alignment horizontal="left" vertical="top" wrapText="1"/>
    </xf>
    <xf numFmtId="0" fontId="127" fillId="0" borderId="0" xfId="0" applyNumberFormat="1" applyFont="1" applyFill="1" applyBorder="1" applyAlignment="1">
      <alignment horizontal="right" vertical="top" wrapText="1"/>
    </xf>
    <xf numFmtId="185" fontId="127" fillId="0" borderId="0" xfId="22887" applyNumberFormat="1" applyFont="1" applyFill="1" applyBorder="1" applyAlignment="1">
      <alignment horizontal="right" vertical="top"/>
    </xf>
    <xf numFmtId="178" fontId="127" fillId="0" borderId="0" xfId="19567" applyNumberFormat="1" applyFont="1" applyFill="1" applyBorder="1" applyAlignment="1">
      <alignment horizontal="right" vertical="top" wrapText="1"/>
    </xf>
    <xf numFmtId="4" fontId="127" fillId="0" borderId="0" xfId="19567" applyNumberFormat="1" applyFont="1" applyFill="1" applyBorder="1" applyAlignment="1">
      <alignment horizontal="right" vertical="top" wrapText="1"/>
    </xf>
    <xf numFmtId="190" fontId="127" fillId="0" borderId="0" xfId="19567" applyNumberFormat="1" applyFont="1" applyFill="1" applyBorder="1" applyAlignment="1">
      <alignment horizontal="right" vertical="top" wrapText="1"/>
    </xf>
    <xf numFmtId="4" fontId="127" fillId="0" borderId="0" xfId="17894" applyNumberFormat="1" applyFont="1" applyFill="1" applyBorder="1" applyAlignment="1" applyProtection="1">
      <alignment horizontal="right" vertical="top" wrapText="1"/>
    </xf>
    <xf numFmtId="1" fontId="127" fillId="0" borderId="0" xfId="0" applyNumberFormat="1" applyFont="1" applyFill="1" applyBorder="1" applyAlignment="1">
      <alignment horizontal="right" vertical="top" wrapText="1"/>
    </xf>
    <xf numFmtId="1" fontId="127" fillId="0" borderId="0" xfId="0" applyNumberFormat="1" applyFont="1" applyFill="1" applyBorder="1" applyAlignment="1">
      <alignment horizontal="right" vertical="top"/>
    </xf>
    <xf numFmtId="4" fontId="127" fillId="0" borderId="0" xfId="0" applyNumberFormat="1" applyFont="1" applyFill="1" applyBorder="1" applyAlignment="1">
      <alignment vertical="top" wrapText="1"/>
    </xf>
    <xf numFmtId="4" fontId="127" fillId="0" borderId="0" xfId="22875" applyNumberFormat="1" applyFont="1" applyFill="1" applyBorder="1" applyAlignment="1">
      <alignment horizontal="left" vertical="top" wrapText="1"/>
    </xf>
    <xf numFmtId="4" fontId="128" fillId="0" borderId="0" xfId="0" applyNumberFormat="1" applyFont="1" applyFill="1" applyBorder="1" applyAlignment="1">
      <alignment vertical="top" wrapText="1"/>
    </xf>
    <xf numFmtId="0" fontId="155" fillId="0" borderId="0" xfId="0" applyFont="1" applyFill="1" applyBorder="1" applyAlignment="1">
      <alignment horizontal="center" vertical="top"/>
    </xf>
    <xf numFmtId="3" fontId="127" fillId="0" borderId="0" xfId="1539" applyNumberFormat="1" applyFont="1" applyFill="1" applyBorder="1" applyAlignment="1">
      <alignment horizontal="right" vertical="top"/>
    </xf>
    <xf numFmtId="168" fontId="127" fillId="0" borderId="0" xfId="0" applyNumberFormat="1" applyFont="1" applyFill="1" applyBorder="1" applyAlignment="1">
      <alignment horizontal="right" vertical="top"/>
    </xf>
    <xf numFmtId="4" fontId="127" fillId="0" borderId="0" xfId="18240" applyNumberFormat="1" applyFont="1" applyFill="1" applyBorder="1" applyAlignment="1">
      <alignment horizontal="right" vertical="top" wrapText="1"/>
    </xf>
    <xf numFmtId="190" fontId="127" fillId="0" borderId="0" xfId="19599" applyNumberFormat="1" applyFont="1" applyFill="1" applyBorder="1" applyAlignment="1">
      <alignment horizontal="right" vertical="top" wrapText="1"/>
    </xf>
    <xf numFmtId="4" fontId="153" fillId="0" borderId="0" xfId="0" applyNumberFormat="1" applyFont="1" applyFill="1" applyBorder="1" applyAlignment="1">
      <alignment horizontal="left" vertical="top"/>
    </xf>
    <xf numFmtId="0" fontId="153" fillId="0" borderId="0" xfId="0" applyFont="1" applyFill="1" applyBorder="1" applyAlignment="1">
      <alignment vertical="top"/>
    </xf>
    <xf numFmtId="0" fontId="144" fillId="0" borderId="0" xfId="0" applyFont="1" applyFill="1" applyBorder="1" applyAlignment="1">
      <alignment horizontal="center" vertical="top"/>
    </xf>
    <xf numFmtId="0" fontId="54" fillId="0" borderId="0" xfId="0" applyFont="1" applyFill="1" applyBorder="1" applyAlignment="1">
      <alignment horizontal="center" vertical="top"/>
    </xf>
    <xf numFmtId="0" fontId="123" fillId="0" borderId="0" xfId="18240" applyFont="1" applyFill="1" applyBorder="1" applyAlignment="1">
      <alignment horizontal="center" vertical="top"/>
    </xf>
    <xf numFmtId="4" fontId="128" fillId="0" borderId="0" xfId="0" applyNumberFormat="1" applyFont="1" applyFill="1" applyBorder="1" applyAlignment="1">
      <alignment horizontal="center" vertical="top"/>
    </xf>
    <xf numFmtId="0" fontId="128" fillId="0" borderId="0" xfId="0" applyFont="1" applyFill="1" applyBorder="1" applyAlignment="1">
      <alignment horizontal="center" vertical="top" wrapText="1"/>
    </xf>
    <xf numFmtId="0" fontId="122" fillId="0" borderId="0" xfId="0" applyFont="1" applyFill="1" applyBorder="1" applyAlignment="1">
      <alignment vertical="top"/>
    </xf>
    <xf numFmtId="168" fontId="123" fillId="0" borderId="0" xfId="3539" applyNumberFormat="1" applyFont="1" applyFill="1" applyBorder="1" applyAlignment="1">
      <alignment horizontal="right" vertical="top" wrapText="1"/>
    </xf>
    <xf numFmtId="177" fontId="123" fillId="0" borderId="0" xfId="0" applyNumberFormat="1" applyFont="1" applyFill="1" applyBorder="1" applyAlignment="1">
      <alignment horizontal="center" vertical="top" wrapText="1"/>
    </xf>
    <xf numFmtId="174" fontId="123" fillId="0" borderId="0" xfId="21265" applyNumberFormat="1" applyFont="1" applyFill="1" applyBorder="1" applyAlignment="1">
      <alignment horizontal="center" vertical="top" wrapText="1"/>
    </xf>
    <xf numFmtId="177" fontId="123" fillId="0" borderId="0" xfId="5200" applyNumberFormat="1" applyFont="1" applyFill="1" applyBorder="1" applyAlignment="1">
      <alignment vertical="top" wrapText="1"/>
    </xf>
    <xf numFmtId="177" fontId="123" fillId="0" borderId="0" xfId="1057" applyNumberFormat="1" applyFont="1" applyFill="1" applyBorder="1" applyAlignment="1">
      <alignment horizontal="right" vertical="top" wrapText="1"/>
    </xf>
    <xf numFmtId="177" fontId="123" fillId="0" borderId="0" xfId="21265" applyNumberFormat="1" applyFont="1" applyFill="1" applyBorder="1" applyAlignment="1">
      <alignment horizontal="center" vertical="top" wrapText="1"/>
    </xf>
    <xf numFmtId="0" fontId="156" fillId="0" borderId="0" xfId="0" applyFont="1" applyFill="1" applyBorder="1" applyAlignment="1">
      <alignment vertical="top" wrapText="1"/>
    </xf>
    <xf numFmtId="3" fontId="123" fillId="0" borderId="0" xfId="22886" applyNumberFormat="1" applyFont="1" applyFill="1" applyBorder="1" applyAlignment="1">
      <alignment horizontal="right" vertical="top"/>
    </xf>
    <xf numFmtId="0" fontId="157" fillId="0" borderId="0" xfId="0" applyFont="1" applyFill="1" applyBorder="1" applyAlignment="1">
      <alignment horizontal="right" vertical="top" wrapText="1"/>
    </xf>
    <xf numFmtId="4" fontId="123" fillId="0" borderId="0" xfId="1541" applyNumberFormat="1" applyFont="1" applyFill="1" applyBorder="1" applyAlignment="1">
      <alignment vertical="top" wrapText="1"/>
    </xf>
    <xf numFmtId="190" fontId="123" fillId="0" borderId="0" xfId="1541" applyNumberFormat="1" applyFont="1" applyFill="1" applyBorder="1" applyAlignment="1">
      <alignment horizontal="right" vertical="top" wrapText="1"/>
    </xf>
    <xf numFmtId="0" fontId="123" fillId="0" borderId="0" xfId="0" applyFont="1" applyFill="1" applyBorder="1" applyAlignment="1">
      <alignment horizontal="justify" vertical="top" wrapText="1"/>
    </xf>
    <xf numFmtId="0" fontId="158" fillId="0" borderId="0" xfId="0" applyFont="1" applyFill="1" applyBorder="1" applyAlignment="1">
      <alignment horizontal="right" vertical="top"/>
    </xf>
    <xf numFmtId="3" fontId="127" fillId="0" borderId="0" xfId="0" applyNumberFormat="1" applyFont="1" applyFill="1" applyBorder="1" applyAlignment="1">
      <alignment horizontal="center" vertical="top" wrapText="1"/>
    </xf>
    <xf numFmtId="1" fontId="123" fillId="0" borderId="0" xfId="1539" applyNumberFormat="1" applyFont="1" applyFill="1" applyBorder="1" applyAlignment="1" applyProtection="1">
      <alignment horizontal="right" vertical="top" wrapText="1"/>
    </xf>
    <xf numFmtId="178" fontId="123" fillId="0" borderId="0" xfId="1539" applyNumberFormat="1" applyFont="1" applyFill="1" applyBorder="1" applyAlignment="1" applyProtection="1">
      <alignment vertical="top" wrapText="1"/>
    </xf>
    <xf numFmtId="4" fontId="123" fillId="0" borderId="0" xfId="1" applyNumberFormat="1" applyFont="1" applyFill="1" applyBorder="1" applyAlignment="1">
      <alignment horizontal="right" vertical="top" wrapText="1"/>
    </xf>
    <xf numFmtId="3" fontId="157" fillId="0" borderId="0" xfId="0" applyNumberFormat="1" applyFont="1" applyFill="1" applyBorder="1" applyAlignment="1">
      <alignment vertical="top" wrapText="1"/>
    </xf>
    <xf numFmtId="3" fontId="157" fillId="0" borderId="0" xfId="0" applyNumberFormat="1" applyFont="1" applyFill="1" applyBorder="1" applyAlignment="1">
      <alignment horizontal="left" vertical="top" wrapText="1"/>
    </xf>
    <xf numFmtId="3" fontId="155" fillId="0" borderId="0" xfId="0" applyNumberFormat="1" applyFont="1" applyFill="1" applyBorder="1" applyAlignment="1">
      <alignment vertical="top" wrapText="1"/>
    </xf>
    <xf numFmtId="1" fontId="123" fillId="0" borderId="0" xfId="17897" applyNumberFormat="1" applyFont="1" applyFill="1" applyBorder="1" applyAlignment="1">
      <alignment horizontal="left" vertical="top" wrapText="1"/>
    </xf>
    <xf numFmtId="3" fontId="123" fillId="0" borderId="0" xfId="17897" applyNumberFormat="1" applyFont="1" applyFill="1" applyBorder="1" applyAlignment="1">
      <alignment horizontal="left" vertical="top" wrapText="1"/>
    </xf>
    <xf numFmtId="1" fontId="149" fillId="0" borderId="0" xfId="17897" applyNumberFormat="1" applyFont="1" applyFill="1" applyBorder="1" applyAlignment="1">
      <alignment horizontal="left" vertical="top" wrapText="1"/>
    </xf>
    <xf numFmtId="1" fontId="127" fillId="0" borderId="0" xfId="3539" applyNumberFormat="1" applyFont="1" applyFill="1" applyBorder="1" applyAlignment="1">
      <alignment horizontal="left" vertical="top" wrapText="1"/>
    </xf>
    <xf numFmtId="0" fontId="127" fillId="0" borderId="0" xfId="3539" applyFont="1" applyFill="1" applyBorder="1" applyAlignment="1">
      <alignment horizontal="left" vertical="top" wrapText="1"/>
    </xf>
    <xf numFmtId="1" fontId="127" fillId="0" borderId="0" xfId="0" applyNumberFormat="1" applyFont="1" applyFill="1" applyBorder="1" applyAlignment="1">
      <alignment horizontal="center" vertical="top" wrapText="1"/>
    </xf>
    <xf numFmtId="190" fontId="127" fillId="0" borderId="0" xfId="17818" applyNumberFormat="1" applyFont="1" applyFill="1" applyBorder="1" applyAlignment="1">
      <alignment horizontal="right" vertical="top" wrapText="1"/>
    </xf>
    <xf numFmtId="3" fontId="127" fillId="0" borderId="0" xfId="17818" applyNumberFormat="1" applyFont="1" applyFill="1" applyBorder="1" applyAlignment="1">
      <alignment vertical="top" wrapText="1"/>
    </xf>
    <xf numFmtId="190" fontId="127" fillId="0" borderId="0" xfId="0" applyNumberFormat="1" applyFont="1" applyFill="1" applyBorder="1" applyAlignment="1">
      <alignment vertical="top" wrapText="1"/>
    </xf>
    <xf numFmtId="0" fontId="123" fillId="0" borderId="0" xfId="17832" applyNumberFormat="1" applyFont="1" applyFill="1" applyBorder="1" applyAlignment="1">
      <alignment horizontal="center" vertical="top" wrapText="1"/>
    </xf>
    <xf numFmtId="183" fontId="123" fillId="0" borderId="0" xfId="0" applyNumberFormat="1" applyFont="1" applyFill="1" applyBorder="1" applyAlignment="1">
      <alignment horizontal="left" vertical="top"/>
    </xf>
    <xf numFmtId="190" fontId="151" fillId="0" borderId="0" xfId="17751" applyNumberFormat="1" applyFont="1" applyFill="1" applyBorder="1" applyAlignment="1">
      <alignment horizontal="right" vertical="top"/>
    </xf>
    <xf numFmtId="186" fontId="134" fillId="0" borderId="0" xfId="22887" applyNumberFormat="1" applyFont="1" applyFill="1" applyBorder="1" applyAlignment="1">
      <alignment horizontal="right" vertical="top"/>
    </xf>
    <xf numFmtId="0" fontId="134" fillId="0" borderId="0" xfId="22887" applyFont="1" applyFill="1" applyBorder="1" applyAlignment="1">
      <alignment horizontal="right" vertical="top"/>
    </xf>
    <xf numFmtId="49" fontId="123" fillId="0" borderId="0" xfId="22887" applyNumberFormat="1" applyFont="1" applyFill="1" applyBorder="1" applyAlignment="1">
      <alignment horizontal="right" vertical="top"/>
    </xf>
    <xf numFmtId="185" fontId="134" fillId="0" borderId="0" xfId="22887" applyNumberFormat="1" applyFont="1" applyFill="1" applyBorder="1" applyAlignment="1">
      <alignment horizontal="right" vertical="top"/>
    </xf>
    <xf numFmtId="4" fontId="126" fillId="0" borderId="0" xfId="0" applyNumberFormat="1" applyFont="1" applyFill="1" applyBorder="1" applyAlignment="1">
      <alignment horizontal="left" vertical="top" wrapText="1"/>
    </xf>
    <xf numFmtId="0" fontId="153" fillId="0" borderId="0" xfId="0" applyFont="1" applyFill="1" applyBorder="1" applyAlignment="1">
      <alignment horizontal="left" vertical="top"/>
    </xf>
    <xf numFmtId="1" fontId="123" fillId="0" borderId="0" xfId="1540" applyNumberFormat="1" applyFont="1" applyFill="1" applyBorder="1" applyAlignment="1">
      <alignment vertical="top" wrapText="1"/>
    </xf>
    <xf numFmtId="178" fontId="123" fillId="0" borderId="0" xfId="21265" applyNumberFormat="1" applyFont="1" applyFill="1" applyBorder="1" applyAlignment="1">
      <alignment vertical="top" wrapText="1"/>
    </xf>
    <xf numFmtId="178" fontId="123" fillId="0" borderId="0" xfId="21265" applyNumberFormat="1" applyFont="1" applyFill="1" applyBorder="1" applyAlignment="1">
      <alignment horizontal="right" vertical="top" wrapText="1"/>
    </xf>
    <xf numFmtId="4" fontId="123" fillId="0" borderId="0" xfId="21265" applyNumberFormat="1" applyFont="1" applyFill="1" applyBorder="1" applyAlignment="1">
      <alignment horizontal="right" vertical="top" wrapText="1"/>
    </xf>
    <xf numFmtId="190" fontId="123" fillId="0" borderId="0" xfId="21265" applyNumberFormat="1" applyFont="1" applyFill="1" applyBorder="1" applyAlignment="1">
      <alignment horizontal="right" vertical="top" wrapText="1"/>
    </xf>
    <xf numFmtId="0" fontId="159" fillId="0" borderId="0" xfId="0" applyFont="1" applyFill="1" applyBorder="1" applyAlignment="1">
      <alignment vertical="top" wrapText="1"/>
    </xf>
    <xf numFmtId="0" fontId="159" fillId="0" borderId="0" xfId="0" applyFont="1" applyFill="1" applyBorder="1" applyAlignment="1">
      <alignment horizontal="left" vertical="top" wrapText="1"/>
    </xf>
    <xf numFmtId="175" fontId="123" fillId="0" borderId="0" xfId="18240" applyNumberFormat="1" applyFont="1" applyFill="1" applyBorder="1" applyAlignment="1">
      <alignment horizontal="right" vertical="top"/>
    </xf>
    <xf numFmtId="0" fontId="160" fillId="0" borderId="0" xfId="0" applyFont="1" applyFill="1" applyBorder="1" applyAlignment="1">
      <alignment vertical="top"/>
    </xf>
    <xf numFmtId="0" fontId="160" fillId="0" borderId="0" xfId="0" applyFont="1" applyFill="1" applyBorder="1" applyAlignment="1">
      <alignment horizontal="left" vertical="top"/>
    </xf>
    <xf numFmtId="1" fontId="123" fillId="0" borderId="0" xfId="18240" applyNumberFormat="1" applyFont="1" applyFill="1" applyBorder="1" applyAlignment="1">
      <alignment horizontal="right" vertical="top" wrapText="1"/>
    </xf>
    <xf numFmtId="2" fontId="123" fillId="0" borderId="0" xfId="22890" applyNumberFormat="1" applyFont="1" applyFill="1" applyBorder="1" applyAlignment="1">
      <alignment horizontal="left" vertical="top" wrapText="1"/>
    </xf>
    <xf numFmtId="1" fontId="123" fillId="0" borderId="0" xfId="18240" applyNumberFormat="1" applyFont="1" applyFill="1" applyBorder="1" applyAlignment="1">
      <alignment horizontal="left" vertical="top" wrapText="1"/>
    </xf>
    <xf numFmtId="168" fontId="123" fillId="0" borderId="0" xfId="18240" applyNumberFormat="1" applyFont="1" applyFill="1" applyBorder="1" applyAlignment="1">
      <alignment horizontal="left" vertical="top"/>
    </xf>
    <xf numFmtId="168" fontId="123" fillId="0" borderId="0" xfId="18240" applyNumberFormat="1" applyFont="1" applyFill="1" applyBorder="1" applyAlignment="1">
      <alignment horizontal="center" vertical="top" wrapText="1"/>
    </xf>
    <xf numFmtId="3" fontId="123" fillId="0" borderId="0" xfId="18240" applyNumberFormat="1" applyFont="1" applyFill="1" applyBorder="1" applyAlignment="1">
      <alignment horizontal="left" vertical="top" wrapText="1"/>
    </xf>
    <xf numFmtId="4" fontId="123" fillId="0" borderId="0" xfId="18240" applyNumberFormat="1" applyFont="1" applyFill="1" applyBorder="1" applyAlignment="1">
      <alignment vertical="top"/>
    </xf>
    <xf numFmtId="190" fontId="123" fillId="0" borderId="0" xfId="18240" applyNumberFormat="1" applyFont="1" applyFill="1" applyBorder="1" applyAlignment="1">
      <alignment vertical="top"/>
    </xf>
    <xf numFmtId="4" fontId="123" fillId="0" borderId="0" xfId="18240" applyNumberFormat="1" applyFont="1" applyFill="1" applyBorder="1" applyAlignment="1">
      <alignment vertical="top" wrapText="1"/>
    </xf>
    <xf numFmtId="0" fontId="123" fillId="0" borderId="0" xfId="3424" applyFont="1" applyFill="1" applyBorder="1" applyAlignment="1">
      <alignment horizontal="right" vertical="top" wrapText="1"/>
    </xf>
    <xf numFmtId="168" fontId="123" fillId="0" borderId="0" xfId="3424" applyNumberFormat="1" applyFont="1" applyFill="1" applyBorder="1" applyAlignment="1">
      <alignment horizontal="right" vertical="top"/>
    </xf>
    <xf numFmtId="3" fontId="123" fillId="0" borderId="0" xfId="3424" applyNumberFormat="1" applyFont="1" applyFill="1" applyBorder="1" applyAlignment="1">
      <alignment horizontal="right" vertical="top"/>
    </xf>
    <xf numFmtId="168" fontId="123" fillId="0" borderId="0" xfId="1540" applyNumberFormat="1" applyFont="1" applyFill="1" applyBorder="1" applyAlignment="1">
      <alignment horizontal="left" vertical="top" wrapText="1"/>
    </xf>
    <xf numFmtId="168" fontId="123" fillId="0" borderId="0" xfId="1540" applyNumberFormat="1" applyFont="1" applyFill="1" applyBorder="1" applyAlignment="1">
      <alignment horizontal="center" vertical="top" wrapText="1"/>
    </xf>
    <xf numFmtId="0" fontId="123" fillId="0" borderId="0" xfId="1057" applyFont="1" applyFill="1" applyBorder="1" applyAlignment="1">
      <alignment horizontal="center" vertical="top" wrapText="1"/>
    </xf>
    <xf numFmtId="3" fontId="123" fillId="0" borderId="0" xfId="1057" applyNumberFormat="1" applyFont="1" applyFill="1" applyBorder="1" applyAlignment="1">
      <alignment horizontal="right" vertical="top"/>
    </xf>
    <xf numFmtId="168" fontId="123" fillId="0" borderId="0" xfId="22877" applyNumberFormat="1" applyFont="1" applyFill="1" applyBorder="1" applyAlignment="1">
      <alignment horizontal="left" vertical="top"/>
    </xf>
    <xf numFmtId="3" fontId="123" fillId="0" borderId="0" xfId="21265" applyNumberFormat="1" applyFont="1" applyFill="1" applyBorder="1" applyAlignment="1">
      <alignment horizontal="left" vertical="top" wrapText="1"/>
    </xf>
    <xf numFmtId="0" fontId="123" fillId="0" borderId="0" xfId="22883" applyFont="1" applyFill="1" applyBorder="1" applyAlignment="1">
      <alignment horizontal="center" vertical="top" wrapText="1"/>
    </xf>
    <xf numFmtId="3" fontId="123" fillId="0" borderId="0" xfId="19592" applyNumberFormat="1" applyFont="1" applyFill="1" applyBorder="1" applyAlignment="1">
      <alignment horizontal="right" vertical="top"/>
    </xf>
    <xf numFmtId="168" fontId="123" fillId="0" borderId="0" xfId="5155" applyNumberFormat="1" applyFont="1" applyFill="1" applyBorder="1" applyAlignment="1">
      <alignment horizontal="right" vertical="top" wrapText="1"/>
    </xf>
    <xf numFmtId="178" fontId="123" fillId="0" borderId="0" xfId="19592" applyNumberFormat="1" applyFont="1" applyFill="1" applyBorder="1" applyAlignment="1">
      <alignment vertical="top" wrapText="1"/>
    </xf>
    <xf numFmtId="178" fontId="123" fillId="0" borderId="0" xfId="19592" applyNumberFormat="1" applyFont="1" applyFill="1" applyBorder="1" applyAlignment="1">
      <alignment horizontal="right" vertical="top" wrapText="1"/>
    </xf>
    <xf numFmtId="4" fontId="123" fillId="0" borderId="0" xfId="19592" applyNumberFormat="1" applyFont="1" applyFill="1" applyBorder="1" applyAlignment="1">
      <alignment horizontal="right" vertical="top" wrapText="1"/>
    </xf>
    <xf numFmtId="190" fontId="123" fillId="0" borderId="0" xfId="19592" applyNumberFormat="1" applyFont="1" applyFill="1" applyBorder="1" applyAlignment="1">
      <alignment horizontal="right" vertical="top" wrapText="1"/>
    </xf>
    <xf numFmtId="0" fontId="151" fillId="0" borderId="0" xfId="5200" applyFont="1" applyFill="1" applyBorder="1" applyAlignment="1">
      <alignment vertical="top" wrapText="1"/>
    </xf>
    <xf numFmtId="0" fontId="151" fillId="0" borderId="0" xfId="0" applyFont="1" applyFill="1" applyBorder="1" applyAlignment="1">
      <alignment horizontal="right" vertical="top"/>
    </xf>
    <xf numFmtId="3" fontId="151" fillId="0" borderId="0" xfId="0" applyNumberFormat="1" applyFont="1" applyFill="1" applyBorder="1" applyAlignment="1">
      <alignment horizontal="right" vertical="top"/>
    </xf>
    <xf numFmtId="0" fontId="151" fillId="0" borderId="0" xfId="1539" applyFont="1" applyFill="1" applyBorder="1" applyAlignment="1">
      <alignment horizontal="center" vertical="top" wrapText="1"/>
    </xf>
    <xf numFmtId="178" fontId="151" fillId="0" borderId="0" xfId="1539" applyNumberFormat="1" applyFont="1" applyFill="1" applyBorder="1" applyAlignment="1">
      <alignment horizontal="right" vertical="top" wrapText="1"/>
    </xf>
    <xf numFmtId="184" fontId="123" fillId="0" borderId="0" xfId="0" applyNumberFormat="1" applyFont="1" applyFill="1" applyBorder="1" applyAlignment="1">
      <alignment horizontal="right" vertical="top" wrapText="1"/>
    </xf>
    <xf numFmtId="178" fontId="161" fillId="0" borderId="0" xfId="22893" applyNumberFormat="1" applyFont="1" applyFill="1" applyBorder="1" applyAlignment="1">
      <alignment vertical="top"/>
    </xf>
    <xf numFmtId="4" fontId="35" fillId="0" borderId="0" xfId="1539" applyNumberFormat="1" applyFont="1" applyFill="1" applyBorder="1" applyAlignment="1">
      <alignment horizontal="center" vertical="center" textRotation="90" wrapText="1"/>
    </xf>
    <xf numFmtId="168" fontId="35" fillId="0" borderId="0" xfId="0" applyNumberFormat="1" applyFont="1" applyFill="1" applyAlignment="1">
      <alignment vertical="top" wrapText="1"/>
    </xf>
    <xf numFmtId="3" fontId="35" fillId="0" borderId="0" xfId="0" applyNumberFormat="1" applyFont="1" applyFill="1" applyAlignment="1">
      <alignment vertical="top" wrapText="1"/>
    </xf>
    <xf numFmtId="0" fontId="35" fillId="0" borderId="0" xfId="0" applyFont="1" applyFill="1" applyAlignment="1">
      <alignment horizontal="center" vertical="top" wrapText="1"/>
    </xf>
    <xf numFmtId="4" fontId="35" fillId="0" borderId="0" xfId="0" applyNumberFormat="1" applyFont="1" applyFill="1" applyAlignment="1">
      <alignment horizontal="left" vertical="top" wrapText="1"/>
    </xf>
    <xf numFmtId="0" fontId="35" fillId="0" borderId="102" xfId="0" applyFont="1" applyFill="1" applyBorder="1" applyAlignment="1">
      <alignment horizontal="center" vertical="top" wrapText="1"/>
    </xf>
    <xf numFmtId="0" fontId="35" fillId="0" borderId="92" xfId="0" applyFont="1" applyFill="1" applyBorder="1" applyAlignment="1">
      <alignment horizontal="left" vertical="top" wrapText="1"/>
    </xf>
    <xf numFmtId="1" fontId="35" fillId="0" borderId="102" xfId="1539" applyNumberFormat="1" applyFont="1" applyFill="1" applyBorder="1" applyAlignment="1">
      <alignment horizontal="center" vertical="top" textRotation="90" wrapText="1"/>
    </xf>
    <xf numFmtId="168" fontId="35" fillId="0" borderId="102" xfId="1539" applyNumberFormat="1" applyFont="1" applyFill="1" applyBorder="1" applyAlignment="1">
      <alignment horizontal="center" vertical="center" textRotation="90" wrapText="1"/>
    </xf>
    <xf numFmtId="4" fontId="35" fillId="0" borderId="102" xfId="1539" applyNumberFormat="1" applyFont="1" applyFill="1" applyBorder="1" applyAlignment="1">
      <alignment horizontal="center" vertical="center" textRotation="90" wrapText="1"/>
    </xf>
    <xf numFmtId="3" fontId="35" fillId="0" borderId="102" xfId="1539" applyNumberFormat="1" applyFont="1" applyFill="1" applyBorder="1" applyAlignment="1">
      <alignment horizontal="center" vertical="center" textRotation="90" wrapText="1"/>
    </xf>
    <xf numFmtId="3" fontId="35" fillId="0" borderId="102" xfId="1539" applyNumberFormat="1" applyFont="1" applyFill="1" applyBorder="1" applyAlignment="1">
      <alignment horizontal="center" vertical="top" textRotation="90" wrapText="1"/>
    </xf>
    <xf numFmtId="4" fontId="35" fillId="0" borderId="102" xfId="1539" applyNumberFormat="1" applyFont="1" applyFill="1" applyBorder="1" applyAlignment="1">
      <alignment horizontal="center" vertical="center" wrapText="1"/>
    </xf>
    <xf numFmtId="0" fontId="35" fillId="0" borderId="102" xfId="1539" applyFont="1" applyFill="1" applyBorder="1" applyAlignment="1">
      <alignment horizontal="center" vertical="center" textRotation="90" wrapText="1"/>
    </xf>
    <xf numFmtId="168" fontId="35" fillId="0" borderId="102" xfId="1539" applyNumberFormat="1" applyFont="1" applyFill="1" applyBorder="1" applyAlignment="1">
      <alignment horizontal="center" vertical="center" wrapText="1"/>
    </xf>
    <xf numFmtId="4" fontId="35" fillId="0" borderId="0" xfId="0" applyNumberFormat="1" applyFont="1" applyFill="1" applyAlignment="1">
      <alignment vertical="top"/>
    </xf>
    <xf numFmtId="4" fontId="35" fillId="0" borderId="0" xfId="0" applyNumberFormat="1" applyFont="1" applyFill="1" applyAlignment="1">
      <alignment vertical="top" wrapText="1"/>
    </xf>
    <xf numFmtId="4" fontId="35" fillId="0" borderId="0" xfId="0" applyNumberFormat="1" applyFont="1" applyFill="1" applyAlignment="1">
      <alignment vertical="center" wrapText="1"/>
    </xf>
    <xf numFmtId="3" fontId="35" fillId="96" borderId="50" xfId="1539" applyNumberFormat="1" applyFont="1" applyFill="1" applyBorder="1" applyAlignment="1">
      <alignment horizontal="center" vertical="top" wrapText="1"/>
    </xf>
    <xf numFmtId="3" fontId="35" fillId="96" borderId="51" xfId="1539" applyNumberFormat="1" applyFont="1" applyFill="1" applyBorder="1" applyAlignment="1">
      <alignment horizontal="center" vertical="top" wrapText="1"/>
    </xf>
    <xf numFmtId="3" fontId="35" fillId="96" borderId="52" xfId="1539" applyNumberFormat="1" applyFont="1" applyFill="1" applyBorder="1" applyAlignment="1">
      <alignment horizontal="center" vertical="top" wrapText="1"/>
    </xf>
    <xf numFmtId="3" fontId="35" fillId="0" borderId="0" xfId="1539" applyNumberFormat="1" applyFont="1" applyFill="1" applyBorder="1" applyAlignment="1">
      <alignment horizontal="center" vertical="top" wrapText="1"/>
    </xf>
    <xf numFmtId="168" fontId="35" fillId="0" borderId="0" xfId="1539" applyNumberFormat="1" applyFont="1" applyFill="1" applyBorder="1" applyAlignment="1">
      <alignment horizontal="center" vertical="top" wrapText="1"/>
    </xf>
    <xf numFmtId="4" fontId="35" fillId="0" borderId="0" xfId="1539" applyNumberFormat="1" applyFont="1" applyFill="1" applyBorder="1" applyAlignment="1">
      <alignment horizontal="center" vertical="top" wrapText="1"/>
    </xf>
    <xf numFmtId="168" fontId="35" fillId="0" borderId="0" xfId="1539" applyNumberFormat="1" applyFont="1" applyFill="1" applyBorder="1" applyAlignment="1">
      <alignment vertical="top" wrapText="1"/>
    </xf>
    <xf numFmtId="3" fontId="35" fillId="0" borderId="0" xfId="1539" applyNumberFormat="1" applyFont="1" applyFill="1" applyBorder="1" applyAlignment="1">
      <alignment vertical="top" wrapText="1"/>
    </xf>
    <xf numFmtId="4" fontId="35" fillId="0" borderId="0" xfId="1539" applyNumberFormat="1" applyFont="1" applyFill="1" applyBorder="1" applyAlignment="1">
      <alignment horizontal="left" vertical="top" wrapText="1"/>
    </xf>
    <xf numFmtId="168" fontId="35" fillId="0" borderId="0" xfId="1539" applyNumberFormat="1" applyFont="1" applyFill="1" applyBorder="1" applyAlignment="1">
      <alignment horizontal="left" vertical="top" wrapText="1"/>
    </xf>
    <xf numFmtId="3" fontId="35" fillId="0" borderId="102" xfId="1539" applyNumberFormat="1" applyFont="1" applyFill="1" applyBorder="1" applyAlignment="1">
      <alignment horizontal="center" vertical="center" wrapText="1"/>
    </xf>
    <xf numFmtId="1" fontId="35" fillId="0" borderId="102" xfId="1539" applyNumberFormat="1" applyFont="1" applyFill="1" applyBorder="1" applyAlignment="1">
      <alignment horizontal="center" vertical="top" wrapText="1"/>
    </xf>
    <xf numFmtId="1" fontId="35" fillId="0" borderId="95" xfId="0" applyNumberFormat="1" applyFont="1" applyFill="1" applyBorder="1" applyAlignment="1">
      <alignment horizontal="left" vertical="top" wrapText="1"/>
    </xf>
    <xf numFmtId="1" fontId="35" fillId="0" borderId="94" xfId="0" applyNumberFormat="1" applyFont="1" applyFill="1" applyBorder="1" applyAlignment="1">
      <alignment horizontal="left" vertical="top" wrapText="1"/>
    </xf>
    <xf numFmtId="0" fontId="35" fillId="0" borderId="95" xfId="0" applyFont="1" applyFill="1" applyBorder="1" applyAlignment="1">
      <alignment horizontal="center" vertical="top" wrapText="1"/>
    </xf>
    <xf numFmtId="0" fontId="35" fillId="0" borderId="93" xfId="0" applyFont="1" applyFill="1" applyBorder="1" applyAlignment="1">
      <alignment horizontal="center" vertical="top" wrapText="1"/>
    </xf>
    <xf numFmtId="3" fontId="35" fillId="0" borderId="0" xfId="0" applyNumberFormat="1" applyFont="1" applyFill="1" applyAlignment="1">
      <alignment horizontal="center" vertical="top" wrapText="1"/>
    </xf>
    <xf numFmtId="4" fontId="35" fillId="0" borderId="0" xfId="1539" applyNumberFormat="1" applyFont="1" applyFill="1" applyBorder="1" applyAlignment="1">
      <alignment horizontal="right" vertical="top" wrapText="1"/>
    </xf>
    <xf numFmtId="3" fontId="35" fillId="0" borderId="100" xfId="1539" applyNumberFormat="1" applyFont="1" applyFill="1" applyBorder="1" applyAlignment="1">
      <alignment horizontal="center" vertical="top" wrapText="1"/>
    </xf>
    <xf numFmtId="4" fontId="35" fillId="0" borderId="100" xfId="1539" applyNumberFormat="1" applyFont="1" applyFill="1" applyBorder="1" applyAlignment="1">
      <alignment horizontal="center" vertical="top" wrapText="1"/>
    </xf>
    <xf numFmtId="0" fontId="35" fillId="0" borderId="95" xfId="0" applyFont="1" applyFill="1" applyBorder="1" applyAlignment="1">
      <alignment horizontal="left" vertical="top" wrapText="1"/>
    </xf>
    <xf numFmtId="0" fontId="35" fillId="0" borderId="94" xfId="0" applyFont="1" applyFill="1" applyBorder="1" applyAlignment="1">
      <alignment horizontal="left" vertical="top" wrapText="1"/>
    </xf>
    <xf numFmtId="0" fontId="35" fillId="0" borderId="39" xfId="0" applyFont="1" applyFill="1" applyBorder="1" applyAlignment="1">
      <alignment horizontal="center" vertical="top" wrapText="1"/>
    </xf>
    <xf numFmtId="0" fontId="35" fillId="0" borderId="40" xfId="0" applyFont="1" applyFill="1" applyBorder="1" applyAlignment="1">
      <alignment horizontal="center" vertical="top" wrapText="1"/>
    </xf>
    <xf numFmtId="0" fontId="35" fillId="0" borderId="58" xfId="0" applyFont="1" applyFill="1" applyBorder="1" applyAlignment="1">
      <alignment horizontal="center" vertical="top" wrapText="1"/>
    </xf>
    <xf numFmtId="0" fontId="35" fillId="0" borderId="43" xfId="0" applyFont="1" applyFill="1" applyBorder="1" applyAlignment="1">
      <alignment horizontal="left" vertical="top" wrapText="1"/>
    </xf>
    <xf numFmtId="0" fontId="35" fillId="0" borderId="44" xfId="0" applyFont="1" applyFill="1" applyBorder="1" applyAlignment="1">
      <alignment horizontal="left" vertical="top" wrapText="1"/>
    </xf>
    <xf numFmtId="1" fontId="123" fillId="0" borderId="0" xfId="1539" applyNumberFormat="1" applyFont="1" applyFill="1" applyBorder="1" applyAlignment="1">
      <alignment horizontal="center" vertical="top" wrapText="1"/>
    </xf>
    <xf numFmtId="0" fontId="123" fillId="0" borderId="0" xfId="0" applyFont="1" applyFill="1" applyBorder="1" applyAlignment="1">
      <alignment vertical="top" wrapText="1"/>
    </xf>
    <xf numFmtId="0" fontId="123" fillId="0" borderId="0" xfId="0" applyFont="1" applyFill="1" applyBorder="1" applyAlignment="1">
      <alignment horizontal="center" vertical="top" wrapText="1"/>
    </xf>
    <xf numFmtId="178" fontId="123" fillId="0" borderId="0" xfId="0" applyNumberFormat="1" applyFont="1" applyFill="1" applyBorder="1" applyAlignment="1">
      <alignment vertical="top" wrapText="1"/>
    </xf>
    <xf numFmtId="0" fontId="123" fillId="0" borderId="0" xfId="0" applyFont="1" applyFill="1" applyBorder="1" applyAlignment="1">
      <alignment horizontal="left" vertical="top" wrapText="1"/>
    </xf>
    <xf numFmtId="178" fontId="123" fillId="0" borderId="0" xfId="0" applyNumberFormat="1" applyFont="1" applyFill="1" applyBorder="1" applyAlignment="1">
      <alignment horizontal="right" vertical="top"/>
    </xf>
    <xf numFmtId="178" fontId="123" fillId="0" borderId="0" xfId="1540" applyNumberFormat="1" applyFont="1" applyFill="1" applyBorder="1" applyAlignment="1">
      <alignment horizontal="right" vertical="top" wrapText="1"/>
    </xf>
    <xf numFmtId="0" fontId="123" fillId="0" borderId="0" xfId="19567" applyFont="1" applyFill="1" applyBorder="1" applyAlignment="1">
      <alignment horizontal="center" vertical="top" wrapText="1"/>
    </xf>
    <xf numFmtId="1" fontId="123" fillId="0" borderId="0" xfId="21265" applyNumberFormat="1" applyFont="1" applyFill="1" applyBorder="1" applyAlignment="1">
      <alignment horizontal="left" vertical="top" wrapText="1"/>
    </xf>
    <xf numFmtId="178" fontId="123" fillId="0" borderId="0" xfId="0" applyNumberFormat="1" applyFont="1" applyFill="1" applyBorder="1" applyAlignment="1">
      <alignment horizontal="right" vertical="top" wrapText="1"/>
    </xf>
    <xf numFmtId="0" fontId="123" fillId="0" borderId="0" xfId="0" applyFont="1" applyFill="1" applyBorder="1" applyAlignment="1">
      <alignment horizontal="center" vertical="top"/>
    </xf>
    <xf numFmtId="177" fontId="123" fillId="0" borderId="0" xfId="0" applyNumberFormat="1" applyFont="1" applyFill="1" applyBorder="1" applyAlignment="1">
      <alignment horizontal="center" vertical="top" wrapText="1"/>
    </xf>
    <xf numFmtId="178" fontId="123" fillId="0" borderId="0" xfId="0" applyNumberFormat="1" applyFont="1" applyFill="1" applyBorder="1" applyAlignment="1">
      <alignment vertical="top"/>
    </xf>
    <xf numFmtId="4" fontId="123" fillId="0" borderId="0" xfId="1539" applyNumberFormat="1" applyFont="1" applyFill="1" applyBorder="1" applyAlignment="1">
      <alignment horizontal="left" vertical="top" wrapText="1"/>
    </xf>
    <xf numFmtId="178" fontId="123" fillId="0" borderId="0" xfId="1539" applyNumberFormat="1" applyFont="1" applyFill="1" applyBorder="1" applyAlignment="1">
      <alignment horizontal="right" vertical="top" wrapText="1"/>
    </xf>
    <xf numFmtId="3" fontId="123" fillId="0" borderId="0" xfId="0" applyNumberFormat="1" applyFont="1" applyFill="1" applyBorder="1" applyAlignment="1">
      <alignment horizontal="left" vertical="top" wrapText="1"/>
    </xf>
    <xf numFmtId="1" fontId="123" fillId="0" borderId="0" xfId="0" applyNumberFormat="1" applyFont="1" applyFill="1" applyBorder="1" applyAlignment="1">
      <alignment horizontal="left" vertical="top" wrapText="1"/>
    </xf>
    <xf numFmtId="4" fontId="123" fillId="0" borderId="0" xfId="0" applyNumberFormat="1" applyFont="1" applyFill="1" applyBorder="1" applyAlignment="1">
      <alignment horizontal="left" vertical="top" wrapText="1"/>
    </xf>
    <xf numFmtId="0" fontId="123" fillId="0" borderId="0" xfId="0" applyFont="1" applyFill="1" applyBorder="1" applyAlignment="1">
      <alignment horizontal="left" vertical="top"/>
    </xf>
    <xf numFmtId="3" fontId="123" fillId="0" borderId="0" xfId="0" applyNumberFormat="1" applyFont="1" applyFill="1" applyBorder="1" applyAlignment="1">
      <alignment horizontal="center" vertical="top" wrapText="1"/>
    </xf>
    <xf numFmtId="1" fontId="124" fillId="0" borderId="0" xfId="1539" applyNumberFormat="1" applyFont="1" applyFill="1" applyBorder="1" applyAlignment="1">
      <alignment horizontal="left" vertical="top" wrapText="1"/>
    </xf>
    <xf numFmtId="1" fontId="123" fillId="0" borderId="0" xfId="0" applyNumberFormat="1" applyFont="1" applyFill="1" applyBorder="1" applyAlignment="1">
      <alignment vertical="top" wrapText="1"/>
    </xf>
    <xf numFmtId="0" fontId="123" fillId="0" borderId="0" xfId="19567" applyFont="1" applyFill="1" applyBorder="1" applyAlignment="1">
      <alignment horizontal="left" vertical="top" wrapText="1"/>
    </xf>
    <xf numFmtId="0" fontId="123" fillId="0" borderId="0" xfId="1539" applyFont="1" applyFill="1" applyBorder="1" applyAlignment="1">
      <alignment horizontal="center" vertical="top" wrapText="1"/>
    </xf>
    <xf numFmtId="1" fontId="123" fillId="0" borderId="0" xfId="0" applyNumberFormat="1" applyFont="1" applyFill="1" applyBorder="1" applyAlignment="1">
      <alignment horizontal="center" vertical="top" wrapText="1"/>
    </xf>
    <xf numFmtId="3" fontId="123" fillId="0" borderId="0" xfId="0" applyNumberFormat="1" applyFont="1" applyFill="1" applyBorder="1" applyAlignment="1">
      <alignment vertical="top" wrapText="1"/>
    </xf>
    <xf numFmtId="0" fontId="123" fillId="0" borderId="0" xfId="21265" applyFont="1" applyFill="1" applyBorder="1" applyAlignment="1">
      <alignment horizontal="left" vertical="top" wrapText="1"/>
    </xf>
    <xf numFmtId="178" fontId="123" fillId="0" borderId="0" xfId="22877" applyNumberFormat="1" applyFont="1" applyFill="1" applyBorder="1" applyAlignment="1">
      <alignment vertical="top" wrapText="1"/>
    </xf>
    <xf numFmtId="178" fontId="123" fillId="0" borderId="0" xfId="18240" applyNumberFormat="1" applyFont="1" applyFill="1" applyBorder="1" applyAlignment="1">
      <alignment vertical="top" wrapText="1"/>
    </xf>
    <xf numFmtId="3" fontId="123" fillId="0" borderId="0" xfId="22875" applyNumberFormat="1" applyFont="1" applyFill="1" applyBorder="1" applyAlignment="1">
      <alignment horizontal="right" vertical="top" wrapText="1"/>
    </xf>
    <xf numFmtId="3" fontId="123" fillId="0" borderId="0" xfId="0" applyNumberFormat="1" applyFont="1" applyFill="1" applyBorder="1" applyAlignment="1">
      <alignment horizontal="right" vertical="top" wrapText="1"/>
    </xf>
    <xf numFmtId="178" fontId="123" fillId="0" borderId="0" xfId="1540" applyNumberFormat="1" applyFont="1" applyFill="1" applyBorder="1" applyAlignment="1">
      <alignment vertical="top" wrapText="1"/>
    </xf>
    <xf numFmtId="4" fontId="123" fillId="0" borderId="0" xfId="0" applyNumberFormat="1" applyFont="1" applyFill="1" applyBorder="1" applyAlignment="1">
      <alignment horizontal="center" vertical="top" wrapText="1"/>
    </xf>
    <xf numFmtId="168" fontId="123" fillId="0" borderId="0" xfId="22875" applyNumberFormat="1" applyFont="1" applyFill="1" applyBorder="1" applyAlignment="1">
      <alignment horizontal="right" vertical="top" wrapText="1"/>
    </xf>
    <xf numFmtId="3" fontId="123" fillId="0" borderId="0" xfId="19567" applyNumberFormat="1" applyFont="1" applyFill="1" applyBorder="1" applyAlignment="1">
      <alignment horizontal="right" vertical="top" wrapText="1"/>
    </xf>
    <xf numFmtId="178" fontId="124" fillId="0" borderId="0" xfId="0" applyNumberFormat="1" applyFont="1" applyFill="1" applyBorder="1" applyAlignment="1">
      <alignment vertical="top"/>
    </xf>
    <xf numFmtId="4" fontId="123" fillId="0" borderId="0" xfId="0" applyNumberFormat="1" applyFont="1" applyFill="1" applyBorder="1" applyAlignment="1">
      <alignment horizontal="center" vertical="top"/>
    </xf>
    <xf numFmtId="178" fontId="123" fillId="0" borderId="0" xfId="0" applyNumberFormat="1" applyFont="1" applyFill="1" applyBorder="1" applyAlignment="1">
      <alignment horizontal="center" vertical="top"/>
    </xf>
    <xf numFmtId="173" fontId="123" fillId="0" borderId="0" xfId="0" applyNumberFormat="1" applyFont="1" applyFill="1" applyBorder="1" applyAlignment="1">
      <alignment horizontal="left" vertical="top" wrapText="1"/>
    </xf>
    <xf numFmtId="1" fontId="123" fillId="0" borderId="0" xfId="0" applyNumberFormat="1" applyFont="1" applyFill="1" applyBorder="1" applyAlignment="1">
      <alignment horizontal="right" vertical="top" wrapText="1"/>
    </xf>
    <xf numFmtId="168" fontId="123" fillId="0" borderId="0" xfId="0" applyNumberFormat="1" applyFont="1" applyFill="1" applyBorder="1" applyAlignment="1">
      <alignment horizontal="right" vertical="top" wrapText="1"/>
    </xf>
    <xf numFmtId="0" fontId="123" fillId="0" borderId="0" xfId="0" applyFont="1" applyFill="1" applyBorder="1" applyAlignment="1">
      <alignment horizontal="right" vertical="top" wrapText="1"/>
    </xf>
    <xf numFmtId="0" fontId="123" fillId="0" borderId="0" xfId="19567" applyFont="1" applyFill="1" applyBorder="1" applyAlignment="1">
      <alignment horizontal="right" vertical="top" wrapText="1"/>
    </xf>
    <xf numFmtId="0" fontId="123" fillId="0" borderId="0" xfId="22876" applyFont="1" applyFill="1" applyBorder="1" applyAlignment="1">
      <alignment horizontal="center" vertical="top" wrapText="1"/>
    </xf>
    <xf numFmtId="0" fontId="123" fillId="0" borderId="0" xfId="18240" applyFont="1" applyFill="1" applyBorder="1" applyAlignment="1">
      <alignment horizontal="left" vertical="top" wrapText="1"/>
    </xf>
    <xf numFmtId="3" fontId="123" fillId="0" borderId="0" xfId="1539" applyNumberFormat="1" applyFont="1" applyFill="1" applyBorder="1" applyAlignment="1">
      <alignment horizontal="center" vertical="top" wrapText="1"/>
    </xf>
    <xf numFmtId="4" fontId="123" fillId="0" borderId="0" xfId="1539" applyNumberFormat="1" applyFont="1" applyFill="1" applyBorder="1" applyAlignment="1">
      <alignment horizontal="center" vertical="top" wrapText="1"/>
    </xf>
    <xf numFmtId="3" fontId="123" fillId="0" borderId="0" xfId="1539" applyNumberFormat="1" applyFont="1" applyFill="1" applyBorder="1" applyAlignment="1">
      <alignment horizontal="left" vertical="top" wrapText="1"/>
    </xf>
    <xf numFmtId="0" fontId="123" fillId="0" borderId="0" xfId="1539" applyFont="1" applyFill="1" applyBorder="1" applyAlignment="1">
      <alignment vertical="top" wrapText="1"/>
    </xf>
    <xf numFmtId="3" fontId="123" fillId="0" borderId="0" xfId="1539" applyNumberFormat="1" applyFont="1" applyFill="1" applyBorder="1" applyAlignment="1">
      <alignment horizontal="right" vertical="top" textRotation="90" wrapText="1"/>
    </xf>
    <xf numFmtId="4" fontId="123" fillId="0" borderId="0" xfId="1539" applyNumberFormat="1" applyFont="1" applyFill="1" applyBorder="1" applyAlignment="1">
      <alignment horizontal="right" vertical="top" wrapText="1"/>
    </xf>
    <xf numFmtId="3" fontId="123" fillId="0" borderId="0" xfId="1539" applyNumberFormat="1" applyFont="1" applyFill="1" applyBorder="1" applyAlignment="1" applyProtection="1">
      <alignment horizontal="right" vertical="top" textRotation="90" wrapText="1"/>
    </xf>
    <xf numFmtId="178" fontId="123" fillId="0" borderId="0" xfId="1539" applyNumberFormat="1" applyFont="1" applyFill="1" applyBorder="1" applyAlignment="1">
      <alignment vertical="top" textRotation="90" wrapText="1"/>
    </xf>
    <xf numFmtId="0" fontId="123" fillId="0" borderId="0" xfId="1539" applyFont="1" applyFill="1" applyBorder="1" applyAlignment="1">
      <alignment horizontal="center" vertical="top" textRotation="90" wrapText="1"/>
    </xf>
    <xf numFmtId="178" fontId="124" fillId="0" borderId="0" xfId="0" applyNumberFormat="1" applyFont="1" applyFill="1" applyBorder="1" applyAlignment="1">
      <alignment vertical="top" wrapText="1"/>
    </xf>
    <xf numFmtId="0" fontId="123" fillId="0" borderId="0" xfId="17832" applyNumberFormat="1" applyFont="1" applyFill="1" applyBorder="1" applyAlignment="1">
      <alignment vertical="top" wrapText="1"/>
    </xf>
    <xf numFmtId="178" fontId="123" fillId="0" borderId="0" xfId="1539" applyNumberFormat="1" applyFont="1" applyFill="1" applyBorder="1" applyAlignment="1">
      <alignment vertical="top" wrapText="1"/>
    </xf>
    <xf numFmtId="1" fontId="124" fillId="0" borderId="0" xfId="0" applyNumberFormat="1" applyFont="1" applyFill="1" applyBorder="1" applyAlignment="1">
      <alignment horizontal="left" vertical="top" wrapText="1"/>
    </xf>
  </cellXfs>
  <cellStyles count="22894">
    <cellStyle name="20% - Акцент1 2" xfId="3"/>
    <cellStyle name="20% - Акцент1 2 2" xfId="4"/>
    <cellStyle name="20% - Акцент1 2 2 2" xfId="17837"/>
    <cellStyle name="20% - Акцент1 2 3" xfId="17836"/>
    <cellStyle name="20% - Акцент1 2 4" xfId="19605"/>
    <cellStyle name="20% - Акцент1 3" xfId="5"/>
    <cellStyle name="20% - Акцент1 3 2" xfId="17838"/>
    <cellStyle name="20% - Акцент1 3 3" xfId="19606"/>
    <cellStyle name="20% - Акцент2 2" xfId="6"/>
    <cellStyle name="20% - Акцент2 2 2" xfId="7"/>
    <cellStyle name="20% - Акцент2 2 2 2" xfId="17840"/>
    <cellStyle name="20% - Акцент2 2 3" xfId="17839"/>
    <cellStyle name="20% - Акцент2 2 4" xfId="19607"/>
    <cellStyle name="20% - Акцент2 3" xfId="8"/>
    <cellStyle name="20% - Акцент2 3 2" xfId="17841"/>
    <cellStyle name="20% - Акцент2 3 3" xfId="19608"/>
    <cellStyle name="20% - Акцент3 2" xfId="9"/>
    <cellStyle name="20% - Акцент3 2 2" xfId="10"/>
    <cellStyle name="20% - Акцент3 2 2 2" xfId="17843"/>
    <cellStyle name="20% - Акцент3 2 3" xfId="17842"/>
    <cellStyle name="20% - Акцент3 2 4" xfId="19609"/>
    <cellStyle name="20% - Акцент3 3" xfId="11"/>
    <cellStyle name="20% - Акцент3 3 2" xfId="17844"/>
    <cellStyle name="20% - Акцент3 3 3" xfId="19610"/>
    <cellStyle name="20% - Акцент4 2" xfId="12"/>
    <cellStyle name="20% - Акцент4 2 2" xfId="13"/>
    <cellStyle name="20% - Акцент4 2 2 2" xfId="17846"/>
    <cellStyle name="20% - Акцент4 2 3" xfId="17845"/>
    <cellStyle name="20% - Акцент4 2 4" xfId="19611"/>
    <cellStyle name="20% - Акцент4 3" xfId="14"/>
    <cellStyle name="20% - Акцент4 3 2" xfId="17847"/>
    <cellStyle name="20% - Акцент4 3 3" xfId="19612"/>
    <cellStyle name="20% - Акцент5 2" xfId="15"/>
    <cellStyle name="20% - Акцент5 2 2" xfId="16"/>
    <cellStyle name="20% - Акцент5 2 2 2" xfId="17849"/>
    <cellStyle name="20% - Акцент5 2 3" xfId="17848"/>
    <cellStyle name="20% - Акцент5 3" xfId="17"/>
    <cellStyle name="20% - Акцент5 3 2" xfId="17850"/>
    <cellStyle name="20% - Акцент6 2" xfId="18"/>
    <cellStyle name="20% - Акцент6 2 2" xfId="19"/>
    <cellStyle name="20% - Акцент6 2 2 2" xfId="17852"/>
    <cellStyle name="20% - Акцент6 2 3" xfId="17851"/>
    <cellStyle name="20% - Акцент6 3" xfId="20"/>
    <cellStyle name="20% - Акцент6 3 2" xfId="17853"/>
    <cellStyle name="40% - Акцент1 2" xfId="21"/>
    <cellStyle name="40% - Акцент1 2 2" xfId="22"/>
    <cellStyle name="40% - Акцент1 2 2 2" xfId="17855"/>
    <cellStyle name="40% - Акцент1 2 3" xfId="17854"/>
    <cellStyle name="40% - Акцент1 3" xfId="23"/>
    <cellStyle name="40% - Акцент1 3 2" xfId="17856"/>
    <cellStyle name="40% - Акцент2 2" xfId="24"/>
    <cellStyle name="40% - Акцент2 2 2" xfId="25"/>
    <cellStyle name="40% - Акцент2 2 2 2" xfId="17858"/>
    <cellStyle name="40% - Акцент2 2 3" xfId="17857"/>
    <cellStyle name="40% - Акцент2 3" xfId="26"/>
    <cellStyle name="40% - Акцент2 3 2" xfId="17859"/>
    <cellStyle name="40% - Акцент3 2" xfId="27"/>
    <cellStyle name="40% - Акцент3 2 2" xfId="28"/>
    <cellStyle name="40% - Акцент3 2 2 2" xfId="17861"/>
    <cellStyle name="40% - Акцент3 2 3" xfId="17860"/>
    <cellStyle name="40% - Акцент3 2 4" xfId="19613"/>
    <cellStyle name="40% - Акцент3 3" xfId="29"/>
    <cellStyle name="40% - Акцент3 3 2" xfId="17862"/>
    <cellStyle name="40% - Акцент3 3 3" xfId="19614"/>
    <cellStyle name="40% - Акцент4 2" xfId="30"/>
    <cellStyle name="40% - Акцент4 2 2" xfId="31"/>
    <cellStyle name="40% - Акцент4 2 2 2" xfId="17864"/>
    <cellStyle name="40% - Акцент4 2 3" xfId="17863"/>
    <cellStyle name="40% - Акцент4 3" xfId="32"/>
    <cellStyle name="40% - Акцент4 3 2" xfId="17865"/>
    <cellStyle name="40% - Акцент5 2" xfId="33"/>
    <cellStyle name="40% - Акцент5 2 2" xfId="34"/>
    <cellStyle name="40% - Акцент5 2 2 2" xfId="17867"/>
    <cellStyle name="40% - Акцент5 2 3" xfId="17866"/>
    <cellStyle name="40% - Акцент5 3" xfId="35"/>
    <cellStyle name="40% - Акцент5 3 2" xfId="17868"/>
    <cellStyle name="40% - Акцент6 2" xfId="36"/>
    <cellStyle name="40% - Акцент6 2 2" xfId="37"/>
    <cellStyle name="40% - Акцент6 2 2 2" xfId="17870"/>
    <cellStyle name="40% - Акцент6 2 3" xfId="17869"/>
    <cellStyle name="40% - Акцент6 3" xfId="38"/>
    <cellStyle name="40% - Акцент6 3 2" xfId="17871"/>
    <cellStyle name="60% - Акцент1 2" xfId="39"/>
    <cellStyle name="60% - Акцент1 2 2" xfId="40"/>
    <cellStyle name="60% - Акцент1 2 2 2" xfId="17873"/>
    <cellStyle name="60% - Акцент1 2 3" xfId="17872"/>
    <cellStyle name="60% - Акцент1 3" xfId="41"/>
    <cellStyle name="60% - Акцент1 3 2" xfId="17874"/>
    <cellStyle name="60% - Акцент2 2" xfId="42"/>
    <cellStyle name="60% - Акцент2 2 2" xfId="43"/>
    <cellStyle name="60% - Акцент2 2 2 2" xfId="17876"/>
    <cellStyle name="60% - Акцент2 2 3" xfId="17875"/>
    <cellStyle name="60% - Акцент2 3" xfId="44"/>
    <cellStyle name="60% - Акцент2 3 2" xfId="17877"/>
    <cellStyle name="60% - Акцент3 2" xfId="45"/>
    <cellStyle name="60% - Акцент3 2 2" xfId="46"/>
    <cellStyle name="60% - Акцент3 2 2 2" xfId="17879"/>
    <cellStyle name="60% - Акцент3 2 3" xfId="17878"/>
    <cellStyle name="60% - Акцент3 2 4" xfId="19615"/>
    <cellStyle name="60% - Акцент3 3" xfId="47"/>
    <cellStyle name="60% - Акцент3 3 2" xfId="17880"/>
    <cellStyle name="60% - Акцент3 3 3" xfId="19616"/>
    <cellStyle name="60% - Акцент4 2" xfId="48"/>
    <cellStyle name="60% - Акцент4 2 2" xfId="49"/>
    <cellStyle name="60% - Акцент4 2 2 2" xfId="17882"/>
    <cellStyle name="60% - Акцент4 2 3" xfId="17881"/>
    <cellStyle name="60% - Акцент4 2 4" xfId="19617"/>
    <cellStyle name="60% - Акцент4 3" xfId="50"/>
    <cellStyle name="60% - Акцент4 3 2" xfId="17883"/>
    <cellStyle name="60% - Акцент4 3 3" xfId="19618"/>
    <cellStyle name="60% - Акцент5 2" xfId="51"/>
    <cellStyle name="60% - Акцент5 2 2" xfId="52"/>
    <cellStyle name="60% - Акцент5 2 2 2" xfId="17885"/>
    <cellStyle name="60% - Акцент5 2 3" xfId="17884"/>
    <cellStyle name="60% - Акцент5 3" xfId="53"/>
    <cellStyle name="60% - Акцент5 3 2" xfId="17886"/>
    <cellStyle name="60% - Акцент6 2" xfId="54"/>
    <cellStyle name="60% - Акцент6 2 2" xfId="55"/>
    <cellStyle name="60% - Акцент6 2 2 2" xfId="17888"/>
    <cellStyle name="60% - Акцент6 2 3" xfId="17887"/>
    <cellStyle name="60% - Акцент6 2 4" xfId="19619"/>
    <cellStyle name="60% - Акцент6 3" xfId="56"/>
    <cellStyle name="60% - Акцент6 3 2" xfId="17889"/>
    <cellStyle name="60% - Акцент6 3 3" xfId="19620"/>
    <cellStyle name="Excel Built-in Bad" xfId="17834"/>
    <cellStyle name="Excel Built-in Bad 1" xfId="17830"/>
    <cellStyle name="Excel Built-in Normal" xfId="17890"/>
    <cellStyle name="Excel Built-in Normal 1" xfId="17831"/>
    <cellStyle name="Excel Built-in Normal 1 1" xfId="17892"/>
    <cellStyle name="Excel Built-in Normal 1 1 1" xfId="17893"/>
    <cellStyle name="Excel Built-in Normal 1 2" xfId="17891"/>
    <cellStyle name="Excel Built-in Normal 2" xfId="17829"/>
    <cellStyle name="Excel Built-in Normal 2 2" xfId="17894"/>
    <cellStyle name="Excel Built-in Normal 3" xfId="17833"/>
    <cellStyle name="Excel Built-in Normal 3 2" xfId="17895"/>
    <cellStyle name="Excel Built-in Normal 4" xfId="17832"/>
    <cellStyle name="Excel Built-in Normal 5" xfId="22882"/>
    <cellStyle name="Excel Built-in Normal_Xl0001228" xfId="22879"/>
    <cellStyle name="Hyperlink_FNX Model Template" xfId="57"/>
    <cellStyle name="Input 1" xfId="58"/>
    <cellStyle name="Input 1 2" xfId="17896"/>
    <cellStyle name="Normal_FNX Features" xfId="59"/>
    <cellStyle name="TableStyleLight1" xfId="60"/>
    <cellStyle name="TableStyleLight1 2" xfId="17897"/>
    <cellStyle name="TableStyleLight1 3" xfId="22880"/>
    <cellStyle name="Title 3" xfId="61"/>
    <cellStyle name="Title 3 2" xfId="17898"/>
    <cellStyle name="Title 4" xfId="62"/>
    <cellStyle name="Title 4 2" xfId="17899"/>
    <cellStyle name="Акцент1 2" xfId="63"/>
    <cellStyle name="Акцент1 2 2" xfId="64"/>
    <cellStyle name="Акцент1 2 2 2" xfId="17901"/>
    <cellStyle name="Акцент1 2 3" xfId="17900"/>
    <cellStyle name="Акцент1 3" xfId="65"/>
    <cellStyle name="Акцент1 3 2" xfId="17902"/>
    <cellStyle name="Акцент2 2" xfId="66"/>
    <cellStyle name="Акцент2 2 2" xfId="67"/>
    <cellStyle name="Акцент2 2 2 2" xfId="17904"/>
    <cellStyle name="Акцент2 2 3" xfId="17903"/>
    <cellStyle name="Акцент2 3" xfId="68"/>
    <cellStyle name="Акцент2 3 2" xfId="17905"/>
    <cellStyle name="Акцент3 2" xfId="69"/>
    <cellStyle name="Акцент3 2 2" xfId="70"/>
    <cellStyle name="Акцент3 2 2 2" xfId="17907"/>
    <cellStyle name="Акцент3 2 3" xfId="17906"/>
    <cellStyle name="Акцент3 3" xfId="71"/>
    <cellStyle name="Акцент3 3 2" xfId="17908"/>
    <cellStyle name="Акцент4 2" xfId="72"/>
    <cellStyle name="Акцент4 2 2" xfId="73"/>
    <cellStyle name="Акцент4 2 2 2" xfId="17910"/>
    <cellStyle name="Акцент4 2 3" xfId="17909"/>
    <cellStyle name="Акцент4 3" xfId="74"/>
    <cellStyle name="Акцент4 3 2" xfId="17911"/>
    <cellStyle name="Акцент5 2" xfId="75"/>
    <cellStyle name="Акцент5 2 2" xfId="76"/>
    <cellStyle name="Акцент5 2 2 2" xfId="17913"/>
    <cellStyle name="Акцент5 2 3" xfId="17912"/>
    <cellStyle name="Акцент5 3" xfId="77"/>
    <cellStyle name="Акцент5 3 2" xfId="17914"/>
    <cellStyle name="Акцент6 2" xfId="78"/>
    <cellStyle name="Акцент6 2 2" xfId="79"/>
    <cellStyle name="Акцент6 2 2 2" xfId="17916"/>
    <cellStyle name="Акцент6 2 3" xfId="17915"/>
    <cellStyle name="Акцент6 3" xfId="80"/>
    <cellStyle name="Акцент6 3 2" xfId="17917"/>
    <cellStyle name="Ввод  2" xfId="81"/>
    <cellStyle name="Ввод  2 2" xfId="82"/>
    <cellStyle name="Ввод  2 2 10" xfId="83"/>
    <cellStyle name="Ввод  2 2 11" xfId="84"/>
    <cellStyle name="Ввод  2 2 12" xfId="85"/>
    <cellStyle name="Ввод  2 2 13" xfId="86"/>
    <cellStyle name="Ввод  2 2 14" xfId="87"/>
    <cellStyle name="Ввод  2 2 15" xfId="88"/>
    <cellStyle name="Ввод  2 2 16" xfId="89"/>
    <cellStyle name="Ввод  2 2 17" xfId="90"/>
    <cellStyle name="Ввод  2 2 18" xfId="17919"/>
    <cellStyle name="Ввод  2 2 19" xfId="19650"/>
    <cellStyle name="Ввод  2 2 2" xfId="91"/>
    <cellStyle name="Ввод  2 2 2 10" xfId="92"/>
    <cellStyle name="Ввод  2 2 2 11" xfId="93"/>
    <cellStyle name="Ввод  2 2 2 12" xfId="94"/>
    <cellStyle name="Ввод  2 2 2 13" xfId="95"/>
    <cellStyle name="Ввод  2 2 2 14" xfId="96"/>
    <cellStyle name="Ввод  2 2 2 15" xfId="97"/>
    <cellStyle name="Ввод  2 2 2 16" xfId="98"/>
    <cellStyle name="Ввод  2 2 2 17" xfId="99"/>
    <cellStyle name="Ввод  2 2 2 18" xfId="17920"/>
    <cellStyle name="Ввод  2 2 2 19" xfId="19651"/>
    <cellStyle name="Ввод  2 2 2 2" xfId="100"/>
    <cellStyle name="Ввод  2 2 2 2 2" xfId="101"/>
    <cellStyle name="Ввод  2 2 2 2 3" xfId="102"/>
    <cellStyle name="Ввод  2 2 2 2 4" xfId="103"/>
    <cellStyle name="Ввод  2 2 2 3" xfId="104"/>
    <cellStyle name="Ввод  2 2 2 3 2" xfId="105"/>
    <cellStyle name="Ввод  2 2 2 3 3" xfId="106"/>
    <cellStyle name="Ввод  2 2 2 3 4" xfId="107"/>
    <cellStyle name="Ввод  2 2 2 4" xfId="108"/>
    <cellStyle name="Ввод  2 2 2 4 2" xfId="109"/>
    <cellStyle name="Ввод  2 2 2 4 3" xfId="110"/>
    <cellStyle name="Ввод  2 2 2 4 4" xfId="111"/>
    <cellStyle name="Ввод  2 2 2 5" xfId="112"/>
    <cellStyle name="Ввод  2 2 2 6" xfId="113"/>
    <cellStyle name="Ввод  2 2 2 7" xfId="114"/>
    <cellStyle name="Ввод  2 2 2 8" xfId="115"/>
    <cellStyle name="Ввод  2 2 2 9" xfId="116"/>
    <cellStyle name="Ввод  2 2 3" xfId="117"/>
    <cellStyle name="Ввод  2 2 3 2" xfId="118"/>
    <cellStyle name="Ввод  2 2 3 3" xfId="119"/>
    <cellStyle name="Ввод  2 2 3 4" xfId="120"/>
    <cellStyle name="Ввод  2 2 4" xfId="121"/>
    <cellStyle name="Ввод  2 2 4 2" xfId="122"/>
    <cellStyle name="Ввод  2 2 4 3" xfId="123"/>
    <cellStyle name="Ввод  2 2 4 4" xfId="124"/>
    <cellStyle name="Ввод  2 2 5" xfId="125"/>
    <cellStyle name="Ввод  2 2 5 2" xfId="126"/>
    <cellStyle name="Ввод  2 2 5 3" xfId="127"/>
    <cellStyle name="Ввод  2 2 5 4" xfId="128"/>
    <cellStyle name="Ввод  2 2 6" xfId="129"/>
    <cellStyle name="Ввод  2 2 7" xfId="130"/>
    <cellStyle name="Ввод  2 2 8" xfId="131"/>
    <cellStyle name="Ввод  2 2 9" xfId="132"/>
    <cellStyle name="Ввод  2 3" xfId="17918"/>
    <cellStyle name="Ввод  3" xfId="133"/>
    <cellStyle name="Ввод  3 2" xfId="17921"/>
    <cellStyle name="Вывод 2" xfId="134"/>
    <cellStyle name="Вывод 2 2" xfId="135"/>
    <cellStyle name="Вывод 2 2 10" xfId="136"/>
    <cellStyle name="Вывод 2 2 11" xfId="137"/>
    <cellStyle name="Вывод 2 2 12" xfId="138"/>
    <cellStyle name="Вывод 2 2 13" xfId="139"/>
    <cellStyle name="Вывод 2 2 14" xfId="140"/>
    <cellStyle name="Вывод 2 2 15" xfId="141"/>
    <cellStyle name="Вывод 2 2 16" xfId="142"/>
    <cellStyle name="Вывод 2 2 17" xfId="143"/>
    <cellStyle name="Вывод 2 2 18" xfId="17923"/>
    <cellStyle name="Вывод 2 2 19" xfId="19652"/>
    <cellStyle name="Вывод 2 2 2" xfId="144"/>
    <cellStyle name="Вывод 2 2 2 10" xfId="145"/>
    <cellStyle name="Вывод 2 2 2 11" xfId="146"/>
    <cellStyle name="Вывод 2 2 2 12" xfId="147"/>
    <cellStyle name="Вывод 2 2 2 13" xfId="148"/>
    <cellStyle name="Вывод 2 2 2 14" xfId="149"/>
    <cellStyle name="Вывод 2 2 2 15" xfId="150"/>
    <cellStyle name="Вывод 2 2 2 16" xfId="151"/>
    <cellStyle name="Вывод 2 2 2 17" xfId="17924"/>
    <cellStyle name="Вывод 2 2 2 18" xfId="19653"/>
    <cellStyle name="Вывод 2 2 2 2" xfId="152"/>
    <cellStyle name="Вывод 2 2 2 2 2" xfId="153"/>
    <cellStyle name="Вывод 2 2 2 2 3" xfId="154"/>
    <cellStyle name="Вывод 2 2 2 3" xfId="155"/>
    <cellStyle name="Вывод 2 2 2 3 2" xfId="156"/>
    <cellStyle name="Вывод 2 2 2 3 3" xfId="157"/>
    <cellStyle name="Вывод 2 2 2 4" xfId="158"/>
    <cellStyle name="Вывод 2 2 2 4 2" xfId="159"/>
    <cellStyle name="Вывод 2 2 2 4 3" xfId="160"/>
    <cellStyle name="Вывод 2 2 2 5" xfId="161"/>
    <cellStyle name="Вывод 2 2 2 6" xfId="162"/>
    <cellStyle name="Вывод 2 2 2 7" xfId="163"/>
    <cellStyle name="Вывод 2 2 2 8" xfId="164"/>
    <cellStyle name="Вывод 2 2 2 9" xfId="165"/>
    <cellStyle name="Вывод 2 2 3" xfId="166"/>
    <cellStyle name="Вывод 2 2 3 2" xfId="167"/>
    <cellStyle name="Вывод 2 2 3 3" xfId="168"/>
    <cellStyle name="Вывод 2 2 4" xfId="169"/>
    <cellStyle name="Вывод 2 2 4 2" xfId="170"/>
    <cellStyle name="Вывод 2 2 4 3" xfId="171"/>
    <cellStyle name="Вывод 2 2 5" xfId="172"/>
    <cellStyle name="Вывод 2 2 5 2" xfId="173"/>
    <cellStyle name="Вывод 2 2 5 3" xfId="174"/>
    <cellStyle name="Вывод 2 2 6" xfId="175"/>
    <cellStyle name="Вывод 2 2 7" xfId="176"/>
    <cellStyle name="Вывод 2 2 8" xfId="177"/>
    <cellStyle name="Вывод 2 2 9" xfId="178"/>
    <cellStyle name="Вывод 2 3" xfId="17922"/>
    <cellStyle name="Вывод 3" xfId="179"/>
    <cellStyle name="Вывод 3 2" xfId="17925"/>
    <cellStyle name="Вычисление 2" xfId="180"/>
    <cellStyle name="Вычисление 2 2" xfId="181"/>
    <cellStyle name="Вычисление 2 2 10" xfId="182"/>
    <cellStyle name="Вычисление 2 2 11" xfId="183"/>
    <cellStyle name="Вычисление 2 2 12" xfId="184"/>
    <cellStyle name="Вычисление 2 2 13" xfId="185"/>
    <cellStyle name="Вычисление 2 2 14" xfId="186"/>
    <cellStyle name="Вычисление 2 2 15" xfId="187"/>
    <cellStyle name="Вычисление 2 2 16" xfId="188"/>
    <cellStyle name="Вычисление 2 2 17" xfId="189"/>
    <cellStyle name="Вычисление 2 2 18" xfId="17927"/>
    <cellStyle name="Вычисление 2 2 19" xfId="19654"/>
    <cellStyle name="Вычисление 2 2 2" xfId="190"/>
    <cellStyle name="Вычисление 2 2 2 10" xfId="191"/>
    <cellStyle name="Вычисление 2 2 2 11" xfId="192"/>
    <cellStyle name="Вычисление 2 2 2 12" xfId="193"/>
    <cellStyle name="Вычисление 2 2 2 13" xfId="194"/>
    <cellStyle name="Вычисление 2 2 2 14" xfId="195"/>
    <cellStyle name="Вычисление 2 2 2 15" xfId="196"/>
    <cellStyle name="Вычисление 2 2 2 16" xfId="197"/>
    <cellStyle name="Вычисление 2 2 2 17" xfId="198"/>
    <cellStyle name="Вычисление 2 2 2 18" xfId="17928"/>
    <cellStyle name="Вычисление 2 2 2 19" xfId="19655"/>
    <cellStyle name="Вычисление 2 2 2 2" xfId="199"/>
    <cellStyle name="Вычисление 2 2 2 2 2" xfId="200"/>
    <cellStyle name="Вычисление 2 2 2 2 3" xfId="201"/>
    <cellStyle name="Вычисление 2 2 2 2 4" xfId="202"/>
    <cellStyle name="Вычисление 2 2 2 3" xfId="203"/>
    <cellStyle name="Вычисление 2 2 2 3 2" xfId="204"/>
    <cellStyle name="Вычисление 2 2 2 3 3" xfId="205"/>
    <cellStyle name="Вычисление 2 2 2 3 4" xfId="206"/>
    <cellStyle name="Вычисление 2 2 2 4" xfId="207"/>
    <cellStyle name="Вычисление 2 2 2 4 2" xfId="208"/>
    <cellStyle name="Вычисление 2 2 2 4 3" xfId="209"/>
    <cellStyle name="Вычисление 2 2 2 4 4" xfId="210"/>
    <cellStyle name="Вычисление 2 2 2 5" xfId="211"/>
    <cellStyle name="Вычисление 2 2 2 6" xfId="212"/>
    <cellStyle name="Вычисление 2 2 2 7" xfId="213"/>
    <cellStyle name="Вычисление 2 2 2 8" xfId="214"/>
    <cellStyle name="Вычисление 2 2 2 9" xfId="215"/>
    <cellStyle name="Вычисление 2 2 3" xfId="216"/>
    <cellStyle name="Вычисление 2 2 3 2" xfId="217"/>
    <cellStyle name="Вычисление 2 2 3 3" xfId="218"/>
    <cellStyle name="Вычисление 2 2 3 4" xfId="219"/>
    <cellStyle name="Вычисление 2 2 4" xfId="220"/>
    <cellStyle name="Вычисление 2 2 4 2" xfId="221"/>
    <cellStyle name="Вычисление 2 2 4 3" xfId="222"/>
    <cellStyle name="Вычисление 2 2 4 4" xfId="223"/>
    <cellStyle name="Вычисление 2 2 5" xfId="224"/>
    <cellStyle name="Вычисление 2 2 5 2" xfId="225"/>
    <cellStyle name="Вычисление 2 2 5 3" xfId="226"/>
    <cellStyle name="Вычисление 2 2 5 4" xfId="227"/>
    <cellStyle name="Вычисление 2 2 6" xfId="228"/>
    <cellStyle name="Вычисление 2 2 7" xfId="229"/>
    <cellStyle name="Вычисление 2 2 8" xfId="230"/>
    <cellStyle name="Вычисление 2 2 9" xfId="231"/>
    <cellStyle name="Вычисление 2 3" xfId="17926"/>
    <cellStyle name="Вычисление 3" xfId="232"/>
    <cellStyle name="Вычисление 3 2" xfId="17929"/>
    <cellStyle name="Гиперссылка" xfId="22893" builtinId="8"/>
    <cellStyle name="Денежный" xfId="2" builtinId="4"/>
    <cellStyle name="Денежный 2" xfId="233"/>
    <cellStyle name="Денежный 2 2" xfId="17931"/>
    <cellStyle name="Денежный 3" xfId="17930"/>
    <cellStyle name="Заголовок 1 2" xfId="234"/>
    <cellStyle name="Заголовок 1 2 2" xfId="235"/>
    <cellStyle name="Заголовок 1 2 2 2" xfId="17933"/>
    <cellStyle name="Заголовок 1 2 3" xfId="17932"/>
    <cellStyle name="Заголовок 1 3" xfId="236"/>
    <cellStyle name="Заголовок 1 3 2" xfId="17934"/>
    <cellStyle name="Заголовок 2 2" xfId="237"/>
    <cellStyle name="Заголовок 2 2 2" xfId="238"/>
    <cellStyle name="Заголовок 2 2 2 2" xfId="17936"/>
    <cellStyle name="Заголовок 2 2 3" xfId="17935"/>
    <cellStyle name="Заголовок 2 3" xfId="239"/>
    <cellStyle name="Заголовок 2 3 2" xfId="17937"/>
    <cellStyle name="Заголовок 3 2" xfId="240"/>
    <cellStyle name="Заголовок 3 2 2" xfId="241"/>
    <cellStyle name="Заголовок 3 2 2 2" xfId="17939"/>
    <cellStyle name="Заголовок 3 2 3" xfId="17938"/>
    <cellStyle name="Заголовок 3 3" xfId="242"/>
    <cellStyle name="Заголовок 3 3 2" xfId="17940"/>
    <cellStyle name="Заголовок 4 2" xfId="243"/>
    <cellStyle name="Заголовок 4 2 2" xfId="244"/>
    <cellStyle name="Заголовок 4 2 2 2" xfId="17942"/>
    <cellStyle name="Заголовок 4 2 3" xfId="17941"/>
    <cellStyle name="Заголовок 4 3" xfId="245"/>
    <cellStyle name="Заголовок 4 3 2" xfId="17943"/>
    <cellStyle name="Итог 2" xfId="246"/>
    <cellStyle name="Итог 2 2" xfId="247"/>
    <cellStyle name="Итог 2 2 10" xfId="248"/>
    <cellStyle name="Итог 2 2 11" xfId="249"/>
    <cellStyle name="Итог 2 2 12" xfId="250"/>
    <cellStyle name="Итог 2 2 13" xfId="251"/>
    <cellStyle name="Итог 2 2 14" xfId="252"/>
    <cellStyle name="Итог 2 2 15" xfId="253"/>
    <cellStyle name="Итог 2 2 16" xfId="254"/>
    <cellStyle name="Итог 2 2 17" xfId="255"/>
    <cellStyle name="Итог 2 2 18" xfId="19657"/>
    <cellStyle name="Итог 2 2 2" xfId="256"/>
    <cellStyle name="Итог 2 2 2 10" xfId="257"/>
    <cellStyle name="Итог 2 2 2 11" xfId="258"/>
    <cellStyle name="Итог 2 2 2 12" xfId="259"/>
    <cellStyle name="Итог 2 2 2 13" xfId="260"/>
    <cellStyle name="Итог 2 2 2 14" xfId="261"/>
    <cellStyle name="Итог 2 2 2 15" xfId="262"/>
    <cellStyle name="Итог 2 2 2 16" xfId="263"/>
    <cellStyle name="Итог 2 2 2 17" xfId="264"/>
    <cellStyle name="Итог 2 2 2 18" xfId="19658"/>
    <cellStyle name="Итог 2 2 2 2" xfId="265"/>
    <cellStyle name="Итог 2 2 2 2 2" xfId="266"/>
    <cellStyle name="Итог 2 2 2 2 3" xfId="267"/>
    <cellStyle name="Итог 2 2 2 2 4" xfId="268"/>
    <cellStyle name="Итог 2 2 2 3" xfId="269"/>
    <cellStyle name="Итог 2 2 2 3 2" xfId="270"/>
    <cellStyle name="Итог 2 2 2 3 3" xfId="271"/>
    <cellStyle name="Итог 2 2 2 3 4" xfId="272"/>
    <cellStyle name="Итог 2 2 2 4" xfId="273"/>
    <cellStyle name="Итог 2 2 2 4 2" xfId="274"/>
    <cellStyle name="Итог 2 2 2 4 3" xfId="275"/>
    <cellStyle name="Итог 2 2 2 4 4" xfId="276"/>
    <cellStyle name="Итог 2 2 2 5" xfId="277"/>
    <cellStyle name="Итог 2 2 2 6" xfId="278"/>
    <cellStyle name="Итог 2 2 2 7" xfId="279"/>
    <cellStyle name="Итог 2 2 2 8" xfId="280"/>
    <cellStyle name="Итог 2 2 2 9" xfId="281"/>
    <cellStyle name="Итог 2 2 3" xfId="282"/>
    <cellStyle name="Итог 2 2 3 2" xfId="283"/>
    <cellStyle name="Итог 2 2 3 3" xfId="284"/>
    <cellStyle name="Итог 2 2 3 4" xfId="285"/>
    <cellStyle name="Итог 2 2 4" xfId="286"/>
    <cellStyle name="Итог 2 2 4 2" xfId="287"/>
    <cellStyle name="Итог 2 2 4 3" xfId="288"/>
    <cellStyle name="Итог 2 2 4 4" xfId="289"/>
    <cellStyle name="Итог 2 2 5" xfId="290"/>
    <cellStyle name="Итог 2 2 5 2" xfId="291"/>
    <cellStyle name="Итог 2 2 5 3" xfId="292"/>
    <cellStyle name="Итог 2 2 5 4" xfId="293"/>
    <cellStyle name="Итог 2 2 6" xfId="294"/>
    <cellStyle name="Итог 2 2 7" xfId="295"/>
    <cellStyle name="Итог 2 2 8" xfId="296"/>
    <cellStyle name="Итог 2 2 9" xfId="297"/>
    <cellStyle name="Итог 2 3" xfId="17944"/>
    <cellStyle name="Итог 3" xfId="298"/>
    <cellStyle name="Итог 3 2" xfId="17945"/>
    <cellStyle name="Контрольная ячейка 2" xfId="299"/>
    <cellStyle name="Контрольная ячейка 2 2" xfId="300"/>
    <cellStyle name="Контрольная ячейка 2 2 2" xfId="17947"/>
    <cellStyle name="Контрольная ячейка 2 3" xfId="17946"/>
    <cellStyle name="Контрольная ячейка 3" xfId="301"/>
    <cellStyle name="Контрольная ячейка 3 2" xfId="17948"/>
    <cellStyle name="Название" xfId="19603" builtinId="15" customBuiltin="1"/>
    <cellStyle name="Название 2" xfId="302"/>
    <cellStyle name="Название 2 2" xfId="17950"/>
    <cellStyle name="Название 3" xfId="17949"/>
    <cellStyle name="Нейтральный 2" xfId="303"/>
    <cellStyle name="Нейтральный 2 2" xfId="304"/>
    <cellStyle name="Нейтральный 2 2 2" xfId="17952"/>
    <cellStyle name="Нейтральный 2 3" xfId="17951"/>
    <cellStyle name="Нейтральный 3" xfId="305"/>
    <cellStyle name="Нейтральный 3 2" xfId="17953"/>
    <cellStyle name="Обычный" xfId="0" builtinId="0"/>
    <cellStyle name="Обычный 10" xfId="306"/>
    <cellStyle name="Обычный 10 10" xfId="307"/>
    <cellStyle name="Обычный 10 10 10" xfId="308"/>
    <cellStyle name="Обычный 10 10 11" xfId="309"/>
    <cellStyle name="Обычный 10 10 12" xfId="17955"/>
    <cellStyle name="Обычный 10 10 13" xfId="19660"/>
    <cellStyle name="Обычный 10 10 14" xfId="21274"/>
    <cellStyle name="Обычный 10 10 2" xfId="310"/>
    <cellStyle name="Обычный 10 10 2 10" xfId="311"/>
    <cellStyle name="Обычный 10 10 2 11" xfId="17956"/>
    <cellStyle name="Обычный 10 10 2 12" xfId="19661"/>
    <cellStyle name="Обычный 10 10 2 13" xfId="21275"/>
    <cellStyle name="Обычный 10 10 2 2" xfId="312"/>
    <cellStyle name="Обычный 10 10 2 2 2" xfId="313"/>
    <cellStyle name="Обычный 10 10 2 3" xfId="314"/>
    <cellStyle name="Обычный 10 10 2 4" xfId="315"/>
    <cellStyle name="Обычный 10 10 2 5" xfId="316"/>
    <cellStyle name="Обычный 10 10 2 6" xfId="317"/>
    <cellStyle name="Обычный 10 10 2 7" xfId="318"/>
    <cellStyle name="Обычный 10 10 2 8" xfId="319"/>
    <cellStyle name="Обычный 10 10 2 9" xfId="320"/>
    <cellStyle name="Обычный 10 10 3" xfId="321"/>
    <cellStyle name="Обычный 10 10 3 2" xfId="322"/>
    <cellStyle name="Обычный 10 10 4" xfId="323"/>
    <cellStyle name="Обычный 10 10 5" xfId="324"/>
    <cellStyle name="Обычный 10 10 6" xfId="325"/>
    <cellStyle name="Обычный 10 10 7" xfId="326"/>
    <cellStyle name="Обычный 10 10 8" xfId="327"/>
    <cellStyle name="Обычный 10 10 9" xfId="328"/>
    <cellStyle name="Обычный 10 11" xfId="329"/>
    <cellStyle name="Обычный 10 11 10" xfId="330"/>
    <cellStyle name="Обычный 10 11 11" xfId="17957"/>
    <cellStyle name="Обычный 10 11 12" xfId="19662"/>
    <cellStyle name="Обычный 10 11 13" xfId="21276"/>
    <cellStyle name="Обычный 10 11 2" xfId="331"/>
    <cellStyle name="Обычный 10 11 2 2" xfId="332"/>
    <cellStyle name="Обычный 10 11 3" xfId="333"/>
    <cellStyle name="Обычный 10 11 4" xfId="334"/>
    <cellStyle name="Обычный 10 11 5" xfId="335"/>
    <cellStyle name="Обычный 10 11 6" xfId="336"/>
    <cellStyle name="Обычный 10 11 7" xfId="337"/>
    <cellStyle name="Обычный 10 11 8" xfId="338"/>
    <cellStyle name="Обычный 10 11 9" xfId="339"/>
    <cellStyle name="Обычный 10 12" xfId="340"/>
    <cellStyle name="Обычный 10 12 10" xfId="19663"/>
    <cellStyle name="Обычный 10 12 11" xfId="21277"/>
    <cellStyle name="Обычный 10 12 2" xfId="341"/>
    <cellStyle name="Обычный 10 12 2 2" xfId="342"/>
    <cellStyle name="Обычный 10 12 3" xfId="343"/>
    <cellStyle name="Обычный 10 12 4" xfId="344"/>
    <cellStyle name="Обычный 10 12 5" xfId="345"/>
    <cellStyle name="Обычный 10 12 6" xfId="346"/>
    <cellStyle name="Обычный 10 12 7" xfId="347"/>
    <cellStyle name="Обычный 10 12 8" xfId="348"/>
    <cellStyle name="Обычный 10 12 9" xfId="17958"/>
    <cellStyle name="Обычный 10 13" xfId="349"/>
    <cellStyle name="Обычный 10 13 10" xfId="19664"/>
    <cellStyle name="Обычный 10 13 11" xfId="21278"/>
    <cellStyle name="Обычный 10 13 2" xfId="350"/>
    <cellStyle name="Обычный 10 13 2 2" xfId="351"/>
    <cellStyle name="Обычный 10 13 3" xfId="352"/>
    <cellStyle name="Обычный 10 13 4" xfId="353"/>
    <cellStyle name="Обычный 10 13 5" xfId="354"/>
    <cellStyle name="Обычный 10 13 6" xfId="355"/>
    <cellStyle name="Обычный 10 13 7" xfId="356"/>
    <cellStyle name="Обычный 10 13 8" xfId="357"/>
    <cellStyle name="Обычный 10 13 9" xfId="17959"/>
    <cellStyle name="Обычный 10 14" xfId="358"/>
    <cellStyle name="Обычный 10 14 2" xfId="359"/>
    <cellStyle name="Обычный 10 15" xfId="360"/>
    <cellStyle name="Обычный 10 16" xfId="361"/>
    <cellStyle name="Обычный 10 17" xfId="362"/>
    <cellStyle name="Обычный 10 18" xfId="363"/>
    <cellStyle name="Обычный 10 19" xfId="364"/>
    <cellStyle name="Обычный 10 2" xfId="365"/>
    <cellStyle name="Обычный 10 2 10" xfId="366"/>
    <cellStyle name="Обычный 10 2 10 2" xfId="367"/>
    <cellStyle name="Обычный 10 2 11" xfId="368"/>
    <cellStyle name="Обычный 10 2 12" xfId="369"/>
    <cellStyle name="Обычный 10 2 13" xfId="370"/>
    <cellStyle name="Обычный 10 2 14" xfId="371"/>
    <cellStyle name="Обычный 10 2 15" xfId="372"/>
    <cellStyle name="Обычный 10 2 16" xfId="373"/>
    <cellStyle name="Обычный 10 2 17" xfId="374"/>
    <cellStyle name="Обычный 10 2 18" xfId="375"/>
    <cellStyle name="Обычный 10 2 19" xfId="376"/>
    <cellStyle name="Обычный 10 2 2" xfId="377"/>
    <cellStyle name="Обычный 10 2 2 10" xfId="378"/>
    <cellStyle name="Обычный 10 2 2 11" xfId="379"/>
    <cellStyle name="Обычный 10 2 2 12" xfId="380"/>
    <cellStyle name="Обычный 10 2 2 13" xfId="381"/>
    <cellStyle name="Обычный 10 2 2 14" xfId="382"/>
    <cellStyle name="Обычный 10 2 2 15" xfId="383"/>
    <cellStyle name="Обычный 10 2 2 16" xfId="384"/>
    <cellStyle name="Обычный 10 2 2 17" xfId="385"/>
    <cellStyle name="Обычный 10 2 2 18" xfId="17961"/>
    <cellStyle name="Обычный 10 2 2 19" xfId="19666"/>
    <cellStyle name="Обычный 10 2 2 2" xfId="386"/>
    <cellStyle name="Обычный 10 2 2 2 10" xfId="387"/>
    <cellStyle name="Обычный 10 2 2 2 11" xfId="388"/>
    <cellStyle name="Обычный 10 2 2 2 12" xfId="17962"/>
    <cellStyle name="Обычный 10 2 2 2 13" xfId="19667"/>
    <cellStyle name="Обычный 10 2 2 2 14" xfId="21281"/>
    <cellStyle name="Обычный 10 2 2 2 2" xfId="389"/>
    <cellStyle name="Обычный 10 2 2 2 2 10" xfId="390"/>
    <cellStyle name="Обычный 10 2 2 2 2 11" xfId="17963"/>
    <cellStyle name="Обычный 10 2 2 2 2 12" xfId="19668"/>
    <cellStyle name="Обычный 10 2 2 2 2 13" xfId="21282"/>
    <cellStyle name="Обычный 10 2 2 2 2 2" xfId="391"/>
    <cellStyle name="Обычный 10 2 2 2 2 2 2" xfId="392"/>
    <cellStyle name="Обычный 10 2 2 2 2 3" xfId="393"/>
    <cellStyle name="Обычный 10 2 2 2 2 4" xfId="394"/>
    <cellStyle name="Обычный 10 2 2 2 2 5" xfId="395"/>
    <cellStyle name="Обычный 10 2 2 2 2 6" xfId="396"/>
    <cellStyle name="Обычный 10 2 2 2 2 7" xfId="397"/>
    <cellStyle name="Обычный 10 2 2 2 2 8" xfId="398"/>
    <cellStyle name="Обычный 10 2 2 2 2 9" xfId="399"/>
    <cellStyle name="Обычный 10 2 2 2 3" xfId="400"/>
    <cellStyle name="Обычный 10 2 2 2 3 2" xfId="401"/>
    <cellStyle name="Обычный 10 2 2 2 4" xfId="402"/>
    <cellStyle name="Обычный 10 2 2 2 5" xfId="403"/>
    <cellStyle name="Обычный 10 2 2 2 6" xfId="404"/>
    <cellStyle name="Обычный 10 2 2 2 7" xfId="405"/>
    <cellStyle name="Обычный 10 2 2 2 8" xfId="406"/>
    <cellStyle name="Обычный 10 2 2 2 9" xfId="407"/>
    <cellStyle name="Обычный 10 2 2 20" xfId="21280"/>
    <cellStyle name="Обычный 10 2 2 3" xfId="408"/>
    <cellStyle name="Обычный 10 2 2 3 10" xfId="409"/>
    <cellStyle name="Обычный 10 2 2 3 11" xfId="410"/>
    <cellStyle name="Обычный 10 2 2 3 12" xfId="17964"/>
    <cellStyle name="Обычный 10 2 2 3 13" xfId="19669"/>
    <cellStyle name="Обычный 10 2 2 3 14" xfId="21283"/>
    <cellStyle name="Обычный 10 2 2 3 2" xfId="411"/>
    <cellStyle name="Обычный 10 2 2 3 2 10" xfId="412"/>
    <cellStyle name="Обычный 10 2 2 3 2 11" xfId="17965"/>
    <cellStyle name="Обычный 10 2 2 3 2 12" xfId="19670"/>
    <cellStyle name="Обычный 10 2 2 3 2 13" xfId="21284"/>
    <cellStyle name="Обычный 10 2 2 3 2 2" xfId="413"/>
    <cellStyle name="Обычный 10 2 2 3 2 2 2" xfId="414"/>
    <cellStyle name="Обычный 10 2 2 3 2 3" xfId="415"/>
    <cellStyle name="Обычный 10 2 2 3 2 4" xfId="416"/>
    <cellStyle name="Обычный 10 2 2 3 2 5" xfId="417"/>
    <cellStyle name="Обычный 10 2 2 3 2 6" xfId="418"/>
    <cellStyle name="Обычный 10 2 2 3 2 7" xfId="419"/>
    <cellStyle name="Обычный 10 2 2 3 2 8" xfId="420"/>
    <cellStyle name="Обычный 10 2 2 3 2 9" xfId="421"/>
    <cellStyle name="Обычный 10 2 2 3 3" xfId="422"/>
    <cellStyle name="Обычный 10 2 2 3 3 2" xfId="423"/>
    <cellStyle name="Обычный 10 2 2 3 4" xfId="424"/>
    <cellStyle name="Обычный 10 2 2 3 5" xfId="425"/>
    <cellStyle name="Обычный 10 2 2 3 6" xfId="426"/>
    <cellStyle name="Обычный 10 2 2 3 7" xfId="427"/>
    <cellStyle name="Обычный 10 2 2 3 8" xfId="428"/>
    <cellStyle name="Обычный 10 2 2 3 9" xfId="429"/>
    <cellStyle name="Обычный 10 2 2 4" xfId="430"/>
    <cellStyle name="Обычный 10 2 2 4 10" xfId="431"/>
    <cellStyle name="Обычный 10 2 2 4 11" xfId="432"/>
    <cellStyle name="Обычный 10 2 2 4 12" xfId="17966"/>
    <cellStyle name="Обычный 10 2 2 4 13" xfId="19671"/>
    <cellStyle name="Обычный 10 2 2 4 14" xfId="21285"/>
    <cellStyle name="Обычный 10 2 2 4 2" xfId="433"/>
    <cellStyle name="Обычный 10 2 2 4 2 10" xfId="434"/>
    <cellStyle name="Обычный 10 2 2 4 2 11" xfId="17967"/>
    <cellStyle name="Обычный 10 2 2 4 2 12" xfId="19672"/>
    <cellStyle name="Обычный 10 2 2 4 2 13" xfId="21286"/>
    <cellStyle name="Обычный 10 2 2 4 2 2" xfId="435"/>
    <cellStyle name="Обычный 10 2 2 4 2 2 2" xfId="436"/>
    <cellStyle name="Обычный 10 2 2 4 2 3" xfId="437"/>
    <cellStyle name="Обычный 10 2 2 4 2 4" xfId="438"/>
    <cellStyle name="Обычный 10 2 2 4 2 5" xfId="439"/>
    <cellStyle name="Обычный 10 2 2 4 2 6" xfId="440"/>
    <cellStyle name="Обычный 10 2 2 4 2 7" xfId="441"/>
    <cellStyle name="Обычный 10 2 2 4 2 8" xfId="442"/>
    <cellStyle name="Обычный 10 2 2 4 2 9" xfId="443"/>
    <cellStyle name="Обычный 10 2 2 4 3" xfId="444"/>
    <cellStyle name="Обычный 10 2 2 4 3 2" xfId="445"/>
    <cellStyle name="Обычный 10 2 2 4 4" xfId="446"/>
    <cellStyle name="Обычный 10 2 2 4 5" xfId="447"/>
    <cellStyle name="Обычный 10 2 2 4 6" xfId="448"/>
    <cellStyle name="Обычный 10 2 2 4 7" xfId="449"/>
    <cellStyle name="Обычный 10 2 2 4 8" xfId="450"/>
    <cellStyle name="Обычный 10 2 2 4 9" xfId="451"/>
    <cellStyle name="Обычный 10 2 2 5" xfId="452"/>
    <cellStyle name="Обычный 10 2 2 5 10" xfId="453"/>
    <cellStyle name="Обычный 10 2 2 5 11" xfId="454"/>
    <cellStyle name="Обычный 10 2 2 5 12" xfId="17968"/>
    <cellStyle name="Обычный 10 2 2 5 13" xfId="19673"/>
    <cellStyle name="Обычный 10 2 2 5 14" xfId="21287"/>
    <cellStyle name="Обычный 10 2 2 5 2" xfId="455"/>
    <cellStyle name="Обычный 10 2 2 5 2 10" xfId="456"/>
    <cellStyle name="Обычный 10 2 2 5 2 11" xfId="17969"/>
    <cellStyle name="Обычный 10 2 2 5 2 12" xfId="19674"/>
    <cellStyle name="Обычный 10 2 2 5 2 13" xfId="21288"/>
    <cellStyle name="Обычный 10 2 2 5 2 2" xfId="457"/>
    <cellStyle name="Обычный 10 2 2 5 2 2 2" xfId="458"/>
    <cellStyle name="Обычный 10 2 2 5 2 3" xfId="459"/>
    <cellStyle name="Обычный 10 2 2 5 2 4" xfId="460"/>
    <cellStyle name="Обычный 10 2 2 5 2 5" xfId="461"/>
    <cellStyle name="Обычный 10 2 2 5 2 6" xfId="462"/>
    <cellStyle name="Обычный 10 2 2 5 2 7" xfId="463"/>
    <cellStyle name="Обычный 10 2 2 5 2 8" xfId="464"/>
    <cellStyle name="Обычный 10 2 2 5 2 9" xfId="465"/>
    <cellStyle name="Обычный 10 2 2 5 3" xfId="466"/>
    <cellStyle name="Обычный 10 2 2 5 3 2" xfId="467"/>
    <cellStyle name="Обычный 10 2 2 5 4" xfId="468"/>
    <cellStyle name="Обычный 10 2 2 5 5" xfId="469"/>
    <cellStyle name="Обычный 10 2 2 5 6" xfId="470"/>
    <cellStyle name="Обычный 10 2 2 5 7" xfId="471"/>
    <cellStyle name="Обычный 10 2 2 5 8" xfId="472"/>
    <cellStyle name="Обычный 10 2 2 5 9" xfId="473"/>
    <cellStyle name="Обычный 10 2 2 6" xfId="474"/>
    <cellStyle name="Обычный 10 2 2 6 10" xfId="475"/>
    <cellStyle name="Обычный 10 2 2 6 11" xfId="17970"/>
    <cellStyle name="Обычный 10 2 2 6 12" xfId="19675"/>
    <cellStyle name="Обычный 10 2 2 6 13" xfId="21289"/>
    <cellStyle name="Обычный 10 2 2 6 2" xfId="476"/>
    <cellStyle name="Обычный 10 2 2 6 2 2" xfId="477"/>
    <cellStyle name="Обычный 10 2 2 6 3" xfId="478"/>
    <cellStyle name="Обычный 10 2 2 6 4" xfId="479"/>
    <cellStyle name="Обычный 10 2 2 6 5" xfId="480"/>
    <cellStyle name="Обычный 10 2 2 6 6" xfId="481"/>
    <cellStyle name="Обычный 10 2 2 6 7" xfId="482"/>
    <cellStyle name="Обычный 10 2 2 6 8" xfId="483"/>
    <cellStyle name="Обычный 10 2 2 6 9" xfId="484"/>
    <cellStyle name="Обычный 10 2 2 7" xfId="485"/>
    <cellStyle name="Обычный 10 2 2 7 10" xfId="19676"/>
    <cellStyle name="Обычный 10 2 2 7 11" xfId="21290"/>
    <cellStyle name="Обычный 10 2 2 7 2" xfId="486"/>
    <cellStyle name="Обычный 10 2 2 7 2 2" xfId="487"/>
    <cellStyle name="Обычный 10 2 2 7 3" xfId="488"/>
    <cellStyle name="Обычный 10 2 2 7 4" xfId="489"/>
    <cellStyle name="Обычный 10 2 2 7 5" xfId="490"/>
    <cellStyle name="Обычный 10 2 2 7 6" xfId="491"/>
    <cellStyle name="Обычный 10 2 2 7 7" xfId="492"/>
    <cellStyle name="Обычный 10 2 2 7 8" xfId="493"/>
    <cellStyle name="Обычный 10 2 2 7 9" xfId="17971"/>
    <cellStyle name="Обычный 10 2 2 8" xfId="494"/>
    <cellStyle name="Обычный 10 2 2 8 2" xfId="495"/>
    <cellStyle name="Обычный 10 2 2 9" xfId="496"/>
    <cellStyle name="Обычный 10 2 20" xfId="17960"/>
    <cellStyle name="Обычный 10 2 21" xfId="19665"/>
    <cellStyle name="Обычный 10 2 22" xfId="21279"/>
    <cellStyle name="Обычный 10 2 3" xfId="497"/>
    <cellStyle name="Обычный 10 2 3 10" xfId="498"/>
    <cellStyle name="Обычный 10 2 3 11" xfId="499"/>
    <cellStyle name="Обычный 10 2 3 12" xfId="500"/>
    <cellStyle name="Обычный 10 2 3 13" xfId="501"/>
    <cellStyle name="Обычный 10 2 3 14" xfId="502"/>
    <cellStyle name="Обычный 10 2 3 15" xfId="503"/>
    <cellStyle name="Обычный 10 2 3 16" xfId="504"/>
    <cellStyle name="Обычный 10 2 3 17" xfId="505"/>
    <cellStyle name="Обычный 10 2 3 18" xfId="17972"/>
    <cellStyle name="Обычный 10 2 3 19" xfId="19677"/>
    <cellStyle name="Обычный 10 2 3 2" xfId="506"/>
    <cellStyle name="Обычный 10 2 3 2 10" xfId="507"/>
    <cellStyle name="Обычный 10 2 3 2 11" xfId="508"/>
    <cellStyle name="Обычный 10 2 3 2 12" xfId="17973"/>
    <cellStyle name="Обычный 10 2 3 2 13" xfId="19678"/>
    <cellStyle name="Обычный 10 2 3 2 14" xfId="21292"/>
    <cellStyle name="Обычный 10 2 3 2 2" xfId="509"/>
    <cellStyle name="Обычный 10 2 3 2 2 10" xfId="510"/>
    <cellStyle name="Обычный 10 2 3 2 2 11" xfId="17974"/>
    <cellStyle name="Обычный 10 2 3 2 2 12" xfId="19679"/>
    <cellStyle name="Обычный 10 2 3 2 2 13" xfId="21293"/>
    <cellStyle name="Обычный 10 2 3 2 2 2" xfId="511"/>
    <cellStyle name="Обычный 10 2 3 2 2 2 2" xfId="512"/>
    <cellStyle name="Обычный 10 2 3 2 2 3" xfId="513"/>
    <cellStyle name="Обычный 10 2 3 2 2 4" xfId="514"/>
    <cellStyle name="Обычный 10 2 3 2 2 5" xfId="515"/>
    <cellStyle name="Обычный 10 2 3 2 2 6" xfId="516"/>
    <cellStyle name="Обычный 10 2 3 2 2 7" xfId="517"/>
    <cellStyle name="Обычный 10 2 3 2 2 8" xfId="518"/>
    <cellStyle name="Обычный 10 2 3 2 2 9" xfId="519"/>
    <cellStyle name="Обычный 10 2 3 2 3" xfId="520"/>
    <cellStyle name="Обычный 10 2 3 2 3 2" xfId="521"/>
    <cellStyle name="Обычный 10 2 3 2 4" xfId="522"/>
    <cellStyle name="Обычный 10 2 3 2 5" xfId="523"/>
    <cellStyle name="Обычный 10 2 3 2 6" xfId="524"/>
    <cellStyle name="Обычный 10 2 3 2 7" xfId="525"/>
    <cellStyle name="Обычный 10 2 3 2 8" xfId="526"/>
    <cellStyle name="Обычный 10 2 3 2 9" xfId="527"/>
    <cellStyle name="Обычный 10 2 3 20" xfId="21291"/>
    <cellStyle name="Обычный 10 2 3 3" xfId="528"/>
    <cellStyle name="Обычный 10 2 3 3 10" xfId="529"/>
    <cellStyle name="Обычный 10 2 3 3 11" xfId="530"/>
    <cellStyle name="Обычный 10 2 3 3 12" xfId="17975"/>
    <cellStyle name="Обычный 10 2 3 3 13" xfId="19680"/>
    <cellStyle name="Обычный 10 2 3 3 14" xfId="21294"/>
    <cellStyle name="Обычный 10 2 3 3 2" xfId="531"/>
    <cellStyle name="Обычный 10 2 3 3 2 10" xfId="532"/>
    <cellStyle name="Обычный 10 2 3 3 2 11" xfId="17976"/>
    <cellStyle name="Обычный 10 2 3 3 2 12" xfId="19681"/>
    <cellStyle name="Обычный 10 2 3 3 2 13" xfId="21295"/>
    <cellStyle name="Обычный 10 2 3 3 2 2" xfId="533"/>
    <cellStyle name="Обычный 10 2 3 3 2 2 2" xfId="534"/>
    <cellStyle name="Обычный 10 2 3 3 2 3" xfId="535"/>
    <cellStyle name="Обычный 10 2 3 3 2 4" xfId="536"/>
    <cellStyle name="Обычный 10 2 3 3 2 5" xfId="537"/>
    <cellStyle name="Обычный 10 2 3 3 2 6" xfId="538"/>
    <cellStyle name="Обычный 10 2 3 3 2 7" xfId="539"/>
    <cellStyle name="Обычный 10 2 3 3 2 8" xfId="540"/>
    <cellStyle name="Обычный 10 2 3 3 2 9" xfId="541"/>
    <cellStyle name="Обычный 10 2 3 3 3" xfId="542"/>
    <cellStyle name="Обычный 10 2 3 3 3 2" xfId="543"/>
    <cellStyle name="Обычный 10 2 3 3 4" xfId="544"/>
    <cellStyle name="Обычный 10 2 3 3 5" xfId="545"/>
    <cellStyle name="Обычный 10 2 3 3 6" xfId="546"/>
    <cellStyle name="Обычный 10 2 3 3 7" xfId="547"/>
    <cellStyle name="Обычный 10 2 3 3 8" xfId="548"/>
    <cellStyle name="Обычный 10 2 3 3 9" xfId="549"/>
    <cellStyle name="Обычный 10 2 3 4" xfId="550"/>
    <cellStyle name="Обычный 10 2 3 4 10" xfId="551"/>
    <cellStyle name="Обычный 10 2 3 4 11" xfId="552"/>
    <cellStyle name="Обычный 10 2 3 4 12" xfId="17977"/>
    <cellStyle name="Обычный 10 2 3 4 13" xfId="19682"/>
    <cellStyle name="Обычный 10 2 3 4 14" xfId="21296"/>
    <cellStyle name="Обычный 10 2 3 4 2" xfId="553"/>
    <cellStyle name="Обычный 10 2 3 4 2 10" xfId="554"/>
    <cellStyle name="Обычный 10 2 3 4 2 11" xfId="17978"/>
    <cellStyle name="Обычный 10 2 3 4 2 12" xfId="19683"/>
    <cellStyle name="Обычный 10 2 3 4 2 13" xfId="21297"/>
    <cellStyle name="Обычный 10 2 3 4 2 2" xfId="555"/>
    <cellStyle name="Обычный 10 2 3 4 2 2 2" xfId="556"/>
    <cellStyle name="Обычный 10 2 3 4 2 3" xfId="557"/>
    <cellStyle name="Обычный 10 2 3 4 2 4" xfId="558"/>
    <cellStyle name="Обычный 10 2 3 4 2 5" xfId="559"/>
    <cellStyle name="Обычный 10 2 3 4 2 6" xfId="560"/>
    <cellStyle name="Обычный 10 2 3 4 2 7" xfId="561"/>
    <cellStyle name="Обычный 10 2 3 4 2 8" xfId="562"/>
    <cellStyle name="Обычный 10 2 3 4 2 9" xfId="563"/>
    <cellStyle name="Обычный 10 2 3 4 3" xfId="564"/>
    <cellStyle name="Обычный 10 2 3 4 3 2" xfId="565"/>
    <cellStyle name="Обычный 10 2 3 4 4" xfId="566"/>
    <cellStyle name="Обычный 10 2 3 4 5" xfId="567"/>
    <cellStyle name="Обычный 10 2 3 4 6" xfId="568"/>
    <cellStyle name="Обычный 10 2 3 4 7" xfId="569"/>
    <cellStyle name="Обычный 10 2 3 4 8" xfId="570"/>
    <cellStyle name="Обычный 10 2 3 4 9" xfId="571"/>
    <cellStyle name="Обычный 10 2 3 5" xfId="572"/>
    <cellStyle name="Обычный 10 2 3 5 10" xfId="573"/>
    <cellStyle name="Обычный 10 2 3 5 11" xfId="574"/>
    <cellStyle name="Обычный 10 2 3 5 12" xfId="17979"/>
    <cellStyle name="Обычный 10 2 3 5 13" xfId="19684"/>
    <cellStyle name="Обычный 10 2 3 5 14" xfId="21298"/>
    <cellStyle name="Обычный 10 2 3 5 2" xfId="575"/>
    <cellStyle name="Обычный 10 2 3 5 2 10" xfId="576"/>
    <cellStyle name="Обычный 10 2 3 5 2 11" xfId="17980"/>
    <cellStyle name="Обычный 10 2 3 5 2 12" xfId="19685"/>
    <cellStyle name="Обычный 10 2 3 5 2 13" xfId="21299"/>
    <cellStyle name="Обычный 10 2 3 5 2 2" xfId="577"/>
    <cellStyle name="Обычный 10 2 3 5 2 2 2" xfId="578"/>
    <cellStyle name="Обычный 10 2 3 5 2 3" xfId="579"/>
    <cellStyle name="Обычный 10 2 3 5 2 4" xfId="580"/>
    <cellStyle name="Обычный 10 2 3 5 2 5" xfId="581"/>
    <cellStyle name="Обычный 10 2 3 5 2 6" xfId="582"/>
    <cellStyle name="Обычный 10 2 3 5 2 7" xfId="583"/>
    <cellStyle name="Обычный 10 2 3 5 2 8" xfId="584"/>
    <cellStyle name="Обычный 10 2 3 5 2 9" xfId="585"/>
    <cellStyle name="Обычный 10 2 3 5 3" xfId="586"/>
    <cellStyle name="Обычный 10 2 3 5 3 2" xfId="587"/>
    <cellStyle name="Обычный 10 2 3 5 4" xfId="588"/>
    <cellStyle name="Обычный 10 2 3 5 5" xfId="589"/>
    <cellStyle name="Обычный 10 2 3 5 6" xfId="590"/>
    <cellStyle name="Обычный 10 2 3 5 7" xfId="591"/>
    <cellStyle name="Обычный 10 2 3 5 8" xfId="592"/>
    <cellStyle name="Обычный 10 2 3 5 9" xfId="593"/>
    <cellStyle name="Обычный 10 2 3 6" xfId="594"/>
    <cellStyle name="Обычный 10 2 3 6 10" xfId="595"/>
    <cellStyle name="Обычный 10 2 3 6 11" xfId="17981"/>
    <cellStyle name="Обычный 10 2 3 6 12" xfId="19686"/>
    <cellStyle name="Обычный 10 2 3 6 13" xfId="21300"/>
    <cellStyle name="Обычный 10 2 3 6 2" xfId="596"/>
    <cellStyle name="Обычный 10 2 3 6 2 2" xfId="597"/>
    <cellStyle name="Обычный 10 2 3 6 3" xfId="598"/>
    <cellStyle name="Обычный 10 2 3 6 4" xfId="599"/>
    <cellStyle name="Обычный 10 2 3 6 5" xfId="600"/>
    <cellStyle name="Обычный 10 2 3 6 6" xfId="601"/>
    <cellStyle name="Обычный 10 2 3 6 7" xfId="602"/>
    <cellStyle name="Обычный 10 2 3 6 8" xfId="603"/>
    <cellStyle name="Обычный 10 2 3 6 9" xfId="604"/>
    <cellStyle name="Обычный 10 2 3 7" xfId="605"/>
    <cellStyle name="Обычный 10 2 3 7 10" xfId="19687"/>
    <cellStyle name="Обычный 10 2 3 7 11" xfId="21301"/>
    <cellStyle name="Обычный 10 2 3 7 2" xfId="606"/>
    <cellStyle name="Обычный 10 2 3 7 2 2" xfId="607"/>
    <cellStyle name="Обычный 10 2 3 7 3" xfId="608"/>
    <cellStyle name="Обычный 10 2 3 7 4" xfId="609"/>
    <cellStyle name="Обычный 10 2 3 7 5" xfId="610"/>
    <cellStyle name="Обычный 10 2 3 7 6" xfId="611"/>
    <cellStyle name="Обычный 10 2 3 7 7" xfId="612"/>
    <cellStyle name="Обычный 10 2 3 7 8" xfId="613"/>
    <cellStyle name="Обычный 10 2 3 7 9" xfId="17982"/>
    <cellStyle name="Обычный 10 2 3 8" xfId="614"/>
    <cellStyle name="Обычный 10 2 3 8 2" xfId="615"/>
    <cellStyle name="Обычный 10 2 3 9" xfId="616"/>
    <cellStyle name="Обычный 10 2 4" xfId="617"/>
    <cellStyle name="Обычный 10 2 4 10" xfId="618"/>
    <cellStyle name="Обычный 10 2 4 11" xfId="619"/>
    <cellStyle name="Обычный 10 2 4 12" xfId="17983"/>
    <cellStyle name="Обычный 10 2 4 13" xfId="19688"/>
    <cellStyle name="Обычный 10 2 4 14" xfId="21302"/>
    <cellStyle name="Обычный 10 2 4 2" xfId="620"/>
    <cellStyle name="Обычный 10 2 4 2 10" xfId="621"/>
    <cellStyle name="Обычный 10 2 4 2 11" xfId="17984"/>
    <cellStyle name="Обычный 10 2 4 2 12" xfId="19689"/>
    <cellStyle name="Обычный 10 2 4 2 13" xfId="21303"/>
    <cellStyle name="Обычный 10 2 4 2 2" xfId="622"/>
    <cellStyle name="Обычный 10 2 4 2 2 2" xfId="623"/>
    <cellStyle name="Обычный 10 2 4 2 3" xfId="624"/>
    <cellStyle name="Обычный 10 2 4 2 4" xfId="625"/>
    <cellStyle name="Обычный 10 2 4 2 5" xfId="626"/>
    <cellStyle name="Обычный 10 2 4 2 6" xfId="627"/>
    <cellStyle name="Обычный 10 2 4 2 7" xfId="628"/>
    <cellStyle name="Обычный 10 2 4 2 8" xfId="629"/>
    <cellStyle name="Обычный 10 2 4 2 9" xfId="630"/>
    <cellStyle name="Обычный 10 2 4 3" xfId="631"/>
    <cellStyle name="Обычный 10 2 4 3 2" xfId="632"/>
    <cellStyle name="Обычный 10 2 4 4" xfId="633"/>
    <cellStyle name="Обычный 10 2 4 5" xfId="634"/>
    <cellStyle name="Обычный 10 2 4 6" xfId="635"/>
    <cellStyle name="Обычный 10 2 4 7" xfId="636"/>
    <cellStyle name="Обычный 10 2 4 8" xfId="637"/>
    <cellStyle name="Обычный 10 2 4 9" xfId="638"/>
    <cellStyle name="Обычный 10 2 5" xfId="639"/>
    <cellStyle name="Обычный 10 2 5 10" xfId="640"/>
    <cellStyle name="Обычный 10 2 5 11" xfId="641"/>
    <cellStyle name="Обычный 10 2 5 12" xfId="17985"/>
    <cellStyle name="Обычный 10 2 5 13" xfId="19690"/>
    <cellStyle name="Обычный 10 2 5 14" xfId="21304"/>
    <cellStyle name="Обычный 10 2 5 2" xfId="642"/>
    <cellStyle name="Обычный 10 2 5 2 10" xfId="643"/>
    <cellStyle name="Обычный 10 2 5 2 11" xfId="17986"/>
    <cellStyle name="Обычный 10 2 5 2 12" xfId="19691"/>
    <cellStyle name="Обычный 10 2 5 2 13" xfId="21305"/>
    <cellStyle name="Обычный 10 2 5 2 2" xfId="644"/>
    <cellStyle name="Обычный 10 2 5 2 2 2" xfId="645"/>
    <cellStyle name="Обычный 10 2 5 2 3" xfId="646"/>
    <cellStyle name="Обычный 10 2 5 2 4" xfId="647"/>
    <cellStyle name="Обычный 10 2 5 2 5" xfId="648"/>
    <cellStyle name="Обычный 10 2 5 2 6" xfId="649"/>
    <cellStyle name="Обычный 10 2 5 2 7" xfId="650"/>
    <cellStyle name="Обычный 10 2 5 2 8" xfId="651"/>
    <cellStyle name="Обычный 10 2 5 2 9" xfId="652"/>
    <cellStyle name="Обычный 10 2 5 3" xfId="653"/>
    <cellStyle name="Обычный 10 2 5 3 2" xfId="654"/>
    <cellStyle name="Обычный 10 2 5 4" xfId="655"/>
    <cellStyle name="Обычный 10 2 5 5" xfId="656"/>
    <cellStyle name="Обычный 10 2 5 6" xfId="657"/>
    <cellStyle name="Обычный 10 2 5 7" xfId="658"/>
    <cellStyle name="Обычный 10 2 5 8" xfId="659"/>
    <cellStyle name="Обычный 10 2 5 9" xfId="660"/>
    <cellStyle name="Обычный 10 2 6" xfId="661"/>
    <cellStyle name="Обычный 10 2 6 10" xfId="662"/>
    <cellStyle name="Обычный 10 2 6 11" xfId="663"/>
    <cellStyle name="Обычный 10 2 6 12" xfId="17987"/>
    <cellStyle name="Обычный 10 2 6 13" xfId="19692"/>
    <cellStyle name="Обычный 10 2 6 14" xfId="21306"/>
    <cellStyle name="Обычный 10 2 6 2" xfId="664"/>
    <cellStyle name="Обычный 10 2 6 2 10" xfId="665"/>
    <cellStyle name="Обычный 10 2 6 2 11" xfId="17988"/>
    <cellStyle name="Обычный 10 2 6 2 12" xfId="19693"/>
    <cellStyle name="Обычный 10 2 6 2 13" xfId="21307"/>
    <cellStyle name="Обычный 10 2 6 2 2" xfId="666"/>
    <cellStyle name="Обычный 10 2 6 2 2 2" xfId="667"/>
    <cellStyle name="Обычный 10 2 6 2 3" xfId="668"/>
    <cellStyle name="Обычный 10 2 6 2 4" xfId="669"/>
    <cellStyle name="Обычный 10 2 6 2 5" xfId="670"/>
    <cellStyle name="Обычный 10 2 6 2 6" xfId="671"/>
    <cellStyle name="Обычный 10 2 6 2 7" xfId="672"/>
    <cellStyle name="Обычный 10 2 6 2 8" xfId="673"/>
    <cellStyle name="Обычный 10 2 6 2 9" xfId="674"/>
    <cellStyle name="Обычный 10 2 6 3" xfId="675"/>
    <cellStyle name="Обычный 10 2 6 3 2" xfId="676"/>
    <cellStyle name="Обычный 10 2 6 4" xfId="677"/>
    <cellStyle name="Обычный 10 2 6 5" xfId="678"/>
    <cellStyle name="Обычный 10 2 6 6" xfId="679"/>
    <cellStyle name="Обычный 10 2 6 7" xfId="680"/>
    <cellStyle name="Обычный 10 2 6 8" xfId="681"/>
    <cellStyle name="Обычный 10 2 6 9" xfId="682"/>
    <cellStyle name="Обычный 10 2 7" xfId="683"/>
    <cellStyle name="Обычный 10 2 7 10" xfId="684"/>
    <cellStyle name="Обычный 10 2 7 11" xfId="685"/>
    <cellStyle name="Обычный 10 2 7 12" xfId="17989"/>
    <cellStyle name="Обычный 10 2 7 13" xfId="19694"/>
    <cellStyle name="Обычный 10 2 7 14" xfId="21308"/>
    <cellStyle name="Обычный 10 2 7 2" xfId="686"/>
    <cellStyle name="Обычный 10 2 7 2 10" xfId="687"/>
    <cellStyle name="Обычный 10 2 7 2 11" xfId="17990"/>
    <cellStyle name="Обычный 10 2 7 2 12" xfId="19695"/>
    <cellStyle name="Обычный 10 2 7 2 13" xfId="21309"/>
    <cellStyle name="Обычный 10 2 7 2 2" xfId="688"/>
    <cellStyle name="Обычный 10 2 7 2 2 2" xfId="689"/>
    <cellStyle name="Обычный 10 2 7 2 3" xfId="690"/>
    <cellStyle name="Обычный 10 2 7 2 4" xfId="691"/>
    <cellStyle name="Обычный 10 2 7 2 5" xfId="692"/>
    <cellStyle name="Обычный 10 2 7 2 6" xfId="693"/>
    <cellStyle name="Обычный 10 2 7 2 7" xfId="694"/>
    <cellStyle name="Обычный 10 2 7 2 8" xfId="695"/>
    <cellStyle name="Обычный 10 2 7 2 9" xfId="696"/>
    <cellStyle name="Обычный 10 2 7 3" xfId="697"/>
    <cellStyle name="Обычный 10 2 7 3 2" xfId="698"/>
    <cellStyle name="Обычный 10 2 7 4" xfId="699"/>
    <cellStyle name="Обычный 10 2 7 5" xfId="700"/>
    <cellStyle name="Обычный 10 2 7 6" xfId="701"/>
    <cellStyle name="Обычный 10 2 7 7" xfId="702"/>
    <cellStyle name="Обычный 10 2 7 8" xfId="703"/>
    <cellStyle name="Обычный 10 2 7 9" xfId="704"/>
    <cellStyle name="Обычный 10 2 8" xfId="705"/>
    <cellStyle name="Обычный 10 2 8 10" xfId="706"/>
    <cellStyle name="Обычный 10 2 8 11" xfId="17991"/>
    <cellStyle name="Обычный 10 2 8 12" xfId="19696"/>
    <cellStyle name="Обычный 10 2 8 13" xfId="21310"/>
    <cellStyle name="Обычный 10 2 8 2" xfId="707"/>
    <cellStyle name="Обычный 10 2 8 2 2" xfId="708"/>
    <cellStyle name="Обычный 10 2 8 3" xfId="709"/>
    <cellStyle name="Обычный 10 2 8 4" xfId="710"/>
    <cellStyle name="Обычный 10 2 8 5" xfId="711"/>
    <cellStyle name="Обычный 10 2 8 6" xfId="712"/>
    <cellStyle name="Обычный 10 2 8 7" xfId="713"/>
    <cellStyle name="Обычный 10 2 8 8" xfId="714"/>
    <cellStyle name="Обычный 10 2 8 9" xfId="715"/>
    <cellStyle name="Обычный 10 2 9" xfId="716"/>
    <cellStyle name="Обычный 10 2 9 10" xfId="19697"/>
    <cellStyle name="Обычный 10 2 9 11" xfId="21311"/>
    <cellStyle name="Обычный 10 2 9 2" xfId="717"/>
    <cellStyle name="Обычный 10 2 9 2 2" xfId="718"/>
    <cellStyle name="Обычный 10 2 9 3" xfId="719"/>
    <cellStyle name="Обычный 10 2 9 4" xfId="720"/>
    <cellStyle name="Обычный 10 2 9 5" xfId="721"/>
    <cellStyle name="Обычный 10 2 9 6" xfId="722"/>
    <cellStyle name="Обычный 10 2 9 7" xfId="723"/>
    <cellStyle name="Обычный 10 2 9 8" xfId="724"/>
    <cellStyle name="Обычный 10 2 9 9" xfId="17992"/>
    <cellStyle name="Обычный 10 20" xfId="725"/>
    <cellStyle name="Обычный 10 21" xfId="726"/>
    <cellStyle name="Обычный 10 22" xfId="727"/>
    <cellStyle name="Обычный 10 23" xfId="728"/>
    <cellStyle name="Обычный 10 24" xfId="17954"/>
    <cellStyle name="Обычный 10 25" xfId="19622"/>
    <cellStyle name="Обычный 10 26" xfId="19659"/>
    <cellStyle name="Обычный 10 27" xfId="21273"/>
    <cellStyle name="Обычный 10 3" xfId="729"/>
    <cellStyle name="Обычный 10 3 10" xfId="730"/>
    <cellStyle name="Обычный 10 3 11" xfId="731"/>
    <cellStyle name="Обычный 10 3 12" xfId="732"/>
    <cellStyle name="Обычный 10 3 13" xfId="733"/>
    <cellStyle name="Обычный 10 3 14" xfId="734"/>
    <cellStyle name="Обычный 10 3 15" xfId="735"/>
    <cellStyle name="Обычный 10 3 16" xfId="736"/>
    <cellStyle name="Обычный 10 3 17" xfId="737"/>
    <cellStyle name="Обычный 10 3 18" xfId="17993"/>
    <cellStyle name="Обычный 10 3 19" xfId="19698"/>
    <cellStyle name="Обычный 10 3 2" xfId="738"/>
    <cellStyle name="Обычный 10 3 2 10" xfId="739"/>
    <cellStyle name="Обычный 10 3 2 11" xfId="740"/>
    <cellStyle name="Обычный 10 3 2 12" xfId="17994"/>
    <cellStyle name="Обычный 10 3 2 13" xfId="19699"/>
    <cellStyle name="Обычный 10 3 2 14" xfId="21313"/>
    <cellStyle name="Обычный 10 3 2 2" xfId="741"/>
    <cellStyle name="Обычный 10 3 2 2 10" xfId="742"/>
    <cellStyle name="Обычный 10 3 2 2 11" xfId="17995"/>
    <cellStyle name="Обычный 10 3 2 2 12" xfId="19700"/>
    <cellStyle name="Обычный 10 3 2 2 13" xfId="21314"/>
    <cellStyle name="Обычный 10 3 2 2 2" xfId="743"/>
    <cellStyle name="Обычный 10 3 2 2 2 2" xfId="744"/>
    <cellStyle name="Обычный 10 3 2 2 3" xfId="745"/>
    <cellStyle name="Обычный 10 3 2 2 4" xfId="746"/>
    <cellStyle name="Обычный 10 3 2 2 5" xfId="747"/>
    <cellStyle name="Обычный 10 3 2 2 6" xfId="748"/>
    <cellStyle name="Обычный 10 3 2 2 7" xfId="749"/>
    <cellStyle name="Обычный 10 3 2 2 8" xfId="750"/>
    <cellStyle name="Обычный 10 3 2 2 9" xfId="751"/>
    <cellStyle name="Обычный 10 3 2 3" xfId="752"/>
    <cellStyle name="Обычный 10 3 2 3 2" xfId="753"/>
    <cellStyle name="Обычный 10 3 2 4" xfId="754"/>
    <cellStyle name="Обычный 10 3 2 5" xfId="755"/>
    <cellStyle name="Обычный 10 3 2 6" xfId="756"/>
    <cellStyle name="Обычный 10 3 2 7" xfId="757"/>
    <cellStyle name="Обычный 10 3 2 8" xfId="758"/>
    <cellStyle name="Обычный 10 3 2 9" xfId="759"/>
    <cellStyle name="Обычный 10 3 20" xfId="21312"/>
    <cellStyle name="Обычный 10 3 3" xfId="760"/>
    <cellStyle name="Обычный 10 3 3 10" xfId="761"/>
    <cellStyle name="Обычный 10 3 3 11" xfId="762"/>
    <cellStyle name="Обычный 10 3 3 12" xfId="17996"/>
    <cellStyle name="Обычный 10 3 3 13" xfId="19701"/>
    <cellStyle name="Обычный 10 3 3 14" xfId="21315"/>
    <cellStyle name="Обычный 10 3 3 2" xfId="763"/>
    <cellStyle name="Обычный 10 3 3 2 10" xfId="764"/>
    <cellStyle name="Обычный 10 3 3 2 11" xfId="17997"/>
    <cellStyle name="Обычный 10 3 3 2 12" xfId="19702"/>
    <cellStyle name="Обычный 10 3 3 2 13" xfId="21316"/>
    <cellStyle name="Обычный 10 3 3 2 2" xfId="765"/>
    <cellStyle name="Обычный 10 3 3 2 2 2" xfId="766"/>
    <cellStyle name="Обычный 10 3 3 2 3" xfId="767"/>
    <cellStyle name="Обычный 10 3 3 2 4" xfId="768"/>
    <cellStyle name="Обычный 10 3 3 2 5" xfId="769"/>
    <cellStyle name="Обычный 10 3 3 2 6" xfId="770"/>
    <cellStyle name="Обычный 10 3 3 2 7" xfId="771"/>
    <cellStyle name="Обычный 10 3 3 2 8" xfId="772"/>
    <cellStyle name="Обычный 10 3 3 2 9" xfId="773"/>
    <cellStyle name="Обычный 10 3 3 3" xfId="774"/>
    <cellStyle name="Обычный 10 3 3 3 2" xfId="775"/>
    <cellStyle name="Обычный 10 3 3 4" xfId="776"/>
    <cellStyle name="Обычный 10 3 3 5" xfId="777"/>
    <cellStyle name="Обычный 10 3 3 6" xfId="778"/>
    <cellStyle name="Обычный 10 3 3 7" xfId="779"/>
    <cellStyle name="Обычный 10 3 3 8" xfId="780"/>
    <cellStyle name="Обычный 10 3 3 9" xfId="781"/>
    <cellStyle name="Обычный 10 3 4" xfId="782"/>
    <cellStyle name="Обычный 10 3 4 10" xfId="783"/>
    <cellStyle name="Обычный 10 3 4 11" xfId="784"/>
    <cellStyle name="Обычный 10 3 4 12" xfId="17998"/>
    <cellStyle name="Обычный 10 3 4 13" xfId="19703"/>
    <cellStyle name="Обычный 10 3 4 14" xfId="21317"/>
    <cellStyle name="Обычный 10 3 4 2" xfId="785"/>
    <cellStyle name="Обычный 10 3 4 2 10" xfId="786"/>
    <cellStyle name="Обычный 10 3 4 2 11" xfId="17999"/>
    <cellStyle name="Обычный 10 3 4 2 12" xfId="19704"/>
    <cellStyle name="Обычный 10 3 4 2 13" xfId="21318"/>
    <cellStyle name="Обычный 10 3 4 2 2" xfId="787"/>
    <cellStyle name="Обычный 10 3 4 2 2 2" xfId="788"/>
    <cellStyle name="Обычный 10 3 4 2 3" xfId="789"/>
    <cellStyle name="Обычный 10 3 4 2 4" xfId="790"/>
    <cellStyle name="Обычный 10 3 4 2 5" xfId="791"/>
    <cellStyle name="Обычный 10 3 4 2 6" xfId="792"/>
    <cellStyle name="Обычный 10 3 4 2 7" xfId="793"/>
    <cellStyle name="Обычный 10 3 4 2 8" xfId="794"/>
    <cellStyle name="Обычный 10 3 4 2 9" xfId="795"/>
    <cellStyle name="Обычный 10 3 4 3" xfId="796"/>
    <cellStyle name="Обычный 10 3 4 3 2" xfId="797"/>
    <cellStyle name="Обычный 10 3 4 4" xfId="798"/>
    <cellStyle name="Обычный 10 3 4 5" xfId="799"/>
    <cellStyle name="Обычный 10 3 4 6" xfId="800"/>
    <cellStyle name="Обычный 10 3 4 7" xfId="801"/>
    <cellStyle name="Обычный 10 3 4 8" xfId="802"/>
    <cellStyle name="Обычный 10 3 4 9" xfId="803"/>
    <cellStyle name="Обычный 10 3 5" xfId="804"/>
    <cellStyle name="Обычный 10 3 5 10" xfId="805"/>
    <cellStyle name="Обычный 10 3 5 11" xfId="806"/>
    <cellStyle name="Обычный 10 3 5 12" xfId="18000"/>
    <cellStyle name="Обычный 10 3 5 13" xfId="19705"/>
    <cellStyle name="Обычный 10 3 5 14" xfId="21319"/>
    <cellStyle name="Обычный 10 3 5 2" xfId="807"/>
    <cellStyle name="Обычный 10 3 5 2 10" xfId="808"/>
    <cellStyle name="Обычный 10 3 5 2 11" xfId="18001"/>
    <cellStyle name="Обычный 10 3 5 2 12" xfId="19706"/>
    <cellStyle name="Обычный 10 3 5 2 13" xfId="21320"/>
    <cellStyle name="Обычный 10 3 5 2 2" xfId="809"/>
    <cellStyle name="Обычный 10 3 5 2 2 2" xfId="810"/>
    <cellStyle name="Обычный 10 3 5 2 3" xfId="811"/>
    <cellStyle name="Обычный 10 3 5 2 4" xfId="812"/>
    <cellStyle name="Обычный 10 3 5 2 5" xfId="813"/>
    <cellStyle name="Обычный 10 3 5 2 6" xfId="814"/>
    <cellStyle name="Обычный 10 3 5 2 7" xfId="815"/>
    <cellStyle name="Обычный 10 3 5 2 8" xfId="816"/>
    <cellStyle name="Обычный 10 3 5 2 9" xfId="817"/>
    <cellStyle name="Обычный 10 3 5 3" xfId="818"/>
    <cellStyle name="Обычный 10 3 5 3 2" xfId="819"/>
    <cellStyle name="Обычный 10 3 5 4" xfId="820"/>
    <cellStyle name="Обычный 10 3 5 5" xfId="821"/>
    <cellStyle name="Обычный 10 3 5 6" xfId="822"/>
    <cellStyle name="Обычный 10 3 5 7" xfId="823"/>
    <cellStyle name="Обычный 10 3 5 8" xfId="824"/>
    <cellStyle name="Обычный 10 3 5 9" xfId="825"/>
    <cellStyle name="Обычный 10 3 6" xfId="826"/>
    <cellStyle name="Обычный 10 3 6 10" xfId="827"/>
    <cellStyle name="Обычный 10 3 6 11" xfId="18002"/>
    <cellStyle name="Обычный 10 3 6 12" xfId="19707"/>
    <cellStyle name="Обычный 10 3 6 13" xfId="21321"/>
    <cellStyle name="Обычный 10 3 6 2" xfId="828"/>
    <cellStyle name="Обычный 10 3 6 2 2" xfId="829"/>
    <cellStyle name="Обычный 10 3 6 3" xfId="830"/>
    <cellStyle name="Обычный 10 3 6 4" xfId="831"/>
    <cellStyle name="Обычный 10 3 6 5" xfId="832"/>
    <cellStyle name="Обычный 10 3 6 6" xfId="833"/>
    <cellStyle name="Обычный 10 3 6 7" xfId="834"/>
    <cellStyle name="Обычный 10 3 6 8" xfId="835"/>
    <cellStyle name="Обычный 10 3 6 9" xfId="836"/>
    <cellStyle name="Обычный 10 3 7" xfId="837"/>
    <cellStyle name="Обычный 10 3 7 10" xfId="19708"/>
    <cellStyle name="Обычный 10 3 7 11" xfId="21322"/>
    <cellStyle name="Обычный 10 3 7 2" xfId="838"/>
    <cellStyle name="Обычный 10 3 7 2 2" xfId="839"/>
    <cellStyle name="Обычный 10 3 7 3" xfId="840"/>
    <cellStyle name="Обычный 10 3 7 4" xfId="841"/>
    <cellStyle name="Обычный 10 3 7 5" xfId="842"/>
    <cellStyle name="Обычный 10 3 7 6" xfId="843"/>
    <cellStyle name="Обычный 10 3 7 7" xfId="844"/>
    <cellStyle name="Обычный 10 3 7 8" xfId="845"/>
    <cellStyle name="Обычный 10 3 7 9" xfId="18003"/>
    <cellStyle name="Обычный 10 3 8" xfId="846"/>
    <cellStyle name="Обычный 10 3 8 2" xfId="847"/>
    <cellStyle name="Обычный 10 3 9" xfId="848"/>
    <cellStyle name="Обычный 10 4" xfId="849"/>
    <cellStyle name="Обычный 10 4 10" xfId="850"/>
    <cellStyle name="Обычный 10 4 11" xfId="851"/>
    <cellStyle name="Обычный 10 4 12" xfId="852"/>
    <cellStyle name="Обычный 10 4 13" xfId="853"/>
    <cellStyle name="Обычный 10 4 14" xfId="854"/>
    <cellStyle name="Обычный 10 4 15" xfId="855"/>
    <cellStyle name="Обычный 10 4 16" xfId="856"/>
    <cellStyle name="Обычный 10 4 17" xfId="857"/>
    <cellStyle name="Обычный 10 4 18" xfId="18004"/>
    <cellStyle name="Обычный 10 4 19" xfId="19709"/>
    <cellStyle name="Обычный 10 4 2" xfId="858"/>
    <cellStyle name="Обычный 10 4 2 10" xfId="859"/>
    <cellStyle name="Обычный 10 4 2 11" xfId="860"/>
    <cellStyle name="Обычный 10 4 2 12" xfId="18005"/>
    <cellStyle name="Обычный 10 4 2 13" xfId="19710"/>
    <cellStyle name="Обычный 10 4 2 14" xfId="21324"/>
    <cellStyle name="Обычный 10 4 2 2" xfId="861"/>
    <cellStyle name="Обычный 10 4 2 2 10" xfId="862"/>
    <cellStyle name="Обычный 10 4 2 2 11" xfId="18006"/>
    <cellStyle name="Обычный 10 4 2 2 12" xfId="19711"/>
    <cellStyle name="Обычный 10 4 2 2 13" xfId="21325"/>
    <cellStyle name="Обычный 10 4 2 2 2" xfId="863"/>
    <cellStyle name="Обычный 10 4 2 2 2 2" xfId="864"/>
    <cellStyle name="Обычный 10 4 2 2 3" xfId="865"/>
    <cellStyle name="Обычный 10 4 2 2 4" xfId="866"/>
    <cellStyle name="Обычный 10 4 2 2 5" xfId="867"/>
    <cellStyle name="Обычный 10 4 2 2 6" xfId="868"/>
    <cellStyle name="Обычный 10 4 2 2 7" xfId="869"/>
    <cellStyle name="Обычный 10 4 2 2 8" xfId="870"/>
    <cellStyle name="Обычный 10 4 2 2 9" xfId="871"/>
    <cellStyle name="Обычный 10 4 2 3" xfId="872"/>
    <cellStyle name="Обычный 10 4 2 3 2" xfId="873"/>
    <cellStyle name="Обычный 10 4 2 4" xfId="874"/>
    <cellStyle name="Обычный 10 4 2 5" xfId="875"/>
    <cellStyle name="Обычный 10 4 2 6" xfId="876"/>
    <cellStyle name="Обычный 10 4 2 7" xfId="877"/>
    <cellStyle name="Обычный 10 4 2 8" xfId="878"/>
    <cellStyle name="Обычный 10 4 2 9" xfId="879"/>
    <cellStyle name="Обычный 10 4 20" xfId="21323"/>
    <cellStyle name="Обычный 10 4 3" xfId="880"/>
    <cellStyle name="Обычный 10 4 3 10" xfId="881"/>
    <cellStyle name="Обычный 10 4 3 11" xfId="882"/>
    <cellStyle name="Обычный 10 4 3 12" xfId="18007"/>
    <cellStyle name="Обычный 10 4 3 13" xfId="19712"/>
    <cellStyle name="Обычный 10 4 3 14" xfId="21326"/>
    <cellStyle name="Обычный 10 4 3 2" xfId="883"/>
    <cellStyle name="Обычный 10 4 3 2 10" xfId="884"/>
    <cellStyle name="Обычный 10 4 3 2 11" xfId="18008"/>
    <cellStyle name="Обычный 10 4 3 2 12" xfId="19713"/>
    <cellStyle name="Обычный 10 4 3 2 13" xfId="21327"/>
    <cellStyle name="Обычный 10 4 3 2 2" xfId="885"/>
    <cellStyle name="Обычный 10 4 3 2 2 2" xfId="886"/>
    <cellStyle name="Обычный 10 4 3 2 3" xfId="887"/>
    <cellStyle name="Обычный 10 4 3 2 4" xfId="888"/>
    <cellStyle name="Обычный 10 4 3 2 5" xfId="889"/>
    <cellStyle name="Обычный 10 4 3 2 6" xfId="890"/>
    <cellStyle name="Обычный 10 4 3 2 7" xfId="891"/>
    <cellStyle name="Обычный 10 4 3 2 8" xfId="892"/>
    <cellStyle name="Обычный 10 4 3 2 9" xfId="893"/>
    <cellStyle name="Обычный 10 4 3 3" xfId="894"/>
    <cellStyle name="Обычный 10 4 3 3 2" xfId="895"/>
    <cellStyle name="Обычный 10 4 3 4" xfId="896"/>
    <cellStyle name="Обычный 10 4 3 5" xfId="897"/>
    <cellStyle name="Обычный 10 4 3 6" xfId="898"/>
    <cellStyle name="Обычный 10 4 3 7" xfId="899"/>
    <cellStyle name="Обычный 10 4 3 8" xfId="900"/>
    <cellStyle name="Обычный 10 4 3 9" xfId="901"/>
    <cellStyle name="Обычный 10 4 4" xfId="902"/>
    <cellStyle name="Обычный 10 4 4 10" xfId="903"/>
    <cellStyle name="Обычный 10 4 4 11" xfId="904"/>
    <cellStyle name="Обычный 10 4 4 12" xfId="18009"/>
    <cellStyle name="Обычный 10 4 4 13" xfId="19714"/>
    <cellStyle name="Обычный 10 4 4 14" xfId="21328"/>
    <cellStyle name="Обычный 10 4 4 2" xfId="905"/>
    <cellStyle name="Обычный 10 4 4 2 10" xfId="906"/>
    <cellStyle name="Обычный 10 4 4 2 11" xfId="18010"/>
    <cellStyle name="Обычный 10 4 4 2 12" xfId="19715"/>
    <cellStyle name="Обычный 10 4 4 2 13" xfId="21329"/>
    <cellStyle name="Обычный 10 4 4 2 2" xfId="907"/>
    <cellStyle name="Обычный 10 4 4 2 2 2" xfId="908"/>
    <cellStyle name="Обычный 10 4 4 2 3" xfId="909"/>
    <cellStyle name="Обычный 10 4 4 2 4" xfId="910"/>
    <cellStyle name="Обычный 10 4 4 2 5" xfId="911"/>
    <cellStyle name="Обычный 10 4 4 2 6" xfId="912"/>
    <cellStyle name="Обычный 10 4 4 2 7" xfId="913"/>
    <cellStyle name="Обычный 10 4 4 2 8" xfId="914"/>
    <cellStyle name="Обычный 10 4 4 2 9" xfId="915"/>
    <cellStyle name="Обычный 10 4 4 3" xfId="916"/>
    <cellStyle name="Обычный 10 4 4 3 2" xfId="917"/>
    <cellStyle name="Обычный 10 4 4 4" xfId="918"/>
    <cellStyle name="Обычный 10 4 4 5" xfId="919"/>
    <cellStyle name="Обычный 10 4 4 6" xfId="920"/>
    <cellStyle name="Обычный 10 4 4 7" xfId="921"/>
    <cellStyle name="Обычный 10 4 4 8" xfId="922"/>
    <cellStyle name="Обычный 10 4 4 9" xfId="923"/>
    <cellStyle name="Обычный 10 4 5" xfId="924"/>
    <cellStyle name="Обычный 10 4 5 10" xfId="925"/>
    <cellStyle name="Обычный 10 4 5 11" xfId="926"/>
    <cellStyle name="Обычный 10 4 5 12" xfId="18011"/>
    <cellStyle name="Обычный 10 4 5 13" xfId="19716"/>
    <cellStyle name="Обычный 10 4 5 14" xfId="21330"/>
    <cellStyle name="Обычный 10 4 5 2" xfId="927"/>
    <cellStyle name="Обычный 10 4 5 2 10" xfId="928"/>
    <cellStyle name="Обычный 10 4 5 2 11" xfId="18012"/>
    <cellStyle name="Обычный 10 4 5 2 12" xfId="19717"/>
    <cellStyle name="Обычный 10 4 5 2 13" xfId="21331"/>
    <cellStyle name="Обычный 10 4 5 2 2" xfId="929"/>
    <cellStyle name="Обычный 10 4 5 2 2 2" xfId="930"/>
    <cellStyle name="Обычный 10 4 5 2 3" xfId="931"/>
    <cellStyle name="Обычный 10 4 5 2 4" xfId="932"/>
    <cellStyle name="Обычный 10 4 5 2 5" xfId="933"/>
    <cellStyle name="Обычный 10 4 5 2 6" xfId="934"/>
    <cellStyle name="Обычный 10 4 5 2 7" xfId="935"/>
    <cellStyle name="Обычный 10 4 5 2 8" xfId="936"/>
    <cellStyle name="Обычный 10 4 5 2 9" xfId="937"/>
    <cellStyle name="Обычный 10 4 5 3" xfId="938"/>
    <cellStyle name="Обычный 10 4 5 3 2" xfId="939"/>
    <cellStyle name="Обычный 10 4 5 4" xfId="940"/>
    <cellStyle name="Обычный 10 4 5 5" xfId="941"/>
    <cellStyle name="Обычный 10 4 5 6" xfId="942"/>
    <cellStyle name="Обычный 10 4 5 7" xfId="943"/>
    <cellStyle name="Обычный 10 4 5 8" xfId="944"/>
    <cellStyle name="Обычный 10 4 5 9" xfId="945"/>
    <cellStyle name="Обычный 10 4 6" xfId="946"/>
    <cellStyle name="Обычный 10 4 6 10" xfId="947"/>
    <cellStyle name="Обычный 10 4 6 11" xfId="18013"/>
    <cellStyle name="Обычный 10 4 6 12" xfId="19718"/>
    <cellStyle name="Обычный 10 4 6 13" xfId="21332"/>
    <cellStyle name="Обычный 10 4 6 2" xfId="948"/>
    <cellStyle name="Обычный 10 4 6 2 2" xfId="949"/>
    <cellStyle name="Обычный 10 4 6 3" xfId="950"/>
    <cellStyle name="Обычный 10 4 6 4" xfId="951"/>
    <cellStyle name="Обычный 10 4 6 5" xfId="952"/>
    <cellStyle name="Обычный 10 4 6 6" xfId="953"/>
    <cellStyle name="Обычный 10 4 6 7" xfId="954"/>
    <cellStyle name="Обычный 10 4 6 8" xfId="955"/>
    <cellStyle name="Обычный 10 4 6 9" xfId="956"/>
    <cellStyle name="Обычный 10 4 7" xfId="957"/>
    <cellStyle name="Обычный 10 4 7 10" xfId="19719"/>
    <cellStyle name="Обычный 10 4 7 11" xfId="21333"/>
    <cellStyle name="Обычный 10 4 7 2" xfId="958"/>
    <cellStyle name="Обычный 10 4 7 2 2" xfId="959"/>
    <cellStyle name="Обычный 10 4 7 3" xfId="960"/>
    <cellStyle name="Обычный 10 4 7 4" xfId="961"/>
    <cellStyle name="Обычный 10 4 7 5" xfId="962"/>
    <cellStyle name="Обычный 10 4 7 6" xfId="963"/>
    <cellStyle name="Обычный 10 4 7 7" xfId="964"/>
    <cellStyle name="Обычный 10 4 7 8" xfId="965"/>
    <cellStyle name="Обычный 10 4 7 9" xfId="18014"/>
    <cellStyle name="Обычный 10 4 8" xfId="966"/>
    <cellStyle name="Обычный 10 4 8 2" xfId="967"/>
    <cellStyle name="Обычный 10 4 9" xfId="968"/>
    <cellStyle name="Обычный 10 5" xfId="969"/>
    <cellStyle name="Обычный 10 5 10" xfId="970"/>
    <cellStyle name="Обычный 10 5 11" xfId="971"/>
    <cellStyle name="Обычный 10 5 12" xfId="18015"/>
    <cellStyle name="Обычный 10 5 13" xfId="19720"/>
    <cellStyle name="Обычный 10 5 14" xfId="21334"/>
    <cellStyle name="Обычный 10 5 2" xfId="972"/>
    <cellStyle name="Обычный 10 5 2 10" xfId="973"/>
    <cellStyle name="Обычный 10 5 2 11" xfId="18016"/>
    <cellStyle name="Обычный 10 5 2 12" xfId="19721"/>
    <cellStyle name="Обычный 10 5 2 13" xfId="21335"/>
    <cellStyle name="Обычный 10 5 2 2" xfId="974"/>
    <cellStyle name="Обычный 10 5 2 2 2" xfId="975"/>
    <cellStyle name="Обычный 10 5 2 3" xfId="976"/>
    <cellStyle name="Обычный 10 5 2 4" xfId="977"/>
    <cellStyle name="Обычный 10 5 2 5" xfId="978"/>
    <cellStyle name="Обычный 10 5 2 6" xfId="979"/>
    <cellStyle name="Обычный 10 5 2 7" xfId="980"/>
    <cellStyle name="Обычный 10 5 2 8" xfId="981"/>
    <cellStyle name="Обычный 10 5 2 9" xfId="982"/>
    <cellStyle name="Обычный 10 5 3" xfId="983"/>
    <cellStyle name="Обычный 10 5 3 2" xfId="984"/>
    <cellStyle name="Обычный 10 5 4" xfId="985"/>
    <cellStyle name="Обычный 10 5 5" xfId="986"/>
    <cellStyle name="Обычный 10 5 6" xfId="987"/>
    <cellStyle name="Обычный 10 5 7" xfId="988"/>
    <cellStyle name="Обычный 10 5 8" xfId="989"/>
    <cellStyle name="Обычный 10 5 9" xfId="990"/>
    <cellStyle name="Обычный 10 6" xfId="991"/>
    <cellStyle name="Обычный 10 6 10" xfId="992"/>
    <cellStyle name="Обычный 10 6 11" xfId="993"/>
    <cellStyle name="Обычный 10 6 12" xfId="18017"/>
    <cellStyle name="Обычный 10 6 13" xfId="19722"/>
    <cellStyle name="Обычный 10 6 14" xfId="21336"/>
    <cellStyle name="Обычный 10 6 2" xfId="994"/>
    <cellStyle name="Обычный 10 6 2 10" xfId="995"/>
    <cellStyle name="Обычный 10 6 2 11" xfId="18018"/>
    <cellStyle name="Обычный 10 6 2 12" xfId="19723"/>
    <cellStyle name="Обычный 10 6 2 13" xfId="21337"/>
    <cellStyle name="Обычный 10 6 2 2" xfId="996"/>
    <cellStyle name="Обычный 10 6 2 2 2" xfId="997"/>
    <cellStyle name="Обычный 10 6 2 3" xfId="998"/>
    <cellStyle name="Обычный 10 6 2 4" xfId="999"/>
    <cellStyle name="Обычный 10 6 2 5" xfId="1000"/>
    <cellStyle name="Обычный 10 6 2 6" xfId="1001"/>
    <cellStyle name="Обычный 10 6 2 7" xfId="1002"/>
    <cellStyle name="Обычный 10 6 2 8" xfId="1003"/>
    <cellStyle name="Обычный 10 6 2 9" xfId="1004"/>
    <cellStyle name="Обычный 10 6 3" xfId="1005"/>
    <cellStyle name="Обычный 10 6 3 2" xfId="1006"/>
    <cellStyle name="Обычный 10 6 4" xfId="1007"/>
    <cellStyle name="Обычный 10 6 5" xfId="1008"/>
    <cellStyle name="Обычный 10 6 6" xfId="1009"/>
    <cellStyle name="Обычный 10 6 7" xfId="1010"/>
    <cellStyle name="Обычный 10 6 8" xfId="1011"/>
    <cellStyle name="Обычный 10 6 9" xfId="1012"/>
    <cellStyle name="Обычный 10 7" xfId="1013"/>
    <cellStyle name="Обычный 10 7 10" xfId="1014"/>
    <cellStyle name="Обычный 10 7 11" xfId="1015"/>
    <cellStyle name="Обычный 10 7 12" xfId="18019"/>
    <cellStyle name="Обычный 10 7 13" xfId="19724"/>
    <cellStyle name="Обычный 10 7 14" xfId="21338"/>
    <cellStyle name="Обычный 10 7 2" xfId="1016"/>
    <cellStyle name="Обычный 10 7 2 10" xfId="1017"/>
    <cellStyle name="Обычный 10 7 2 11" xfId="18020"/>
    <cellStyle name="Обычный 10 7 2 12" xfId="19725"/>
    <cellStyle name="Обычный 10 7 2 13" xfId="21339"/>
    <cellStyle name="Обычный 10 7 2 2" xfId="1018"/>
    <cellStyle name="Обычный 10 7 2 2 2" xfId="1019"/>
    <cellStyle name="Обычный 10 7 2 3" xfId="1020"/>
    <cellStyle name="Обычный 10 7 2 4" xfId="1021"/>
    <cellStyle name="Обычный 10 7 2 5" xfId="1022"/>
    <cellStyle name="Обычный 10 7 2 6" xfId="1023"/>
    <cellStyle name="Обычный 10 7 2 7" xfId="1024"/>
    <cellStyle name="Обычный 10 7 2 8" xfId="1025"/>
    <cellStyle name="Обычный 10 7 2 9" xfId="1026"/>
    <cellStyle name="Обычный 10 7 3" xfId="1027"/>
    <cellStyle name="Обычный 10 7 3 2" xfId="1028"/>
    <cellStyle name="Обычный 10 7 4" xfId="1029"/>
    <cellStyle name="Обычный 10 7 5" xfId="1030"/>
    <cellStyle name="Обычный 10 7 6" xfId="1031"/>
    <cellStyle name="Обычный 10 7 7" xfId="1032"/>
    <cellStyle name="Обычный 10 7 8" xfId="1033"/>
    <cellStyle name="Обычный 10 7 9" xfId="1034"/>
    <cellStyle name="Обычный 10 8" xfId="1035"/>
    <cellStyle name="Обычный 10 8 10" xfId="1036"/>
    <cellStyle name="Обычный 10 8 11" xfId="1037"/>
    <cellStyle name="Обычный 10 8 12" xfId="18021"/>
    <cellStyle name="Обычный 10 8 13" xfId="19726"/>
    <cellStyle name="Обычный 10 8 14" xfId="21340"/>
    <cellStyle name="Обычный 10 8 2" xfId="1038"/>
    <cellStyle name="Обычный 10 8 2 10" xfId="1039"/>
    <cellStyle name="Обычный 10 8 2 11" xfId="18022"/>
    <cellStyle name="Обычный 10 8 2 12" xfId="19727"/>
    <cellStyle name="Обычный 10 8 2 13" xfId="21341"/>
    <cellStyle name="Обычный 10 8 2 2" xfId="1040"/>
    <cellStyle name="Обычный 10 8 2 2 2" xfId="1041"/>
    <cellStyle name="Обычный 10 8 2 3" xfId="1042"/>
    <cellStyle name="Обычный 10 8 2 4" xfId="1043"/>
    <cellStyle name="Обычный 10 8 2 5" xfId="1044"/>
    <cellStyle name="Обычный 10 8 2 6" xfId="1045"/>
    <cellStyle name="Обычный 10 8 2 7" xfId="1046"/>
    <cellStyle name="Обычный 10 8 2 8" xfId="1047"/>
    <cellStyle name="Обычный 10 8 2 9" xfId="1048"/>
    <cellStyle name="Обычный 10 8 3" xfId="1049"/>
    <cellStyle name="Обычный 10 8 3 2" xfId="1050"/>
    <cellStyle name="Обычный 10 8 4" xfId="1051"/>
    <cellStyle name="Обычный 10 8 5" xfId="1052"/>
    <cellStyle name="Обычный 10 8 6" xfId="1053"/>
    <cellStyle name="Обычный 10 8 7" xfId="1054"/>
    <cellStyle name="Обычный 10 8 8" xfId="1055"/>
    <cellStyle name="Обычный 10 8 9" xfId="1056"/>
    <cellStyle name="Обычный 10 9" xfId="1057"/>
    <cellStyle name="Обычный 10 9 10" xfId="1058"/>
    <cellStyle name="Обычный 10 9 11" xfId="1059"/>
    <cellStyle name="Обычный 10 9 12" xfId="18023"/>
    <cellStyle name="Обычный 10 9 13" xfId="19728"/>
    <cellStyle name="Обычный 10 9 14" xfId="21342"/>
    <cellStyle name="Обычный 10 9 2" xfId="1060"/>
    <cellStyle name="Обычный 10 9 2 10" xfId="1061"/>
    <cellStyle name="Обычный 10 9 2 11" xfId="18024"/>
    <cellStyle name="Обычный 10 9 2 12" xfId="19729"/>
    <cellStyle name="Обычный 10 9 2 13" xfId="21343"/>
    <cellStyle name="Обычный 10 9 2 2" xfId="1062"/>
    <cellStyle name="Обычный 10 9 2 2 2" xfId="1063"/>
    <cellStyle name="Обычный 10 9 2 3" xfId="1064"/>
    <cellStyle name="Обычный 10 9 2 4" xfId="1065"/>
    <cellStyle name="Обычный 10 9 2 5" xfId="1066"/>
    <cellStyle name="Обычный 10 9 2 6" xfId="1067"/>
    <cellStyle name="Обычный 10 9 2 7" xfId="1068"/>
    <cellStyle name="Обычный 10 9 2 8" xfId="1069"/>
    <cellStyle name="Обычный 10 9 2 9" xfId="1070"/>
    <cellStyle name="Обычный 10 9 3" xfId="1071"/>
    <cellStyle name="Обычный 10 9 3 2" xfId="1072"/>
    <cellStyle name="Обычный 10 9 4" xfId="1073"/>
    <cellStyle name="Обычный 10 9 5" xfId="1074"/>
    <cellStyle name="Обычный 10 9 6" xfId="1075"/>
    <cellStyle name="Обычный 10 9 7" xfId="1076"/>
    <cellStyle name="Обычный 10 9 8" xfId="1077"/>
    <cellStyle name="Обычный 10 9 9" xfId="1078"/>
    <cellStyle name="Обычный 101" xfId="22892"/>
    <cellStyle name="Обычный 11" xfId="1079"/>
    <cellStyle name="Обычный 11 10" xfId="1080"/>
    <cellStyle name="Обычный 11 10 10" xfId="1081"/>
    <cellStyle name="Обычный 11 10 11" xfId="1082"/>
    <cellStyle name="Обычный 11 10 12" xfId="18026"/>
    <cellStyle name="Обычный 11 10 13" xfId="19731"/>
    <cellStyle name="Обычный 11 10 14" xfId="21345"/>
    <cellStyle name="Обычный 11 10 2" xfId="1083"/>
    <cellStyle name="Обычный 11 10 2 10" xfId="1084"/>
    <cellStyle name="Обычный 11 10 2 11" xfId="18027"/>
    <cellStyle name="Обычный 11 10 2 12" xfId="19732"/>
    <cellStyle name="Обычный 11 10 2 13" xfId="21346"/>
    <cellStyle name="Обычный 11 10 2 2" xfId="1085"/>
    <cellStyle name="Обычный 11 10 2 2 2" xfId="1086"/>
    <cellStyle name="Обычный 11 10 2 3" xfId="1087"/>
    <cellStyle name="Обычный 11 10 2 4" xfId="1088"/>
    <cellStyle name="Обычный 11 10 2 5" xfId="1089"/>
    <cellStyle name="Обычный 11 10 2 6" xfId="1090"/>
    <cellStyle name="Обычный 11 10 2 7" xfId="1091"/>
    <cellStyle name="Обычный 11 10 2 8" xfId="1092"/>
    <cellStyle name="Обычный 11 10 2 9" xfId="1093"/>
    <cellStyle name="Обычный 11 10 3" xfId="1094"/>
    <cellStyle name="Обычный 11 10 3 2" xfId="1095"/>
    <cellStyle name="Обычный 11 10 4" xfId="1096"/>
    <cellStyle name="Обычный 11 10 5" xfId="1097"/>
    <cellStyle name="Обычный 11 10 6" xfId="1098"/>
    <cellStyle name="Обычный 11 10 7" xfId="1099"/>
    <cellStyle name="Обычный 11 10 8" xfId="1100"/>
    <cellStyle name="Обычный 11 10 9" xfId="1101"/>
    <cellStyle name="Обычный 11 11" xfId="1102"/>
    <cellStyle name="Обычный 11 11 10" xfId="1103"/>
    <cellStyle name="Обычный 11 11 11" xfId="1104"/>
    <cellStyle name="Обычный 11 11 12" xfId="18028"/>
    <cellStyle name="Обычный 11 11 13" xfId="19733"/>
    <cellStyle name="Обычный 11 11 14" xfId="21347"/>
    <cellStyle name="Обычный 11 11 2" xfId="1105"/>
    <cellStyle name="Обычный 11 11 2 10" xfId="1106"/>
    <cellStyle name="Обычный 11 11 2 11" xfId="18029"/>
    <cellStyle name="Обычный 11 11 2 12" xfId="19734"/>
    <cellStyle name="Обычный 11 11 2 13" xfId="21348"/>
    <cellStyle name="Обычный 11 11 2 2" xfId="1107"/>
    <cellStyle name="Обычный 11 11 2 2 2" xfId="1108"/>
    <cellStyle name="Обычный 11 11 2 3" xfId="1109"/>
    <cellStyle name="Обычный 11 11 2 4" xfId="1110"/>
    <cellStyle name="Обычный 11 11 2 5" xfId="1111"/>
    <cellStyle name="Обычный 11 11 2 6" xfId="1112"/>
    <cellStyle name="Обычный 11 11 2 7" xfId="1113"/>
    <cellStyle name="Обычный 11 11 2 8" xfId="1114"/>
    <cellStyle name="Обычный 11 11 2 9" xfId="1115"/>
    <cellStyle name="Обычный 11 11 3" xfId="1116"/>
    <cellStyle name="Обычный 11 11 3 2" xfId="1117"/>
    <cellStyle name="Обычный 11 11 4" xfId="1118"/>
    <cellStyle name="Обычный 11 11 5" xfId="1119"/>
    <cellStyle name="Обычный 11 11 6" xfId="1120"/>
    <cellStyle name="Обычный 11 11 7" xfId="1121"/>
    <cellStyle name="Обычный 11 11 8" xfId="1122"/>
    <cellStyle name="Обычный 11 11 9" xfId="1123"/>
    <cellStyle name="Обычный 11 12" xfId="1124"/>
    <cellStyle name="Обычный 11 12 10" xfId="1125"/>
    <cellStyle name="Обычный 11 12 11" xfId="18030"/>
    <cellStyle name="Обычный 11 12 12" xfId="19735"/>
    <cellStyle name="Обычный 11 12 13" xfId="21349"/>
    <cellStyle name="Обычный 11 12 2" xfId="1126"/>
    <cellStyle name="Обычный 11 12 2 2" xfId="1127"/>
    <cellStyle name="Обычный 11 12 3" xfId="1128"/>
    <cellStyle name="Обычный 11 12 4" xfId="1129"/>
    <cellStyle name="Обычный 11 12 5" xfId="1130"/>
    <cellStyle name="Обычный 11 12 6" xfId="1131"/>
    <cellStyle name="Обычный 11 12 7" xfId="1132"/>
    <cellStyle name="Обычный 11 12 8" xfId="1133"/>
    <cellStyle name="Обычный 11 12 9" xfId="1134"/>
    <cellStyle name="Обычный 11 13" xfId="1135"/>
    <cellStyle name="Обычный 11 13 10" xfId="19736"/>
    <cellStyle name="Обычный 11 13 11" xfId="21350"/>
    <cellStyle name="Обычный 11 13 2" xfId="1136"/>
    <cellStyle name="Обычный 11 13 2 2" xfId="1137"/>
    <cellStyle name="Обычный 11 13 3" xfId="1138"/>
    <cellStyle name="Обычный 11 13 4" xfId="1139"/>
    <cellStyle name="Обычный 11 13 5" xfId="1140"/>
    <cellStyle name="Обычный 11 13 6" xfId="1141"/>
    <cellStyle name="Обычный 11 13 7" xfId="1142"/>
    <cellStyle name="Обычный 11 13 8" xfId="1143"/>
    <cellStyle name="Обычный 11 13 9" xfId="18031"/>
    <cellStyle name="Обычный 11 14" xfId="1144"/>
    <cellStyle name="Обычный 11 14 10" xfId="19737"/>
    <cellStyle name="Обычный 11 14 11" xfId="21351"/>
    <cellStyle name="Обычный 11 14 2" xfId="1145"/>
    <cellStyle name="Обычный 11 14 2 2" xfId="1146"/>
    <cellStyle name="Обычный 11 14 3" xfId="1147"/>
    <cellStyle name="Обычный 11 14 4" xfId="1148"/>
    <cellStyle name="Обычный 11 14 5" xfId="1149"/>
    <cellStyle name="Обычный 11 14 6" xfId="1150"/>
    <cellStyle name="Обычный 11 14 7" xfId="1151"/>
    <cellStyle name="Обычный 11 14 8" xfId="1152"/>
    <cellStyle name="Обычный 11 14 9" xfId="18032"/>
    <cellStyle name="Обычный 11 15" xfId="1153"/>
    <cellStyle name="Обычный 11 15 2" xfId="1154"/>
    <cellStyle name="Обычный 11 16" xfId="1155"/>
    <cellStyle name="Обычный 11 17" xfId="1156"/>
    <cellStyle name="Обычный 11 18" xfId="1157"/>
    <cellStyle name="Обычный 11 19" xfId="1158"/>
    <cellStyle name="Обычный 11 2" xfId="1159"/>
    <cellStyle name="Обычный 11 2 10" xfId="1160"/>
    <cellStyle name="Обычный 11 2 10 10" xfId="1161"/>
    <cellStyle name="Обычный 11 2 10 11" xfId="1162"/>
    <cellStyle name="Обычный 11 2 10 12" xfId="18034"/>
    <cellStyle name="Обычный 11 2 10 13" xfId="19739"/>
    <cellStyle name="Обычный 11 2 10 14" xfId="21353"/>
    <cellStyle name="Обычный 11 2 10 2" xfId="1163"/>
    <cellStyle name="Обычный 11 2 10 2 10" xfId="1164"/>
    <cellStyle name="Обычный 11 2 10 2 11" xfId="18035"/>
    <cellStyle name="Обычный 11 2 10 2 12" xfId="19740"/>
    <cellStyle name="Обычный 11 2 10 2 13" xfId="21354"/>
    <cellStyle name="Обычный 11 2 10 2 2" xfId="1165"/>
    <cellStyle name="Обычный 11 2 10 2 2 2" xfId="1166"/>
    <cellStyle name="Обычный 11 2 10 2 3" xfId="1167"/>
    <cellStyle name="Обычный 11 2 10 2 4" xfId="1168"/>
    <cellStyle name="Обычный 11 2 10 2 5" xfId="1169"/>
    <cellStyle name="Обычный 11 2 10 2 6" xfId="1170"/>
    <cellStyle name="Обычный 11 2 10 2 7" xfId="1171"/>
    <cellStyle name="Обычный 11 2 10 2 8" xfId="1172"/>
    <cellStyle name="Обычный 11 2 10 2 9" xfId="1173"/>
    <cellStyle name="Обычный 11 2 10 3" xfId="1174"/>
    <cellStyle name="Обычный 11 2 10 3 2" xfId="1175"/>
    <cellStyle name="Обычный 11 2 10 4" xfId="1176"/>
    <cellStyle name="Обычный 11 2 10 5" xfId="1177"/>
    <cellStyle name="Обычный 11 2 10 6" xfId="1178"/>
    <cellStyle name="Обычный 11 2 10 7" xfId="1179"/>
    <cellStyle name="Обычный 11 2 10 8" xfId="1180"/>
    <cellStyle name="Обычный 11 2 10 9" xfId="1181"/>
    <cellStyle name="Обычный 11 2 11" xfId="1182"/>
    <cellStyle name="Обычный 11 2 11 10" xfId="1183"/>
    <cellStyle name="Обычный 11 2 11 11" xfId="18036"/>
    <cellStyle name="Обычный 11 2 11 12" xfId="19741"/>
    <cellStyle name="Обычный 11 2 11 13" xfId="21355"/>
    <cellStyle name="Обычный 11 2 11 2" xfId="1184"/>
    <cellStyle name="Обычный 11 2 11 2 2" xfId="1185"/>
    <cellStyle name="Обычный 11 2 11 3" xfId="1186"/>
    <cellStyle name="Обычный 11 2 11 4" xfId="1187"/>
    <cellStyle name="Обычный 11 2 11 5" xfId="1188"/>
    <cellStyle name="Обычный 11 2 11 6" xfId="1189"/>
    <cellStyle name="Обычный 11 2 11 7" xfId="1190"/>
    <cellStyle name="Обычный 11 2 11 8" xfId="1191"/>
    <cellStyle name="Обычный 11 2 11 9" xfId="1192"/>
    <cellStyle name="Обычный 11 2 12" xfId="1193"/>
    <cellStyle name="Обычный 11 2 12 10" xfId="19742"/>
    <cellStyle name="Обычный 11 2 12 11" xfId="21356"/>
    <cellStyle name="Обычный 11 2 12 2" xfId="1194"/>
    <cellStyle name="Обычный 11 2 12 2 2" xfId="1195"/>
    <cellStyle name="Обычный 11 2 12 3" xfId="1196"/>
    <cellStyle name="Обычный 11 2 12 4" xfId="1197"/>
    <cellStyle name="Обычный 11 2 12 5" xfId="1198"/>
    <cellStyle name="Обычный 11 2 12 6" xfId="1199"/>
    <cellStyle name="Обычный 11 2 12 7" xfId="1200"/>
    <cellStyle name="Обычный 11 2 12 8" xfId="1201"/>
    <cellStyle name="Обычный 11 2 12 9" xfId="18037"/>
    <cellStyle name="Обычный 11 2 13" xfId="1202"/>
    <cellStyle name="Обычный 11 2 13 10" xfId="19743"/>
    <cellStyle name="Обычный 11 2 13 11" xfId="21357"/>
    <cellStyle name="Обычный 11 2 13 2" xfId="1203"/>
    <cellStyle name="Обычный 11 2 13 2 2" xfId="1204"/>
    <cellStyle name="Обычный 11 2 13 3" xfId="1205"/>
    <cellStyle name="Обычный 11 2 13 4" xfId="1206"/>
    <cellStyle name="Обычный 11 2 13 5" xfId="1207"/>
    <cellStyle name="Обычный 11 2 13 6" xfId="1208"/>
    <cellStyle name="Обычный 11 2 13 7" xfId="1209"/>
    <cellStyle name="Обычный 11 2 13 8" xfId="1210"/>
    <cellStyle name="Обычный 11 2 13 9" xfId="18038"/>
    <cellStyle name="Обычный 11 2 14" xfId="1211"/>
    <cellStyle name="Обычный 11 2 14 2" xfId="1212"/>
    <cellStyle name="Обычный 11 2 15" xfId="1213"/>
    <cellStyle name="Обычный 11 2 16" xfId="1214"/>
    <cellStyle name="Обычный 11 2 17" xfId="1215"/>
    <cellStyle name="Обычный 11 2 18" xfId="1216"/>
    <cellStyle name="Обычный 11 2 19" xfId="1217"/>
    <cellStyle name="Обычный 11 2 2" xfId="1218"/>
    <cellStyle name="Обычный 11 2 2 10" xfId="1219"/>
    <cellStyle name="Обычный 11 2 2 10 2" xfId="1220"/>
    <cellStyle name="Обычный 11 2 2 11" xfId="1221"/>
    <cellStyle name="Обычный 11 2 2 12" xfId="1222"/>
    <cellStyle name="Обычный 11 2 2 13" xfId="1223"/>
    <cellStyle name="Обычный 11 2 2 14" xfId="1224"/>
    <cellStyle name="Обычный 11 2 2 15" xfId="1225"/>
    <cellStyle name="Обычный 11 2 2 16" xfId="1226"/>
    <cellStyle name="Обычный 11 2 2 17" xfId="1227"/>
    <cellStyle name="Обычный 11 2 2 18" xfId="1228"/>
    <cellStyle name="Обычный 11 2 2 19" xfId="1229"/>
    <cellStyle name="Обычный 11 2 2 2" xfId="1230"/>
    <cellStyle name="Обычный 11 2 2 2 10" xfId="1231"/>
    <cellStyle name="Обычный 11 2 2 2 11" xfId="1232"/>
    <cellStyle name="Обычный 11 2 2 2 12" xfId="1233"/>
    <cellStyle name="Обычный 11 2 2 2 13" xfId="1234"/>
    <cellStyle name="Обычный 11 2 2 2 14" xfId="1235"/>
    <cellStyle name="Обычный 11 2 2 2 15" xfId="1236"/>
    <cellStyle name="Обычный 11 2 2 2 16" xfId="1237"/>
    <cellStyle name="Обычный 11 2 2 2 17" xfId="1238"/>
    <cellStyle name="Обычный 11 2 2 2 18" xfId="18040"/>
    <cellStyle name="Обычный 11 2 2 2 19" xfId="19745"/>
    <cellStyle name="Обычный 11 2 2 2 2" xfId="1239"/>
    <cellStyle name="Обычный 11 2 2 2 2 10" xfId="1240"/>
    <cellStyle name="Обычный 11 2 2 2 2 11" xfId="1241"/>
    <cellStyle name="Обычный 11 2 2 2 2 12" xfId="18041"/>
    <cellStyle name="Обычный 11 2 2 2 2 13" xfId="19746"/>
    <cellStyle name="Обычный 11 2 2 2 2 14" xfId="21360"/>
    <cellStyle name="Обычный 11 2 2 2 2 2" xfId="1242"/>
    <cellStyle name="Обычный 11 2 2 2 2 2 10" xfId="1243"/>
    <cellStyle name="Обычный 11 2 2 2 2 2 11" xfId="18042"/>
    <cellStyle name="Обычный 11 2 2 2 2 2 12" xfId="19747"/>
    <cellStyle name="Обычный 11 2 2 2 2 2 13" xfId="21361"/>
    <cellStyle name="Обычный 11 2 2 2 2 2 2" xfId="1244"/>
    <cellStyle name="Обычный 11 2 2 2 2 2 2 2" xfId="1245"/>
    <cellStyle name="Обычный 11 2 2 2 2 2 3" xfId="1246"/>
    <cellStyle name="Обычный 11 2 2 2 2 2 4" xfId="1247"/>
    <cellStyle name="Обычный 11 2 2 2 2 2 5" xfId="1248"/>
    <cellStyle name="Обычный 11 2 2 2 2 2 6" xfId="1249"/>
    <cellStyle name="Обычный 11 2 2 2 2 2 7" xfId="1250"/>
    <cellStyle name="Обычный 11 2 2 2 2 2 8" xfId="1251"/>
    <cellStyle name="Обычный 11 2 2 2 2 2 9" xfId="1252"/>
    <cellStyle name="Обычный 11 2 2 2 2 3" xfId="1253"/>
    <cellStyle name="Обычный 11 2 2 2 2 3 2" xfId="1254"/>
    <cellStyle name="Обычный 11 2 2 2 2 4" xfId="1255"/>
    <cellStyle name="Обычный 11 2 2 2 2 5" xfId="1256"/>
    <cellStyle name="Обычный 11 2 2 2 2 6" xfId="1257"/>
    <cellStyle name="Обычный 11 2 2 2 2 7" xfId="1258"/>
    <cellStyle name="Обычный 11 2 2 2 2 8" xfId="1259"/>
    <cellStyle name="Обычный 11 2 2 2 2 9" xfId="1260"/>
    <cellStyle name="Обычный 11 2 2 2 20" xfId="21359"/>
    <cellStyle name="Обычный 11 2 2 2 3" xfId="1261"/>
    <cellStyle name="Обычный 11 2 2 2 3 10" xfId="1262"/>
    <cellStyle name="Обычный 11 2 2 2 3 11" xfId="1263"/>
    <cellStyle name="Обычный 11 2 2 2 3 12" xfId="18043"/>
    <cellStyle name="Обычный 11 2 2 2 3 13" xfId="19748"/>
    <cellStyle name="Обычный 11 2 2 2 3 14" xfId="21362"/>
    <cellStyle name="Обычный 11 2 2 2 3 2" xfId="1264"/>
    <cellStyle name="Обычный 11 2 2 2 3 2 10" xfId="1265"/>
    <cellStyle name="Обычный 11 2 2 2 3 2 11" xfId="18044"/>
    <cellStyle name="Обычный 11 2 2 2 3 2 12" xfId="19749"/>
    <cellStyle name="Обычный 11 2 2 2 3 2 13" xfId="21363"/>
    <cellStyle name="Обычный 11 2 2 2 3 2 2" xfId="1266"/>
    <cellStyle name="Обычный 11 2 2 2 3 2 2 2" xfId="1267"/>
    <cellStyle name="Обычный 11 2 2 2 3 2 3" xfId="1268"/>
    <cellStyle name="Обычный 11 2 2 2 3 2 4" xfId="1269"/>
    <cellStyle name="Обычный 11 2 2 2 3 2 5" xfId="1270"/>
    <cellStyle name="Обычный 11 2 2 2 3 2 6" xfId="1271"/>
    <cellStyle name="Обычный 11 2 2 2 3 2 7" xfId="1272"/>
    <cellStyle name="Обычный 11 2 2 2 3 2 8" xfId="1273"/>
    <cellStyle name="Обычный 11 2 2 2 3 2 9" xfId="1274"/>
    <cellStyle name="Обычный 11 2 2 2 3 3" xfId="1275"/>
    <cellStyle name="Обычный 11 2 2 2 3 3 2" xfId="1276"/>
    <cellStyle name="Обычный 11 2 2 2 3 4" xfId="1277"/>
    <cellStyle name="Обычный 11 2 2 2 3 5" xfId="1278"/>
    <cellStyle name="Обычный 11 2 2 2 3 6" xfId="1279"/>
    <cellStyle name="Обычный 11 2 2 2 3 7" xfId="1280"/>
    <cellStyle name="Обычный 11 2 2 2 3 8" xfId="1281"/>
    <cellStyle name="Обычный 11 2 2 2 3 9" xfId="1282"/>
    <cellStyle name="Обычный 11 2 2 2 4" xfId="1283"/>
    <cellStyle name="Обычный 11 2 2 2 4 10" xfId="1284"/>
    <cellStyle name="Обычный 11 2 2 2 4 11" xfId="1285"/>
    <cellStyle name="Обычный 11 2 2 2 4 12" xfId="18045"/>
    <cellStyle name="Обычный 11 2 2 2 4 13" xfId="19750"/>
    <cellStyle name="Обычный 11 2 2 2 4 14" xfId="21364"/>
    <cellStyle name="Обычный 11 2 2 2 4 2" xfId="1286"/>
    <cellStyle name="Обычный 11 2 2 2 4 2 10" xfId="1287"/>
    <cellStyle name="Обычный 11 2 2 2 4 2 11" xfId="18046"/>
    <cellStyle name="Обычный 11 2 2 2 4 2 12" xfId="19751"/>
    <cellStyle name="Обычный 11 2 2 2 4 2 13" xfId="21365"/>
    <cellStyle name="Обычный 11 2 2 2 4 2 2" xfId="1288"/>
    <cellStyle name="Обычный 11 2 2 2 4 2 2 2" xfId="1289"/>
    <cellStyle name="Обычный 11 2 2 2 4 2 3" xfId="1290"/>
    <cellStyle name="Обычный 11 2 2 2 4 2 4" xfId="1291"/>
    <cellStyle name="Обычный 11 2 2 2 4 2 5" xfId="1292"/>
    <cellStyle name="Обычный 11 2 2 2 4 2 6" xfId="1293"/>
    <cellStyle name="Обычный 11 2 2 2 4 2 7" xfId="1294"/>
    <cellStyle name="Обычный 11 2 2 2 4 2 8" xfId="1295"/>
    <cellStyle name="Обычный 11 2 2 2 4 2 9" xfId="1296"/>
    <cellStyle name="Обычный 11 2 2 2 4 3" xfId="1297"/>
    <cellStyle name="Обычный 11 2 2 2 4 3 2" xfId="1298"/>
    <cellStyle name="Обычный 11 2 2 2 4 4" xfId="1299"/>
    <cellStyle name="Обычный 11 2 2 2 4 5" xfId="1300"/>
    <cellStyle name="Обычный 11 2 2 2 4 6" xfId="1301"/>
    <cellStyle name="Обычный 11 2 2 2 4 7" xfId="1302"/>
    <cellStyle name="Обычный 11 2 2 2 4 8" xfId="1303"/>
    <cellStyle name="Обычный 11 2 2 2 4 9" xfId="1304"/>
    <cellStyle name="Обычный 11 2 2 2 5" xfId="1305"/>
    <cellStyle name="Обычный 11 2 2 2 5 10" xfId="1306"/>
    <cellStyle name="Обычный 11 2 2 2 5 11" xfId="1307"/>
    <cellStyle name="Обычный 11 2 2 2 5 12" xfId="18047"/>
    <cellStyle name="Обычный 11 2 2 2 5 13" xfId="19752"/>
    <cellStyle name="Обычный 11 2 2 2 5 14" xfId="21366"/>
    <cellStyle name="Обычный 11 2 2 2 5 2" xfId="1308"/>
    <cellStyle name="Обычный 11 2 2 2 5 2 10" xfId="1309"/>
    <cellStyle name="Обычный 11 2 2 2 5 2 11" xfId="18048"/>
    <cellStyle name="Обычный 11 2 2 2 5 2 12" xfId="19753"/>
    <cellStyle name="Обычный 11 2 2 2 5 2 13" xfId="21367"/>
    <cellStyle name="Обычный 11 2 2 2 5 2 2" xfId="1310"/>
    <cellStyle name="Обычный 11 2 2 2 5 2 2 2" xfId="1311"/>
    <cellStyle name="Обычный 11 2 2 2 5 2 3" xfId="1312"/>
    <cellStyle name="Обычный 11 2 2 2 5 2 4" xfId="1313"/>
    <cellStyle name="Обычный 11 2 2 2 5 2 5" xfId="1314"/>
    <cellStyle name="Обычный 11 2 2 2 5 2 6" xfId="1315"/>
    <cellStyle name="Обычный 11 2 2 2 5 2 7" xfId="1316"/>
    <cellStyle name="Обычный 11 2 2 2 5 2 8" xfId="1317"/>
    <cellStyle name="Обычный 11 2 2 2 5 2 9" xfId="1318"/>
    <cellStyle name="Обычный 11 2 2 2 5 3" xfId="1319"/>
    <cellStyle name="Обычный 11 2 2 2 5 3 2" xfId="1320"/>
    <cellStyle name="Обычный 11 2 2 2 5 4" xfId="1321"/>
    <cellStyle name="Обычный 11 2 2 2 5 5" xfId="1322"/>
    <cellStyle name="Обычный 11 2 2 2 5 6" xfId="1323"/>
    <cellStyle name="Обычный 11 2 2 2 5 7" xfId="1324"/>
    <cellStyle name="Обычный 11 2 2 2 5 8" xfId="1325"/>
    <cellStyle name="Обычный 11 2 2 2 5 9" xfId="1326"/>
    <cellStyle name="Обычный 11 2 2 2 6" xfId="1327"/>
    <cellStyle name="Обычный 11 2 2 2 6 10" xfId="1328"/>
    <cellStyle name="Обычный 11 2 2 2 6 11" xfId="18049"/>
    <cellStyle name="Обычный 11 2 2 2 6 12" xfId="19754"/>
    <cellStyle name="Обычный 11 2 2 2 6 13" xfId="21368"/>
    <cellStyle name="Обычный 11 2 2 2 6 2" xfId="1329"/>
    <cellStyle name="Обычный 11 2 2 2 6 2 2" xfId="1330"/>
    <cellStyle name="Обычный 11 2 2 2 6 3" xfId="1331"/>
    <cellStyle name="Обычный 11 2 2 2 6 4" xfId="1332"/>
    <cellStyle name="Обычный 11 2 2 2 6 5" xfId="1333"/>
    <cellStyle name="Обычный 11 2 2 2 6 6" xfId="1334"/>
    <cellStyle name="Обычный 11 2 2 2 6 7" xfId="1335"/>
    <cellStyle name="Обычный 11 2 2 2 6 8" xfId="1336"/>
    <cellStyle name="Обычный 11 2 2 2 6 9" xfId="1337"/>
    <cellStyle name="Обычный 11 2 2 2 7" xfId="1338"/>
    <cellStyle name="Обычный 11 2 2 2 7 10" xfId="19755"/>
    <cellStyle name="Обычный 11 2 2 2 7 11" xfId="21369"/>
    <cellStyle name="Обычный 11 2 2 2 7 2" xfId="1339"/>
    <cellStyle name="Обычный 11 2 2 2 7 2 2" xfId="1340"/>
    <cellStyle name="Обычный 11 2 2 2 7 3" xfId="1341"/>
    <cellStyle name="Обычный 11 2 2 2 7 4" xfId="1342"/>
    <cellStyle name="Обычный 11 2 2 2 7 5" xfId="1343"/>
    <cellStyle name="Обычный 11 2 2 2 7 6" xfId="1344"/>
    <cellStyle name="Обычный 11 2 2 2 7 7" xfId="1345"/>
    <cellStyle name="Обычный 11 2 2 2 7 8" xfId="1346"/>
    <cellStyle name="Обычный 11 2 2 2 7 9" xfId="18050"/>
    <cellStyle name="Обычный 11 2 2 2 8" xfId="1347"/>
    <cellStyle name="Обычный 11 2 2 2 8 2" xfId="1348"/>
    <cellStyle name="Обычный 11 2 2 2 9" xfId="1349"/>
    <cellStyle name="Обычный 11 2 2 20" xfId="18039"/>
    <cellStyle name="Обычный 11 2 2 21" xfId="19744"/>
    <cellStyle name="Обычный 11 2 2 22" xfId="21358"/>
    <cellStyle name="Обычный 11 2 2 3" xfId="1350"/>
    <cellStyle name="Обычный 11 2 2 3 10" xfId="1351"/>
    <cellStyle name="Обычный 11 2 2 3 11" xfId="1352"/>
    <cellStyle name="Обычный 11 2 2 3 12" xfId="1353"/>
    <cellStyle name="Обычный 11 2 2 3 13" xfId="1354"/>
    <cellStyle name="Обычный 11 2 2 3 14" xfId="1355"/>
    <cellStyle name="Обычный 11 2 2 3 15" xfId="1356"/>
    <cellStyle name="Обычный 11 2 2 3 16" xfId="1357"/>
    <cellStyle name="Обычный 11 2 2 3 17" xfId="1358"/>
    <cellStyle name="Обычный 11 2 2 3 18" xfId="18051"/>
    <cellStyle name="Обычный 11 2 2 3 19" xfId="19756"/>
    <cellStyle name="Обычный 11 2 2 3 2" xfId="1359"/>
    <cellStyle name="Обычный 11 2 2 3 2 10" xfId="1360"/>
    <cellStyle name="Обычный 11 2 2 3 2 11" xfId="1361"/>
    <cellStyle name="Обычный 11 2 2 3 2 12" xfId="18052"/>
    <cellStyle name="Обычный 11 2 2 3 2 13" xfId="19757"/>
    <cellStyle name="Обычный 11 2 2 3 2 14" xfId="21371"/>
    <cellStyle name="Обычный 11 2 2 3 2 2" xfId="1362"/>
    <cellStyle name="Обычный 11 2 2 3 2 2 10" xfId="1363"/>
    <cellStyle name="Обычный 11 2 2 3 2 2 11" xfId="18053"/>
    <cellStyle name="Обычный 11 2 2 3 2 2 12" xfId="19758"/>
    <cellStyle name="Обычный 11 2 2 3 2 2 13" xfId="21372"/>
    <cellStyle name="Обычный 11 2 2 3 2 2 2" xfId="1364"/>
    <cellStyle name="Обычный 11 2 2 3 2 2 2 2" xfId="1365"/>
    <cellStyle name="Обычный 11 2 2 3 2 2 3" xfId="1366"/>
    <cellStyle name="Обычный 11 2 2 3 2 2 4" xfId="1367"/>
    <cellStyle name="Обычный 11 2 2 3 2 2 5" xfId="1368"/>
    <cellStyle name="Обычный 11 2 2 3 2 2 6" xfId="1369"/>
    <cellStyle name="Обычный 11 2 2 3 2 2 7" xfId="1370"/>
    <cellStyle name="Обычный 11 2 2 3 2 2 8" xfId="1371"/>
    <cellStyle name="Обычный 11 2 2 3 2 2 9" xfId="1372"/>
    <cellStyle name="Обычный 11 2 2 3 2 3" xfId="1373"/>
    <cellStyle name="Обычный 11 2 2 3 2 3 2" xfId="1374"/>
    <cellStyle name="Обычный 11 2 2 3 2 4" xfId="1375"/>
    <cellStyle name="Обычный 11 2 2 3 2 5" xfId="1376"/>
    <cellStyle name="Обычный 11 2 2 3 2 6" xfId="1377"/>
    <cellStyle name="Обычный 11 2 2 3 2 7" xfId="1378"/>
    <cellStyle name="Обычный 11 2 2 3 2 8" xfId="1379"/>
    <cellStyle name="Обычный 11 2 2 3 2 9" xfId="1380"/>
    <cellStyle name="Обычный 11 2 2 3 20" xfId="21370"/>
    <cellStyle name="Обычный 11 2 2 3 3" xfId="1381"/>
    <cellStyle name="Обычный 11 2 2 3 3 10" xfId="1382"/>
    <cellStyle name="Обычный 11 2 2 3 3 11" xfId="1383"/>
    <cellStyle name="Обычный 11 2 2 3 3 12" xfId="18054"/>
    <cellStyle name="Обычный 11 2 2 3 3 13" xfId="19759"/>
    <cellStyle name="Обычный 11 2 2 3 3 14" xfId="21373"/>
    <cellStyle name="Обычный 11 2 2 3 3 2" xfId="1384"/>
    <cellStyle name="Обычный 11 2 2 3 3 2 10" xfId="1385"/>
    <cellStyle name="Обычный 11 2 2 3 3 2 11" xfId="18055"/>
    <cellStyle name="Обычный 11 2 2 3 3 2 12" xfId="19760"/>
    <cellStyle name="Обычный 11 2 2 3 3 2 13" xfId="21374"/>
    <cellStyle name="Обычный 11 2 2 3 3 2 2" xfId="1386"/>
    <cellStyle name="Обычный 11 2 2 3 3 2 2 2" xfId="1387"/>
    <cellStyle name="Обычный 11 2 2 3 3 2 3" xfId="1388"/>
    <cellStyle name="Обычный 11 2 2 3 3 2 4" xfId="1389"/>
    <cellStyle name="Обычный 11 2 2 3 3 2 5" xfId="1390"/>
    <cellStyle name="Обычный 11 2 2 3 3 2 6" xfId="1391"/>
    <cellStyle name="Обычный 11 2 2 3 3 2 7" xfId="1392"/>
    <cellStyle name="Обычный 11 2 2 3 3 2 8" xfId="1393"/>
    <cellStyle name="Обычный 11 2 2 3 3 2 9" xfId="1394"/>
    <cellStyle name="Обычный 11 2 2 3 3 3" xfId="1395"/>
    <cellStyle name="Обычный 11 2 2 3 3 3 2" xfId="1396"/>
    <cellStyle name="Обычный 11 2 2 3 3 4" xfId="1397"/>
    <cellStyle name="Обычный 11 2 2 3 3 5" xfId="1398"/>
    <cellStyle name="Обычный 11 2 2 3 3 6" xfId="1399"/>
    <cellStyle name="Обычный 11 2 2 3 3 7" xfId="1400"/>
    <cellStyle name="Обычный 11 2 2 3 3 8" xfId="1401"/>
    <cellStyle name="Обычный 11 2 2 3 3 9" xfId="1402"/>
    <cellStyle name="Обычный 11 2 2 3 4" xfId="1403"/>
    <cellStyle name="Обычный 11 2 2 3 4 10" xfId="1404"/>
    <cellStyle name="Обычный 11 2 2 3 4 11" xfId="1405"/>
    <cellStyle name="Обычный 11 2 2 3 4 12" xfId="18056"/>
    <cellStyle name="Обычный 11 2 2 3 4 13" xfId="19761"/>
    <cellStyle name="Обычный 11 2 2 3 4 14" xfId="21375"/>
    <cellStyle name="Обычный 11 2 2 3 4 2" xfId="1406"/>
    <cellStyle name="Обычный 11 2 2 3 4 2 10" xfId="1407"/>
    <cellStyle name="Обычный 11 2 2 3 4 2 11" xfId="18057"/>
    <cellStyle name="Обычный 11 2 2 3 4 2 12" xfId="19762"/>
    <cellStyle name="Обычный 11 2 2 3 4 2 13" xfId="21376"/>
    <cellStyle name="Обычный 11 2 2 3 4 2 2" xfId="1408"/>
    <cellStyle name="Обычный 11 2 2 3 4 2 2 2" xfId="1409"/>
    <cellStyle name="Обычный 11 2 2 3 4 2 3" xfId="1410"/>
    <cellStyle name="Обычный 11 2 2 3 4 2 4" xfId="1411"/>
    <cellStyle name="Обычный 11 2 2 3 4 2 5" xfId="1412"/>
    <cellStyle name="Обычный 11 2 2 3 4 2 6" xfId="1413"/>
    <cellStyle name="Обычный 11 2 2 3 4 2 7" xfId="1414"/>
    <cellStyle name="Обычный 11 2 2 3 4 2 8" xfId="1415"/>
    <cellStyle name="Обычный 11 2 2 3 4 2 9" xfId="1416"/>
    <cellStyle name="Обычный 11 2 2 3 4 3" xfId="1417"/>
    <cellStyle name="Обычный 11 2 2 3 4 3 2" xfId="1418"/>
    <cellStyle name="Обычный 11 2 2 3 4 4" xfId="1419"/>
    <cellStyle name="Обычный 11 2 2 3 4 5" xfId="1420"/>
    <cellStyle name="Обычный 11 2 2 3 4 6" xfId="1421"/>
    <cellStyle name="Обычный 11 2 2 3 4 7" xfId="1422"/>
    <cellStyle name="Обычный 11 2 2 3 4 8" xfId="1423"/>
    <cellStyle name="Обычный 11 2 2 3 4 9" xfId="1424"/>
    <cellStyle name="Обычный 11 2 2 3 5" xfId="1425"/>
    <cellStyle name="Обычный 11 2 2 3 5 10" xfId="1426"/>
    <cellStyle name="Обычный 11 2 2 3 5 11" xfId="1427"/>
    <cellStyle name="Обычный 11 2 2 3 5 12" xfId="18058"/>
    <cellStyle name="Обычный 11 2 2 3 5 13" xfId="19763"/>
    <cellStyle name="Обычный 11 2 2 3 5 14" xfId="21377"/>
    <cellStyle name="Обычный 11 2 2 3 5 2" xfId="1428"/>
    <cellStyle name="Обычный 11 2 2 3 5 2 10" xfId="1429"/>
    <cellStyle name="Обычный 11 2 2 3 5 2 11" xfId="18059"/>
    <cellStyle name="Обычный 11 2 2 3 5 2 12" xfId="19764"/>
    <cellStyle name="Обычный 11 2 2 3 5 2 13" xfId="21378"/>
    <cellStyle name="Обычный 11 2 2 3 5 2 2" xfId="1430"/>
    <cellStyle name="Обычный 11 2 2 3 5 2 2 2" xfId="1431"/>
    <cellStyle name="Обычный 11 2 2 3 5 2 3" xfId="1432"/>
    <cellStyle name="Обычный 11 2 2 3 5 2 4" xfId="1433"/>
    <cellStyle name="Обычный 11 2 2 3 5 2 5" xfId="1434"/>
    <cellStyle name="Обычный 11 2 2 3 5 2 6" xfId="1435"/>
    <cellStyle name="Обычный 11 2 2 3 5 2 7" xfId="1436"/>
    <cellStyle name="Обычный 11 2 2 3 5 2 8" xfId="1437"/>
    <cellStyle name="Обычный 11 2 2 3 5 2 9" xfId="1438"/>
    <cellStyle name="Обычный 11 2 2 3 5 3" xfId="1439"/>
    <cellStyle name="Обычный 11 2 2 3 5 3 2" xfId="1440"/>
    <cellStyle name="Обычный 11 2 2 3 5 4" xfId="1441"/>
    <cellStyle name="Обычный 11 2 2 3 5 5" xfId="1442"/>
    <cellStyle name="Обычный 11 2 2 3 5 6" xfId="1443"/>
    <cellStyle name="Обычный 11 2 2 3 5 7" xfId="1444"/>
    <cellStyle name="Обычный 11 2 2 3 5 8" xfId="1445"/>
    <cellStyle name="Обычный 11 2 2 3 5 9" xfId="1446"/>
    <cellStyle name="Обычный 11 2 2 3 6" xfId="1447"/>
    <cellStyle name="Обычный 11 2 2 3 6 10" xfId="1448"/>
    <cellStyle name="Обычный 11 2 2 3 6 11" xfId="18060"/>
    <cellStyle name="Обычный 11 2 2 3 6 12" xfId="19765"/>
    <cellStyle name="Обычный 11 2 2 3 6 13" xfId="21379"/>
    <cellStyle name="Обычный 11 2 2 3 6 2" xfId="1449"/>
    <cellStyle name="Обычный 11 2 2 3 6 2 2" xfId="1450"/>
    <cellStyle name="Обычный 11 2 2 3 6 3" xfId="1451"/>
    <cellStyle name="Обычный 11 2 2 3 6 4" xfId="1452"/>
    <cellStyle name="Обычный 11 2 2 3 6 5" xfId="1453"/>
    <cellStyle name="Обычный 11 2 2 3 6 6" xfId="1454"/>
    <cellStyle name="Обычный 11 2 2 3 6 7" xfId="1455"/>
    <cellStyle name="Обычный 11 2 2 3 6 8" xfId="1456"/>
    <cellStyle name="Обычный 11 2 2 3 6 9" xfId="1457"/>
    <cellStyle name="Обычный 11 2 2 3 7" xfId="1458"/>
    <cellStyle name="Обычный 11 2 2 3 7 10" xfId="19766"/>
    <cellStyle name="Обычный 11 2 2 3 7 11" xfId="21380"/>
    <cellStyle name="Обычный 11 2 2 3 7 2" xfId="1459"/>
    <cellStyle name="Обычный 11 2 2 3 7 2 2" xfId="1460"/>
    <cellStyle name="Обычный 11 2 2 3 7 3" xfId="1461"/>
    <cellStyle name="Обычный 11 2 2 3 7 4" xfId="1462"/>
    <cellStyle name="Обычный 11 2 2 3 7 5" xfId="1463"/>
    <cellStyle name="Обычный 11 2 2 3 7 6" xfId="1464"/>
    <cellStyle name="Обычный 11 2 2 3 7 7" xfId="1465"/>
    <cellStyle name="Обычный 11 2 2 3 7 8" xfId="1466"/>
    <cellStyle name="Обычный 11 2 2 3 7 9" xfId="18061"/>
    <cellStyle name="Обычный 11 2 2 3 8" xfId="1467"/>
    <cellStyle name="Обычный 11 2 2 3 8 2" xfId="1468"/>
    <cellStyle name="Обычный 11 2 2 3 9" xfId="1469"/>
    <cellStyle name="Обычный 11 2 2 4" xfId="1470"/>
    <cellStyle name="Обычный 11 2 2 4 10" xfId="1471"/>
    <cellStyle name="Обычный 11 2 2 4 11" xfId="1472"/>
    <cellStyle name="Обычный 11 2 2 4 12" xfId="18062"/>
    <cellStyle name="Обычный 11 2 2 4 13" xfId="19767"/>
    <cellStyle name="Обычный 11 2 2 4 14" xfId="21381"/>
    <cellStyle name="Обычный 11 2 2 4 2" xfId="1473"/>
    <cellStyle name="Обычный 11 2 2 4 2 10" xfId="1474"/>
    <cellStyle name="Обычный 11 2 2 4 2 11" xfId="18063"/>
    <cellStyle name="Обычный 11 2 2 4 2 12" xfId="19768"/>
    <cellStyle name="Обычный 11 2 2 4 2 13" xfId="21382"/>
    <cellStyle name="Обычный 11 2 2 4 2 2" xfId="1475"/>
    <cellStyle name="Обычный 11 2 2 4 2 2 2" xfId="1476"/>
    <cellStyle name="Обычный 11 2 2 4 2 3" xfId="1477"/>
    <cellStyle name="Обычный 11 2 2 4 2 4" xfId="1478"/>
    <cellStyle name="Обычный 11 2 2 4 2 5" xfId="1479"/>
    <cellStyle name="Обычный 11 2 2 4 2 6" xfId="1480"/>
    <cellStyle name="Обычный 11 2 2 4 2 7" xfId="1481"/>
    <cellStyle name="Обычный 11 2 2 4 2 8" xfId="1482"/>
    <cellStyle name="Обычный 11 2 2 4 2 9" xfId="1483"/>
    <cellStyle name="Обычный 11 2 2 4 3" xfId="1484"/>
    <cellStyle name="Обычный 11 2 2 4 3 2" xfId="1485"/>
    <cellStyle name="Обычный 11 2 2 4 4" xfId="1486"/>
    <cellStyle name="Обычный 11 2 2 4 5" xfId="1487"/>
    <cellStyle name="Обычный 11 2 2 4 6" xfId="1488"/>
    <cellStyle name="Обычный 11 2 2 4 7" xfId="1489"/>
    <cellStyle name="Обычный 11 2 2 4 8" xfId="1490"/>
    <cellStyle name="Обычный 11 2 2 4 9" xfId="1491"/>
    <cellStyle name="Обычный 11 2 2 5" xfId="1492"/>
    <cellStyle name="Обычный 11 2 2 5 10" xfId="1493"/>
    <cellStyle name="Обычный 11 2 2 5 11" xfId="1494"/>
    <cellStyle name="Обычный 11 2 2 5 12" xfId="18064"/>
    <cellStyle name="Обычный 11 2 2 5 13" xfId="19769"/>
    <cellStyle name="Обычный 11 2 2 5 14" xfId="21383"/>
    <cellStyle name="Обычный 11 2 2 5 2" xfId="1495"/>
    <cellStyle name="Обычный 11 2 2 5 2 10" xfId="1496"/>
    <cellStyle name="Обычный 11 2 2 5 2 11" xfId="18065"/>
    <cellStyle name="Обычный 11 2 2 5 2 12" xfId="19770"/>
    <cellStyle name="Обычный 11 2 2 5 2 13" xfId="21384"/>
    <cellStyle name="Обычный 11 2 2 5 2 2" xfId="1497"/>
    <cellStyle name="Обычный 11 2 2 5 2 2 2" xfId="1498"/>
    <cellStyle name="Обычный 11 2 2 5 2 3" xfId="1499"/>
    <cellStyle name="Обычный 11 2 2 5 2 4" xfId="1500"/>
    <cellStyle name="Обычный 11 2 2 5 2 5" xfId="1501"/>
    <cellStyle name="Обычный 11 2 2 5 2 6" xfId="1502"/>
    <cellStyle name="Обычный 11 2 2 5 2 7" xfId="1503"/>
    <cellStyle name="Обычный 11 2 2 5 2 8" xfId="1504"/>
    <cellStyle name="Обычный 11 2 2 5 2 9" xfId="1505"/>
    <cellStyle name="Обычный 11 2 2 5 3" xfId="1506"/>
    <cellStyle name="Обычный 11 2 2 5 3 2" xfId="1507"/>
    <cellStyle name="Обычный 11 2 2 5 4" xfId="1508"/>
    <cellStyle name="Обычный 11 2 2 5 5" xfId="1509"/>
    <cellStyle name="Обычный 11 2 2 5 6" xfId="1510"/>
    <cellStyle name="Обычный 11 2 2 5 7" xfId="1511"/>
    <cellStyle name="Обычный 11 2 2 5 8" xfId="1512"/>
    <cellStyle name="Обычный 11 2 2 5 9" xfId="1513"/>
    <cellStyle name="Обычный 11 2 2 6" xfId="1514"/>
    <cellStyle name="Обычный 11 2 2 6 10" xfId="1515"/>
    <cellStyle name="Обычный 11 2 2 6 11" xfId="1516"/>
    <cellStyle name="Обычный 11 2 2 6 12" xfId="18066"/>
    <cellStyle name="Обычный 11 2 2 6 13" xfId="19771"/>
    <cellStyle name="Обычный 11 2 2 6 14" xfId="21385"/>
    <cellStyle name="Обычный 11 2 2 6 2" xfId="1517"/>
    <cellStyle name="Обычный 11 2 2 6 2 10" xfId="1518"/>
    <cellStyle name="Обычный 11 2 2 6 2 11" xfId="18067"/>
    <cellStyle name="Обычный 11 2 2 6 2 12" xfId="19772"/>
    <cellStyle name="Обычный 11 2 2 6 2 13" xfId="21386"/>
    <cellStyle name="Обычный 11 2 2 6 2 2" xfId="1519"/>
    <cellStyle name="Обычный 11 2 2 6 2 2 2" xfId="1520"/>
    <cellStyle name="Обычный 11 2 2 6 2 3" xfId="1521"/>
    <cellStyle name="Обычный 11 2 2 6 2 4" xfId="1522"/>
    <cellStyle name="Обычный 11 2 2 6 2 5" xfId="1523"/>
    <cellStyle name="Обычный 11 2 2 6 2 6" xfId="1524"/>
    <cellStyle name="Обычный 11 2 2 6 2 7" xfId="1525"/>
    <cellStyle name="Обычный 11 2 2 6 2 8" xfId="1526"/>
    <cellStyle name="Обычный 11 2 2 6 2 9" xfId="1527"/>
    <cellStyle name="Обычный 11 2 2 6 3" xfId="1528"/>
    <cellStyle name="Обычный 11 2 2 6 3 2" xfId="1529"/>
    <cellStyle name="Обычный 11 2 2 6 4" xfId="1530"/>
    <cellStyle name="Обычный 11 2 2 6 5" xfId="1531"/>
    <cellStyle name="Обычный 11 2 2 6 6" xfId="1532"/>
    <cellStyle name="Обычный 11 2 2 6 7" xfId="1533"/>
    <cellStyle name="Обычный 11 2 2 6 8" xfId="1534"/>
    <cellStyle name="Обычный 11 2 2 6 9" xfId="1535"/>
    <cellStyle name="Обычный 11 2 2 7" xfId="1536"/>
    <cellStyle name="Обычный 11 2 2 7 10" xfId="1537"/>
    <cellStyle name="Обычный 11 2 2 7 11" xfId="1538"/>
    <cellStyle name="Обычный 11 2 2 7 12" xfId="18068"/>
    <cellStyle name="Обычный 11 2 2 7 13" xfId="19773"/>
    <cellStyle name="Обычный 11 2 2 7 14" xfId="21387"/>
    <cellStyle name="Обычный 11 2 2 7 2" xfId="1539"/>
    <cellStyle name="Обычный 11 2 2 7 2 10" xfId="1540"/>
    <cellStyle name="Обычный 11 2 2 7 2 11" xfId="18069"/>
    <cellStyle name="Обычный 11 2 2 7 2 12" xfId="19774"/>
    <cellStyle name="Обычный 11 2 2 7 2 13" xfId="21388"/>
    <cellStyle name="Обычный 11 2 2 7 2 2" xfId="1541"/>
    <cellStyle name="Обычный 11 2 2 7 2 2 2" xfId="1542"/>
    <cellStyle name="Обычный 11 2 2 7 2 3" xfId="1543"/>
    <cellStyle name="Обычный 11 2 2 7 2 4" xfId="1544"/>
    <cellStyle name="Обычный 11 2 2 7 2 5" xfId="1545"/>
    <cellStyle name="Обычный 11 2 2 7 2 6" xfId="1546"/>
    <cellStyle name="Обычный 11 2 2 7 2 7" xfId="1547"/>
    <cellStyle name="Обычный 11 2 2 7 2 8" xfId="1548"/>
    <cellStyle name="Обычный 11 2 2 7 2 9" xfId="1549"/>
    <cellStyle name="Обычный 11 2 2 7 3" xfId="1550"/>
    <cellStyle name="Обычный 11 2 2 7 3 2" xfId="1551"/>
    <cellStyle name="Обычный 11 2 2 7 4" xfId="1552"/>
    <cellStyle name="Обычный 11 2 2 7 5" xfId="1553"/>
    <cellStyle name="Обычный 11 2 2 7 6" xfId="1554"/>
    <cellStyle name="Обычный 11 2 2 7 7" xfId="1555"/>
    <cellStyle name="Обычный 11 2 2 7 8" xfId="1556"/>
    <cellStyle name="Обычный 11 2 2 7 9" xfId="1557"/>
    <cellStyle name="Обычный 11 2 2 8" xfId="1558"/>
    <cellStyle name="Обычный 11 2 2 8 10" xfId="1559"/>
    <cellStyle name="Обычный 11 2 2 8 11" xfId="18070"/>
    <cellStyle name="Обычный 11 2 2 8 12" xfId="19775"/>
    <cellStyle name="Обычный 11 2 2 8 13" xfId="21389"/>
    <cellStyle name="Обычный 11 2 2 8 2" xfId="1560"/>
    <cellStyle name="Обычный 11 2 2 8 2 2" xfId="1561"/>
    <cellStyle name="Обычный 11 2 2 8 3" xfId="1562"/>
    <cellStyle name="Обычный 11 2 2 8 4" xfId="1563"/>
    <cellStyle name="Обычный 11 2 2 8 5" xfId="1564"/>
    <cellStyle name="Обычный 11 2 2 8 6" xfId="1565"/>
    <cellStyle name="Обычный 11 2 2 8 7" xfId="1566"/>
    <cellStyle name="Обычный 11 2 2 8 8" xfId="1567"/>
    <cellStyle name="Обычный 11 2 2 8 9" xfId="1568"/>
    <cellStyle name="Обычный 11 2 2 9" xfId="1569"/>
    <cellStyle name="Обычный 11 2 2 9 10" xfId="19776"/>
    <cellStyle name="Обычный 11 2 2 9 11" xfId="21390"/>
    <cellStyle name="Обычный 11 2 2 9 2" xfId="1570"/>
    <cellStyle name="Обычный 11 2 2 9 2 2" xfId="1571"/>
    <cellStyle name="Обычный 11 2 2 9 3" xfId="1572"/>
    <cellStyle name="Обычный 11 2 2 9 4" xfId="1573"/>
    <cellStyle name="Обычный 11 2 2 9 5" xfId="1574"/>
    <cellStyle name="Обычный 11 2 2 9 6" xfId="1575"/>
    <cellStyle name="Обычный 11 2 2 9 7" xfId="1576"/>
    <cellStyle name="Обычный 11 2 2 9 8" xfId="1577"/>
    <cellStyle name="Обычный 11 2 2 9 9" xfId="18071"/>
    <cellStyle name="Обычный 11 2 20" xfId="1578"/>
    <cellStyle name="Обычный 11 2 21" xfId="1579"/>
    <cellStyle name="Обычный 11 2 22" xfId="1580"/>
    <cellStyle name="Обычный 11 2 23" xfId="1581"/>
    <cellStyle name="Обычный 11 2 24" xfId="18033"/>
    <cellStyle name="Обычный 11 2 25" xfId="19624"/>
    <cellStyle name="Обычный 11 2 26" xfId="19738"/>
    <cellStyle name="Обычный 11 2 27" xfId="21352"/>
    <cellStyle name="Обычный 11 2 3" xfId="1582"/>
    <cellStyle name="Обычный 11 2 3 10" xfId="1583"/>
    <cellStyle name="Обычный 11 2 3 11" xfId="1584"/>
    <cellStyle name="Обычный 11 2 3 12" xfId="1585"/>
    <cellStyle name="Обычный 11 2 3 13" xfId="1586"/>
    <cellStyle name="Обычный 11 2 3 14" xfId="1587"/>
    <cellStyle name="Обычный 11 2 3 15" xfId="1588"/>
    <cellStyle name="Обычный 11 2 3 16" xfId="1589"/>
    <cellStyle name="Обычный 11 2 3 17" xfId="1590"/>
    <cellStyle name="Обычный 11 2 3 18" xfId="18072"/>
    <cellStyle name="Обычный 11 2 3 19" xfId="19777"/>
    <cellStyle name="Обычный 11 2 3 2" xfId="1591"/>
    <cellStyle name="Обычный 11 2 3 2 10" xfId="1592"/>
    <cellStyle name="Обычный 11 2 3 2 11" xfId="1593"/>
    <cellStyle name="Обычный 11 2 3 2 12" xfId="18073"/>
    <cellStyle name="Обычный 11 2 3 2 13" xfId="19778"/>
    <cellStyle name="Обычный 11 2 3 2 14" xfId="21392"/>
    <cellStyle name="Обычный 11 2 3 2 2" xfId="1594"/>
    <cellStyle name="Обычный 11 2 3 2 2 10" xfId="1595"/>
    <cellStyle name="Обычный 11 2 3 2 2 11" xfId="18074"/>
    <cellStyle name="Обычный 11 2 3 2 2 12" xfId="19779"/>
    <cellStyle name="Обычный 11 2 3 2 2 13" xfId="21393"/>
    <cellStyle name="Обычный 11 2 3 2 2 2" xfId="1596"/>
    <cellStyle name="Обычный 11 2 3 2 2 2 2" xfId="1597"/>
    <cellStyle name="Обычный 11 2 3 2 2 3" xfId="1598"/>
    <cellStyle name="Обычный 11 2 3 2 2 4" xfId="1599"/>
    <cellStyle name="Обычный 11 2 3 2 2 5" xfId="1600"/>
    <cellStyle name="Обычный 11 2 3 2 2 6" xfId="1601"/>
    <cellStyle name="Обычный 11 2 3 2 2 7" xfId="1602"/>
    <cellStyle name="Обычный 11 2 3 2 2 8" xfId="1603"/>
    <cellStyle name="Обычный 11 2 3 2 2 9" xfId="1604"/>
    <cellStyle name="Обычный 11 2 3 2 3" xfId="1605"/>
    <cellStyle name="Обычный 11 2 3 2 3 2" xfId="1606"/>
    <cellStyle name="Обычный 11 2 3 2 4" xfId="1607"/>
    <cellStyle name="Обычный 11 2 3 2 5" xfId="1608"/>
    <cellStyle name="Обычный 11 2 3 2 6" xfId="1609"/>
    <cellStyle name="Обычный 11 2 3 2 7" xfId="1610"/>
    <cellStyle name="Обычный 11 2 3 2 8" xfId="1611"/>
    <cellStyle name="Обычный 11 2 3 2 9" xfId="1612"/>
    <cellStyle name="Обычный 11 2 3 20" xfId="21391"/>
    <cellStyle name="Обычный 11 2 3 3" xfId="1613"/>
    <cellStyle name="Обычный 11 2 3 3 10" xfId="1614"/>
    <cellStyle name="Обычный 11 2 3 3 11" xfId="1615"/>
    <cellStyle name="Обычный 11 2 3 3 12" xfId="18075"/>
    <cellStyle name="Обычный 11 2 3 3 13" xfId="19780"/>
    <cellStyle name="Обычный 11 2 3 3 14" xfId="21394"/>
    <cellStyle name="Обычный 11 2 3 3 2" xfId="1616"/>
    <cellStyle name="Обычный 11 2 3 3 2 10" xfId="1617"/>
    <cellStyle name="Обычный 11 2 3 3 2 11" xfId="18076"/>
    <cellStyle name="Обычный 11 2 3 3 2 12" xfId="19781"/>
    <cellStyle name="Обычный 11 2 3 3 2 13" xfId="21395"/>
    <cellStyle name="Обычный 11 2 3 3 2 2" xfId="1618"/>
    <cellStyle name="Обычный 11 2 3 3 2 2 2" xfId="1619"/>
    <cellStyle name="Обычный 11 2 3 3 2 3" xfId="1620"/>
    <cellStyle name="Обычный 11 2 3 3 2 4" xfId="1621"/>
    <cellStyle name="Обычный 11 2 3 3 2 5" xfId="1622"/>
    <cellStyle name="Обычный 11 2 3 3 2 6" xfId="1623"/>
    <cellStyle name="Обычный 11 2 3 3 2 7" xfId="1624"/>
    <cellStyle name="Обычный 11 2 3 3 2 8" xfId="1625"/>
    <cellStyle name="Обычный 11 2 3 3 2 9" xfId="1626"/>
    <cellStyle name="Обычный 11 2 3 3 3" xfId="1627"/>
    <cellStyle name="Обычный 11 2 3 3 3 2" xfId="1628"/>
    <cellStyle name="Обычный 11 2 3 3 4" xfId="1629"/>
    <cellStyle name="Обычный 11 2 3 3 5" xfId="1630"/>
    <cellStyle name="Обычный 11 2 3 3 6" xfId="1631"/>
    <cellStyle name="Обычный 11 2 3 3 7" xfId="1632"/>
    <cellStyle name="Обычный 11 2 3 3 8" xfId="1633"/>
    <cellStyle name="Обычный 11 2 3 3 9" xfId="1634"/>
    <cellStyle name="Обычный 11 2 3 4" xfId="1635"/>
    <cellStyle name="Обычный 11 2 3 4 10" xfId="1636"/>
    <cellStyle name="Обычный 11 2 3 4 11" xfId="1637"/>
    <cellStyle name="Обычный 11 2 3 4 12" xfId="18077"/>
    <cellStyle name="Обычный 11 2 3 4 13" xfId="19782"/>
    <cellStyle name="Обычный 11 2 3 4 14" xfId="21396"/>
    <cellStyle name="Обычный 11 2 3 4 2" xfId="1638"/>
    <cellStyle name="Обычный 11 2 3 4 2 10" xfId="1639"/>
    <cellStyle name="Обычный 11 2 3 4 2 11" xfId="18078"/>
    <cellStyle name="Обычный 11 2 3 4 2 12" xfId="19783"/>
    <cellStyle name="Обычный 11 2 3 4 2 13" xfId="21397"/>
    <cellStyle name="Обычный 11 2 3 4 2 2" xfId="1640"/>
    <cellStyle name="Обычный 11 2 3 4 2 2 2" xfId="1641"/>
    <cellStyle name="Обычный 11 2 3 4 2 3" xfId="1642"/>
    <cellStyle name="Обычный 11 2 3 4 2 4" xfId="1643"/>
    <cellStyle name="Обычный 11 2 3 4 2 5" xfId="1644"/>
    <cellStyle name="Обычный 11 2 3 4 2 6" xfId="1645"/>
    <cellStyle name="Обычный 11 2 3 4 2 7" xfId="1646"/>
    <cellStyle name="Обычный 11 2 3 4 2 8" xfId="1647"/>
    <cellStyle name="Обычный 11 2 3 4 2 9" xfId="1648"/>
    <cellStyle name="Обычный 11 2 3 4 3" xfId="1649"/>
    <cellStyle name="Обычный 11 2 3 4 3 2" xfId="1650"/>
    <cellStyle name="Обычный 11 2 3 4 4" xfId="1651"/>
    <cellStyle name="Обычный 11 2 3 4 5" xfId="1652"/>
    <cellStyle name="Обычный 11 2 3 4 6" xfId="1653"/>
    <cellStyle name="Обычный 11 2 3 4 7" xfId="1654"/>
    <cellStyle name="Обычный 11 2 3 4 8" xfId="1655"/>
    <cellStyle name="Обычный 11 2 3 4 9" xfId="1656"/>
    <cellStyle name="Обычный 11 2 3 5" xfId="1657"/>
    <cellStyle name="Обычный 11 2 3 5 10" xfId="1658"/>
    <cellStyle name="Обычный 11 2 3 5 11" xfId="1659"/>
    <cellStyle name="Обычный 11 2 3 5 12" xfId="18079"/>
    <cellStyle name="Обычный 11 2 3 5 13" xfId="19784"/>
    <cellStyle name="Обычный 11 2 3 5 14" xfId="21398"/>
    <cellStyle name="Обычный 11 2 3 5 2" xfId="1660"/>
    <cellStyle name="Обычный 11 2 3 5 2 10" xfId="1661"/>
    <cellStyle name="Обычный 11 2 3 5 2 11" xfId="18080"/>
    <cellStyle name="Обычный 11 2 3 5 2 12" xfId="19785"/>
    <cellStyle name="Обычный 11 2 3 5 2 13" xfId="21399"/>
    <cellStyle name="Обычный 11 2 3 5 2 2" xfId="1662"/>
    <cellStyle name="Обычный 11 2 3 5 2 2 2" xfId="1663"/>
    <cellStyle name="Обычный 11 2 3 5 2 3" xfId="1664"/>
    <cellStyle name="Обычный 11 2 3 5 2 4" xfId="1665"/>
    <cellStyle name="Обычный 11 2 3 5 2 5" xfId="1666"/>
    <cellStyle name="Обычный 11 2 3 5 2 6" xfId="1667"/>
    <cellStyle name="Обычный 11 2 3 5 2 7" xfId="1668"/>
    <cellStyle name="Обычный 11 2 3 5 2 8" xfId="1669"/>
    <cellStyle name="Обычный 11 2 3 5 2 9" xfId="1670"/>
    <cellStyle name="Обычный 11 2 3 5 3" xfId="1671"/>
    <cellStyle name="Обычный 11 2 3 5 3 2" xfId="1672"/>
    <cellStyle name="Обычный 11 2 3 5 4" xfId="1673"/>
    <cellStyle name="Обычный 11 2 3 5 5" xfId="1674"/>
    <cellStyle name="Обычный 11 2 3 5 6" xfId="1675"/>
    <cellStyle name="Обычный 11 2 3 5 7" xfId="1676"/>
    <cellStyle name="Обычный 11 2 3 5 8" xfId="1677"/>
    <cellStyle name="Обычный 11 2 3 5 9" xfId="1678"/>
    <cellStyle name="Обычный 11 2 3 6" xfId="1679"/>
    <cellStyle name="Обычный 11 2 3 6 10" xfId="1680"/>
    <cellStyle name="Обычный 11 2 3 6 11" xfId="18081"/>
    <cellStyle name="Обычный 11 2 3 6 12" xfId="19786"/>
    <cellStyle name="Обычный 11 2 3 6 13" xfId="21400"/>
    <cellStyle name="Обычный 11 2 3 6 2" xfId="1681"/>
    <cellStyle name="Обычный 11 2 3 6 2 2" xfId="1682"/>
    <cellStyle name="Обычный 11 2 3 6 3" xfId="1683"/>
    <cellStyle name="Обычный 11 2 3 6 4" xfId="1684"/>
    <cellStyle name="Обычный 11 2 3 6 5" xfId="1685"/>
    <cellStyle name="Обычный 11 2 3 6 6" xfId="1686"/>
    <cellStyle name="Обычный 11 2 3 6 7" xfId="1687"/>
    <cellStyle name="Обычный 11 2 3 6 8" xfId="1688"/>
    <cellStyle name="Обычный 11 2 3 6 9" xfId="1689"/>
    <cellStyle name="Обычный 11 2 3 7" xfId="1690"/>
    <cellStyle name="Обычный 11 2 3 7 10" xfId="19787"/>
    <cellStyle name="Обычный 11 2 3 7 11" xfId="21401"/>
    <cellStyle name="Обычный 11 2 3 7 2" xfId="1691"/>
    <cellStyle name="Обычный 11 2 3 7 2 2" xfId="1692"/>
    <cellStyle name="Обычный 11 2 3 7 3" xfId="1693"/>
    <cellStyle name="Обычный 11 2 3 7 4" xfId="1694"/>
    <cellStyle name="Обычный 11 2 3 7 5" xfId="1695"/>
    <cellStyle name="Обычный 11 2 3 7 6" xfId="1696"/>
    <cellStyle name="Обычный 11 2 3 7 7" xfId="1697"/>
    <cellStyle name="Обычный 11 2 3 7 8" xfId="1698"/>
    <cellStyle name="Обычный 11 2 3 7 9" xfId="18082"/>
    <cellStyle name="Обычный 11 2 3 8" xfId="1699"/>
    <cellStyle name="Обычный 11 2 3 8 2" xfId="1700"/>
    <cellStyle name="Обычный 11 2 3 9" xfId="1701"/>
    <cellStyle name="Обычный 11 2 4" xfId="1702"/>
    <cellStyle name="Обычный 11 2 4 10" xfId="1703"/>
    <cellStyle name="Обычный 11 2 4 11" xfId="1704"/>
    <cellStyle name="Обычный 11 2 4 12" xfId="1705"/>
    <cellStyle name="Обычный 11 2 4 13" xfId="1706"/>
    <cellStyle name="Обычный 11 2 4 14" xfId="1707"/>
    <cellStyle name="Обычный 11 2 4 15" xfId="1708"/>
    <cellStyle name="Обычный 11 2 4 16" xfId="1709"/>
    <cellStyle name="Обычный 11 2 4 17" xfId="1710"/>
    <cellStyle name="Обычный 11 2 4 18" xfId="18083"/>
    <cellStyle name="Обычный 11 2 4 19" xfId="19788"/>
    <cellStyle name="Обычный 11 2 4 2" xfId="1711"/>
    <cellStyle name="Обычный 11 2 4 2 10" xfId="1712"/>
    <cellStyle name="Обычный 11 2 4 2 11" xfId="1713"/>
    <cellStyle name="Обычный 11 2 4 2 12" xfId="18084"/>
    <cellStyle name="Обычный 11 2 4 2 13" xfId="19789"/>
    <cellStyle name="Обычный 11 2 4 2 14" xfId="21403"/>
    <cellStyle name="Обычный 11 2 4 2 2" xfId="1714"/>
    <cellStyle name="Обычный 11 2 4 2 2 10" xfId="1715"/>
    <cellStyle name="Обычный 11 2 4 2 2 11" xfId="18085"/>
    <cellStyle name="Обычный 11 2 4 2 2 12" xfId="19790"/>
    <cellStyle name="Обычный 11 2 4 2 2 13" xfId="21404"/>
    <cellStyle name="Обычный 11 2 4 2 2 2" xfId="1716"/>
    <cellStyle name="Обычный 11 2 4 2 2 2 2" xfId="1717"/>
    <cellStyle name="Обычный 11 2 4 2 2 3" xfId="1718"/>
    <cellStyle name="Обычный 11 2 4 2 2 4" xfId="1719"/>
    <cellStyle name="Обычный 11 2 4 2 2 5" xfId="1720"/>
    <cellStyle name="Обычный 11 2 4 2 2 6" xfId="1721"/>
    <cellStyle name="Обычный 11 2 4 2 2 7" xfId="1722"/>
    <cellStyle name="Обычный 11 2 4 2 2 8" xfId="1723"/>
    <cellStyle name="Обычный 11 2 4 2 2 9" xfId="1724"/>
    <cellStyle name="Обычный 11 2 4 2 3" xfId="1725"/>
    <cellStyle name="Обычный 11 2 4 2 3 2" xfId="1726"/>
    <cellStyle name="Обычный 11 2 4 2 4" xfId="1727"/>
    <cellStyle name="Обычный 11 2 4 2 5" xfId="1728"/>
    <cellStyle name="Обычный 11 2 4 2 6" xfId="1729"/>
    <cellStyle name="Обычный 11 2 4 2 7" xfId="1730"/>
    <cellStyle name="Обычный 11 2 4 2 8" xfId="1731"/>
    <cellStyle name="Обычный 11 2 4 2 9" xfId="1732"/>
    <cellStyle name="Обычный 11 2 4 20" xfId="21402"/>
    <cellStyle name="Обычный 11 2 4 3" xfId="1733"/>
    <cellStyle name="Обычный 11 2 4 3 10" xfId="1734"/>
    <cellStyle name="Обычный 11 2 4 3 11" xfId="1735"/>
    <cellStyle name="Обычный 11 2 4 3 12" xfId="18086"/>
    <cellStyle name="Обычный 11 2 4 3 13" xfId="19791"/>
    <cellStyle name="Обычный 11 2 4 3 14" xfId="21405"/>
    <cellStyle name="Обычный 11 2 4 3 2" xfId="1736"/>
    <cellStyle name="Обычный 11 2 4 3 2 10" xfId="1737"/>
    <cellStyle name="Обычный 11 2 4 3 2 11" xfId="18087"/>
    <cellStyle name="Обычный 11 2 4 3 2 12" xfId="19792"/>
    <cellStyle name="Обычный 11 2 4 3 2 13" xfId="21406"/>
    <cellStyle name="Обычный 11 2 4 3 2 2" xfId="1738"/>
    <cellStyle name="Обычный 11 2 4 3 2 2 2" xfId="1739"/>
    <cellStyle name="Обычный 11 2 4 3 2 3" xfId="1740"/>
    <cellStyle name="Обычный 11 2 4 3 2 4" xfId="1741"/>
    <cellStyle name="Обычный 11 2 4 3 2 5" xfId="1742"/>
    <cellStyle name="Обычный 11 2 4 3 2 6" xfId="1743"/>
    <cellStyle name="Обычный 11 2 4 3 2 7" xfId="1744"/>
    <cellStyle name="Обычный 11 2 4 3 2 8" xfId="1745"/>
    <cellStyle name="Обычный 11 2 4 3 2 9" xfId="1746"/>
    <cellStyle name="Обычный 11 2 4 3 3" xfId="1747"/>
    <cellStyle name="Обычный 11 2 4 3 3 2" xfId="1748"/>
    <cellStyle name="Обычный 11 2 4 3 4" xfId="1749"/>
    <cellStyle name="Обычный 11 2 4 3 5" xfId="1750"/>
    <cellStyle name="Обычный 11 2 4 3 6" xfId="1751"/>
    <cellStyle name="Обычный 11 2 4 3 7" xfId="1752"/>
    <cellStyle name="Обычный 11 2 4 3 8" xfId="1753"/>
    <cellStyle name="Обычный 11 2 4 3 9" xfId="1754"/>
    <cellStyle name="Обычный 11 2 4 4" xfId="1755"/>
    <cellStyle name="Обычный 11 2 4 4 10" xfId="1756"/>
    <cellStyle name="Обычный 11 2 4 4 11" xfId="1757"/>
    <cellStyle name="Обычный 11 2 4 4 12" xfId="18088"/>
    <cellStyle name="Обычный 11 2 4 4 13" xfId="19793"/>
    <cellStyle name="Обычный 11 2 4 4 14" xfId="21407"/>
    <cellStyle name="Обычный 11 2 4 4 2" xfId="1758"/>
    <cellStyle name="Обычный 11 2 4 4 2 10" xfId="1759"/>
    <cellStyle name="Обычный 11 2 4 4 2 11" xfId="18089"/>
    <cellStyle name="Обычный 11 2 4 4 2 12" xfId="19794"/>
    <cellStyle name="Обычный 11 2 4 4 2 13" xfId="21408"/>
    <cellStyle name="Обычный 11 2 4 4 2 2" xfId="1760"/>
    <cellStyle name="Обычный 11 2 4 4 2 2 2" xfId="1761"/>
    <cellStyle name="Обычный 11 2 4 4 2 3" xfId="1762"/>
    <cellStyle name="Обычный 11 2 4 4 2 4" xfId="1763"/>
    <cellStyle name="Обычный 11 2 4 4 2 5" xfId="1764"/>
    <cellStyle name="Обычный 11 2 4 4 2 6" xfId="1765"/>
    <cellStyle name="Обычный 11 2 4 4 2 7" xfId="1766"/>
    <cellStyle name="Обычный 11 2 4 4 2 8" xfId="1767"/>
    <cellStyle name="Обычный 11 2 4 4 2 9" xfId="1768"/>
    <cellStyle name="Обычный 11 2 4 4 3" xfId="1769"/>
    <cellStyle name="Обычный 11 2 4 4 3 2" xfId="1770"/>
    <cellStyle name="Обычный 11 2 4 4 4" xfId="1771"/>
    <cellStyle name="Обычный 11 2 4 4 5" xfId="1772"/>
    <cellStyle name="Обычный 11 2 4 4 6" xfId="1773"/>
    <cellStyle name="Обычный 11 2 4 4 7" xfId="1774"/>
    <cellStyle name="Обычный 11 2 4 4 8" xfId="1775"/>
    <cellStyle name="Обычный 11 2 4 4 9" xfId="1776"/>
    <cellStyle name="Обычный 11 2 4 5" xfId="1777"/>
    <cellStyle name="Обычный 11 2 4 5 10" xfId="1778"/>
    <cellStyle name="Обычный 11 2 4 5 11" xfId="1779"/>
    <cellStyle name="Обычный 11 2 4 5 12" xfId="18090"/>
    <cellStyle name="Обычный 11 2 4 5 13" xfId="19795"/>
    <cellStyle name="Обычный 11 2 4 5 14" xfId="21409"/>
    <cellStyle name="Обычный 11 2 4 5 2" xfId="1780"/>
    <cellStyle name="Обычный 11 2 4 5 2 10" xfId="1781"/>
    <cellStyle name="Обычный 11 2 4 5 2 11" xfId="18091"/>
    <cellStyle name="Обычный 11 2 4 5 2 12" xfId="19796"/>
    <cellStyle name="Обычный 11 2 4 5 2 13" xfId="21410"/>
    <cellStyle name="Обычный 11 2 4 5 2 2" xfId="1782"/>
    <cellStyle name="Обычный 11 2 4 5 2 2 2" xfId="1783"/>
    <cellStyle name="Обычный 11 2 4 5 2 3" xfId="1784"/>
    <cellStyle name="Обычный 11 2 4 5 2 4" xfId="1785"/>
    <cellStyle name="Обычный 11 2 4 5 2 5" xfId="1786"/>
    <cellStyle name="Обычный 11 2 4 5 2 6" xfId="1787"/>
    <cellStyle name="Обычный 11 2 4 5 2 7" xfId="1788"/>
    <cellStyle name="Обычный 11 2 4 5 2 8" xfId="1789"/>
    <cellStyle name="Обычный 11 2 4 5 2 9" xfId="1790"/>
    <cellStyle name="Обычный 11 2 4 5 3" xfId="1791"/>
    <cellStyle name="Обычный 11 2 4 5 3 2" xfId="1792"/>
    <cellStyle name="Обычный 11 2 4 5 4" xfId="1793"/>
    <cellStyle name="Обычный 11 2 4 5 5" xfId="1794"/>
    <cellStyle name="Обычный 11 2 4 5 6" xfId="1795"/>
    <cellStyle name="Обычный 11 2 4 5 7" xfId="1796"/>
    <cellStyle name="Обычный 11 2 4 5 8" xfId="1797"/>
    <cellStyle name="Обычный 11 2 4 5 9" xfId="1798"/>
    <cellStyle name="Обычный 11 2 4 6" xfId="1799"/>
    <cellStyle name="Обычный 11 2 4 6 10" xfId="1800"/>
    <cellStyle name="Обычный 11 2 4 6 11" xfId="18092"/>
    <cellStyle name="Обычный 11 2 4 6 12" xfId="19797"/>
    <cellStyle name="Обычный 11 2 4 6 13" xfId="21411"/>
    <cellStyle name="Обычный 11 2 4 6 2" xfId="1801"/>
    <cellStyle name="Обычный 11 2 4 6 2 2" xfId="1802"/>
    <cellStyle name="Обычный 11 2 4 6 3" xfId="1803"/>
    <cellStyle name="Обычный 11 2 4 6 4" xfId="1804"/>
    <cellStyle name="Обычный 11 2 4 6 5" xfId="1805"/>
    <cellStyle name="Обычный 11 2 4 6 6" xfId="1806"/>
    <cellStyle name="Обычный 11 2 4 6 7" xfId="1807"/>
    <cellStyle name="Обычный 11 2 4 6 8" xfId="1808"/>
    <cellStyle name="Обычный 11 2 4 6 9" xfId="1809"/>
    <cellStyle name="Обычный 11 2 4 7" xfId="1810"/>
    <cellStyle name="Обычный 11 2 4 7 10" xfId="19798"/>
    <cellStyle name="Обычный 11 2 4 7 11" xfId="21412"/>
    <cellStyle name="Обычный 11 2 4 7 2" xfId="1811"/>
    <cellStyle name="Обычный 11 2 4 7 2 2" xfId="1812"/>
    <cellStyle name="Обычный 11 2 4 7 3" xfId="1813"/>
    <cellStyle name="Обычный 11 2 4 7 4" xfId="1814"/>
    <cellStyle name="Обычный 11 2 4 7 5" xfId="1815"/>
    <cellStyle name="Обычный 11 2 4 7 6" xfId="1816"/>
    <cellStyle name="Обычный 11 2 4 7 7" xfId="1817"/>
    <cellStyle name="Обычный 11 2 4 7 8" xfId="1818"/>
    <cellStyle name="Обычный 11 2 4 7 9" xfId="18093"/>
    <cellStyle name="Обычный 11 2 4 8" xfId="1819"/>
    <cellStyle name="Обычный 11 2 4 8 2" xfId="1820"/>
    <cellStyle name="Обычный 11 2 4 9" xfId="1821"/>
    <cellStyle name="Обычный 11 2 5" xfId="1822"/>
    <cellStyle name="Обычный 11 2 5 10" xfId="1823"/>
    <cellStyle name="Обычный 11 2 5 11" xfId="1824"/>
    <cellStyle name="Обычный 11 2 5 12" xfId="18094"/>
    <cellStyle name="Обычный 11 2 5 13" xfId="19799"/>
    <cellStyle name="Обычный 11 2 5 14" xfId="21413"/>
    <cellStyle name="Обычный 11 2 5 2" xfId="1825"/>
    <cellStyle name="Обычный 11 2 5 2 10" xfId="1826"/>
    <cellStyle name="Обычный 11 2 5 2 11" xfId="18095"/>
    <cellStyle name="Обычный 11 2 5 2 12" xfId="19800"/>
    <cellStyle name="Обычный 11 2 5 2 13" xfId="21414"/>
    <cellStyle name="Обычный 11 2 5 2 2" xfId="1827"/>
    <cellStyle name="Обычный 11 2 5 2 2 2" xfId="1828"/>
    <cellStyle name="Обычный 11 2 5 2 3" xfId="1829"/>
    <cellStyle name="Обычный 11 2 5 2 4" xfId="1830"/>
    <cellStyle name="Обычный 11 2 5 2 5" xfId="1831"/>
    <cellStyle name="Обычный 11 2 5 2 6" xfId="1832"/>
    <cellStyle name="Обычный 11 2 5 2 7" xfId="1833"/>
    <cellStyle name="Обычный 11 2 5 2 8" xfId="1834"/>
    <cellStyle name="Обычный 11 2 5 2 9" xfId="1835"/>
    <cellStyle name="Обычный 11 2 5 3" xfId="1836"/>
    <cellStyle name="Обычный 11 2 5 3 2" xfId="1837"/>
    <cellStyle name="Обычный 11 2 5 4" xfId="1838"/>
    <cellStyle name="Обычный 11 2 5 5" xfId="1839"/>
    <cellStyle name="Обычный 11 2 5 6" xfId="1840"/>
    <cellStyle name="Обычный 11 2 5 7" xfId="1841"/>
    <cellStyle name="Обычный 11 2 5 8" xfId="1842"/>
    <cellStyle name="Обычный 11 2 5 9" xfId="1843"/>
    <cellStyle name="Обычный 11 2 6" xfId="1844"/>
    <cellStyle name="Обычный 11 2 6 10" xfId="1845"/>
    <cellStyle name="Обычный 11 2 6 11" xfId="1846"/>
    <cellStyle name="Обычный 11 2 6 12" xfId="18096"/>
    <cellStyle name="Обычный 11 2 6 13" xfId="19801"/>
    <cellStyle name="Обычный 11 2 6 14" xfId="21415"/>
    <cellStyle name="Обычный 11 2 6 2" xfId="1847"/>
    <cellStyle name="Обычный 11 2 6 2 10" xfId="1848"/>
    <cellStyle name="Обычный 11 2 6 2 11" xfId="18097"/>
    <cellStyle name="Обычный 11 2 6 2 12" xfId="19802"/>
    <cellStyle name="Обычный 11 2 6 2 13" xfId="21416"/>
    <cellStyle name="Обычный 11 2 6 2 2" xfId="1849"/>
    <cellStyle name="Обычный 11 2 6 2 2 2" xfId="1850"/>
    <cellStyle name="Обычный 11 2 6 2 3" xfId="1851"/>
    <cellStyle name="Обычный 11 2 6 2 4" xfId="1852"/>
    <cellStyle name="Обычный 11 2 6 2 5" xfId="1853"/>
    <cellStyle name="Обычный 11 2 6 2 6" xfId="1854"/>
    <cellStyle name="Обычный 11 2 6 2 7" xfId="1855"/>
    <cellStyle name="Обычный 11 2 6 2 8" xfId="1856"/>
    <cellStyle name="Обычный 11 2 6 2 9" xfId="1857"/>
    <cellStyle name="Обычный 11 2 6 3" xfId="1858"/>
    <cellStyle name="Обычный 11 2 6 3 2" xfId="1859"/>
    <cellStyle name="Обычный 11 2 6 4" xfId="1860"/>
    <cellStyle name="Обычный 11 2 6 5" xfId="1861"/>
    <cellStyle name="Обычный 11 2 6 6" xfId="1862"/>
    <cellStyle name="Обычный 11 2 6 7" xfId="1863"/>
    <cellStyle name="Обычный 11 2 6 8" xfId="1864"/>
    <cellStyle name="Обычный 11 2 6 9" xfId="1865"/>
    <cellStyle name="Обычный 11 2 7" xfId="1866"/>
    <cellStyle name="Обычный 11 2 7 10" xfId="1867"/>
    <cellStyle name="Обычный 11 2 7 11" xfId="1868"/>
    <cellStyle name="Обычный 11 2 7 12" xfId="18098"/>
    <cellStyle name="Обычный 11 2 7 13" xfId="19803"/>
    <cellStyle name="Обычный 11 2 7 14" xfId="21417"/>
    <cellStyle name="Обычный 11 2 7 2" xfId="1869"/>
    <cellStyle name="Обычный 11 2 7 2 10" xfId="1870"/>
    <cellStyle name="Обычный 11 2 7 2 11" xfId="18099"/>
    <cellStyle name="Обычный 11 2 7 2 12" xfId="19804"/>
    <cellStyle name="Обычный 11 2 7 2 13" xfId="21418"/>
    <cellStyle name="Обычный 11 2 7 2 2" xfId="1871"/>
    <cellStyle name="Обычный 11 2 7 2 2 2" xfId="1872"/>
    <cellStyle name="Обычный 11 2 7 2 3" xfId="1873"/>
    <cellStyle name="Обычный 11 2 7 2 4" xfId="1874"/>
    <cellStyle name="Обычный 11 2 7 2 5" xfId="1875"/>
    <cellStyle name="Обычный 11 2 7 2 6" xfId="1876"/>
    <cellStyle name="Обычный 11 2 7 2 7" xfId="1877"/>
    <cellStyle name="Обычный 11 2 7 2 8" xfId="1878"/>
    <cellStyle name="Обычный 11 2 7 2 9" xfId="1879"/>
    <cellStyle name="Обычный 11 2 7 3" xfId="1880"/>
    <cellStyle name="Обычный 11 2 7 3 2" xfId="1881"/>
    <cellStyle name="Обычный 11 2 7 4" xfId="1882"/>
    <cellStyle name="Обычный 11 2 7 5" xfId="1883"/>
    <cellStyle name="Обычный 11 2 7 6" xfId="1884"/>
    <cellStyle name="Обычный 11 2 7 7" xfId="1885"/>
    <cellStyle name="Обычный 11 2 7 8" xfId="1886"/>
    <cellStyle name="Обычный 11 2 7 9" xfId="1887"/>
    <cellStyle name="Обычный 11 2 8" xfId="1888"/>
    <cellStyle name="Обычный 11 2 8 10" xfId="1889"/>
    <cellStyle name="Обычный 11 2 8 11" xfId="1890"/>
    <cellStyle name="Обычный 11 2 8 12" xfId="18100"/>
    <cellStyle name="Обычный 11 2 8 13" xfId="19805"/>
    <cellStyle name="Обычный 11 2 8 14" xfId="21419"/>
    <cellStyle name="Обычный 11 2 8 2" xfId="1891"/>
    <cellStyle name="Обычный 11 2 8 2 10" xfId="1892"/>
    <cellStyle name="Обычный 11 2 8 2 11" xfId="18101"/>
    <cellStyle name="Обычный 11 2 8 2 12" xfId="19806"/>
    <cellStyle name="Обычный 11 2 8 2 13" xfId="21420"/>
    <cellStyle name="Обычный 11 2 8 2 2" xfId="1893"/>
    <cellStyle name="Обычный 11 2 8 2 2 2" xfId="1894"/>
    <cellStyle name="Обычный 11 2 8 2 3" xfId="1895"/>
    <cellStyle name="Обычный 11 2 8 2 4" xfId="1896"/>
    <cellStyle name="Обычный 11 2 8 2 5" xfId="1897"/>
    <cellStyle name="Обычный 11 2 8 2 6" xfId="1898"/>
    <cellStyle name="Обычный 11 2 8 2 7" xfId="1899"/>
    <cellStyle name="Обычный 11 2 8 2 8" xfId="1900"/>
    <cellStyle name="Обычный 11 2 8 2 9" xfId="1901"/>
    <cellStyle name="Обычный 11 2 8 3" xfId="1902"/>
    <cellStyle name="Обычный 11 2 8 3 2" xfId="1903"/>
    <cellStyle name="Обычный 11 2 8 4" xfId="1904"/>
    <cellStyle name="Обычный 11 2 8 5" xfId="1905"/>
    <cellStyle name="Обычный 11 2 8 6" xfId="1906"/>
    <cellStyle name="Обычный 11 2 8 7" xfId="1907"/>
    <cellStyle name="Обычный 11 2 8 8" xfId="1908"/>
    <cellStyle name="Обычный 11 2 8 9" xfId="1909"/>
    <cellStyle name="Обычный 11 2 9" xfId="1910"/>
    <cellStyle name="Обычный 11 2 9 10" xfId="1911"/>
    <cellStyle name="Обычный 11 2 9 11" xfId="1912"/>
    <cellStyle name="Обычный 11 2 9 12" xfId="18102"/>
    <cellStyle name="Обычный 11 2 9 13" xfId="19807"/>
    <cellStyle name="Обычный 11 2 9 14" xfId="21421"/>
    <cellStyle name="Обычный 11 2 9 2" xfId="1913"/>
    <cellStyle name="Обычный 11 2 9 2 10" xfId="1914"/>
    <cellStyle name="Обычный 11 2 9 2 11" xfId="18103"/>
    <cellStyle name="Обычный 11 2 9 2 12" xfId="19808"/>
    <cellStyle name="Обычный 11 2 9 2 13" xfId="21422"/>
    <cellStyle name="Обычный 11 2 9 2 2" xfId="1915"/>
    <cellStyle name="Обычный 11 2 9 2 2 2" xfId="1916"/>
    <cellStyle name="Обычный 11 2 9 2 3" xfId="1917"/>
    <cellStyle name="Обычный 11 2 9 2 4" xfId="1918"/>
    <cellStyle name="Обычный 11 2 9 2 5" xfId="1919"/>
    <cellStyle name="Обычный 11 2 9 2 6" xfId="1920"/>
    <cellStyle name="Обычный 11 2 9 2 7" xfId="1921"/>
    <cellStyle name="Обычный 11 2 9 2 8" xfId="1922"/>
    <cellStyle name="Обычный 11 2 9 2 9" xfId="1923"/>
    <cellStyle name="Обычный 11 2 9 3" xfId="1924"/>
    <cellStyle name="Обычный 11 2 9 3 2" xfId="1925"/>
    <cellStyle name="Обычный 11 2 9 4" xfId="1926"/>
    <cellStyle name="Обычный 11 2 9 5" xfId="1927"/>
    <cellStyle name="Обычный 11 2 9 6" xfId="1928"/>
    <cellStyle name="Обычный 11 2 9 7" xfId="1929"/>
    <cellStyle name="Обычный 11 2 9 8" xfId="1930"/>
    <cellStyle name="Обычный 11 2 9 9" xfId="1931"/>
    <cellStyle name="Обычный 11 20" xfId="1932"/>
    <cellStyle name="Обычный 11 21" xfId="1933"/>
    <cellStyle name="Обычный 11 22" xfId="1934"/>
    <cellStyle name="Обычный 11 23" xfId="1935"/>
    <cellStyle name="Обычный 11 24" xfId="1936"/>
    <cellStyle name="Обычный 11 25" xfId="18025"/>
    <cellStyle name="Обычный 11 26" xfId="19623"/>
    <cellStyle name="Обычный 11 27" xfId="19730"/>
    <cellStyle name="Обычный 11 28" xfId="21344"/>
    <cellStyle name="Обычный 11 3" xfId="1937"/>
    <cellStyle name="Обычный 11 3 10" xfId="1938"/>
    <cellStyle name="Обычный 11 3 10 2" xfId="1939"/>
    <cellStyle name="Обычный 11 3 11" xfId="1940"/>
    <cellStyle name="Обычный 11 3 12" xfId="1941"/>
    <cellStyle name="Обычный 11 3 13" xfId="1942"/>
    <cellStyle name="Обычный 11 3 14" xfId="1943"/>
    <cellStyle name="Обычный 11 3 15" xfId="1944"/>
    <cellStyle name="Обычный 11 3 16" xfId="1945"/>
    <cellStyle name="Обычный 11 3 17" xfId="1946"/>
    <cellStyle name="Обычный 11 3 18" xfId="1947"/>
    <cellStyle name="Обычный 11 3 19" xfId="1948"/>
    <cellStyle name="Обычный 11 3 2" xfId="1949"/>
    <cellStyle name="Обычный 11 3 2 10" xfId="1950"/>
    <cellStyle name="Обычный 11 3 2 11" xfId="1951"/>
    <cellStyle name="Обычный 11 3 2 12" xfId="1952"/>
    <cellStyle name="Обычный 11 3 2 13" xfId="1953"/>
    <cellStyle name="Обычный 11 3 2 14" xfId="1954"/>
    <cellStyle name="Обычный 11 3 2 15" xfId="1955"/>
    <cellStyle name="Обычный 11 3 2 16" xfId="1956"/>
    <cellStyle name="Обычный 11 3 2 17" xfId="1957"/>
    <cellStyle name="Обычный 11 3 2 18" xfId="18105"/>
    <cellStyle name="Обычный 11 3 2 19" xfId="19810"/>
    <cellStyle name="Обычный 11 3 2 2" xfId="1958"/>
    <cellStyle name="Обычный 11 3 2 2 10" xfId="1959"/>
    <cellStyle name="Обычный 11 3 2 2 11" xfId="1960"/>
    <cellStyle name="Обычный 11 3 2 2 12" xfId="18106"/>
    <cellStyle name="Обычный 11 3 2 2 13" xfId="19811"/>
    <cellStyle name="Обычный 11 3 2 2 14" xfId="21425"/>
    <cellStyle name="Обычный 11 3 2 2 2" xfId="1961"/>
    <cellStyle name="Обычный 11 3 2 2 2 10" xfId="1962"/>
    <cellStyle name="Обычный 11 3 2 2 2 11" xfId="18107"/>
    <cellStyle name="Обычный 11 3 2 2 2 12" xfId="19812"/>
    <cellStyle name="Обычный 11 3 2 2 2 13" xfId="21426"/>
    <cellStyle name="Обычный 11 3 2 2 2 2" xfId="1963"/>
    <cellStyle name="Обычный 11 3 2 2 2 2 2" xfId="1964"/>
    <cellStyle name="Обычный 11 3 2 2 2 3" xfId="1965"/>
    <cellStyle name="Обычный 11 3 2 2 2 4" xfId="1966"/>
    <cellStyle name="Обычный 11 3 2 2 2 5" xfId="1967"/>
    <cellStyle name="Обычный 11 3 2 2 2 6" xfId="1968"/>
    <cellStyle name="Обычный 11 3 2 2 2 7" xfId="1969"/>
    <cellStyle name="Обычный 11 3 2 2 2 8" xfId="1970"/>
    <cellStyle name="Обычный 11 3 2 2 2 9" xfId="1971"/>
    <cellStyle name="Обычный 11 3 2 2 3" xfId="1972"/>
    <cellStyle name="Обычный 11 3 2 2 3 2" xfId="1973"/>
    <cellStyle name="Обычный 11 3 2 2 4" xfId="1974"/>
    <cellStyle name="Обычный 11 3 2 2 5" xfId="1975"/>
    <cellStyle name="Обычный 11 3 2 2 6" xfId="1976"/>
    <cellStyle name="Обычный 11 3 2 2 7" xfId="1977"/>
    <cellStyle name="Обычный 11 3 2 2 8" xfId="1978"/>
    <cellStyle name="Обычный 11 3 2 2 9" xfId="1979"/>
    <cellStyle name="Обычный 11 3 2 20" xfId="21424"/>
    <cellStyle name="Обычный 11 3 2 3" xfId="1980"/>
    <cellStyle name="Обычный 11 3 2 3 10" xfId="1981"/>
    <cellStyle name="Обычный 11 3 2 3 11" xfId="1982"/>
    <cellStyle name="Обычный 11 3 2 3 12" xfId="18108"/>
    <cellStyle name="Обычный 11 3 2 3 13" xfId="19813"/>
    <cellStyle name="Обычный 11 3 2 3 14" xfId="21427"/>
    <cellStyle name="Обычный 11 3 2 3 2" xfId="1983"/>
    <cellStyle name="Обычный 11 3 2 3 2 10" xfId="1984"/>
    <cellStyle name="Обычный 11 3 2 3 2 11" xfId="18109"/>
    <cellStyle name="Обычный 11 3 2 3 2 12" xfId="19814"/>
    <cellStyle name="Обычный 11 3 2 3 2 13" xfId="21428"/>
    <cellStyle name="Обычный 11 3 2 3 2 2" xfId="1985"/>
    <cellStyle name="Обычный 11 3 2 3 2 2 2" xfId="1986"/>
    <cellStyle name="Обычный 11 3 2 3 2 3" xfId="1987"/>
    <cellStyle name="Обычный 11 3 2 3 2 4" xfId="1988"/>
    <cellStyle name="Обычный 11 3 2 3 2 5" xfId="1989"/>
    <cellStyle name="Обычный 11 3 2 3 2 6" xfId="1990"/>
    <cellStyle name="Обычный 11 3 2 3 2 7" xfId="1991"/>
    <cellStyle name="Обычный 11 3 2 3 2 8" xfId="1992"/>
    <cellStyle name="Обычный 11 3 2 3 2 9" xfId="1993"/>
    <cellStyle name="Обычный 11 3 2 3 3" xfId="1994"/>
    <cellStyle name="Обычный 11 3 2 3 3 2" xfId="1995"/>
    <cellStyle name="Обычный 11 3 2 3 4" xfId="1996"/>
    <cellStyle name="Обычный 11 3 2 3 5" xfId="1997"/>
    <cellStyle name="Обычный 11 3 2 3 6" xfId="1998"/>
    <cellStyle name="Обычный 11 3 2 3 7" xfId="1999"/>
    <cellStyle name="Обычный 11 3 2 3 8" xfId="2000"/>
    <cellStyle name="Обычный 11 3 2 3 9" xfId="2001"/>
    <cellStyle name="Обычный 11 3 2 4" xfId="2002"/>
    <cellStyle name="Обычный 11 3 2 4 10" xfId="2003"/>
    <cellStyle name="Обычный 11 3 2 4 11" xfId="2004"/>
    <cellStyle name="Обычный 11 3 2 4 12" xfId="18110"/>
    <cellStyle name="Обычный 11 3 2 4 13" xfId="19815"/>
    <cellStyle name="Обычный 11 3 2 4 14" xfId="21429"/>
    <cellStyle name="Обычный 11 3 2 4 2" xfId="2005"/>
    <cellStyle name="Обычный 11 3 2 4 2 10" xfId="2006"/>
    <cellStyle name="Обычный 11 3 2 4 2 11" xfId="18111"/>
    <cellStyle name="Обычный 11 3 2 4 2 12" xfId="19816"/>
    <cellStyle name="Обычный 11 3 2 4 2 13" xfId="21430"/>
    <cellStyle name="Обычный 11 3 2 4 2 2" xfId="2007"/>
    <cellStyle name="Обычный 11 3 2 4 2 2 2" xfId="2008"/>
    <cellStyle name="Обычный 11 3 2 4 2 3" xfId="2009"/>
    <cellStyle name="Обычный 11 3 2 4 2 4" xfId="2010"/>
    <cellStyle name="Обычный 11 3 2 4 2 5" xfId="2011"/>
    <cellStyle name="Обычный 11 3 2 4 2 6" xfId="2012"/>
    <cellStyle name="Обычный 11 3 2 4 2 7" xfId="2013"/>
    <cellStyle name="Обычный 11 3 2 4 2 8" xfId="2014"/>
    <cellStyle name="Обычный 11 3 2 4 2 9" xfId="2015"/>
    <cellStyle name="Обычный 11 3 2 4 3" xfId="2016"/>
    <cellStyle name="Обычный 11 3 2 4 3 2" xfId="2017"/>
    <cellStyle name="Обычный 11 3 2 4 4" xfId="2018"/>
    <cellStyle name="Обычный 11 3 2 4 5" xfId="2019"/>
    <cellStyle name="Обычный 11 3 2 4 6" xfId="2020"/>
    <cellStyle name="Обычный 11 3 2 4 7" xfId="2021"/>
    <cellStyle name="Обычный 11 3 2 4 8" xfId="2022"/>
    <cellStyle name="Обычный 11 3 2 4 9" xfId="2023"/>
    <cellStyle name="Обычный 11 3 2 5" xfId="2024"/>
    <cellStyle name="Обычный 11 3 2 5 10" xfId="2025"/>
    <cellStyle name="Обычный 11 3 2 5 11" xfId="2026"/>
    <cellStyle name="Обычный 11 3 2 5 12" xfId="18112"/>
    <cellStyle name="Обычный 11 3 2 5 13" xfId="19817"/>
    <cellStyle name="Обычный 11 3 2 5 14" xfId="21431"/>
    <cellStyle name="Обычный 11 3 2 5 2" xfId="2027"/>
    <cellStyle name="Обычный 11 3 2 5 2 10" xfId="2028"/>
    <cellStyle name="Обычный 11 3 2 5 2 11" xfId="18113"/>
    <cellStyle name="Обычный 11 3 2 5 2 12" xfId="19818"/>
    <cellStyle name="Обычный 11 3 2 5 2 13" xfId="21432"/>
    <cellStyle name="Обычный 11 3 2 5 2 2" xfId="2029"/>
    <cellStyle name="Обычный 11 3 2 5 2 2 2" xfId="2030"/>
    <cellStyle name="Обычный 11 3 2 5 2 3" xfId="2031"/>
    <cellStyle name="Обычный 11 3 2 5 2 4" xfId="2032"/>
    <cellStyle name="Обычный 11 3 2 5 2 5" xfId="2033"/>
    <cellStyle name="Обычный 11 3 2 5 2 6" xfId="2034"/>
    <cellStyle name="Обычный 11 3 2 5 2 7" xfId="2035"/>
    <cellStyle name="Обычный 11 3 2 5 2 8" xfId="2036"/>
    <cellStyle name="Обычный 11 3 2 5 2 9" xfId="2037"/>
    <cellStyle name="Обычный 11 3 2 5 3" xfId="2038"/>
    <cellStyle name="Обычный 11 3 2 5 3 2" xfId="2039"/>
    <cellStyle name="Обычный 11 3 2 5 4" xfId="2040"/>
    <cellStyle name="Обычный 11 3 2 5 5" xfId="2041"/>
    <cellStyle name="Обычный 11 3 2 5 6" xfId="2042"/>
    <cellStyle name="Обычный 11 3 2 5 7" xfId="2043"/>
    <cellStyle name="Обычный 11 3 2 5 8" xfId="2044"/>
    <cellStyle name="Обычный 11 3 2 5 9" xfId="2045"/>
    <cellStyle name="Обычный 11 3 2 6" xfId="2046"/>
    <cellStyle name="Обычный 11 3 2 6 10" xfId="2047"/>
    <cellStyle name="Обычный 11 3 2 6 11" xfId="18114"/>
    <cellStyle name="Обычный 11 3 2 6 12" xfId="19819"/>
    <cellStyle name="Обычный 11 3 2 6 13" xfId="21433"/>
    <cellStyle name="Обычный 11 3 2 6 2" xfId="2048"/>
    <cellStyle name="Обычный 11 3 2 6 2 2" xfId="2049"/>
    <cellStyle name="Обычный 11 3 2 6 3" xfId="2050"/>
    <cellStyle name="Обычный 11 3 2 6 4" xfId="2051"/>
    <cellStyle name="Обычный 11 3 2 6 5" xfId="2052"/>
    <cellStyle name="Обычный 11 3 2 6 6" xfId="2053"/>
    <cellStyle name="Обычный 11 3 2 6 7" xfId="2054"/>
    <cellStyle name="Обычный 11 3 2 6 8" xfId="2055"/>
    <cellStyle name="Обычный 11 3 2 6 9" xfId="2056"/>
    <cellStyle name="Обычный 11 3 2 7" xfId="2057"/>
    <cellStyle name="Обычный 11 3 2 7 10" xfId="19820"/>
    <cellStyle name="Обычный 11 3 2 7 11" xfId="21434"/>
    <cellStyle name="Обычный 11 3 2 7 2" xfId="2058"/>
    <cellStyle name="Обычный 11 3 2 7 2 2" xfId="2059"/>
    <cellStyle name="Обычный 11 3 2 7 3" xfId="2060"/>
    <cellStyle name="Обычный 11 3 2 7 4" xfId="2061"/>
    <cellStyle name="Обычный 11 3 2 7 5" xfId="2062"/>
    <cellStyle name="Обычный 11 3 2 7 6" xfId="2063"/>
    <cellStyle name="Обычный 11 3 2 7 7" xfId="2064"/>
    <cellStyle name="Обычный 11 3 2 7 8" xfId="2065"/>
    <cellStyle name="Обычный 11 3 2 7 9" xfId="18115"/>
    <cellStyle name="Обычный 11 3 2 8" xfId="2066"/>
    <cellStyle name="Обычный 11 3 2 8 2" xfId="2067"/>
    <cellStyle name="Обычный 11 3 2 9" xfId="2068"/>
    <cellStyle name="Обычный 11 3 20" xfId="18104"/>
    <cellStyle name="Обычный 11 3 21" xfId="19809"/>
    <cellStyle name="Обычный 11 3 22" xfId="21423"/>
    <cellStyle name="Обычный 11 3 3" xfId="2069"/>
    <cellStyle name="Обычный 11 3 3 10" xfId="2070"/>
    <cellStyle name="Обычный 11 3 3 11" xfId="2071"/>
    <cellStyle name="Обычный 11 3 3 12" xfId="2072"/>
    <cellStyle name="Обычный 11 3 3 13" xfId="2073"/>
    <cellStyle name="Обычный 11 3 3 14" xfId="2074"/>
    <cellStyle name="Обычный 11 3 3 15" xfId="2075"/>
    <cellStyle name="Обычный 11 3 3 16" xfId="2076"/>
    <cellStyle name="Обычный 11 3 3 17" xfId="2077"/>
    <cellStyle name="Обычный 11 3 3 18" xfId="18116"/>
    <cellStyle name="Обычный 11 3 3 19" xfId="19821"/>
    <cellStyle name="Обычный 11 3 3 2" xfId="2078"/>
    <cellStyle name="Обычный 11 3 3 2 10" xfId="2079"/>
    <cellStyle name="Обычный 11 3 3 2 11" xfId="2080"/>
    <cellStyle name="Обычный 11 3 3 2 12" xfId="18117"/>
    <cellStyle name="Обычный 11 3 3 2 13" xfId="19822"/>
    <cellStyle name="Обычный 11 3 3 2 14" xfId="21436"/>
    <cellStyle name="Обычный 11 3 3 2 2" xfId="2081"/>
    <cellStyle name="Обычный 11 3 3 2 2 10" xfId="2082"/>
    <cellStyle name="Обычный 11 3 3 2 2 11" xfId="18118"/>
    <cellStyle name="Обычный 11 3 3 2 2 12" xfId="19823"/>
    <cellStyle name="Обычный 11 3 3 2 2 13" xfId="21437"/>
    <cellStyle name="Обычный 11 3 3 2 2 2" xfId="2083"/>
    <cellStyle name="Обычный 11 3 3 2 2 2 2" xfId="2084"/>
    <cellStyle name="Обычный 11 3 3 2 2 3" xfId="2085"/>
    <cellStyle name="Обычный 11 3 3 2 2 4" xfId="2086"/>
    <cellStyle name="Обычный 11 3 3 2 2 5" xfId="2087"/>
    <cellStyle name="Обычный 11 3 3 2 2 6" xfId="2088"/>
    <cellStyle name="Обычный 11 3 3 2 2 7" xfId="2089"/>
    <cellStyle name="Обычный 11 3 3 2 2 8" xfId="2090"/>
    <cellStyle name="Обычный 11 3 3 2 2 9" xfId="2091"/>
    <cellStyle name="Обычный 11 3 3 2 3" xfId="2092"/>
    <cellStyle name="Обычный 11 3 3 2 3 2" xfId="2093"/>
    <cellStyle name="Обычный 11 3 3 2 4" xfId="2094"/>
    <cellStyle name="Обычный 11 3 3 2 5" xfId="2095"/>
    <cellStyle name="Обычный 11 3 3 2 6" xfId="2096"/>
    <cellStyle name="Обычный 11 3 3 2 7" xfId="2097"/>
    <cellStyle name="Обычный 11 3 3 2 8" xfId="2098"/>
    <cellStyle name="Обычный 11 3 3 2 9" xfId="2099"/>
    <cellStyle name="Обычный 11 3 3 20" xfId="21435"/>
    <cellStyle name="Обычный 11 3 3 3" xfId="2100"/>
    <cellStyle name="Обычный 11 3 3 3 10" xfId="2101"/>
    <cellStyle name="Обычный 11 3 3 3 11" xfId="2102"/>
    <cellStyle name="Обычный 11 3 3 3 12" xfId="18119"/>
    <cellStyle name="Обычный 11 3 3 3 13" xfId="19824"/>
    <cellStyle name="Обычный 11 3 3 3 14" xfId="21438"/>
    <cellStyle name="Обычный 11 3 3 3 2" xfId="2103"/>
    <cellStyle name="Обычный 11 3 3 3 2 10" xfId="2104"/>
    <cellStyle name="Обычный 11 3 3 3 2 11" xfId="18120"/>
    <cellStyle name="Обычный 11 3 3 3 2 12" xfId="19825"/>
    <cellStyle name="Обычный 11 3 3 3 2 13" xfId="21439"/>
    <cellStyle name="Обычный 11 3 3 3 2 2" xfId="2105"/>
    <cellStyle name="Обычный 11 3 3 3 2 2 2" xfId="2106"/>
    <cellStyle name="Обычный 11 3 3 3 2 3" xfId="2107"/>
    <cellStyle name="Обычный 11 3 3 3 2 4" xfId="2108"/>
    <cellStyle name="Обычный 11 3 3 3 2 5" xfId="2109"/>
    <cellStyle name="Обычный 11 3 3 3 2 6" xfId="2110"/>
    <cellStyle name="Обычный 11 3 3 3 2 7" xfId="2111"/>
    <cellStyle name="Обычный 11 3 3 3 2 8" xfId="2112"/>
    <cellStyle name="Обычный 11 3 3 3 2 9" xfId="2113"/>
    <cellStyle name="Обычный 11 3 3 3 3" xfId="2114"/>
    <cellStyle name="Обычный 11 3 3 3 3 2" xfId="2115"/>
    <cellStyle name="Обычный 11 3 3 3 4" xfId="2116"/>
    <cellStyle name="Обычный 11 3 3 3 5" xfId="2117"/>
    <cellStyle name="Обычный 11 3 3 3 6" xfId="2118"/>
    <cellStyle name="Обычный 11 3 3 3 7" xfId="2119"/>
    <cellStyle name="Обычный 11 3 3 3 8" xfId="2120"/>
    <cellStyle name="Обычный 11 3 3 3 9" xfId="2121"/>
    <cellStyle name="Обычный 11 3 3 4" xfId="2122"/>
    <cellStyle name="Обычный 11 3 3 4 10" xfId="2123"/>
    <cellStyle name="Обычный 11 3 3 4 11" xfId="2124"/>
    <cellStyle name="Обычный 11 3 3 4 12" xfId="18121"/>
    <cellStyle name="Обычный 11 3 3 4 13" xfId="19826"/>
    <cellStyle name="Обычный 11 3 3 4 14" xfId="21440"/>
    <cellStyle name="Обычный 11 3 3 4 2" xfId="2125"/>
    <cellStyle name="Обычный 11 3 3 4 2 10" xfId="2126"/>
    <cellStyle name="Обычный 11 3 3 4 2 11" xfId="18122"/>
    <cellStyle name="Обычный 11 3 3 4 2 12" xfId="19827"/>
    <cellStyle name="Обычный 11 3 3 4 2 13" xfId="21441"/>
    <cellStyle name="Обычный 11 3 3 4 2 2" xfId="2127"/>
    <cellStyle name="Обычный 11 3 3 4 2 2 2" xfId="2128"/>
    <cellStyle name="Обычный 11 3 3 4 2 3" xfId="2129"/>
    <cellStyle name="Обычный 11 3 3 4 2 4" xfId="2130"/>
    <cellStyle name="Обычный 11 3 3 4 2 5" xfId="2131"/>
    <cellStyle name="Обычный 11 3 3 4 2 6" xfId="2132"/>
    <cellStyle name="Обычный 11 3 3 4 2 7" xfId="2133"/>
    <cellStyle name="Обычный 11 3 3 4 2 8" xfId="2134"/>
    <cellStyle name="Обычный 11 3 3 4 2 9" xfId="2135"/>
    <cellStyle name="Обычный 11 3 3 4 3" xfId="2136"/>
    <cellStyle name="Обычный 11 3 3 4 3 2" xfId="2137"/>
    <cellStyle name="Обычный 11 3 3 4 4" xfId="2138"/>
    <cellStyle name="Обычный 11 3 3 4 5" xfId="2139"/>
    <cellStyle name="Обычный 11 3 3 4 6" xfId="2140"/>
    <cellStyle name="Обычный 11 3 3 4 7" xfId="2141"/>
    <cellStyle name="Обычный 11 3 3 4 8" xfId="2142"/>
    <cellStyle name="Обычный 11 3 3 4 9" xfId="2143"/>
    <cellStyle name="Обычный 11 3 3 5" xfId="2144"/>
    <cellStyle name="Обычный 11 3 3 5 10" xfId="2145"/>
    <cellStyle name="Обычный 11 3 3 5 11" xfId="2146"/>
    <cellStyle name="Обычный 11 3 3 5 12" xfId="18123"/>
    <cellStyle name="Обычный 11 3 3 5 13" xfId="19828"/>
    <cellStyle name="Обычный 11 3 3 5 14" xfId="21442"/>
    <cellStyle name="Обычный 11 3 3 5 2" xfId="2147"/>
    <cellStyle name="Обычный 11 3 3 5 2 10" xfId="2148"/>
    <cellStyle name="Обычный 11 3 3 5 2 11" xfId="18124"/>
    <cellStyle name="Обычный 11 3 3 5 2 12" xfId="19829"/>
    <cellStyle name="Обычный 11 3 3 5 2 13" xfId="21443"/>
    <cellStyle name="Обычный 11 3 3 5 2 2" xfId="2149"/>
    <cellStyle name="Обычный 11 3 3 5 2 2 2" xfId="2150"/>
    <cellStyle name="Обычный 11 3 3 5 2 3" xfId="2151"/>
    <cellStyle name="Обычный 11 3 3 5 2 4" xfId="2152"/>
    <cellStyle name="Обычный 11 3 3 5 2 5" xfId="2153"/>
    <cellStyle name="Обычный 11 3 3 5 2 6" xfId="2154"/>
    <cellStyle name="Обычный 11 3 3 5 2 7" xfId="2155"/>
    <cellStyle name="Обычный 11 3 3 5 2 8" xfId="2156"/>
    <cellStyle name="Обычный 11 3 3 5 2 9" xfId="2157"/>
    <cellStyle name="Обычный 11 3 3 5 3" xfId="2158"/>
    <cellStyle name="Обычный 11 3 3 5 3 2" xfId="2159"/>
    <cellStyle name="Обычный 11 3 3 5 4" xfId="2160"/>
    <cellStyle name="Обычный 11 3 3 5 5" xfId="2161"/>
    <cellStyle name="Обычный 11 3 3 5 6" xfId="2162"/>
    <cellStyle name="Обычный 11 3 3 5 7" xfId="2163"/>
    <cellStyle name="Обычный 11 3 3 5 8" xfId="2164"/>
    <cellStyle name="Обычный 11 3 3 5 9" xfId="2165"/>
    <cellStyle name="Обычный 11 3 3 6" xfId="2166"/>
    <cellStyle name="Обычный 11 3 3 6 10" xfId="2167"/>
    <cellStyle name="Обычный 11 3 3 6 11" xfId="18125"/>
    <cellStyle name="Обычный 11 3 3 6 12" xfId="19830"/>
    <cellStyle name="Обычный 11 3 3 6 13" xfId="21444"/>
    <cellStyle name="Обычный 11 3 3 6 2" xfId="2168"/>
    <cellStyle name="Обычный 11 3 3 6 2 2" xfId="2169"/>
    <cellStyle name="Обычный 11 3 3 6 3" xfId="2170"/>
    <cellStyle name="Обычный 11 3 3 6 4" xfId="2171"/>
    <cellStyle name="Обычный 11 3 3 6 5" xfId="2172"/>
    <cellStyle name="Обычный 11 3 3 6 6" xfId="2173"/>
    <cellStyle name="Обычный 11 3 3 6 7" xfId="2174"/>
    <cellStyle name="Обычный 11 3 3 6 8" xfId="2175"/>
    <cellStyle name="Обычный 11 3 3 6 9" xfId="2176"/>
    <cellStyle name="Обычный 11 3 3 7" xfId="2177"/>
    <cellStyle name="Обычный 11 3 3 7 10" xfId="19831"/>
    <cellStyle name="Обычный 11 3 3 7 11" xfId="21445"/>
    <cellStyle name="Обычный 11 3 3 7 2" xfId="2178"/>
    <cellStyle name="Обычный 11 3 3 7 2 2" xfId="2179"/>
    <cellStyle name="Обычный 11 3 3 7 3" xfId="2180"/>
    <cellStyle name="Обычный 11 3 3 7 4" xfId="2181"/>
    <cellStyle name="Обычный 11 3 3 7 5" xfId="2182"/>
    <cellStyle name="Обычный 11 3 3 7 6" xfId="2183"/>
    <cellStyle name="Обычный 11 3 3 7 7" xfId="2184"/>
    <cellStyle name="Обычный 11 3 3 7 8" xfId="2185"/>
    <cellStyle name="Обычный 11 3 3 7 9" xfId="18126"/>
    <cellStyle name="Обычный 11 3 3 8" xfId="2186"/>
    <cellStyle name="Обычный 11 3 3 8 2" xfId="2187"/>
    <cellStyle name="Обычный 11 3 3 9" xfId="2188"/>
    <cellStyle name="Обычный 11 3 4" xfId="2189"/>
    <cellStyle name="Обычный 11 3 4 10" xfId="2190"/>
    <cellStyle name="Обычный 11 3 4 11" xfId="2191"/>
    <cellStyle name="Обычный 11 3 4 12" xfId="18127"/>
    <cellStyle name="Обычный 11 3 4 13" xfId="19832"/>
    <cellStyle name="Обычный 11 3 4 14" xfId="21446"/>
    <cellStyle name="Обычный 11 3 4 2" xfId="2192"/>
    <cellStyle name="Обычный 11 3 4 2 10" xfId="2193"/>
    <cellStyle name="Обычный 11 3 4 2 11" xfId="18128"/>
    <cellStyle name="Обычный 11 3 4 2 12" xfId="19833"/>
    <cellStyle name="Обычный 11 3 4 2 13" xfId="21447"/>
    <cellStyle name="Обычный 11 3 4 2 2" xfId="2194"/>
    <cellStyle name="Обычный 11 3 4 2 2 2" xfId="2195"/>
    <cellStyle name="Обычный 11 3 4 2 3" xfId="2196"/>
    <cellStyle name="Обычный 11 3 4 2 4" xfId="2197"/>
    <cellStyle name="Обычный 11 3 4 2 5" xfId="2198"/>
    <cellStyle name="Обычный 11 3 4 2 6" xfId="2199"/>
    <cellStyle name="Обычный 11 3 4 2 7" xfId="2200"/>
    <cellStyle name="Обычный 11 3 4 2 8" xfId="2201"/>
    <cellStyle name="Обычный 11 3 4 2 9" xfId="2202"/>
    <cellStyle name="Обычный 11 3 4 3" xfId="2203"/>
    <cellStyle name="Обычный 11 3 4 3 2" xfId="2204"/>
    <cellStyle name="Обычный 11 3 4 4" xfId="2205"/>
    <cellStyle name="Обычный 11 3 4 5" xfId="2206"/>
    <cellStyle name="Обычный 11 3 4 6" xfId="2207"/>
    <cellStyle name="Обычный 11 3 4 7" xfId="2208"/>
    <cellStyle name="Обычный 11 3 4 8" xfId="2209"/>
    <cellStyle name="Обычный 11 3 4 9" xfId="2210"/>
    <cellStyle name="Обычный 11 3 5" xfId="2211"/>
    <cellStyle name="Обычный 11 3 5 10" xfId="2212"/>
    <cellStyle name="Обычный 11 3 5 11" xfId="2213"/>
    <cellStyle name="Обычный 11 3 5 12" xfId="18129"/>
    <cellStyle name="Обычный 11 3 5 13" xfId="19834"/>
    <cellStyle name="Обычный 11 3 5 14" xfId="21448"/>
    <cellStyle name="Обычный 11 3 5 2" xfId="2214"/>
    <cellStyle name="Обычный 11 3 5 2 10" xfId="2215"/>
    <cellStyle name="Обычный 11 3 5 2 11" xfId="18130"/>
    <cellStyle name="Обычный 11 3 5 2 12" xfId="19835"/>
    <cellStyle name="Обычный 11 3 5 2 13" xfId="21449"/>
    <cellStyle name="Обычный 11 3 5 2 2" xfId="2216"/>
    <cellStyle name="Обычный 11 3 5 2 2 2" xfId="2217"/>
    <cellStyle name="Обычный 11 3 5 2 3" xfId="2218"/>
    <cellStyle name="Обычный 11 3 5 2 4" xfId="2219"/>
    <cellStyle name="Обычный 11 3 5 2 5" xfId="2220"/>
    <cellStyle name="Обычный 11 3 5 2 6" xfId="2221"/>
    <cellStyle name="Обычный 11 3 5 2 7" xfId="2222"/>
    <cellStyle name="Обычный 11 3 5 2 8" xfId="2223"/>
    <cellStyle name="Обычный 11 3 5 2 9" xfId="2224"/>
    <cellStyle name="Обычный 11 3 5 3" xfId="2225"/>
    <cellStyle name="Обычный 11 3 5 3 2" xfId="2226"/>
    <cellStyle name="Обычный 11 3 5 4" xfId="2227"/>
    <cellStyle name="Обычный 11 3 5 5" xfId="2228"/>
    <cellStyle name="Обычный 11 3 5 6" xfId="2229"/>
    <cellStyle name="Обычный 11 3 5 7" xfId="2230"/>
    <cellStyle name="Обычный 11 3 5 8" xfId="2231"/>
    <cellStyle name="Обычный 11 3 5 9" xfId="2232"/>
    <cellStyle name="Обычный 11 3 6" xfId="2233"/>
    <cellStyle name="Обычный 11 3 6 10" xfId="2234"/>
    <cellStyle name="Обычный 11 3 6 11" xfId="2235"/>
    <cellStyle name="Обычный 11 3 6 12" xfId="18131"/>
    <cellStyle name="Обычный 11 3 6 13" xfId="19836"/>
    <cellStyle name="Обычный 11 3 6 14" xfId="21450"/>
    <cellStyle name="Обычный 11 3 6 2" xfId="2236"/>
    <cellStyle name="Обычный 11 3 6 2 10" xfId="2237"/>
    <cellStyle name="Обычный 11 3 6 2 11" xfId="18132"/>
    <cellStyle name="Обычный 11 3 6 2 12" xfId="19837"/>
    <cellStyle name="Обычный 11 3 6 2 13" xfId="21451"/>
    <cellStyle name="Обычный 11 3 6 2 2" xfId="2238"/>
    <cellStyle name="Обычный 11 3 6 2 2 2" xfId="2239"/>
    <cellStyle name="Обычный 11 3 6 2 3" xfId="2240"/>
    <cellStyle name="Обычный 11 3 6 2 4" xfId="2241"/>
    <cellStyle name="Обычный 11 3 6 2 5" xfId="2242"/>
    <cellStyle name="Обычный 11 3 6 2 6" xfId="2243"/>
    <cellStyle name="Обычный 11 3 6 2 7" xfId="2244"/>
    <cellStyle name="Обычный 11 3 6 2 8" xfId="2245"/>
    <cellStyle name="Обычный 11 3 6 2 9" xfId="2246"/>
    <cellStyle name="Обычный 11 3 6 3" xfId="2247"/>
    <cellStyle name="Обычный 11 3 6 3 2" xfId="2248"/>
    <cellStyle name="Обычный 11 3 6 4" xfId="2249"/>
    <cellStyle name="Обычный 11 3 6 5" xfId="2250"/>
    <cellStyle name="Обычный 11 3 6 6" xfId="2251"/>
    <cellStyle name="Обычный 11 3 6 7" xfId="2252"/>
    <cellStyle name="Обычный 11 3 6 8" xfId="2253"/>
    <cellStyle name="Обычный 11 3 6 9" xfId="2254"/>
    <cellStyle name="Обычный 11 3 7" xfId="2255"/>
    <cellStyle name="Обычный 11 3 7 10" xfId="2256"/>
    <cellStyle name="Обычный 11 3 7 11" xfId="2257"/>
    <cellStyle name="Обычный 11 3 7 12" xfId="18133"/>
    <cellStyle name="Обычный 11 3 7 13" xfId="19838"/>
    <cellStyle name="Обычный 11 3 7 14" xfId="21452"/>
    <cellStyle name="Обычный 11 3 7 2" xfId="2258"/>
    <cellStyle name="Обычный 11 3 7 2 10" xfId="2259"/>
    <cellStyle name="Обычный 11 3 7 2 11" xfId="18134"/>
    <cellStyle name="Обычный 11 3 7 2 12" xfId="19839"/>
    <cellStyle name="Обычный 11 3 7 2 13" xfId="21453"/>
    <cellStyle name="Обычный 11 3 7 2 2" xfId="2260"/>
    <cellStyle name="Обычный 11 3 7 2 2 2" xfId="2261"/>
    <cellStyle name="Обычный 11 3 7 2 3" xfId="2262"/>
    <cellStyle name="Обычный 11 3 7 2 4" xfId="2263"/>
    <cellStyle name="Обычный 11 3 7 2 5" xfId="2264"/>
    <cellStyle name="Обычный 11 3 7 2 6" xfId="2265"/>
    <cellStyle name="Обычный 11 3 7 2 7" xfId="2266"/>
    <cellStyle name="Обычный 11 3 7 2 8" xfId="2267"/>
    <cellStyle name="Обычный 11 3 7 2 9" xfId="2268"/>
    <cellStyle name="Обычный 11 3 7 3" xfId="2269"/>
    <cellStyle name="Обычный 11 3 7 3 2" xfId="2270"/>
    <cellStyle name="Обычный 11 3 7 4" xfId="2271"/>
    <cellStyle name="Обычный 11 3 7 5" xfId="2272"/>
    <cellStyle name="Обычный 11 3 7 6" xfId="2273"/>
    <cellStyle name="Обычный 11 3 7 7" xfId="2274"/>
    <cellStyle name="Обычный 11 3 7 8" xfId="2275"/>
    <cellStyle name="Обычный 11 3 7 9" xfId="2276"/>
    <cellStyle name="Обычный 11 3 8" xfId="2277"/>
    <cellStyle name="Обычный 11 3 8 10" xfId="2278"/>
    <cellStyle name="Обычный 11 3 8 11" xfId="18135"/>
    <cellStyle name="Обычный 11 3 8 12" xfId="19840"/>
    <cellStyle name="Обычный 11 3 8 13" xfId="21454"/>
    <cellStyle name="Обычный 11 3 8 2" xfId="2279"/>
    <cellStyle name="Обычный 11 3 8 2 2" xfId="2280"/>
    <cellStyle name="Обычный 11 3 8 3" xfId="2281"/>
    <cellStyle name="Обычный 11 3 8 4" xfId="2282"/>
    <cellStyle name="Обычный 11 3 8 5" xfId="2283"/>
    <cellStyle name="Обычный 11 3 8 6" xfId="2284"/>
    <cellStyle name="Обычный 11 3 8 7" xfId="2285"/>
    <cellStyle name="Обычный 11 3 8 8" xfId="2286"/>
    <cellStyle name="Обычный 11 3 8 9" xfId="2287"/>
    <cellStyle name="Обычный 11 3 9" xfId="2288"/>
    <cellStyle name="Обычный 11 3 9 10" xfId="19841"/>
    <cellStyle name="Обычный 11 3 9 11" xfId="21455"/>
    <cellStyle name="Обычный 11 3 9 2" xfId="2289"/>
    <cellStyle name="Обычный 11 3 9 2 2" xfId="2290"/>
    <cellStyle name="Обычный 11 3 9 3" xfId="2291"/>
    <cellStyle name="Обычный 11 3 9 4" xfId="2292"/>
    <cellStyle name="Обычный 11 3 9 5" xfId="2293"/>
    <cellStyle name="Обычный 11 3 9 6" xfId="2294"/>
    <cellStyle name="Обычный 11 3 9 7" xfId="2295"/>
    <cellStyle name="Обычный 11 3 9 8" xfId="2296"/>
    <cellStyle name="Обычный 11 3 9 9" xfId="18136"/>
    <cellStyle name="Обычный 11 4" xfId="2297"/>
    <cellStyle name="Обычный 11 4 10" xfId="2298"/>
    <cellStyle name="Обычный 11 4 11" xfId="2299"/>
    <cellStyle name="Обычный 11 4 12" xfId="2300"/>
    <cellStyle name="Обычный 11 4 13" xfId="2301"/>
    <cellStyle name="Обычный 11 4 14" xfId="2302"/>
    <cellStyle name="Обычный 11 4 15" xfId="2303"/>
    <cellStyle name="Обычный 11 4 16" xfId="2304"/>
    <cellStyle name="Обычный 11 4 17" xfId="2305"/>
    <cellStyle name="Обычный 11 4 18" xfId="18137"/>
    <cellStyle name="Обычный 11 4 19" xfId="19842"/>
    <cellStyle name="Обычный 11 4 2" xfId="2306"/>
    <cellStyle name="Обычный 11 4 2 10" xfId="2307"/>
    <cellStyle name="Обычный 11 4 2 11" xfId="2308"/>
    <cellStyle name="Обычный 11 4 2 12" xfId="18138"/>
    <cellStyle name="Обычный 11 4 2 13" xfId="19843"/>
    <cellStyle name="Обычный 11 4 2 14" xfId="21457"/>
    <cellStyle name="Обычный 11 4 2 2" xfId="2309"/>
    <cellStyle name="Обычный 11 4 2 2 10" xfId="2310"/>
    <cellStyle name="Обычный 11 4 2 2 11" xfId="18139"/>
    <cellStyle name="Обычный 11 4 2 2 12" xfId="19844"/>
    <cellStyle name="Обычный 11 4 2 2 13" xfId="21458"/>
    <cellStyle name="Обычный 11 4 2 2 2" xfId="2311"/>
    <cellStyle name="Обычный 11 4 2 2 2 2" xfId="2312"/>
    <cellStyle name="Обычный 11 4 2 2 3" xfId="2313"/>
    <cellStyle name="Обычный 11 4 2 2 4" xfId="2314"/>
    <cellStyle name="Обычный 11 4 2 2 5" xfId="2315"/>
    <cellStyle name="Обычный 11 4 2 2 6" xfId="2316"/>
    <cellStyle name="Обычный 11 4 2 2 7" xfId="2317"/>
    <cellStyle name="Обычный 11 4 2 2 8" xfId="2318"/>
    <cellStyle name="Обычный 11 4 2 2 9" xfId="2319"/>
    <cellStyle name="Обычный 11 4 2 3" xfId="2320"/>
    <cellStyle name="Обычный 11 4 2 3 2" xfId="2321"/>
    <cellStyle name="Обычный 11 4 2 4" xfId="2322"/>
    <cellStyle name="Обычный 11 4 2 5" xfId="2323"/>
    <cellStyle name="Обычный 11 4 2 6" xfId="2324"/>
    <cellStyle name="Обычный 11 4 2 7" xfId="2325"/>
    <cellStyle name="Обычный 11 4 2 8" xfId="2326"/>
    <cellStyle name="Обычный 11 4 2 9" xfId="2327"/>
    <cellStyle name="Обычный 11 4 20" xfId="21456"/>
    <cellStyle name="Обычный 11 4 3" xfId="2328"/>
    <cellStyle name="Обычный 11 4 3 10" xfId="2329"/>
    <cellStyle name="Обычный 11 4 3 11" xfId="2330"/>
    <cellStyle name="Обычный 11 4 3 12" xfId="18140"/>
    <cellStyle name="Обычный 11 4 3 13" xfId="19845"/>
    <cellStyle name="Обычный 11 4 3 14" xfId="21459"/>
    <cellStyle name="Обычный 11 4 3 2" xfId="2331"/>
    <cellStyle name="Обычный 11 4 3 2 10" xfId="2332"/>
    <cellStyle name="Обычный 11 4 3 2 11" xfId="18141"/>
    <cellStyle name="Обычный 11 4 3 2 12" xfId="19846"/>
    <cellStyle name="Обычный 11 4 3 2 13" xfId="21460"/>
    <cellStyle name="Обычный 11 4 3 2 2" xfId="2333"/>
    <cellStyle name="Обычный 11 4 3 2 2 2" xfId="2334"/>
    <cellStyle name="Обычный 11 4 3 2 3" xfId="2335"/>
    <cellStyle name="Обычный 11 4 3 2 4" xfId="2336"/>
    <cellStyle name="Обычный 11 4 3 2 5" xfId="2337"/>
    <cellStyle name="Обычный 11 4 3 2 6" xfId="2338"/>
    <cellStyle name="Обычный 11 4 3 2 7" xfId="2339"/>
    <cellStyle name="Обычный 11 4 3 2 8" xfId="2340"/>
    <cellStyle name="Обычный 11 4 3 2 9" xfId="2341"/>
    <cellStyle name="Обычный 11 4 3 3" xfId="2342"/>
    <cellStyle name="Обычный 11 4 3 3 2" xfId="2343"/>
    <cellStyle name="Обычный 11 4 3 4" xfId="2344"/>
    <cellStyle name="Обычный 11 4 3 5" xfId="2345"/>
    <cellStyle name="Обычный 11 4 3 6" xfId="2346"/>
    <cellStyle name="Обычный 11 4 3 7" xfId="2347"/>
    <cellStyle name="Обычный 11 4 3 8" xfId="2348"/>
    <cellStyle name="Обычный 11 4 3 9" xfId="2349"/>
    <cellStyle name="Обычный 11 4 4" xfId="2350"/>
    <cellStyle name="Обычный 11 4 4 10" xfId="2351"/>
    <cellStyle name="Обычный 11 4 4 11" xfId="2352"/>
    <cellStyle name="Обычный 11 4 4 12" xfId="18142"/>
    <cellStyle name="Обычный 11 4 4 13" xfId="19847"/>
    <cellStyle name="Обычный 11 4 4 14" xfId="21461"/>
    <cellStyle name="Обычный 11 4 4 2" xfId="2353"/>
    <cellStyle name="Обычный 11 4 4 2 10" xfId="2354"/>
    <cellStyle name="Обычный 11 4 4 2 11" xfId="18143"/>
    <cellStyle name="Обычный 11 4 4 2 12" xfId="19848"/>
    <cellStyle name="Обычный 11 4 4 2 13" xfId="21462"/>
    <cellStyle name="Обычный 11 4 4 2 2" xfId="2355"/>
    <cellStyle name="Обычный 11 4 4 2 2 2" xfId="2356"/>
    <cellStyle name="Обычный 11 4 4 2 3" xfId="2357"/>
    <cellStyle name="Обычный 11 4 4 2 4" xfId="2358"/>
    <cellStyle name="Обычный 11 4 4 2 5" xfId="2359"/>
    <cellStyle name="Обычный 11 4 4 2 6" xfId="2360"/>
    <cellStyle name="Обычный 11 4 4 2 7" xfId="2361"/>
    <cellStyle name="Обычный 11 4 4 2 8" xfId="2362"/>
    <cellStyle name="Обычный 11 4 4 2 9" xfId="2363"/>
    <cellStyle name="Обычный 11 4 4 3" xfId="2364"/>
    <cellStyle name="Обычный 11 4 4 3 2" xfId="2365"/>
    <cellStyle name="Обычный 11 4 4 4" xfId="2366"/>
    <cellStyle name="Обычный 11 4 4 5" xfId="2367"/>
    <cellStyle name="Обычный 11 4 4 6" xfId="2368"/>
    <cellStyle name="Обычный 11 4 4 7" xfId="2369"/>
    <cellStyle name="Обычный 11 4 4 8" xfId="2370"/>
    <cellStyle name="Обычный 11 4 4 9" xfId="2371"/>
    <cellStyle name="Обычный 11 4 5" xfId="2372"/>
    <cellStyle name="Обычный 11 4 5 10" xfId="2373"/>
    <cellStyle name="Обычный 11 4 5 11" xfId="2374"/>
    <cellStyle name="Обычный 11 4 5 12" xfId="18144"/>
    <cellStyle name="Обычный 11 4 5 13" xfId="19849"/>
    <cellStyle name="Обычный 11 4 5 14" xfId="21463"/>
    <cellStyle name="Обычный 11 4 5 2" xfId="2375"/>
    <cellStyle name="Обычный 11 4 5 2 10" xfId="2376"/>
    <cellStyle name="Обычный 11 4 5 2 11" xfId="18145"/>
    <cellStyle name="Обычный 11 4 5 2 12" xfId="19850"/>
    <cellStyle name="Обычный 11 4 5 2 13" xfId="21464"/>
    <cellStyle name="Обычный 11 4 5 2 2" xfId="2377"/>
    <cellStyle name="Обычный 11 4 5 2 2 2" xfId="2378"/>
    <cellStyle name="Обычный 11 4 5 2 3" xfId="2379"/>
    <cellStyle name="Обычный 11 4 5 2 4" xfId="2380"/>
    <cellStyle name="Обычный 11 4 5 2 5" xfId="2381"/>
    <cellStyle name="Обычный 11 4 5 2 6" xfId="2382"/>
    <cellStyle name="Обычный 11 4 5 2 7" xfId="2383"/>
    <cellStyle name="Обычный 11 4 5 2 8" xfId="2384"/>
    <cellStyle name="Обычный 11 4 5 2 9" xfId="2385"/>
    <cellStyle name="Обычный 11 4 5 3" xfId="2386"/>
    <cellStyle name="Обычный 11 4 5 3 2" xfId="2387"/>
    <cellStyle name="Обычный 11 4 5 4" xfId="2388"/>
    <cellStyle name="Обычный 11 4 5 5" xfId="2389"/>
    <cellStyle name="Обычный 11 4 5 6" xfId="2390"/>
    <cellStyle name="Обычный 11 4 5 7" xfId="2391"/>
    <cellStyle name="Обычный 11 4 5 8" xfId="2392"/>
    <cellStyle name="Обычный 11 4 5 9" xfId="2393"/>
    <cellStyle name="Обычный 11 4 6" xfId="2394"/>
    <cellStyle name="Обычный 11 4 6 10" xfId="2395"/>
    <cellStyle name="Обычный 11 4 6 11" xfId="18146"/>
    <cellStyle name="Обычный 11 4 6 12" xfId="19851"/>
    <cellStyle name="Обычный 11 4 6 13" xfId="21465"/>
    <cellStyle name="Обычный 11 4 6 2" xfId="2396"/>
    <cellStyle name="Обычный 11 4 6 2 2" xfId="2397"/>
    <cellStyle name="Обычный 11 4 6 3" xfId="2398"/>
    <cellStyle name="Обычный 11 4 6 4" xfId="2399"/>
    <cellStyle name="Обычный 11 4 6 5" xfId="2400"/>
    <cellStyle name="Обычный 11 4 6 6" xfId="2401"/>
    <cellStyle name="Обычный 11 4 6 7" xfId="2402"/>
    <cellStyle name="Обычный 11 4 6 8" xfId="2403"/>
    <cellStyle name="Обычный 11 4 6 9" xfId="2404"/>
    <cellStyle name="Обычный 11 4 7" xfId="2405"/>
    <cellStyle name="Обычный 11 4 7 10" xfId="19852"/>
    <cellStyle name="Обычный 11 4 7 11" xfId="21466"/>
    <cellStyle name="Обычный 11 4 7 2" xfId="2406"/>
    <cellStyle name="Обычный 11 4 7 2 2" xfId="2407"/>
    <cellStyle name="Обычный 11 4 7 3" xfId="2408"/>
    <cellStyle name="Обычный 11 4 7 4" xfId="2409"/>
    <cellStyle name="Обычный 11 4 7 5" xfId="2410"/>
    <cellStyle name="Обычный 11 4 7 6" xfId="2411"/>
    <cellStyle name="Обычный 11 4 7 7" xfId="2412"/>
    <cellStyle name="Обычный 11 4 7 8" xfId="2413"/>
    <cellStyle name="Обычный 11 4 7 9" xfId="18147"/>
    <cellStyle name="Обычный 11 4 8" xfId="2414"/>
    <cellStyle name="Обычный 11 4 8 2" xfId="2415"/>
    <cellStyle name="Обычный 11 4 9" xfId="2416"/>
    <cellStyle name="Обычный 11 5" xfId="2417"/>
    <cellStyle name="Обычный 11 5 10" xfId="2418"/>
    <cellStyle name="Обычный 11 5 11" xfId="2419"/>
    <cellStyle name="Обычный 11 5 12" xfId="2420"/>
    <cellStyle name="Обычный 11 5 13" xfId="2421"/>
    <cellStyle name="Обычный 11 5 14" xfId="2422"/>
    <cellStyle name="Обычный 11 5 15" xfId="2423"/>
    <cellStyle name="Обычный 11 5 16" xfId="2424"/>
    <cellStyle name="Обычный 11 5 17" xfId="2425"/>
    <cellStyle name="Обычный 11 5 18" xfId="18148"/>
    <cellStyle name="Обычный 11 5 19" xfId="19853"/>
    <cellStyle name="Обычный 11 5 2" xfId="2426"/>
    <cellStyle name="Обычный 11 5 2 10" xfId="2427"/>
    <cellStyle name="Обычный 11 5 2 11" xfId="2428"/>
    <cellStyle name="Обычный 11 5 2 12" xfId="18149"/>
    <cellStyle name="Обычный 11 5 2 13" xfId="19854"/>
    <cellStyle name="Обычный 11 5 2 14" xfId="21468"/>
    <cellStyle name="Обычный 11 5 2 2" xfId="2429"/>
    <cellStyle name="Обычный 11 5 2 2 10" xfId="2430"/>
    <cellStyle name="Обычный 11 5 2 2 11" xfId="18150"/>
    <cellStyle name="Обычный 11 5 2 2 12" xfId="19855"/>
    <cellStyle name="Обычный 11 5 2 2 13" xfId="21469"/>
    <cellStyle name="Обычный 11 5 2 2 2" xfId="2431"/>
    <cellStyle name="Обычный 11 5 2 2 2 2" xfId="2432"/>
    <cellStyle name="Обычный 11 5 2 2 3" xfId="2433"/>
    <cellStyle name="Обычный 11 5 2 2 4" xfId="2434"/>
    <cellStyle name="Обычный 11 5 2 2 5" xfId="2435"/>
    <cellStyle name="Обычный 11 5 2 2 6" xfId="2436"/>
    <cellStyle name="Обычный 11 5 2 2 7" xfId="2437"/>
    <cellStyle name="Обычный 11 5 2 2 8" xfId="2438"/>
    <cellStyle name="Обычный 11 5 2 2 9" xfId="2439"/>
    <cellStyle name="Обычный 11 5 2 3" xfId="2440"/>
    <cellStyle name="Обычный 11 5 2 3 2" xfId="2441"/>
    <cellStyle name="Обычный 11 5 2 4" xfId="2442"/>
    <cellStyle name="Обычный 11 5 2 5" xfId="2443"/>
    <cellStyle name="Обычный 11 5 2 6" xfId="2444"/>
    <cellStyle name="Обычный 11 5 2 7" xfId="2445"/>
    <cellStyle name="Обычный 11 5 2 8" xfId="2446"/>
    <cellStyle name="Обычный 11 5 2 9" xfId="2447"/>
    <cellStyle name="Обычный 11 5 20" xfId="21467"/>
    <cellStyle name="Обычный 11 5 3" xfId="2448"/>
    <cellStyle name="Обычный 11 5 3 10" xfId="2449"/>
    <cellStyle name="Обычный 11 5 3 11" xfId="2450"/>
    <cellStyle name="Обычный 11 5 3 12" xfId="18151"/>
    <cellStyle name="Обычный 11 5 3 13" xfId="19856"/>
    <cellStyle name="Обычный 11 5 3 14" xfId="21470"/>
    <cellStyle name="Обычный 11 5 3 2" xfId="2451"/>
    <cellStyle name="Обычный 11 5 3 2 10" xfId="2452"/>
    <cellStyle name="Обычный 11 5 3 2 11" xfId="18152"/>
    <cellStyle name="Обычный 11 5 3 2 12" xfId="19857"/>
    <cellStyle name="Обычный 11 5 3 2 13" xfId="21471"/>
    <cellStyle name="Обычный 11 5 3 2 2" xfId="2453"/>
    <cellStyle name="Обычный 11 5 3 2 2 2" xfId="2454"/>
    <cellStyle name="Обычный 11 5 3 2 3" xfId="2455"/>
    <cellStyle name="Обычный 11 5 3 2 4" xfId="2456"/>
    <cellStyle name="Обычный 11 5 3 2 5" xfId="2457"/>
    <cellStyle name="Обычный 11 5 3 2 6" xfId="2458"/>
    <cellStyle name="Обычный 11 5 3 2 7" xfId="2459"/>
    <cellStyle name="Обычный 11 5 3 2 8" xfId="2460"/>
    <cellStyle name="Обычный 11 5 3 2 9" xfId="2461"/>
    <cellStyle name="Обычный 11 5 3 3" xfId="2462"/>
    <cellStyle name="Обычный 11 5 3 3 2" xfId="2463"/>
    <cellStyle name="Обычный 11 5 3 4" xfId="2464"/>
    <cellStyle name="Обычный 11 5 3 5" xfId="2465"/>
    <cellStyle name="Обычный 11 5 3 6" xfId="2466"/>
    <cellStyle name="Обычный 11 5 3 7" xfId="2467"/>
    <cellStyle name="Обычный 11 5 3 8" xfId="2468"/>
    <cellStyle name="Обычный 11 5 3 9" xfId="2469"/>
    <cellStyle name="Обычный 11 5 4" xfId="2470"/>
    <cellStyle name="Обычный 11 5 4 10" xfId="2471"/>
    <cellStyle name="Обычный 11 5 4 11" xfId="2472"/>
    <cellStyle name="Обычный 11 5 4 12" xfId="18153"/>
    <cellStyle name="Обычный 11 5 4 13" xfId="19858"/>
    <cellStyle name="Обычный 11 5 4 14" xfId="21472"/>
    <cellStyle name="Обычный 11 5 4 2" xfId="2473"/>
    <cellStyle name="Обычный 11 5 4 2 10" xfId="2474"/>
    <cellStyle name="Обычный 11 5 4 2 11" xfId="18154"/>
    <cellStyle name="Обычный 11 5 4 2 12" xfId="19859"/>
    <cellStyle name="Обычный 11 5 4 2 13" xfId="21473"/>
    <cellStyle name="Обычный 11 5 4 2 2" xfId="2475"/>
    <cellStyle name="Обычный 11 5 4 2 2 2" xfId="2476"/>
    <cellStyle name="Обычный 11 5 4 2 3" xfId="2477"/>
    <cellStyle name="Обычный 11 5 4 2 4" xfId="2478"/>
    <cellStyle name="Обычный 11 5 4 2 5" xfId="2479"/>
    <cellStyle name="Обычный 11 5 4 2 6" xfId="2480"/>
    <cellStyle name="Обычный 11 5 4 2 7" xfId="2481"/>
    <cellStyle name="Обычный 11 5 4 2 8" xfId="2482"/>
    <cellStyle name="Обычный 11 5 4 2 9" xfId="2483"/>
    <cellStyle name="Обычный 11 5 4 3" xfId="2484"/>
    <cellStyle name="Обычный 11 5 4 3 2" xfId="2485"/>
    <cellStyle name="Обычный 11 5 4 4" xfId="2486"/>
    <cellStyle name="Обычный 11 5 4 5" xfId="2487"/>
    <cellStyle name="Обычный 11 5 4 6" xfId="2488"/>
    <cellStyle name="Обычный 11 5 4 7" xfId="2489"/>
    <cellStyle name="Обычный 11 5 4 8" xfId="2490"/>
    <cellStyle name="Обычный 11 5 4 9" xfId="2491"/>
    <cellStyle name="Обычный 11 5 5" xfId="2492"/>
    <cellStyle name="Обычный 11 5 5 10" xfId="2493"/>
    <cellStyle name="Обычный 11 5 5 11" xfId="2494"/>
    <cellStyle name="Обычный 11 5 5 12" xfId="18155"/>
    <cellStyle name="Обычный 11 5 5 13" xfId="19860"/>
    <cellStyle name="Обычный 11 5 5 14" xfId="21474"/>
    <cellStyle name="Обычный 11 5 5 2" xfId="2495"/>
    <cellStyle name="Обычный 11 5 5 2 10" xfId="2496"/>
    <cellStyle name="Обычный 11 5 5 2 11" xfId="18156"/>
    <cellStyle name="Обычный 11 5 5 2 12" xfId="19861"/>
    <cellStyle name="Обычный 11 5 5 2 13" xfId="21475"/>
    <cellStyle name="Обычный 11 5 5 2 2" xfId="2497"/>
    <cellStyle name="Обычный 11 5 5 2 2 2" xfId="2498"/>
    <cellStyle name="Обычный 11 5 5 2 3" xfId="2499"/>
    <cellStyle name="Обычный 11 5 5 2 4" xfId="2500"/>
    <cellStyle name="Обычный 11 5 5 2 5" xfId="2501"/>
    <cellStyle name="Обычный 11 5 5 2 6" xfId="2502"/>
    <cellStyle name="Обычный 11 5 5 2 7" xfId="2503"/>
    <cellStyle name="Обычный 11 5 5 2 8" xfId="2504"/>
    <cellStyle name="Обычный 11 5 5 2 9" xfId="2505"/>
    <cellStyle name="Обычный 11 5 5 3" xfId="2506"/>
    <cellStyle name="Обычный 11 5 5 3 2" xfId="2507"/>
    <cellStyle name="Обычный 11 5 5 4" xfId="2508"/>
    <cellStyle name="Обычный 11 5 5 5" xfId="2509"/>
    <cellStyle name="Обычный 11 5 5 6" xfId="2510"/>
    <cellStyle name="Обычный 11 5 5 7" xfId="2511"/>
    <cellStyle name="Обычный 11 5 5 8" xfId="2512"/>
    <cellStyle name="Обычный 11 5 5 9" xfId="2513"/>
    <cellStyle name="Обычный 11 5 6" xfId="2514"/>
    <cellStyle name="Обычный 11 5 6 10" xfId="2515"/>
    <cellStyle name="Обычный 11 5 6 11" xfId="18157"/>
    <cellStyle name="Обычный 11 5 6 12" xfId="19862"/>
    <cellStyle name="Обычный 11 5 6 13" xfId="21476"/>
    <cellStyle name="Обычный 11 5 6 2" xfId="2516"/>
    <cellStyle name="Обычный 11 5 6 2 2" xfId="2517"/>
    <cellStyle name="Обычный 11 5 6 3" xfId="2518"/>
    <cellStyle name="Обычный 11 5 6 4" xfId="2519"/>
    <cellStyle name="Обычный 11 5 6 5" xfId="2520"/>
    <cellStyle name="Обычный 11 5 6 6" xfId="2521"/>
    <cellStyle name="Обычный 11 5 6 7" xfId="2522"/>
    <cellStyle name="Обычный 11 5 6 8" xfId="2523"/>
    <cellStyle name="Обычный 11 5 6 9" xfId="2524"/>
    <cellStyle name="Обычный 11 5 7" xfId="2525"/>
    <cellStyle name="Обычный 11 5 7 10" xfId="19863"/>
    <cellStyle name="Обычный 11 5 7 11" xfId="21477"/>
    <cellStyle name="Обычный 11 5 7 2" xfId="2526"/>
    <cellStyle name="Обычный 11 5 7 2 2" xfId="2527"/>
    <cellStyle name="Обычный 11 5 7 3" xfId="2528"/>
    <cellStyle name="Обычный 11 5 7 4" xfId="2529"/>
    <cellStyle name="Обычный 11 5 7 5" xfId="2530"/>
    <cellStyle name="Обычный 11 5 7 6" xfId="2531"/>
    <cellStyle name="Обычный 11 5 7 7" xfId="2532"/>
    <cellStyle name="Обычный 11 5 7 8" xfId="2533"/>
    <cellStyle name="Обычный 11 5 7 9" xfId="18158"/>
    <cellStyle name="Обычный 11 5 8" xfId="2534"/>
    <cellStyle name="Обычный 11 5 8 2" xfId="2535"/>
    <cellStyle name="Обычный 11 5 9" xfId="2536"/>
    <cellStyle name="Обычный 11 6" xfId="2537"/>
    <cellStyle name="Обычный 11 6 10" xfId="2538"/>
    <cellStyle name="Обычный 11 6 11" xfId="2539"/>
    <cellStyle name="Обычный 11 6 12" xfId="18159"/>
    <cellStyle name="Обычный 11 6 13" xfId="19864"/>
    <cellStyle name="Обычный 11 6 14" xfId="21478"/>
    <cellStyle name="Обычный 11 6 2" xfId="2540"/>
    <cellStyle name="Обычный 11 6 2 10" xfId="2541"/>
    <cellStyle name="Обычный 11 6 2 11" xfId="18160"/>
    <cellStyle name="Обычный 11 6 2 12" xfId="19865"/>
    <cellStyle name="Обычный 11 6 2 13" xfId="21479"/>
    <cellStyle name="Обычный 11 6 2 2" xfId="2542"/>
    <cellStyle name="Обычный 11 6 2 2 2" xfId="2543"/>
    <cellStyle name="Обычный 11 6 2 3" xfId="2544"/>
    <cellStyle name="Обычный 11 6 2 4" xfId="2545"/>
    <cellStyle name="Обычный 11 6 2 5" xfId="2546"/>
    <cellStyle name="Обычный 11 6 2 6" xfId="2547"/>
    <cellStyle name="Обычный 11 6 2 7" xfId="2548"/>
    <cellStyle name="Обычный 11 6 2 8" xfId="2549"/>
    <cellStyle name="Обычный 11 6 2 9" xfId="2550"/>
    <cellStyle name="Обычный 11 6 3" xfId="2551"/>
    <cellStyle name="Обычный 11 6 3 2" xfId="2552"/>
    <cellStyle name="Обычный 11 6 4" xfId="2553"/>
    <cellStyle name="Обычный 11 6 5" xfId="2554"/>
    <cellStyle name="Обычный 11 6 6" xfId="2555"/>
    <cellStyle name="Обычный 11 6 7" xfId="2556"/>
    <cellStyle name="Обычный 11 6 8" xfId="2557"/>
    <cellStyle name="Обычный 11 6 9" xfId="2558"/>
    <cellStyle name="Обычный 11 7" xfId="2559"/>
    <cellStyle name="Обычный 11 7 10" xfId="2560"/>
    <cellStyle name="Обычный 11 7 11" xfId="2561"/>
    <cellStyle name="Обычный 11 7 12" xfId="18161"/>
    <cellStyle name="Обычный 11 7 13" xfId="19866"/>
    <cellStyle name="Обычный 11 7 14" xfId="21480"/>
    <cellStyle name="Обычный 11 7 2" xfId="2562"/>
    <cellStyle name="Обычный 11 7 2 10" xfId="2563"/>
    <cellStyle name="Обычный 11 7 2 11" xfId="18162"/>
    <cellStyle name="Обычный 11 7 2 12" xfId="19867"/>
    <cellStyle name="Обычный 11 7 2 13" xfId="21481"/>
    <cellStyle name="Обычный 11 7 2 2" xfId="2564"/>
    <cellStyle name="Обычный 11 7 2 2 2" xfId="2565"/>
    <cellStyle name="Обычный 11 7 2 3" xfId="2566"/>
    <cellStyle name="Обычный 11 7 2 4" xfId="2567"/>
    <cellStyle name="Обычный 11 7 2 5" xfId="2568"/>
    <cellStyle name="Обычный 11 7 2 6" xfId="2569"/>
    <cellStyle name="Обычный 11 7 2 7" xfId="2570"/>
    <cellStyle name="Обычный 11 7 2 8" xfId="2571"/>
    <cellStyle name="Обычный 11 7 2 9" xfId="2572"/>
    <cellStyle name="Обычный 11 7 3" xfId="2573"/>
    <cellStyle name="Обычный 11 7 3 2" xfId="2574"/>
    <cellStyle name="Обычный 11 7 4" xfId="2575"/>
    <cellStyle name="Обычный 11 7 5" xfId="2576"/>
    <cellStyle name="Обычный 11 7 6" xfId="2577"/>
    <cellStyle name="Обычный 11 7 7" xfId="2578"/>
    <cellStyle name="Обычный 11 7 8" xfId="2579"/>
    <cellStyle name="Обычный 11 7 9" xfId="2580"/>
    <cellStyle name="Обычный 11 8" xfId="2581"/>
    <cellStyle name="Обычный 11 8 10" xfId="2582"/>
    <cellStyle name="Обычный 11 8 11" xfId="2583"/>
    <cellStyle name="Обычный 11 8 12" xfId="18163"/>
    <cellStyle name="Обычный 11 8 13" xfId="19868"/>
    <cellStyle name="Обычный 11 8 14" xfId="21482"/>
    <cellStyle name="Обычный 11 8 2" xfId="2584"/>
    <cellStyle name="Обычный 11 8 2 10" xfId="2585"/>
    <cellStyle name="Обычный 11 8 2 11" xfId="18164"/>
    <cellStyle name="Обычный 11 8 2 12" xfId="19869"/>
    <cellStyle name="Обычный 11 8 2 13" xfId="21483"/>
    <cellStyle name="Обычный 11 8 2 2" xfId="2586"/>
    <cellStyle name="Обычный 11 8 2 2 2" xfId="2587"/>
    <cellStyle name="Обычный 11 8 2 3" xfId="2588"/>
    <cellStyle name="Обычный 11 8 2 4" xfId="2589"/>
    <cellStyle name="Обычный 11 8 2 5" xfId="2590"/>
    <cellStyle name="Обычный 11 8 2 6" xfId="2591"/>
    <cellStyle name="Обычный 11 8 2 7" xfId="2592"/>
    <cellStyle name="Обычный 11 8 2 8" xfId="2593"/>
    <cellStyle name="Обычный 11 8 2 9" xfId="2594"/>
    <cellStyle name="Обычный 11 8 3" xfId="2595"/>
    <cellStyle name="Обычный 11 8 3 2" xfId="2596"/>
    <cellStyle name="Обычный 11 8 4" xfId="2597"/>
    <cellStyle name="Обычный 11 8 5" xfId="2598"/>
    <cellStyle name="Обычный 11 8 6" xfId="2599"/>
    <cellStyle name="Обычный 11 8 7" xfId="2600"/>
    <cellStyle name="Обычный 11 8 8" xfId="2601"/>
    <cellStyle name="Обычный 11 8 9" xfId="2602"/>
    <cellStyle name="Обычный 11 9" xfId="2603"/>
    <cellStyle name="Обычный 11 9 10" xfId="2604"/>
    <cellStyle name="Обычный 11 9 11" xfId="2605"/>
    <cellStyle name="Обычный 11 9 12" xfId="18165"/>
    <cellStyle name="Обычный 11 9 13" xfId="19870"/>
    <cellStyle name="Обычный 11 9 14" xfId="21484"/>
    <cellStyle name="Обычный 11 9 2" xfId="2606"/>
    <cellStyle name="Обычный 11 9 2 10" xfId="2607"/>
    <cellStyle name="Обычный 11 9 2 11" xfId="18166"/>
    <cellStyle name="Обычный 11 9 2 12" xfId="19871"/>
    <cellStyle name="Обычный 11 9 2 13" xfId="21485"/>
    <cellStyle name="Обычный 11 9 2 2" xfId="2608"/>
    <cellStyle name="Обычный 11 9 2 2 2" xfId="2609"/>
    <cellStyle name="Обычный 11 9 2 3" xfId="2610"/>
    <cellStyle name="Обычный 11 9 2 4" xfId="2611"/>
    <cellStyle name="Обычный 11 9 2 5" xfId="2612"/>
    <cellStyle name="Обычный 11 9 2 6" xfId="2613"/>
    <cellStyle name="Обычный 11 9 2 7" xfId="2614"/>
    <cellStyle name="Обычный 11 9 2 8" xfId="2615"/>
    <cellStyle name="Обычный 11 9 2 9" xfId="2616"/>
    <cellStyle name="Обычный 11 9 3" xfId="2617"/>
    <cellStyle name="Обычный 11 9 3 2" xfId="2618"/>
    <cellStyle name="Обычный 11 9 4" xfId="2619"/>
    <cellStyle name="Обычный 11 9 5" xfId="2620"/>
    <cellStyle name="Обычный 11 9 6" xfId="2621"/>
    <cellStyle name="Обычный 11 9 7" xfId="2622"/>
    <cellStyle name="Обычный 11 9 8" xfId="2623"/>
    <cellStyle name="Обычный 11 9 9" xfId="2624"/>
    <cellStyle name="Обычный 11_5. общ.V" xfId="2625"/>
    <cellStyle name="Обычный 12" xfId="2626"/>
    <cellStyle name="Обычный 12 10" xfId="2627"/>
    <cellStyle name="Обычный 12 10 10" xfId="2628"/>
    <cellStyle name="Обычный 12 10 11" xfId="2629"/>
    <cellStyle name="Обычный 12 10 12" xfId="18168"/>
    <cellStyle name="Обычный 12 10 13" xfId="19873"/>
    <cellStyle name="Обычный 12 10 14" xfId="21487"/>
    <cellStyle name="Обычный 12 10 2" xfId="2630"/>
    <cellStyle name="Обычный 12 10 2 10" xfId="2631"/>
    <cellStyle name="Обычный 12 10 2 11" xfId="18169"/>
    <cellStyle name="Обычный 12 10 2 12" xfId="19874"/>
    <cellStyle name="Обычный 12 10 2 13" xfId="21488"/>
    <cellStyle name="Обычный 12 10 2 2" xfId="2632"/>
    <cellStyle name="Обычный 12 10 2 2 2" xfId="2633"/>
    <cellStyle name="Обычный 12 10 2 3" xfId="2634"/>
    <cellStyle name="Обычный 12 10 2 4" xfId="2635"/>
    <cellStyle name="Обычный 12 10 2 5" xfId="2636"/>
    <cellStyle name="Обычный 12 10 2 6" xfId="2637"/>
    <cellStyle name="Обычный 12 10 2 7" xfId="2638"/>
    <cellStyle name="Обычный 12 10 2 8" xfId="2639"/>
    <cellStyle name="Обычный 12 10 2 9" xfId="2640"/>
    <cellStyle name="Обычный 12 10 3" xfId="2641"/>
    <cellStyle name="Обычный 12 10 3 2" xfId="2642"/>
    <cellStyle name="Обычный 12 10 4" xfId="2643"/>
    <cellStyle name="Обычный 12 10 5" xfId="2644"/>
    <cellStyle name="Обычный 12 10 6" xfId="2645"/>
    <cellStyle name="Обычный 12 10 7" xfId="2646"/>
    <cellStyle name="Обычный 12 10 8" xfId="2647"/>
    <cellStyle name="Обычный 12 10 9" xfId="2648"/>
    <cellStyle name="Обычный 12 11" xfId="2649"/>
    <cellStyle name="Обычный 12 11 10" xfId="2650"/>
    <cellStyle name="Обычный 12 11 11" xfId="18170"/>
    <cellStyle name="Обычный 12 11 12" xfId="19875"/>
    <cellStyle name="Обычный 12 11 13" xfId="21489"/>
    <cellStyle name="Обычный 12 11 2" xfId="2651"/>
    <cellStyle name="Обычный 12 11 2 2" xfId="2652"/>
    <cellStyle name="Обычный 12 11 3" xfId="2653"/>
    <cellStyle name="Обычный 12 11 4" xfId="2654"/>
    <cellStyle name="Обычный 12 11 5" xfId="2655"/>
    <cellStyle name="Обычный 12 11 6" xfId="2656"/>
    <cellStyle name="Обычный 12 11 7" xfId="2657"/>
    <cellStyle name="Обычный 12 11 8" xfId="2658"/>
    <cellStyle name="Обычный 12 11 9" xfId="2659"/>
    <cellStyle name="Обычный 12 12" xfId="2660"/>
    <cellStyle name="Обычный 12 12 10" xfId="19876"/>
    <cellStyle name="Обычный 12 12 11" xfId="21490"/>
    <cellStyle name="Обычный 12 12 2" xfId="2661"/>
    <cellStyle name="Обычный 12 12 2 2" xfId="2662"/>
    <cellStyle name="Обычный 12 12 3" xfId="2663"/>
    <cellStyle name="Обычный 12 12 4" xfId="2664"/>
    <cellStyle name="Обычный 12 12 5" xfId="2665"/>
    <cellStyle name="Обычный 12 12 6" xfId="2666"/>
    <cellStyle name="Обычный 12 12 7" xfId="2667"/>
    <cellStyle name="Обычный 12 12 8" xfId="2668"/>
    <cellStyle name="Обычный 12 12 9" xfId="18171"/>
    <cellStyle name="Обычный 12 13" xfId="2669"/>
    <cellStyle name="Обычный 12 13 10" xfId="19877"/>
    <cellStyle name="Обычный 12 13 11" xfId="21491"/>
    <cellStyle name="Обычный 12 13 2" xfId="2670"/>
    <cellStyle name="Обычный 12 13 2 2" xfId="2671"/>
    <cellStyle name="Обычный 12 13 3" xfId="2672"/>
    <cellStyle name="Обычный 12 13 4" xfId="2673"/>
    <cellStyle name="Обычный 12 13 5" xfId="2674"/>
    <cellStyle name="Обычный 12 13 6" xfId="2675"/>
    <cellStyle name="Обычный 12 13 7" xfId="2676"/>
    <cellStyle name="Обычный 12 13 8" xfId="2677"/>
    <cellStyle name="Обычный 12 13 9" xfId="18172"/>
    <cellStyle name="Обычный 12 14" xfId="2678"/>
    <cellStyle name="Обычный 12 14 2" xfId="2679"/>
    <cellStyle name="Обычный 12 15" xfId="2680"/>
    <cellStyle name="Обычный 12 16" xfId="2681"/>
    <cellStyle name="Обычный 12 17" xfId="2682"/>
    <cellStyle name="Обычный 12 18" xfId="2683"/>
    <cellStyle name="Обычный 12 19" xfId="2684"/>
    <cellStyle name="Обычный 12 2" xfId="2685"/>
    <cellStyle name="Обычный 12 2 10" xfId="2686"/>
    <cellStyle name="Обычный 12 2 10 2" xfId="2687"/>
    <cellStyle name="Обычный 12 2 11" xfId="2688"/>
    <cellStyle name="Обычный 12 2 12" xfId="2689"/>
    <cellStyle name="Обычный 12 2 13" xfId="2690"/>
    <cellStyle name="Обычный 12 2 14" xfId="2691"/>
    <cellStyle name="Обычный 12 2 15" xfId="2692"/>
    <cellStyle name="Обычный 12 2 16" xfId="2693"/>
    <cellStyle name="Обычный 12 2 17" xfId="2694"/>
    <cellStyle name="Обычный 12 2 18" xfId="2695"/>
    <cellStyle name="Обычный 12 2 19" xfId="2696"/>
    <cellStyle name="Обычный 12 2 2" xfId="2697"/>
    <cellStyle name="Обычный 12 2 2 10" xfId="2698"/>
    <cellStyle name="Обычный 12 2 2 11" xfId="2699"/>
    <cellStyle name="Обычный 12 2 2 12" xfId="2700"/>
    <cellStyle name="Обычный 12 2 2 13" xfId="2701"/>
    <cellStyle name="Обычный 12 2 2 14" xfId="2702"/>
    <cellStyle name="Обычный 12 2 2 15" xfId="2703"/>
    <cellStyle name="Обычный 12 2 2 16" xfId="2704"/>
    <cellStyle name="Обычный 12 2 2 17" xfId="2705"/>
    <cellStyle name="Обычный 12 2 2 18" xfId="18174"/>
    <cellStyle name="Обычный 12 2 2 19" xfId="19879"/>
    <cellStyle name="Обычный 12 2 2 2" xfId="2706"/>
    <cellStyle name="Обычный 12 2 2 2 10" xfId="2707"/>
    <cellStyle name="Обычный 12 2 2 2 11" xfId="2708"/>
    <cellStyle name="Обычный 12 2 2 2 12" xfId="18175"/>
    <cellStyle name="Обычный 12 2 2 2 13" xfId="19880"/>
    <cellStyle name="Обычный 12 2 2 2 14" xfId="21494"/>
    <cellStyle name="Обычный 12 2 2 2 2" xfId="2709"/>
    <cellStyle name="Обычный 12 2 2 2 2 10" xfId="2710"/>
    <cellStyle name="Обычный 12 2 2 2 2 11" xfId="18176"/>
    <cellStyle name="Обычный 12 2 2 2 2 12" xfId="19881"/>
    <cellStyle name="Обычный 12 2 2 2 2 13" xfId="21495"/>
    <cellStyle name="Обычный 12 2 2 2 2 2" xfId="2711"/>
    <cellStyle name="Обычный 12 2 2 2 2 2 2" xfId="2712"/>
    <cellStyle name="Обычный 12 2 2 2 2 3" xfId="2713"/>
    <cellStyle name="Обычный 12 2 2 2 2 4" xfId="2714"/>
    <cellStyle name="Обычный 12 2 2 2 2 5" xfId="2715"/>
    <cellStyle name="Обычный 12 2 2 2 2 6" xfId="2716"/>
    <cellStyle name="Обычный 12 2 2 2 2 7" xfId="2717"/>
    <cellStyle name="Обычный 12 2 2 2 2 8" xfId="2718"/>
    <cellStyle name="Обычный 12 2 2 2 2 9" xfId="2719"/>
    <cellStyle name="Обычный 12 2 2 2 3" xfId="2720"/>
    <cellStyle name="Обычный 12 2 2 2 3 2" xfId="2721"/>
    <cellStyle name="Обычный 12 2 2 2 4" xfId="2722"/>
    <cellStyle name="Обычный 12 2 2 2 5" xfId="2723"/>
    <cellStyle name="Обычный 12 2 2 2 6" xfId="2724"/>
    <cellStyle name="Обычный 12 2 2 2 7" xfId="2725"/>
    <cellStyle name="Обычный 12 2 2 2 8" xfId="2726"/>
    <cellStyle name="Обычный 12 2 2 2 9" xfId="2727"/>
    <cellStyle name="Обычный 12 2 2 20" xfId="21493"/>
    <cellStyle name="Обычный 12 2 2 3" xfId="2728"/>
    <cellStyle name="Обычный 12 2 2 3 10" xfId="2729"/>
    <cellStyle name="Обычный 12 2 2 3 11" xfId="2730"/>
    <cellStyle name="Обычный 12 2 2 3 12" xfId="18177"/>
    <cellStyle name="Обычный 12 2 2 3 13" xfId="19882"/>
    <cellStyle name="Обычный 12 2 2 3 14" xfId="21496"/>
    <cellStyle name="Обычный 12 2 2 3 2" xfId="2731"/>
    <cellStyle name="Обычный 12 2 2 3 2 10" xfId="2732"/>
    <cellStyle name="Обычный 12 2 2 3 2 11" xfId="18178"/>
    <cellStyle name="Обычный 12 2 2 3 2 12" xfId="19883"/>
    <cellStyle name="Обычный 12 2 2 3 2 13" xfId="21497"/>
    <cellStyle name="Обычный 12 2 2 3 2 2" xfId="2733"/>
    <cellStyle name="Обычный 12 2 2 3 2 2 2" xfId="2734"/>
    <cellStyle name="Обычный 12 2 2 3 2 3" xfId="2735"/>
    <cellStyle name="Обычный 12 2 2 3 2 4" xfId="2736"/>
    <cellStyle name="Обычный 12 2 2 3 2 5" xfId="2737"/>
    <cellStyle name="Обычный 12 2 2 3 2 6" xfId="2738"/>
    <cellStyle name="Обычный 12 2 2 3 2 7" xfId="2739"/>
    <cellStyle name="Обычный 12 2 2 3 2 8" xfId="2740"/>
    <cellStyle name="Обычный 12 2 2 3 2 9" xfId="2741"/>
    <cellStyle name="Обычный 12 2 2 3 3" xfId="2742"/>
    <cellStyle name="Обычный 12 2 2 3 3 2" xfId="2743"/>
    <cellStyle name="Обычный 12 2 2 3 4" xfId="2744"/>
    <cellStyle name="Обычный 12 2 2 3 5" xfId="2745"/>
    <cellStyle name="Обычный 12 2 2 3 6" xfId="2746"/>
    <cellStyle name="Обычный 12 2 2 3 7" xfId="2747"/>
    <cellStyle name="Обычный 12 2 2 3 8" xfId="2748"/>
    <cellStyle name="Обычный 12 2 2 3 9" xfId="2749"/>
    <cellStyle name="Обычный 12 2 2 4" xfId="2750"/>
    <cellStyle name="Обычный 12 2 2 4 10" xfId="2751"/>
    <cellStyle name="Обычный 12 2 2 4 11" xfId="2752"/>
    <cellStyle name="Обычный 12 2 2 4 12" xfId="18179"/>
    <cellStyle name="Обычный 12 2 2 4 13" xfId="19884"/>
    <cellStyle name="Обычный 12 2 2 4 14" xfId="21498"/>
    <cellStyle name="Обычный 12 2 2 4 2" xfId="2753"/>
    <cellStyle name="Обычный 12 2 2 4 2 10" xfId="2754"/>
    <cellStyle name="Обычный 12 2 2 4 2 11" xfId="18180"/>
    <cellStyle name="Обычный 12 2 2 4 2 12" xfId="19885"/>
    <cellStyle name="Обычный 12 2 2 4 2 13" xfId="21499"/>
    <cellStyle name="Обычный 12 2 2 4 2 2" xfId="2755"/>
    <cellStyle name="Обычный 12 2 2 4 2 2 2" xfId="2756"/>
    <cellStyle name="Обычный 12 2 2 4 2 3" xfId="2757"/>
    <cellStyle name="Обычный 12 2 2 4 2 4" xfId="2758"/>
    <cellStyle name="Обычный 12 2 2 4 2 5" xfId="2759"/>
    <cellStyle name="Обычный 12 2 2 4 2 6" xfId="2760"/>
    <cellStyle name="Обычный 12 2 2 4 2 7" xfId="2761"/>
    <cellStyle name="Обычный 12 2 2 4 2 8" xfId="2762"/>
    <cellStyle name="Обычный 12 2 2 4 2 9" xfId="2763"/>
    <cellStyle name="Обычный 12 2 2 4 3" xfId="2764"/>
    <cellStyle name="Обычный 12 2 2 4 3 2" xfId="2765"/>
    <cellStyle name="Обычный 12 2 2 4 4" xfId="2766"/>
    <cellStyle name="Обычный 12 2 2 4 5" xfId="2767"/>
    <cellStyle name="Обычный 12 2 2 4 6" xfId="2768"/>
    <cellStyle name="Обычный 12 2 2 4 7" xfId="2769"/>
    <cellStyle name="Обычный 12 2 2 4 8" xfId="2770"/>
    <cellStyle name="Обычный 12 2 2 4 9" xfId="2771"/>
    <cellStyle name="Обычный 12 2 2 5" xfId="2772"/>
    <cellStyle name="Обычный 12 2 2 5 10" xfId="2773"/>
    <cellStyle name="Обычный 12 2 2 5 11" xfId="2774"/>
    <cellStyle name="Обычный 12 2 2 5 12" xfId="18181"/>
    <cellStyle name="Обычный 12 2 2 5 13" xfId="19886"/>
    <cellStyle name="Обычный 12 2 2 5 14" xfId="21500"/>
    <cellStyle name="Обычный 12 2 2 5 2" xfId="2775"/>
    <cellStyle name="Обычный 12 2 2 5 2 10" xfId="2776"/>
    <cellStyle name="Обычный 12 2 2 5 2 11" xfId="18182"/>
    <cellStyle name="Обычный 12 2 2 5 2 12" xfId="19887"/>
    <cellStyle name="Обычный 12 2 2 5 2 13" xfId="21501"/>
    <cellStyle name="Обычный 12 2 2 5 2 2" xfId="2777"/>
    <cellStyle name="Обычный 12 2 2 5 2 2 2" xfId="2778"/>
    <cellStyle name="Обычный 12 2 2 5 2 3" xfId="2779"/>
    <cellStyle name="Обычный 12 2 2 5 2 4" xfId="2780"/>
    <cellStyle name="Обычный 12 2 2 5 2 5" xfId="2781"/>
    <cellStyle name="Обычный 12 2 2 5 2 6" xfId="2782"/>
    <cellStyle name="Обычный 12 2 2 5 2 7" xfId="2783"/>
    <cellStyle name="Обычный 12 2 2 5 2 8" xfId="2784"/>
    <cellStyle name="Обычный 12 2 2 5 2 9" xfId="2785"/>
    <cellStyle name="Обычный 12 2 2 5 3" xfId="2786"/>
    <cellStyle name="Обычный 12 2 2 5 3 2" xfId="2787"/>
    <cellStyle name="Обычный 12 2 2 5 4" xfId="2788"/>
    <cellStyle name="Обычный 12 2 2 5 5" xfId="2789"/>
    <cellStyle name="Обычный 12 2 2 5 6" xfId="2790"/>
    <cellStyle name="Обычный 12 2 2 5 7" xfId="2791"/>
    <cellStyle name="Обычный 12 2 2 5 8" xfId="2792"/>
    <cellStyle name="Обычный 12 2 2 5 9" xfId="2793"/>
    <cellStyle name="Обычный 12 2 2 6" xfId="2794"/>
    <cellStyle name="Обычный 12 2 2 6 10" xfId="2795"/>
    <cellStyle name="Обычный 12 2 2 6 11" xfId="18183"/>
    <cellStyle name="Обычный 12 2 2 6 12" xfId="19888"/>
    <cellStyle name="Обычный 12 2 2 6 13" xfId="21502"/>
    <cellStyle name="Обычный 12 2 2 6 2" xfId="2796"/>
    <cellStyle name="Обычный 12 2 2 6 2 2" xfId="2797"/>
    <cellStyle name="Обычный 12 2 2 6 3" xfId="2798"/>
    <cellStyle name="Обычный 12 2 2 6 4" xfId="2799"/>
    <cellStyle name="Обычный 12 2 2 6 5" xfId="2800"/>
    <cellStyle name="Обычный 12 2 2 6 6" xfId="2801"/>
    <cellStyle name="Обычный 12 2 2 6 7" xfId="2802"/>
    <cellStyle name="Обычный 12 2 2 6 8" xfId="2803"/>
    <cellStyle name="Обычный 12 2 2 6 9" xfId="2804"/>
    <cellStyle name="Обычный 12 2 2 7" xfId="2805"/>
    <cellStyle name="Обычный 12 2 2 7 10" xfId="19889"/>
    <cellStyle name="Обычный 12 2 2 7 11" xfId="21503"/>
    <cellStyle name="Обычный 12 2 2 7 2" xfId="2806"/>
    <cellStyle name="Обычный 12 2 2 7 2 2" xfId="2807"/>
    <cellStyle name="Обычный 12 2 2 7 3" xfId="2808"/>
    <cellStyle name="Обычный 12 2 2 7 4" xfId="2809"/>
    <cellStyle name="Обычный 12 2 2 7 5" xfId="2810"/>
    <cellStyle name="Обычный 12 2 2 7 6" xfId="2811"/>
    <cellStyle name="Обычный 12 2 2 7 7" xfId="2812"/>
    <cellStyle name="Обычный 12 2 2 7 8" xfId="2813"/>
    <cellStyle name="Обычный 12 2 2 7 9" xfId="18184"/>
    <cellStyle name="Обычный 12 2 2 8" xfId="2814"/>
    <cellStyle name="Обычный 12 2 2 8 2" xfId="2815"/>
    <cellStyle name="Обычный 12 2 2 9" xfId="2816"/>
    <cellStyle name="Обычный 12 2 20" xfId="18173"/>
    <cellStyle name="Обычный 12 2 21" xfId="19878"/>
    <cellStyle name="Обычный 12 2 22" xfId="21492"/>
    <cellStyle name="Обычный 12 2 3" xfId="2817"/>
    <cellStyle name="Обычный 12 2 3 10" xfId="2818"/>
    <cellStyle name="Обычный 12 2 3 11" xfId="2819"/>
    <cellStyle name="Обычный 12 2 3 12" xfId="2820"/>
    <cellStyle name="Обычный 12 2 3 13" xfId="2821"/>
    <cellStyle name="Обычный 12 2 3 14" xfId="2822"/>
    <cellStyle name="Обычный 12 2 3 15" xfId="2823"/>
    <cellStyle name="Обычный 12 2 3 16" xfId="2824"/>
    <cellStyle name="Обычный 12 2 3 17" xfId="2825"/>
    <cellStyle name="Обычный 12 2 3 18" xfId="18185"/>
    <cellStyle name="Обычный 12 2 3 19" xfId="19890"/>
    <cellStyle name="Обычный 12 2 3 2" xfId="2826"/>
    <cellStyle name="Обычный 12 2 3 2 10" xfId="2827"/>
    <cellStyle name="Обычный 12 2 3 2 11" xfId="2828"/>
    <cellStyle name="Обычный 12 2 3 2 12" xfId="18186"/>
    <cellStyle name="Обычный 12 2 3 2 13" xfId="19891"/>
    <cellStyle name="Обычный 12 2 3 2 14" xfId="21505"/>
    <cellStyle name="Обычный 12 2 3 2 2" xfId="2829"/>
    <cellStyle name="Обычный 12 2 3 2 2 10" xfId="2830"/>
    <cellStyle name="Обычный 12 2 3 2 2 11" xfId="18187"/>
    <cellStyle name="Обычный 12 2 3 2 2 12" xfId="19892"/>
    <cellStyle name="Обычный 12 2 3 2 2 13" xfId="21506"/>
    <cellStyle name="Обычный 12 2 3 2 2 2" xfId="2831"/>
    <cellStyle name="Обычный 12 2 3 2 2 2 2" xfId="2832"/>
    <cellStyle name="Обычный 12 2 3 2 2 3" xfId="2833"/>
    <cellStyle name="Обычный 12 2 3 2 2 4" xfId="2834"/>
    <cellStyle name="Обычный 12 2 3 2 2 5" xfId="2835"/>
    <cellStyle name="Обычный 12 2 3 2 2 6" xfId="2836"/>
    <cellStyle name="Обычный 12 2 3 2 2 7" xfId="2837"/>
    <cellStyle name="Обычный 12 2 3 2 2 8" xfId="2838"/>
    <cellStyle name="Обычный 12 2 3 2 2 9" xfId="2839"/>
    <cellStyle name="Обычный 12 2 3 2 3" xfId="2840"/>
    <cellStyle name="Обычный 12 2 3 2 3 2" xfId="2841"/>
    <cellStyle name="Обычный 12 2 3 2 4" xfId="2842"/>
    <cellStyle name="Обычный 12 2 3 2 5" xfId="2843"/>
    <cellStyle name="Обычный 12 2 3 2 6" xfId="2844"/>
    <cellStyle name="Обычный 12 2 3 2 7" xfId="2845"/>
    <cellStyle name="Обычный 12 2 3 2 8" xfId="2846"/>
    <cellStyle name="Обычный 12 2 3 2 9" xfId="2847"/>
    <cellStyle name="Обычный 12 2 3 20" xfId="21504"/>
    <cellStyle name="Обычный 12 2 3 3" xfId="2848"/>
    <cellStyle name="Обычный 12 2 3 3 10" xfId="2849"/>
    <cellStyle name="Обычный 12 2 3 3 11" xfId="2850"/>
    <cellStyle name="Обычный 12 2 3 3 12" xfId="18188"/>
    <cellStyle name="Обычный 12 2 3 3 13" xfId="19893"/>
    <cellStyle name="Обычный 12 2 3 3 14" xfId="21507"/>
    <cellStyle name="Обычный 12 2 3 3 2" xfId="2851"/>
    <cellStyle name="Обычный 12 2 3 3 2 10" xfId="2852"/>
    <cellStyle name="Обычный 12 2 3 3 2 11" xfId="18189"/>
    <cellStyle name="Обычный 12 2 3 3 2 12" xfId="19894"/>
    <cellStyle name="Обычный 12 2 3 3 2 13" xfId="21508"/>
    <cellStyle name="Обычный 12 2 3 3 2 2" xfId="2853"/>
    <cellStyle name="Обычный 12 2 3 3 2 2 2" xfId="2854"/>
    <cellStyle name="Обычный 12 2 3 3 2 3" xfId="2855"/>
    <cellStyle name="Обычный 12 2 3 3 2 4" xfId="2856"/>
    <cellStyle name="Обычный 12 2 3 3 2 5" xfId="2857"/>
    <cellStyle name="Обычный 12 2 3 3 2 6" xfId="2858"/>
    <cellStyle name="Обычный 12 2 3 3 2 7" xfId="2859"/>
    <cellStyle name="Обычный 12 2 3 3 2 8" xfId="2860"/>
    <cellStyle name="Обычный 12 2 3 3 2 9" xfId="2861"/>
    <cellStyle name="Обычный 12 2 3 3 3" xfId="2862"/>
    <cellStyle name="Обычный 12 2 3 3 3 2" xfId="2863"/>
    <cellStyle name="Обычный 12 2 3 3 4" xfId="2864"/>
    <cellStyle name="Обычный 12 2 3 3 5" xfId="2865"/>
    <cellStyle name="Обычный 12 2 3 3 6" xfId="2866"/>
    <cellStyle name="Обычный 12 2 3 3 7" xfId="2867"/>
    <cellStyle name="Обычный 12 2 3 3 8" xfId="2868"/>
    <cellStyle name="Обычный 12 2 3 3 9" xfId="2869"/>
    <cellStyle name="Обычный 12 2 3 4" xfId="2870"/>
    <cellStyle name="Обычный 12 2 3 4 10" xfId="2871"/>
    <cellStyle name="Обычный 12 2 3 4 11" xfId="2872"/>
    <cellStyle name="Обычный 12 2 3 4 12" xfId="18190"/>
    <cellStyle name="Обычный 12 2 3 4 13" xfId="19895"/>
    <cellStyle name="Обычный 12 2 3 4 14" xfId="21509"/>
    <cellStyle name="Обычный 12 2 3 4 2" xfId="2873"/>
    <cellStyle name="Обычный 12 2 3 4 2 10" xfId="2874"/>
    <cellStyle name="Обычный 12 2 3 4 2 11" xfId="18191"/>
    <cellStyle name="Обычный 12 2 3 4 2 12" xfId="19896"/>
    <cellStyle name="Обычный 12 2 3 4 2 13" xfId="21510"/>
    <cellStyle name="Обычный 12 2 3 4 2 2" xfId="2875"/>
    <cellStyle name="Обычный 12 2 3 4 2 2 2" xfId="2876"/>
    <cellStyle name="Обычный 12 2 3 4 2 3" xfId="2877"/>
    <cellStyle name="Обычный 12 2 3 4 2 4" xfId="2878"/>
    <cellStyle name="Обычный 12 2 3 4 2 5" xfId="2879"/>
    <cellStyle name="Обычный 12 2 3 4 2 6" xfId="2880"/>
    <cellStyle name="Обычный 12 2 3 4 2 7" xfId="2881"/>
    <cellStyle name="Обычный 12 2 3 4 2 8" xfId="2882"/>
    <cellStyle name="Обычный 12 2 3 4 2 9" xfId="2883"/>
    <cellStyle name="Обычный 12 2 3 4 3" xfId="2884"/>
    <cellStyle name="Обычный 12 2 3 4 3 2" xfId="2885"/>
    <cellStyle name="Обычный 12 2 3 4 4" xfId="2886"/>
    <cellStyle name="Обычный 12 2 3 4 5" xfId="2887"/>
    <cellStyle name="Обычный 12 2 3 4 6" xfId="2888"/>
    <cellStyle name="Обычный 12 2 3 4 7" xfId="2889"/>
    <cellStyle name="Обычный 12 2 3 4 8" xfId="2890"/>
    <cellStyle name="Обычный 12 2 3 4 9" xfId="2891"/>
    <cellStyle name="Обычный 12 2 3 5" xfId="2892"/>
    <cellStyle name="Обычный 12 2 3 5 10" xfId="2893"/>
    <cellStyle name="Обычный 12 2 3 5 11" xfId="2894"/>
    <cellStyle name="Обычный 12 2 3 5 12" xfId="18192"/>
    <cellStyle name="Обычный 12 2 3 5 13" xfId="19897"/>
    <cellStyle name="Обычный 12 2 3 5 14" xfId="21511"/>
    <cellStyle name="Обычный 12 2 3 5 2" xfId="2895"/>
    <cellStyle name="Обычный 12 2 3 5 2 10" xfId="2896"/>
    <cellStyle name="Обычный 12 2 3 5 2 11" xfId="18193"/>
    <cellStyle name="Обычный 12 2 3 5 2 12" xfId="19898"/>
    <cellStyle name="Обычный 12 2 3 5 2 13" xfId="21512"/>
    <cellStyle name="Обычный 12 2 3 5 2 2" xfId="2897"/>
    <cellStyle name="Обычный 12 2 3 5 2 2 2" xfId="2898"/>
    <cellStyle name="Обычный 12 2 3 5 2 3" xfId="2899"/>
    <cellStyle name="Обычный 12 2 3 5 2 4" xfId="2900"/>
    <cellStyle name="Обычный 12 2 3 5 2 5" xfId="2901"/>
    <cellStyle name="Обычный 12 2 3 5 2 6" xfId="2902"/>
    <cellStyle name="Обычный 12 2 3 5 2 7" xfId="2903"/>
    <cellStyle name="Обычный 12 2 3 5 2 8" xfId="2904"/>
    <cellStyle name="Обычный 12 2 3 5 2 9" xfId="2905"/>
    <cellStyle name="Обычный 12 2 3 5 3" xfId="2906"/>
    <cellStyle name="Обычный 12 2 3 5 3 2" xfId="2907"/>
    <cellStyle name="Обычный 12 2 3 5 4" xfId="2908"/>
    <cellStyle name="Обычный 12 2 3 5 5" xfId="2909"/>
    <cellStyle name="Обычный 12 2 3 5 6" xfId="2910"/>
    <cellStyle name="Обычный 12 2 3 5 7" xfId="2911"/>
    <cellStyle name="Обычный 12 2 3 5 8" xfId="2912"/>
    <cellStyle name="Обычный 12 2 3 5 9" xfId="2913"/>
    <cellStyle name="Обычный 12 2 3 6" xfId="2914"/>
    <cellStyle name="Обычный 12 2 3 6 10" xfId="2915"/>
    <cellStyle name="Обычный 12 2 3 6 11" xfId="18194"/>
    <cellStyle name="Обычный 12 2 3 6 12" xfId="19899"/>
    <cellStyle name="Обычный 12 2 3 6 13" xfId="21513"/>
    <cellStyle name="Обычный 12 2 3 6 2" xfId="2916"/>
    <cellStyle name="Обычный 12 2 3 6 2 2" xfId="2917"/>
    <cellStyle name="Обычный 12 2 3 6 3" xfId="2918"/>
    <cellStyle name="Обычный 12 2 3 6 4" xfId="2919"/>
    <cellStyle name="Обычный 12 2 3 6 5" xfId="2920"/>
    <cellStyle name="Обычный 12 2 3 6 6" xfId="2921"/>
    <cellStyle name="Обычный 12 2 3 6 7" xfId="2922"/>
    <cellStyle name="Обычный 12 2 3 6 8" xfId="2923"/>
    <cellStyle name="Обычный 12 2 3 6 9" xfId="2924"/>
    <cellStyle name="Обычный 12 2 3 7" xfId="2925"/>
    <cellStyle name="Обычный 12 2 3 7 10" xfId="19900"/>
    <cellStyle name="Обычный 12 2 3 7 11" xfId="21514"/>
    <cellStyle name="Обычный 12 2 3 7 2" xfId="2926"/>
    <cellStyle name="Обычный 12 2 3 7 2 2" xfId="2927"/>
    <cellStyle name="Обычный 12 2 3 7 3" xfId="2928"/>
    <cellStyle name="Обычный 12 2 3 7 4" xfId="2929"/>
    <cellStyle name="Обычный 12 2 3 7 5" xfId="2930"/>
    <cellStyle name="Обычный 12 2 3 7 6" xfId="2931"/>
    <cellStyle name="Обычный 12 2 3 7 7" xfId="2932"/>
    <cellStyle name="Обычный 12 2 3 7 8" xfId="2933"/>
    <cellStyle name="Обычный 12 2 3 7 9" xfId="18195"/>
    <cellStyle name="Обычный 12 2 3 8" xfId="2934"/>
    <cellStyle name="Обычный 12 2 3 8 2" xfId="2935"/>
    <cellStyle name="Обычный 12 2 3 9" xfId="2936"/>
    <cellStyle name="Обычный 12 2 4" xfId="2937"/>
    <cellStyle name="Обычный 12 2 4 10" xfId="2938"/>
    <cellStyle name="Обычный 12 2 4 11" xfId="2939"/>
    <cellStyle name="Обычный 12 2 4 12" xfId="18196"/>
    <cellStyle name="Обычный 12 2 4 13" xfId="19901"/>
    <cellStyle name="Обычный 12 2 4 14" xfId="21515"/>
    <cellStyle name="Обычный 12 2 4 2" xfId="2940"/>
    <cellStyle name="Обычный 12 2 4 2 10" xfId="2941"/>
    <cellStyle name="Обычный 12 2 4 2 11" xfId="18197"/>
    <cellStyle name="Обычный 12 2 4 2 12" xfId="19902"/>
    <cellStyle name="Обычный 12 2 4 2 13" xfId="21516"/>
    <cellStyle name="Обычный 12 2 4 2 2" xfId="2942"/>
    <cellStyle name="Обычный 12 2 4 2 2 2" xfId="2943"/>
    <cellStyle name="Обычный 12 2 4 2 3" xfId="2944"/>
    <cellStyle name="Обычный 12 2 4 2 4" xfId="2945"/>
    <cellStyle name="Обычный 12 2 4 2 5" xfId="2946"/>
    <cellStyle name="Обычный 12 2 4 2 6" xfId="2947"/>
    <cellStyle name="Обычный 12 2 4 2 7" xfId="2948"/>
    <cellStyle name="Обычный 12 2 4 2 8" xfId="2949"/>
    <cellStyle name="Обычный 12 2 4 2 9" xfId="2950"/>
    <cellStyle name="Обычный 12 2 4 3" xfId="2951"/>
    <cellStyle name="Обычный 12 2 4 3 2" xfId="2952"/>
    <cellStyle name="Обычный 12 2 4 4" xfId="2953"/>
    <cellStyle name="Обычный 12 2 4 5" xfId="2954"/>
    <cellStyle name="Обычный 12 2 4 6" xfId="2955"/>
    <cellStyle name="Обычный 12 2 4 7" xfId="2956"/>
    <cellStyle name="Обычный 12 2 4 8" xfId="2957"/>
    <cellStyle name="Обычный 12 2 4 9" xfId="2958"/>
    <cellStyle name="Обычный 12 2 5" xfId="2959"/>
    <cellStyle name="Обычный 12 2 5 10" xfId="2960"/>
    <cellStyle name="Обычный 12 2 5 11" xfId="2961"/>
    <cellStyle name="Обычный 12 2 5 12" xfId="18198"/>
    <cellStyle name="Обычный 12 2 5 13" xfId="19903"/>
    <cellStyle name="Обычный 12 2 5 14" xfId="21517"/>
    <cellStyle name="Обычный 12 2 5 2" xfId="2962"/>
    <cellStyle name="Обычный 12 2 5 2 10" xfId="2963"/>
    <cellStyle name="Обычный 12 2 5 2 11" xfId="18199"/>
    <cellStyle name="Обычный 12 2 5 2 12" xfId="19904"/>
    <cellStyle name="Обычный 12 2 5 2 13" xfId="21518"/>
    <cellStyle name="Обычный 12 2 5 2 2" xfId="2964"/>
    <cellStyle name="Обычный 12 2 5 2 2 2" xfId="2965"/>
    <cellStyle name="Обычный 12 2 5 2 3" xfId="2966"/>
    <cellStyle name="Обычный 12 2 5 2 4" xfId="2967"/>
    <cellStyle name="Обычный 12 2 5 2 5" xfId="2968"/>
    <cellStyle name="Обычный 12 2 5 2 6" xfId="2969"/>
    <cellStyle name="Обычный 12 2 5 2 7" xfId="2970"/>
    <cellStyle name="Обычный 12 2 5 2 8" xfId="2971"/>
    <cellStyle name="Обычный 12 2 5 2 9" xfId="2972"/>
    <cellStyle name="Обычный 12 2 5 3" xfId="2973"/>
    <cellStyle name="Обычный 12 2 5 3 2" xfId="2974"/>
    <cellStyle name="Обычный 12 2 5 4" xfId="2975"/>
    <cellStyle name="Обычный 12 2 5 5" xfId="2976"/>
    <cellStyle name="Обычный 12 2 5 6" xfId="2977"/>
    <cellStyle name="Обычный 12 2 5 7" xfId="2978"/>
    <cellStyle name="Обычный 12 2 5 8" xfId="2979"/>
    <cellStyle name="Обычный 12 2 5 9" xfId="2980"/>
    <cellStyle name="Обычный 12 2 6" xfId="2981"/>
    <cellStyle name="Обычный 12 2 6 10" xfId="2982"/>
    <cellStyle name="Обычный 12 2 6 11" xfId="2983"/>
    <cellStyle name="Обычный 12 2 6 12" xfId="18200"/>
    <cellStyle name="Обычный 12 2 6 13" xfId="19905"/>
    <cellStyle name="Обычный 12 2 6 14" xfId="21519"/>
    <cellStyle name="Обычный 12 2 6 2" xfId="2984"/>
    <cellStyle name="Обычный 12 2 6 2 10" xfId="2985"/>
    <cellStyle name="Обычный 12 2 6 2 11" xfId="18201"/>
    <cellStyle name="Обычный 12 2 6 2 12" xfId="19906"/>
    <cellStyle name="Обычный 12 2 6 2 13" xfId="21520"/>
    <cellStyle name="Обычный 12 2 6 2 2" xfId="2986"/>
    <cellStyle name="Обычный 12 2 6 2 2 2" xfId="2987"/>
    <cellStyle name="Обычный 12 2 6 2 3" xfId="2988"/>
    <cellStyle name="Обычный 12 2 6 2 4" xfId="2989"/>
    <cellStyle name="Обычный 12 2 6 2 5" xfId="2990"/>
    <cellStyle name="Обычный 12 2 6 2 6" xfId="2991"/>
    <cellStyle name="Обычный 12 2 6 2 7" xfId="2992"/>
    <cellStyle name="Обычный 12 2 6 2 8" xfId="2993"/>
    <cellStyle name="Обычный 12 2 6 2 9" xfId="2994"/>
    <cellStyle name="Обычный 12 2 6 3" xfId="2995"/>
    <cellStyle name="Обычный 12 2 6 3 2" xfId="2996"/>
    <cellStyle name="Обычный 12 2 6 4" xfId="2997"/>
    <cellStyle name="Обычный 12 2 6 5" xfId="2998"/>
    <cellStyle name="Обычный 12 2 6 6" xfId="2999"/>
    <cellStyle name="Обычный 12 2 6 7" xfId="3000"/>
    <cellStyle name="Обычный 12 2 6 8" xfId="3001"/>
    <cellStyle name="Обычный 12 2 6 9" xfId="3002"/>
    <cellStyle name="Обычный 12 2 7" xfId="3003"/>
    <cellStyle name="Обычный 12 2 7 10" xfId="3004"/>
    <cellStyle name="Обычный 12 2 7 11" xfId="3005"/>
    <cellStyle name="Обычный 12 2 7 12" xfId="18202"/>
    <cellStyle name="Обычный 12 2 7 13" xfId="19907"/>
    <cellStyle name="Обычный 12 2 7 14" xfId="21521"/>
    <cellStyle name="Обычный 12 2 7 2" xfId="3006"/>
    <cellStyle name="Обычный 12 2 7 2 10" xfId="3007"/>
    <cellStyle name="Обычный 12 2 7 2 11" xfId="18203"/>
    <cellStyle name="Обычный 12 2 7 2 12" xfId="19908"/>
    <cellStyle name="Обычный 12 2 7 2 13" xfId="21522"/>
    <cellStyle name="Обычный 12 2 7 2 2" xfId="3008"/>
    <cellStyle name="Обычный 12 2 7 2 2 2" xfId="3009"/>
    <cellStyle name="Обычный 12 2 7 2 3" xfId="3010"/>
    <cellStyle name="Обычный 12 2 7 2 4" xfId="3011"/>
    <cellStyle name="Обычный 12 2 7 2 5" xfId="3012"/>
    <cellStyle name="Обычный 12 2 7 2 6" xfId="3013"/>
    <cellStyle name="Обычный 12 2 7 2 7" xfId="3014"/>
    <cellStyle name="Обычный 12 2 7 2 8" xfId="3015"/>
    <cellStyle name="Обычный 12 2 7 2 9" xfId="3016"/>
    <cellStyle name="Обычный 12 2 7 3" xfId="3017"/>
    <cellStyle name="Обычный 12 2 7 3 2" xfId="3018"/>
    <cellStyle name="Обычный 12 2 7 4" xfId="3019"/>
    <cellStyle name="Обычный 12 2 7 5" xfId="3020"/>
    <cellStyle name="Обычный 12 2 7 6" xfId="3021"/>
    <cellStyle name="Обычный 12 2 7 7" xfId="3022"/>
    <cellStyle name="Обычный 12 2 7 8" xfId="3023"/>
    <cellStyle name="Обычный 12 2 7 9" xfId="3024"/>
    <cellStyle name="Обычный 12 2 8" xfId="3025"/>
    <cellStyle name="Обычный 12 2 8 10" xfId="3026"/>
    <cellStyle name="Обычный 12 2 8 11" xfId="18204"/>
    <cellStyle name="Обычный 12 2 8 12" xfId="19909"/>
    <cellStyle name="Обычный 12 2 8 13" xfId="21523"/>
    <cellStyle name="Обычный 12 2 8 2" xfId="3027"/>
    <cellStyle name="Обычный 12 2 8 2 2" xfId="3028"/>
    <cellStyle name="Обычный 12 2 8 3" xfId="3029"/>
    <cellStyle name="Обычный 12 2 8 4" xfId="3030"/>
    <cellStyle name="Обычный 12 2 8 5" xfId="3031"/>
    <cellStyle name="Обычный 12 2 8 6" xfId="3032"/>
    <cellStyle name="Обычный 12 2 8 7" xfId="3033"/>
    <cellStyle name="Обычный 12 2 8 8" xfId="3034"/>
    <cellStyle name="Обычный 12 2 8 9" xfId="3035"/>
    <cellStyle name="Обычный 12 2 9" xfId="3036"/>
    <cellStyle name="Обычный 12 2 9 10" xfId="19910"/>
    <cellStyle name="Обычный 12 2 9 11" xfId="21524"/>
    <cellStyle name="Обычный 12 2 9 2" xfId="3037"/>
    <cellStyle name="Обычный 12 2 9 2 2" xfId="3038"/>
    <cellStyle name="Обычный 12 2 9 3" xfId="3039"/>
    <cellStyle name="Обычный 12 2 9 4" xfId="3040"/>
    <cellStyle name="Обычный 12 2 9 5" xfId="3041"/>
    <cellStyle name="Обычный 12 2 9 6" xfId="3042"/>
    <cellStyle name="Обычный 12 2 9 7" xfId="3043"/>
    <cellStyle name="Обычный 12 2 9 8" xfId="3044"/>
    <cellStyle name="Обычный 12 2 9 9" xfId="18205"/>
    <cellStyle name="Обычный 12 20" xfId="3045"/>
    <cellStyle name="Обычный 12 21" xfId="3046"/>
    <cellStyle name="Обычный 12 22" xfId="3047"/>
    <cellStyle name="Обычный 12 23" xfId="3048"/>
    <cellStyle name="Обычный 12 24" xfId="18167"/>
    <cellStyle name="Обычный 12 25" xfId="19625"/>
    <cellStyle name="Обычный 12 26" xfId="19872"/>
    <cellStyle name="Обычный 12 27" xfId="21486"/>
    <cellStyle name="Обычный 12 3" xfId="3049"/>
    <cellStyle name="Обычный 12 3 10" xfId="3050"/>
    <cellStyle name="Обычный 12 3 11" xfId="3051"/>
    <cellStyle name="Обычный 12 3 12" xfId="3052"/>
    <cellStyle name="Обычный 12 3 13" xfId="3053"/>
    <cellStyle name="Обычный 12 3 14" xfId="3054"/>
    <cellStyle name="Обычный 12 3 15" xfId="3055"/>
    <cellStyle name="Обычный 12 3 16" xfId="3056"/>
    <cellStyle name="Обычный 12 3 17" xfId="3057"/>
    <cellStyle name="Обычный 12 3 18" xfId="18206"/>
    <cellStyle name="Обычный 12 3 19" xfId="19911"/>
    <cellStyle name="Обычный 12 3 2" xfId="3058"/>
    <cellStyle name="Обычный 12 3 2 10" xfId="3059"/>
    <cellStyle name="Обычный 12 3 2 11" xfId="3060"/>
    <cellStyle name="Обычный 12 3 2 12" xfId="18207"/>
    <cellStyle name="Обычный 12 3 2 13" xfId="19912"/>
    <cellStyle name="Обычный 12 3 2 14" xfId="21526"/>
    <cellStyle name="Обычный 12 3 2 2" xfId="3061"/>
    <cellStyle name="Обычный 12 3 2 2 10" xfId="3062"/>
    <cellStyle name="Обычный 12 3 2 2 11" xfId="18208"/>
    <cellStyle name="Обычный 12 3 2 2 12" xfId="19913"/>
    <cellStyle name="Обычный 12 3 2 2 13" xfId="21527"/>
    <cellStyle name="Обычный 12 3 2 2 2" xfId="3063"/>
    <cellStyle name="Обычный 12 3 2 2 2 2" xfId="3064"/>
    <cellStyle name="Обычный 12 3 2 2 3" xfId="3065"/>
    <cellStyle name="Обычный 12 3 2 2 4" xfId="3066"/>
    <cellStyle name="Обычный 12 3 2 2 5" xfId="3067"/>
    <cellStyle name="Обычный 12 3 2 2 6" xfId="3068"/>
    <cellStyle name="Обычный 12 3 2 2 7" xfId="3069"/>
    <cellStyle name="Обычный 12 3 2 2 8" xfId="3070"/>
    <cellStyle name="Обычный 12 3 2 2 9" xfId="3071"/>
    <cellStyle name="Обычный 12 3 2 3" xfId="3072"/>
    <cellStyle name="Обычный 12 3 2 3 2" xfId="3073"/>
    <cellStyle name="Обычный 12 3 2 4" xfId="3074"/>
    <cellStyle name="Обычный 12 3 2 5" xfId="3075"/>
    <cellStyle name="Обычный 12 3 2 6" xfId="3076"/>
    <cellStyle name="Обычный 12 3 2 7" xfId="3077"/>
    <cellStyle name="Обычный 12 3 2 8" xfId="3078"/>
    <cellStyle name="Обычный 12 3 2 9" xfId="3079"/>
    <cellStyle name="Обычный 12 3 20" xfId="21525"/>
    <cellStyle name="Обычный 12 3 3" xfId="3080"/>
    <cellStyle name="Обычный 12 3 3 10" xfId="3081"/>
    <cellStyle name="Обычный 12 3 3 11" xfId="3082"/>
    <cellStyle name="Обычный 12 3 3 12" xfId="18209"/>
    <cellStyle name="Обычный 12 3 3 13" xfId="19914"/>
    <cellStyle name="Обычный 12 3 3 14" xfId="21528"/>
    <cellStyle name="Обычный 12 3 3 2" xfId="3083"/>
    <cellStyle name="Обычный 12 3 3 2 10" xfId="3084"/>
    <cellStyle name="Обычный 12 3 3 2 11" xfId="18210"/>
    <cellStyle name="Обычный 12 3 3 2 12" xfId="19915"/>
    <cellStyle name="Обычный 12 3 3 2 13" xfId="21529"/>
    <cellStyle name="Обычный 12 3 3 2 2" xfId="3085"/>
    <cellStyle name="Обычный 12 3 3 2 2 2" xfId="3086"/>
    <cellStyle name="Обычный 12 3 3 2 3" xfId="3087"/>
    <cellStyle name="Обычный 12 3 3 2 4" xfId="3088"/>
    <cellStyle name="Обычный 12 3 3 2 5" xfId="3089"/>
    <cellStyle name="Обычный 12 3 3 2 6" xfId="3090"/>
    <cellStyle name="Обычный 12 3 3 2 7" xfId="3091"/>
    <cellStyle name="Обычный 12 3 3 2 8" xfId="3092"/>
    <cellStyle name="Обычный 12 3 3 2 9" xfId="3093"/>
    <cellStyle name="Обычный 12 3 3 3" xfId="3094"/>
    <cellStyle name="Обычный 12 3 3 3 2" xfId="3095"/>
    <cellStyle name="Обычный 12 3 3 4" xfId="3096"/>
    <cellStyle name="Обычный 12 3 3 5" xfId="3097"/>
    <cellStyle name="Обычный 12 3 3 6" xfId="3098"/>
    <cellStyle name="Обычный 12 3 3 7" xfId="3099"/>
    <cellStyle name="Обычный 12 3 3 8" xfId="3100"/>
    <cellStyle name="Обычный 12 3 3 9" xfId="3101"/>
    <cellStyle name="Обычный 12 3 4" xfId="3102"/>
    <cellStyle name="Обычный 12 3 4 10" xfId="3103"/>
    <cellStyle name="Обычный 12 3 4 11" xfId="3104"/>
    <cellStyle name="Обычный 12 3 4 12" xfId="18211"/>
    <cellStyle name="Обычный 12 3 4 13" xfId="19916"/>
    <cellStyle name="Обычный 12 3 4 14" xfId="21530"/>
    <cellStyle name="Обычный 12 3 4 2" xfId="3105"/>
    <cellStyle name="Обычный 12 3 4 2 10" xfId="3106"/>
    <cellStyle name="Обычный 12 3 4 2 11" xfId="18212"/>
    <cellStyle name="Обычный 12 3 4 2 12" xfId="19917"/>
    <cellStyle name="Обычный 12 3 4 2 13" xfId="21531"/>
    <cellStyle name="Обычный 12 3 4 2 2" xfId="3107"/>
    <cellStyle name="Обычный 12 3 4 2 2 2" xfId="3108"/>
    <cellStyle name="Обычный 12 3 4 2 3" xfId="3109"/>
    <cellStyle name="Обычный 12 3 4 2 4" xfId="3110"/>
    <cellStyle name="Обычный 12 3 4 2 5" xfId="3111"/>
    <cellStyle name="Обычный 12 3 4 2 6" xfId="3112"/>
    <cellStyle name="Обычный 12 3 4 2 7" xfId="3113"/>
    <cellStyle name="Обычный 12 3 4 2 8" xfId="3114"/>
    <cellStyle name="Обычный 12 3 4 2 9" xfId="3115"/>
    <cellStyle name="Обычный 12 3 4 3" xfId="3116"/>
    <cellStyle name="Обычный 12 3 4 3 2" xfId="3117"/>
    <cellStyle name="Обычный 12 3 4 4" xfId="3118"/>
    <cellStyle name="Обычный 12 3 4 5" xfId="3119"/>
    <cellStyle name="Обычный 12 3 4 6" xfId="3120"/>
    <cellStyle name="Обычный 12 3 4 7" xfId="3121"/>
    <cellStyle name="Обычный 12 3 4 8" xfId="3122"/>
    <cellStyle name="Обычный 12 3 4 9" xfId="3123"/>
    <cellStyle name="Обычный 12 3 5" xfId="3124"/>
    <cellStyle name="Обычный 12 3 5 10" xfId="3125"/>
    <cellStyle name="Обычный 12 3 5 11" xfId="3126"/>
    <cellStyle name="Обычный 12 3 5 12" xfId="18213"/>
    <cellStyle name="Обычный 12 3 5 13" xfId="19918"/>
    <cellStyle name="Обычный 12 3 5 14" xfId="21532"/>
    <cellStyle name="Обычный 12 3 5 2" xfId="3127"/>
    <cellStyle name="Обычный 12 3 5 2 10" xfId="3128"/>
    <cellStyle name="Обычный 12 3 5 2 11" xfId="18214"/>
    <cellStyle name="Обычный 12 3 5 2 12" xfId="19919"/>
    <cellStyle name="Обычный 12 3 5 2 13" xfId="21533"/>
    <cellStyle name="Обычный 12 3 5 2 2" xfId="3129"/>
    <cellStyle name="Обычный 12 3 5 2 2 2" xfId="3130"/>
    <cellStyle name="Обычный 12 3 5 2 3" xfId="3131"/>
    <cellStyle name="Обычный 12 3 5 2 4" xfId="3132"/>
    <cellStyle name="Обычный 12 3 5 2 5" xfId="3133"/>
    <cellStyle name="Обычный 12 3 5 2 6" xfId="3134"/>
    <cellStyle name="Обычный 12 3 5 2 7" xfId="3135"/>
    <cellStyle name="Обычный 12 3 5 2 8" xfId="3136"/>
    <cellStyle name="Обычный 12 3 5 2 9" xfId="3137"/>
    <cellStyle name="Обычный 12 3 5 3" xfId="3138"/>
    <cellStyle name="Обычный 12 3 5 3 2" xfId="3139"/>
    <cellStyle name="Обычный 12 3 5 4" xfId="3140"/>
    <cellStyle name="Обычный 12 3 5 5" xfId="3141"/>
    <cellStyle name="Обычный 12 3 5 6" xfId="3142"/>
    <cellStyle name="Обычный 12 3 5 7" xfId="3143"/>
    <cellStyle name="Обычный 12 3 5 8" xfId="3144"/>
    <cellStyle name="Обычный 12 3 5 9" xfId="3145"/>
    <cellStyle name="Обычный 12 3 6" xfId="3146"/>
    <cellStyle name="Обычный 12 3 6 10" xfId="3147"/>
    <cellStyle name="Обычный 12 3 6 11" xfId="18215"/>
    <cellStyle name="Обычный 12 3 6 12" xfId="19920"/>
    <cellStyle name="Обычный 12 3 6 13" xfId="21534"/>
    <cellStyle name="Обычный 12 3 6 2" xfId="3148"/>
    <cellStyle name="Обычный 12 3 6 2 2" xfId="3149"/>
    <cellStyle name="Обычный 12 3 6 3" xfId="3150"/>
    <cellStyle name="Обычный 12 3 6 4" xfId="3151"/>
    <cellStyle name="Обычный 12 3 6 5" xfId="3152"/>
    <cellStyle name="Обычный 12 3 6 6" xfId="3153"/>
    <cellStyle name="Обычный 12 3 6 7" xfId="3154"/>
    <cellStyle name="Обычный 12 3 6 8" xfId="3155"/>
    <cellStyle name="Обычный 12 3 6 9" xfId="3156"/>
    <cellStyle name="Обычный 12 3 7" xfId="3157"/>
    <cellStyle name="Обычный 12 3 7 10" xfId="19921"/>
    <cellStyle name="Обычный 12 3 7 11" xfId="21535"/>
    <cellStyle name="Обычный 12 3 7 2" xfId="3158"/>
    <cellStyle name="Обычный 12 3 7 2 2" xfId="3159"/>
    <cellStyle name="Обычный 12 3 7 3" xfId="3160"/>
    <cellStyle name="Обычный 12 3 7 4" xfId="3161"/>
    <cellStyle name="Обычный 12 3 7 5" xfId="3162"/>
    <cellStyle name="Обычный 12 3 7 6" xfId="3163"/>
    <cellStyle name="Обычный 12 3 7 7" xfId="3164"/>
    <cellStyle name="Обычный 12 3 7 8" xfId="3165"/>
    <cellStyle name="Обычный 12 3 7 9" xfId="18216"/>
    <cellStyle name="Обычный 12 3 8" xfId="3166"/>
    <cellStyle name="Обычный 12 3 8 2" xfId="3167"/>
    <cellStyle name="Обычный 12 3 9" xfId="3168"/>
    <cellStyle name="Обычный 12 4" xfId="3169"/>
    <cellStyle name="Обычный 12 4 10" xfId="3170"/>
    <cellStyle name="Обычный 12 4 11" xfId="3171"/>
    <cellStyle name="Обычный 12 4 12" xfId="3172"/>
    <cellStyle name="Обычный 12 4 13" xfId="3173"/>
    <cellStyle name="Обычный 12 4 14" xfId="3174"/>
    <cellStyle name="Обычный 12 4 15" xfId="3175"/>
    <cellStyle name="Обычный 12 4 16" xfId="3176"/>
    <cellStyle name="Обычный 12 4 17" xfId="3177"/>
    <cellStyle name="Обычный 12 4 18" xfId="18217"/>
    <cellStyle name="Обычный 12 4 19" xfId="19922"/>
    <cellStyle name="Обычный 12 4 2" xfId="3178"/>
    <cellStyle name="Обычный 12 4 2 10" xfId="3179"/>
    <cellStyle name="Обычный 12 4 2 11" xfId="3180"/>
    <cellStyle name="Обычный 12 4 2 12" xfId="18218"/>
    <cellStyle name="Обычный 12 4 2 13" xfId="19923"/>
    <cellStyle name="Обычный 12 4 2 14" xfId="21537"/>
    <cellStyle name="Обычный 12 4 2 2" xfId="3181"/>
    <cellStyle name="Обычный 12 4 2 2 10" xfId="3182"/>
    <cellStyle name="Обычный 12 4 2 2 11" xfId="18219"/>
    <cellStyle name="Обычный 12 4 2 2 12" xfId="19924"/>
    <cellStyle name="Обычный 12 4 2 2 13" xfId="21538"/>
    <cellStyle name="Обычный 12 4 2 2 2" xfId="3183"/>
    <cellStyle name="Обычный 12 4 2 2 2 2" xfId="3184"/>
    <cellStyle name="Обычный 12 4 2 2 3" xfId="3185"/>
    <cellStyle name="Обычный 12 4 2 2 4" xfId="3186"/>
    <cellStyle name="Обычный 12 4 2 2 5" xfId="3187"/>
    <cellStyle name="Обычный 12 4 2 2 6" xfId="3188"/>
    <cellStyle name="Обычный 12 4 2 2 7" xfId="3189"/>
    <cellStyle name="Обычный 12 4 2 2 8" xfId="3190"/>
    <cellStyle name="Обычный 12 4 2 2 9" xfId="3191"/>
    <cellStyle name="Обычный 12 4 2 3" xfId="3192"/>
    <cellStyle name="Обычный 12 4 2 3 2" xfId="3193"/>
    <cellStyle name="Обычный 12 4 2 4" xfId="3194"/>
    <cellStyle name="Обычный 12 4 2 5" xfId="3195"/>
    <cellStyle name="Обычный 12 4 2 6" xfId="3196"/>
    <cellStyle name="Обычный 12 4 2 7" xfId="3197"/>
    <cellStyle name="Обычный 12 4 2 8" xfId="3198"/>
    <cellStyle name="Обычный 12 4 2 9" xfId="3199"/>
    <cellStyle name="Обычный 12 4 20" xfId="21536"/>
    <cellStyle name="Обычный 12 4 3" xfId="3200"/>
    <cellStyle name="Обычный 12 4 3 10" xfId="3201"/>
    <cellStyle name="Обычный 12 4 3 11" xfId="3202"/>
    <cellStyle name="Обычный 12 4 3 12" xfId="18220"/>
    <cellStyle name="Обычный 12 4 3 13" xfId="19925"/>
    <cellStyle name="Обычный 12 4 3 14" xfId="21539"/>
    <cellStyle name="Обычный 12 4 3 2" xfId="3203"/>
    <cellStyle name="Обычный 12 4 3 2 10" xfId="3204"/>
    <cellStyle name="Обычный 12 4 3 2 11" xfId="18221"/>
    <cellStyle name="Обычный 12 4 3 2 12" xfId="19926"/>
    <cellStyle name="Обычный 12 4 3 2 13" xfId="21540"/>
    <cellStyle name="Обычный 12 4 3 2 2" xfId="3205"/>
    <cellStyle name="Обычный 12 4 3 2 2 2" xfId="3206"/>
    <cellStyle name="Обычный 12 4 3 2 3" xfId="3207"/>
    <cellStyle name="Обычный 12 4 3 2 4" xfId="3208"/>
    <cellStyle name="Обычный 12 4 3 2 5" xfId="3209"/>
    <cellStyle name="Обычный 12 4 3 2 6" xfId="3210"/>
    <cellStyle name="Обычный 12 4 3 2 7" xfId="3211"/>
    <cellStyle name="Обычный 12 4 3 2 8" xfId="3212"/>
    <cellStyle name="Обычный 12 4 3 2 9" xfId="3213"/>
    <cellStyle name="Обычный 12 4 3 3" xfId="3214"/>
    <cellStyle name="Обычный 12 4 3 3 2" xfId="3215"/>
    <cellStyle name="Обычный 12 4 3 4" xfId="3216"/>
    <cellStyle name="Обычный 12 4 3 5" xfId="3217"/>
    <cellStyle name="Обычный 12 4 3 6" xfId="3218"/>
    <cellStyle name="Обычный 12 4 3 7" xfId="3219"/>
    <cellStyle name="Обычный 12 4 3 8" xfId="3220"/>
    <cellStyle name="Обычный 12 4 3 9" xfId="3221"/>
    <cellStyle name="Обычный 12 4 4" xfId="3222"/>
    <cellStyle name="Обычный 12 4 4 10" xfId="3223"/>
    <cellStyle name="Обычный 12 4 4 11" xfId="3224"/>
    <cellStyle name="Обычный 12 4 4 12" xfId="18222"/>
    <cellStyle name="Обычный 12 4 4 13" xfId="19927"/>
    <cellStyle name="Обычный 12 4 4 14" xfId="21541"/>
    <cellStyle name="Обычный 12 4 4 2" xfId="3225"/>
    <cellStyle name="Обычный 12 4 4 2 10" xfId="3226"/>
    <cellStyle name="Обычный 12 4 4 2 11" xfId="18223"/>
    <cellStyle name="Обычный 12 4 4 2 12" xfId="19928"/>
    <cellStyle name="Обычный 12 4 4 2 13" xfId="21542"/>
    <cellStyle name="Обычный 12 4 4 2 2" xfId="3227"/>
    <cellStyle name="Обычный 12 4 4 2 2 2" xfId="3228"/>
    <cellStyle name="Обычный 12 4 4 2 3" xfId="3229"/>
    <cellStyle name="Обычный 12 4 4 2 4" xfId="3230"/>
    <cellStyle name="Обычный 12 4 4 2 5" xfId="3231"/>
    <cellStyle name="Обычный 12 4 4 2 6" xfId="3232"/>
    <cellStyle name="Обычный 12 4 4 2 7" xfId="3233"/>
    <cellStyle name="Обычный 12 4 4 2 8" xfId="3234"/>
    <cellStyle name="Обычный 12 4 4 2 9" xfId="3235"/>
    <cellStyle name="Обычный 12 4 4 3" xfId="3236"/>
    <cellStyle name="Обычный 12 4 4 3 2" xfId="3237"/>
    <cellStyle name="Обычный 12 4 4 4" xfId="3238"/>
    <cellStyle name="Обычный 12 4 4 5" xfId="3239"/>
    <cellStyle name="Обычный 12 4 4 6" xfId="3240"/>
    <cellStyle name="Обычный 12 4 4 7" xfId="3241"/>
    <cellStyle name="Обычный 12 4 4 8" xfId="3242"/>
    <cellStyle name="Обычный 12 4 4 9" xfId="3243"/>
    <cellStyle name="Обычный 12 4 5" xfId="3244"/>
    <cellStyle name="Обычный 12 4 5 10" xfId="3245"/>
    <cellStyle name="Обычный 12 4 5 11" xfId="3246"/>
    <cellStyle name="Обычный 12 4 5 12" xfId="18224"/>
    <cellStyle name="Обычный 12 4 5 13" xfId="19929"/>
    <cellStyle name="Обычный 12 4 5 14" xfId="21543"/>
    <cellStyle name="Обычный 12 4 5 2" xfId="3247"/>
    <cellStyle name="Обычный 12 4 5 2 10" xfId="3248"/>
    <cellStyle name="Обычный 12 4 5 2 11" xfId="18225"/>
    <cellStyle name="Обычный 12 4 5 2 12" xfId="19930"/>
    <cellStyle name="Обычный 12 4 5 2 13" xfId="21544"/>
    <cellStyle name="Обычный 12 4 5 2 2" xfId="3249"/>
    <cellStyle name="Обычный 12 4 5 2 2 2" xfId="3250"/>
    <cellStyle name="Обычный 12 4 5 2 3" xfId="3251"/>
    <cellStyle name="Обычный 12 4 5 2 4" xfId="3252"/>
    <cellStyle name="Обычный 12 4 5 2 5" xfId="3253"/>
    <cellStyle name="Обычный 12 4 5 2 6" xfId="3254"/>
    <cellStyle name="Обычный 12 4 5 2 7" xfId="3255"/>
    <cellStyle name="Обычный 12 4 5 2 8" xfId="3256"/>
    <cellStyle name="Обычный 12 4 5 2 9" xfId="3257"/>
    <cellStyle name="Обычный 12 4 5 3" xfId="3258"/>
    <cellStyle name="Обычный 12 4 5 3 2" xfId="3259"/>
    <cellStyle name="Обычный 12 4 5 4" xfId="3260"/>
    <cellStyle name="Обычный 12 4 5 5" xfId="3261"/>
    <cellStyle name="Обычный 12 4 5 6" xfId="3262"/>
    <cellStyle name="Обычный 12 4 5 7" xfId="3263"/>
    <cellStyle name="Обычный 12 4 5 8" xfId="3264"/>
    <cellStyle name="Обычный 12 4 5 9" xfId="3265"/>
    <cellStyle name="Обычный 12 4 6" xfId="3266"/>
    <cellStyle name="Обычный 12 4 6 10" xfId="3267"/>
    <cellStyle name="Обычный 12 4 6 11" xfId="18226"/>
    <cellStyle name="Обычный 12 4 6 12" xfId="19931"/>
    <cellStyle name="Обычный 12 4 6 13" xfId="21545"/>
    <cellStyle name="Обычный 12 4 6 2" xfId="3268"/>
    <cellStyle name="Обычный 12 4 6 2 2" xfId="3269"/>
    <cellStyle name="Обычный 12 4 6 3" xfId="3270"/>
    <cellStyle name="Обычный 12 4 6 4" xfId="3271"/>
    <cellStyle name="Обычный 12 4 6 5" xfId="3272"/>
    <cellStyle name="Обычный 12 4 6 6" xfId="3273"/>
    <cellStyle name="Обычный 12 4 6 7" xfId="3274"/>
    <cellStyle name="Обычный 12 4 6 8" xfId="3275"/>
    <cellStyle name="Обычный 12 4 6 9" xfId="3276"/>
    <cellStyle name="Обычный 12 4 7" xfId="3277"/>
    <cellStyle name="Обычный 12 4 7 10" xfId="19932"/>
    <cellStyle name="Обычный 12 4 7 11" xfId="21546"/>
    <cellStyle name="Обычный 12 4 7 2" xfId="3278"/>
    <cellStyle name="Обычный 12 4 7 2 2" xfId="3279"/>
    <cellStyle name="Обычный 12 4 7 3" xfId="3280"/>
    <cellStyle name="Обычный 12 4 7 4" xfId="3281"/>
    <cellStyle name="Обычный 12 4 7 5" xfId="3282"/>
    <cellStyle name="Обычный 12 4 7 6" xfId="3283"/>
    <cellStyle name="Обычный 12 4 7 7" xfId="3284"/>
    <cellStyle name="Обычный 12 4 7 8" xfId="3285"/>
    <cellStyle name="Обычный 12 4 7 9" xfId="18227"/>
    <cellStyle name="Обычный 12 4 8" xfId="3286"/>
    <cellStyle name="Обычный 12 4 8 2" xfId="3287"/>
    <cellStyle name="Обычный 12 4 9" xfId="3288"/>
    <cellStyle name="Обычный 12 5" xfId="3289"/>
    <cellStyle name="Обычный 12 5 10" xfId="3290"/>
    <cellStyle name="Обычный 12 5 11" xfId="3291"/>
    <cellStyle name="Обычный 12 5 12" xfId="18228"/>
    <cellStyle name="Обычный 12 5 13" xfId="19933"/>
    <cellStyle name="Обычный 12 5 14" xfId="21547"/>
    <cellStyle name="Обычный 12 5 2" xfId="3292"/>
    <cellStyle name="Обычный 12 5 2 10" xfId="3293"/>
    <cellStyle name="Обычный 12 5 2 11" xfId="18229"/>
    <cellStyle name="Обычный 12 5 2 12" xfId="19934"/>
    <cellStyle name="Обычный 12 5 2 13" xfId="21548"/>
    <cellStyle name="Обычный 12 5 2 2" xfId="3294"/>
    <cellStyle name="Обычный 12 5 2 2 2" xfId="3295"/>
    <cellStyle name="Обычный 12 5 2 3" xfId="3296"/>
    <cellStyle name="Обычный 12 5 2 4" xfId="3297"/>
    <cellStyle name="Обычный 12 5 2 5" xfId="3298"/>
    <cellStyle name="Обычный 12 5 2 6" xfId="3299"/>
    <cellStyle name="Обычный 12 5 2 7" xfId="3300"/>
    <cellStyle name="Обычный 12 5 2 8" xfId="3301"/>
    <cellStyle name="Обычный 12 5 2 9" xfId="3302"/>
    <cellStyle name="Обычный 12 5 3" xfId="3303"/>
    <cellStyle name="Обычный 12 5 3 2" xfId="3304"/>
    <cellStyle name="Обычный 12 5 4" xfId="3305"/>
    <cellStyle name="Обычный 12 5 5" xfId="3306"/>
    <cellStyle name="Обычный 12 5 6" xfId="3307"/>
    <cellStyle name="Обычный 12 5 7" xfId="3308"/>
    <cellStyle name="Обычный 12 5 8" xfId="3309"/>
    <cellStyle name="Обычный 12 5 9" xfId="3310"/>
    <cellStyle name="Обычный 12 6" xfId="3311"/>
    <cellStyle name="Обычный 12 6 10" xfId="3312"/>
    <cellStyle name="Обычный 12 6 11" xfId="3313"/>
    <cellStyle name="Обычный 12 6 12" xfId="18230"/>
    <cellStyle name="Обычный 12 6 13" xfId="19935"/>
    <cellStyle name="Обычный 12 6 14" xfId="21549"/>
    <cellStyle name="Обычный 12 6 2" xfId="3314"/>
    <cellStyle name="Обычный 12 6 2 10" xfId="3315"/>
    <cellStyle name="Обычный 12 6 2 11" xfId="18231"/>
    <cellStyle name="Обычный 12 6 2 12" xfId="19936"/>
    <cellStyle name="Обычный 12 6 2 13" xfId="21550"/>
    <cellStyle name="Обычный 12 6 2 2" xfId="3316"/>
    <cellStyle name="Обычный 12 6 2 2 2" xfId="3317"/>
    <cellStyle name="Обычный 12 6 2 3" xfId="3318"/>
    <cellStyle name="Обычный 12 6 2 4" xfId="3319"/>
    <cellStyle name="Обычный 12 6 2 5" xfId="3320"/>
    <cellStyle name="Обычный 12 6 2 6" xfId="3321"/>
    <cellStyle name="Обычный 12 6 2 7" xfId="3322"/>
    <cellStyle name="Обычный 12 6 2 8" xfId="3323"/>
    <cellStyle name="Обычный 12 6 2 9" xfId="3324"/>
    <cellStyle name="Обычный 12 6 3" xfId="3325"/>
    <cellStyle name="Обычный 12 6 3 2" xfId="3326"/>
    <cellStyle name="Обычный 12 6 4" xfId="3327"/>
    <cellStyle name="Обычный 12 6 5" xfId="3328"/>
    <cellStyle name="Обычный 12 6 6" xfId="3329"/>
    <cellStyle name="Обычный 12 6 7" xfId="3330"/>
    <cellStyle name="Обычный 12 6 8" xfId="3331"/>
    <cellStyle name="Обычный 12 6 9" xfId="3332"/>
    <cellStyle name="Обычный 12 7" xfId="3333"/>
    <cellStyle name="Обычный 12 7 10" xfId="3334"/>
    <cellStyle name="Обычный 12 7 11" xfId="3335"/>
    <cellStyle name="Обычный 12 7 12" xfId="18232"/>
    <cellStyle name="Обычный 12 7 13" xfId="19937"/>
    <cellStyle name="Обычный 12 7 14" xfId="21551"/>
    <cellStyle name="Обычный 12 7 2" xfId="3336"/>
    <cellStyle name="Обычный 12 7 2 10" xfId="3337"/>
    <cellStyle name="Обычный 12 7 2 11" xfId="18233"/>
    <cellStyle name="Обычный 12 7 2 12" xfId="19938"/>
    <cellStyle name="Обычный 12 7 2 13" xfId="21552"/>
    <cellStyle name="Обычный 12 7 2 2" xfId="3338"/>
    <cellStyle name="Обычный 12 7 2 2 2" xfId="3339"/>
    <cellStyle name="Обычный 12 7 2 3" xfId="3340"/>
    <cellStyle name="Обычный 12 7 2 4" xfId="3341"/>
    <cellStyle name="Обычный 12 7 2 5" xfId="3342"/>
    <cellStyle name="Обычный 12 7 2 6" xfId="3343"/>
    <cellStyle name="Обычный 12 7 2 7" xfId="3344"/>
    <cellStyle name="Обычный 12 7 2 8" xfId="3345"/>
    <cellStyle name="Обычный 12 7 2 9" xfId="3346"/>
    <cellStyle name="Обычный 12 7 3" xfId="3347"/>
    <cellStyle name="Обычный 12 7 3 2" xfId="3348"/>
    <cellStyle name="Обычный 12 7 4" xfId="3349"/>
    <cellStyle name="Обычный 12 7 5" xfId="3350"/>
    <cellStyle name="Обычный 12 7 6" xfId="3351"/>
    <cellStyle name="Обычный 12 7 7" xfId="3352"/>
    <cellStyle name="Обычный 12 7 8" xfId="3353"/>
    <cellStyle name="Обычный 12 7 9" xfId="3354"/>
    <cellStyle name="Обычный 12 8" xfId="3355"/>
    <cellStyle name="Обычный 12 8 10" xfId="3356"/>
    <cellStyle name="Обычный 12 8 11" xfId="3357"/>
    <cellStyle name="Обычный 12 8 12" xfId="18234"/>
    <cellStyle name="Обычный 12 8 13" xfId="19939"/>
    <cellStyle name="Обычный 12 8 14" xfId="21553"/>
    <cellStyle name="Обычный 12 8 2" xfId="3358"/>
    <cellStyle name="Обычный 12 8 2 10" xfId="3359"/>
    <cellStyle name="Обычный 12 8 2 11" xfId="18235"/>
    <cellStyle name="Обычный 12 8 2 12" xfId="19940"/>
    <cellStyle name="Обычный 12 8 2 13" xfId="21554"/>
    <cellStyle name="Обычный 12 8 2 2" xfId="3360"/>
    <cellStyle name="Обычный 12 8 2 2 2" xfId="3361"/>
    <cellStyle name="Обычный 12 8 2 3" xfId="3362"/>
    <cellStyle name="Обычный 12 8 2 4" xfId="3363"/>
    <cellStyle name="Обычный 12 8 2 5" xfId="3364"/>
    <cellStyle name="Обычный 12 8 2 6" xfId="3365"/>
    <cellStyle name="Обычный 12 8 2 7" xfId="3366"/>
    <cellStyle name="Обычный 12 8 2 8" xfId="3367"/>
    <cellStyle name="Обычный 12 8 2 9" xfId="3368"/>
    <cellStyle name="Обычный 12 8 3" xfId="3369"/>
    <cellStyle name="Обычный 12 8 3 2" xfId="3370"/>
    <cellStyle name="Обычный 12 8 4" xfId="3371"/>
    <cellStyle name="Обычный 12 8 5" xfId="3372"/>
    <cellStyle name="Обычный 12 8 6" xfId="3373"/>
    <cellStyle name="Обычный 12 8 7" xfId="3374"/>
    <cellStyle name="Обычный 12 8 8" xfId="3375"/>
    <cellStyle name="Обычный 12 8 9" xfId="3376"/>
    <cellStyle name="Обычный 12 9" xfId="3377"/>
    <cellStyle name="Обычный 12 9 10" xfId="3378"/>
    <cellStyle name="Обычный 12 9 11" xfId="3379"/>
    <cellStyle name="Обычный 12 9 12" xfId="18236"/>
    <cellStyle name="Обычный 12 9 13" xfId="19941"/>
    <cellStyle name="Обычный 12 9 14" xfId="21555"/>
    <cellStyle name="Обычный 12 9 2" xfId="3380"/>
    <cellStyle name="Обычный 12 9 2 10" xfId="3381"/>
    <cellStyle name="Обычный 12 9 2 11" xfId="18237"/>
    <cellStyle name="Обычный 12 9 2 12" xfId="19942"/>
    <cellStyle name="Обычный 12 9 2 13" xfId="21556"/>
    <cellStyle name="Обычный 12 9 2 2" xfId="3382"/>
    <cellStyle name="Обычный 12 9 2 2 2" xfId="3383"/>
    <cellStyle name="Обычный 12 9 2 3" xfId="3384"/>
    <cellStyle name="Обычный 12 9 2 4" xfId="3385"/>
    <cellStyle name="Обычный 12 9 2 5" xfId="3386"/>
    <cellStyle name="Обычный 12 9 2 6" xfId="3387"/>
    <cellStyle name="Обычный 12 9 2 7" xfId="3388"/>
    <cellStyle name="Обычный 12 9 2 8" xfId="3389"/>
    <cellStyle name="Обычный 12 9 2 9" xfId="3390"/>
    <cellStyle name="Обычный 12 9 3" xfId="3391"/>
    <cellStyle name="Обычный 12 9 3 2" xfId="3392"/>
    <cellStyle name="Обычный 12 9 4" xfId="3393"/>
    <cellStyle name="Обычный 12 9 5" xfId="3394"/>
    <cellStyle name="Обычный 12 9 6" xfId="3395"/>
    <cellStyle name="Обычный 12 9 7" xfId="3396"/>
    <cellStyle name="Обычный 12 9 8" xfId="3397"/>
    <cellStyle name="Обычный 12 9 9" xfId="3398"/>
    <cellStyle name="Обычный 13" xfId="3399"/>
    <cellStyle name="Обычный 13 2" xfId="18238"/>
    <cellStyle name="Обычный 14" xfId="3400"/>
    <cellStyle name="Обычный 14 10" xfId="3401"/>
    <cellStyle name="Обычный 14 11" xfId="3402"/>
    <cellStyle name="Обычный 14 12" xfId="3403"/>
    <cellStyle name="Обычный 14 13" xfId="18239"/>
    <cellStyle name="Обычный 14 14" xfId="19943"/>
    <cellStyle name="Обычный 14 15" xfId="21557"/>
    <cellStyle name="Обычный 14 2" xfId="3404"/>
    <cellStyle name="Обычный 14 2 2" xfId="18240"/>
    <cellStyle name="Обычный 14 3" xfId="3405"/>
    <cellStyle name="Обычный 14 3 10" xfId="3406"/>
    <cellStyle name="Обычный 14 3 11" xfId="18241"/>
    <cellStyle name="Обычный 14 3 12" xfId="19944"/>
    <cellStyle name="Обычный 14 3 13" xfId="21558"/>
    <cellStyle name="Обычный 14 3 2" xfId="3407"/>
    <cellStyle name="Обычный 14 3 2 2" xfId="3408"/>
    <cellStyle name="Обычный 14 3 3" xfId="3409"/>
    <cellStyle name="Обычный 14 3 4" xfId="3410"/>
    <cellStyle name="Обычный 14 3 5" xfId="3411"/>
    <cellStyle name="Обычный 14 3 6" xfId="3412"/>
    <cellStyle name="Обычный 14 3 7" xfId="3413"/>
    <cellStyle name="Обычный 14 3 8" xfId="3414"/>
    <cellStyle name="Обычный 14 3 9" xfId="3415"/>
    <cellStyle name="Обычный 14 4" xfId="3416"/>
    <cellStyle name="Обычный 14 4 2" xfId="3417"/>
    <cellStyle name="Обычный 14 5" xfId="3418"/>
    <cellStyle name="Обычный 14 6" xfId="3419"/>
    <cellStyle name="Обычный 14 7" xfId="3420"/>
    <cellStyle name="Обычный 14 8" xfId="3421"/>
    <cellStyle name="Обычный 14 9" xfId="3422"/>
    <cellStyle name="Обычный 15" xfId="3423"/>
    <cellStyle name="Обычный 15 10" xfId="3424"/>
    <cellStyle name="Обычный 15 11" xfId="3425"/>
    <cellStyle name="Обычный 15 12" xfId="18242"/>
    <cellStyle name="Обычный 15 13" xfId="19945"/>
    <cellStyle name="Обычный 15 14" xfId="21559"/>
    <cellStyle name="Обычный 15 2" xfId="3426"/>
    <cellStyle name="Обычный 15 2 10" xfId="3427"/>
    <cellStyle name="Обычный 15 2 11" xfId="18243"/>
    <cellStyle name="Обычный 15 2 12" xfId="19946"/>
    <cellStyle name="Обычный 15 2 13" xfId="21560"/>
    <cellStyle name="Обычный 15 2 2" xfId="3428"/>
    <cellStyle name="Обычный 15 2 2 2" xfId="3429"/>
    <cellStyle name="Обычный 15 2 3" xfId="3430"/>
    <cellStyle name="Обычный 15 2 4" xfId="3431"/>
    <cellStyle name="Обычный 15 2 5" xfId="3432"/>
    <cellStyle name="Обычный 15 2 6" xfId="3433"/>
    <cellStyle name="Обычный 15 2 7" xfId="3434"/>
    <cellStyle name="Обычный 15 2 8" xfId="3435"/>
    <cellStyle name="Обычный 15 2 9" xfId="3436"/>
    <cellStyle name="Обычный 15 3" xfId="3437"/>
    <cellStyle name="Обычный 15 3 2" xfId="3438"/>
    <cellStyle name="Обычный 15 4" xfId="3439"/>
    <cellStyle name="Обычный 15 5" xfId="3440"/>
    <cellStyle name="Обычный 15 6" xfId="3441"/>
    <cellStyle name="Обычный 15 7" xfId="3442"/>
    <cellStyle name="Обычный 15 8" xfId="3443"/>
    <cellStyle name="Обычный 15 9" xfId="3444"/>
    <cellStyle name="Обычный 16" xfId="3445"/>
    <cellStyle name="Обычный 16 10" xfId="3446"/>
    <cellStyle name="Обычный 16 11" xfId="3447"/>
    <cellStyle name="Обычный 16 12" xfId="18244"/>
    <cellStyle name="Обычный 16 13" xfId="19947"/>
    <cellStyle name="Обычный 16 14" xfId="21561"/>
    <cellStyle name="Обычный 16 2" xfId="3448"/>
    <cellStyle name="Обычный 16 2 10" xfId="3449"/>
    <cellStyle name="Обычный 16 2 11" xfId="18245"/>
    <cellStyle name="Обычный 16 2 12" xfId="19948"/>
    <cellStyle name="Обычный 16 2 13" xfId="21562"/>
    <cellStyle name="Обычный 16 2 2" xfId="3450"/>
    <cellStyle name="Обычный 16 2 2 2" xfId="3451"/>
    <cellStyle name="Обычный 16 2 3" xfId="3452"/>
    <cellStyle name="Обычный 16 2 4" xfId="3453"/>
    <cellStyle name="Обычный 16 2 5" xfId="3454"/>
    <cellStyle name="Обычный 16 2 6" xfId="3455"/>
    <cellStyle name="Обычный 16 2 7" xfId="3456"/>
    <cellStyle name="Обычный 16 2 8" xfId="3457"/>
    <cellStyle name="Обычный 16 2 9" xfId="3458"/>
    <cellStyle name="Обычный 16 3" xfId="3459"/>
    <cellStyle name="Обычный 16 3 2" xfId="3460"/>
    <cellStyle name="Обычный 16 4" xfId="3461"/>
    <cellStyle name="Обычный 16 5" xfId="3462"/>
    <cellStyle name="Обычный 16 6" xfId="3463"/>
    <cellStyle name="Обычный 16 7" xfId="3464"/>
    <cellStyle name="Обычный 16 8" xfId="3465"/>
    <cellStyle name="Обычный 16 9" xfId="3466"/>
    <cellStyle name="Обычный 17" xfId="3467"/>
    <cellStyle name="Обычный 17 10" xfId="3468"/>
    <cellStyle name="Обычный 17 11" xfId="3469"/>
    <cellStyle name="Обычный 17 12" xfId="18246"/>
    <cellStyle name="Обычный 17 13" xfId="19949"/>
    <cellStyle name="Обычный 17 14" xfId="21563"/>
    <cellStyle name="Обычный 17 2" xfId="3470"/>
    <cellStyle name="Обычный 17 2 10" xfId="3471"/>
    <cellStyle name="Обычный 17 2 11" xfId="18247"/>
    <cellStyle name="Обычный 17 2 12" xfId="19950"/>
    <cellStyle name="Обычный 17 2 13" xfId="21564"/>
    <cellStyle name="Обычный 17 2 2" xfId="3472"/>
    <cellStyle name="Обычный 17 2 2 2" xfId="3473"/>
    <cellStyle name="Обычный 17 2 3" xfId="3474"/>
    <cellStyle name="Обычный 17 2 4" xfId="3475"/>
    <cellStyle name="Обычный 17 2 5" xfId="3476"/>
    <cellStyle name="Обычный 17 2 6" xfId="3477"/>
    <cellStyle name="Обычный 17 2 7" xfId="3478"/>
    <cellStyle name="Обычный 17 2 8" xfId="3479"/>
    <cellStyle name="Обычный 17 2 9" xfId="3480"/>
    <cellStyle name="Обычный 17 3" xfId="3481"/>
    <cellStyle name="Обычный 17 3 2" xfId="3482"/>
    <cellStyle name="Обычный 17 4" xfId="3483"/>
    <cellStyle name="Обычный 17 5" xfId="3484"/>
    <cellStyle name="Обычный 17 6" xfId="3485"/>
    <cellStyle name="Обычный 17 7" xfId="3486"/>
    <cellStyle name="Обычный 17 8" xfId="3487"/>
    <cellStyle name="Обычный 17 9" xfId="3488"/>
    <cellStyle name="Обычный 18" xfId="3489"/>
    <cellStyle name="Обычный 18 10" xfId="3490"/>
    <cellStyle name="Обычный 18 11" xfId="3491"/>
    <cellStyle name="Обычный 18 12" xfId="18248"/>
    <cellStyle name="Обычный 18 13" xfId="19951"/>
    <cellStyle name="Обычный 18 14" xfId="21565"/>
    <cellStyle name="Обычный 18 2" xfId="3492"/>
    <cellStyle name="Обычный 18 2 10" xfId="3493"/>
    <cellStyle name="Обычный 18 2 11" xfId="18249"/>
    <cellStyle name="Обычный 18 2 12" xfId="19952"/>
    <cellStyle name="Обычный 18 2 13" xfId="21566"/>
    <cellStyle name="Обычный 18 2 2" xfId="3494"/>
    <cellStyle name="Обычный 18 2 2 2" xfId="3495"/>
    <cellStyle name="Обычный 18 2 3" xfId="3496"/>
    <cellStyle name="Обычный 18 2 4" xfId="3497"/>
    <cellStyle name="Обычный 18 2 5" xfId="3498"/>
    <cellStyle name="Обычный 18 2 6" xfId="3499"/>
    <cellStyle name="Обычный 18 2 7" xfId="3500"/>
    <cellStyle name="Обычный 18 2 8" xfId="3501"/>
    <cellStyle name="Обычный 18 2 9" xfId="3502"/>
    <cellStyle name="Обычный 18 3" xfId="3503"/>
    <cellStyle name="Обычный 18 3 2" xfId="3504"/>
    <cellStyle name="Обычный 18 4" xfId="3505"/>
    <cellStyle name="Обычный 18 5" xfId="3506"/>
    <cellStyle name="Обычный 18 6" xfId="3507"/>
    <cellStyle name="Обычный 18 7" xfId="3508"/>
    <cellStyle name="Обычный 18 8" xfId="3509"/>
    <cellStyle name="Обычный 18 9" xfId="3510"/>
    <cellStyle name="Обычный 19" xfId="3511"/>
    <cellStyle name="Обычный 19 10" xfId="3512"/>
    <cellStyle name="Обычный 19 11" xfId="3513"/>
    <cellStyle name="Обычный 19 12" xfId="18250"/>
    <cellStyle name="Обычный 19 13" xfId="19953"/>
    <cellStyle name="Обычный 19 14" xfId="21567"/>
    <cellStyle name="Обычный 19 2" xfId="3514"/>
    <cellStyle name="Обычный 19 2 10" xfId="3515"/>
    <cellStyle name="Обычный 19 2 11" xfId="18251"/>
    <cellStyle name="Обычный 19 2 12" xfId="19954"/>
    <cellStyle name="Обычный 19 2 13" xfId="21568"/>
    <cellStyle name="Обычный 19 2 2" xfId="3516"/>
    <cellStyle name="Обычный 19 2 2 2" xfId="3517"/>
    <cellStyle name="Обычный 19 2 3" xfId="3518"/>
    <cellStyle name="Обычный 19 2 4" xfId="3519"/>
    <cellStyle name="Обычный 19 2 5" xfId="3520"/>
    <cellStyle name="Обычный 19 2 6" xfId="3521"/>
    <cellStyle name="Обычный 19 2 7" xfId="3522"/>
    <cellStyle name="Обычный 19 2 8" xfId="3523"/>
    <cellStyle name="Обычный 19 2 9" xfId="3524"/>
    <cellStyle name="Обычный 19 3" xfId="3525"/>
    <cellStyle name="Обычный 19 3 2" xfId="3526"/>
    <cellStyle name="Обычный 19 4" xfId="3527"/>
    <cellStyle name="Обычный 19 5" xfId="3528"/>
    <cellStyle name="Обычный 19 6" xfId="3529"/>
    <cellStyle name="Обычный 19 7" xfId="3530"/>
    <cellStyle name="Обычный 19 8" xfId="3531"/>
    <cellStyle name="Обычный 19 9" xfId="3532"/>
    <cellStyle name="Обычный 2" xfId="3533"/>
    <cellStyle name="Обычный 2 10" xfId="21265"/>
    <cellStyle name="Обычный 2 2" xfId="3534"/>
    <cellStyle name="Обычный 2 2 10" xfId="21268"/>
    <cellStyle name="Обычный 2 2 2" xfId="3535"/>
    <cellStyle name="Обычный 2 2 2 2" xfId="3536"/>
    <cellStyle name="Обычный 2 2 2 2 2" xfId="18255"/>
    <cellStyle name="Обычный 2 2 2 3" xfId="18254"/>
    <cellStyle name="Обычный 2 2 2_5. общ.V" xfId="3537"/>
    <cellStyle name="Обычный 2 2 3" xfId="18253"/>
    <cellStyle name="Обычный 2 2 4" xfId="19627"/>
    <cellStyle name="Обычный 2 2 5" xfId="19648"/>
    <cellStyle name="Обычный 2 2 6" xfId="19956"/>
    <cellStyle name="Обычный 2 2 7" xfId="21266"/>
    <cellStyle name="Обычный 2 2 8" xfId="21267"/>
    <cellStyle name="Обычный 2 2 9" xfId="21264"/>
    <cellStyle name="Обычный 2 3" xfId="3538"/>
    <cellStyle name="Обычный 2 3 2" xfId="3539"/>
    <cellStyle name="Обычный 2 3 2 10" xfId="3540"/>
    <cellStyle name="Обычный 2 3 2 10 10" xfId="3541"/>
    <cellStyle name="Обычный 2 3 2 10 11" xfId="3542"/>
    <cellStyle name="Обычный 2 3 2 10 12" xfId="18258"/>
    <cellStyle name="Обычный 2 3 2 10 13" xfId="19958"/>
    <cellStyle name="Обычный 2 3 2 10 14" xfId="21570"/>
    <cellStyle name="Обычный 2 3 2 10 2" xfId="3543"/>
    <cellStyle name="Обычный 2 3 2 10 2 10" xfId="3544"/>
    <cellStyle name="Обычный 2 3 2 10 2 11" xfId="18259"/>
    <cellStyle name="Обычный 2 3 2 10 2 12" xfId="19959"/>
    <cellStyle name="Обычный 2 3 2 10 2 13" xfId="21571"/>
    <cellStyle name="Обычный 2 3 2 10 2 2" xfId="3545"/>
    <cellStyle name="Обычный 2 3 2 10 2 2 2" xfId="3546"/>
    <cellStyle name="Обычный 2 3 2 10 2 3" xfId="3547"/>
    <cellStyle name="Обычный 2 3 2 10 2 4" xfId="3548"/>
    <cellStyle name="Обычный 2 3 2 10 2 5" xfId="3549"/>
    <cellStyle name="Обычный 2 3 2 10 2 6" xfId="3550"/>
    <cellStyle name="Обычный 2 3 2 10 2 7" xfId="3551"/>
    <cellStyle name="Обычный 2 3 2 10 2 8" xfId="3552"/>
    <cellStyle name="Обычный 2 3 2 10 2 9" xfId="3553"/>
    <cellStyle name="Обычный 2 3 2 10 3" xfId="3554"/>
    <cellStyle name="Обычный 2 3 2 10 3 2" xfId="3555"/>
    <cellStyle name="Обычный 2 3 2 10 4" xfId="3556"/>
    <cellStyle name="Обычный 2 3 2 10 5" xfId="3557"/>
    <cellStyle name="Обычный 2 3 2 10 6" xfId="3558"/>
    <cellStyle name="Обычный 2 3 2 10 7" xfId="3559"/>
    <cellStyle name="Обычный 2 3 2 10 8" xfId="3560"/>
    <cellStyle name="Обычный 2 3 2 10 9" xfId="3561"/>
    <cellStyle name="Обычный 2 3 2 11" xfId="3562"/>
    <cellStyle name="Обычный 2 3 2 11 10" xfId="3563"/>
    <cellStyle name="Обычный 2 3 2 11 11" xfId="3564"/>
    <cellStyle name="Обычный 2 3 2 11 12" xfId="18260"/>
    <cellStyle name="Обычный 2 3 2 11 13" xfId="19960"/>
    <cellStyle name="Обычный 2 3 2 11 14" xfId="21572"/>
    <cellStyle name="Обычный 2 3 2 11 2" xfId="3565"/>
    <cellStyle name="Обычный 2 3 2 11 2 10" xfId="3566"/>
    <cellStyle name="Обычный 2 3 2 11 2 11" xfId="18261"/>
    <cellStyle name="Обычный 2 3 2 11 2 12" xfId="19961"/>
    <cellStyle name="Обычный 2 3 2 11 2 13" xfId="21573"/>
    <cellStyle name="Обычный 2 3 2 11 2 2" xfId="3567"/>
    <cellStyle name="Обычный 2 3 2 11 2 2 2" xfId="3568"/>
    <cellStyle name="Обычный 2 3 2 11 2 3" xfId="3569"/>
    <cellStyle name="Обычный 2 3 2 11 2 4" xfId="3570"/>
    <cellStyle name="Обычный 2 3 2 11 2 5" xfId="3571"/>
    <cellStyle name="Обычный 2 3 2 11 2 6" xfId="3572"/>
    <cellStyle name="Обычный 2 3 2 11 2 7" xfId="3573"/>
    <cellStyle name="Обычный 2 3 2 11 2 8" xfId="3574"/>
    <cellStyle name="Обычный 2 3 2 11 2 9" xfId="3575"/>
    <cellStyle name="Обычный 2 3 2 11 3" xfId="3576"/>
    <cellStyle name="Обычный 2 3 2 11 3 2" xfId="3577"/>
    <cellStyle name="Обычный 2 3 2 11 4" xfId="3578"/>
    <cellStyle name="Обычный 2 3 2 11 5" xfId="3579"/>
    <cellStyle name="Обычный 2 3 2 11 6" xfId="3580"/>
    <cellStyle name="Обычный 2 3 2 11 7" xfId="3581"/>
    <cellStyle name="Обычный 2 3 2 11 8" xfId="3582"/>
    <cellStyle name="Обычный 2 3 2 11 9" xfId="3583"/>
    <cellStyle name="Обычный 2 3 2 12" xfId="3584"/>
    <cellStyle name="Обычный 2 3 2 12 10" xfId="3585"/>
    <cellStyle name="Обычный 2 3 2 12 11" xfId="18262"/>
    <cellStyle name="Обычный 2 3 2 12 12" xfId="19962"/>
    <cellStyle name="Обычный 2 3 2 12 13" xfId="21574"/>
    <cellStyle name="Обычный 2 3 2 12 2" xfId="3586"/>
    <cellStyle name="Обычный 2 3 2 12 2 2" xfId="3587"/>
    <cellStyle name="Обычный 2 3 2 12 3" xfId="3588"/>
    <cellStyle name="Обычный 2 3 2 12 4" xfId="3589"/>
    <cellStyle name="Обычный 2 3 2 12 5" xfId="3590"/>
    <cellStyle name="Обычный 2 3 2 12 6" xfId="3591"/>
    <cellStyle name="Обычный 2 3 2 12 7" xfId="3592"/>
    <cellStyle name="Обычный 2 3 2 12 8" xfId="3593"/>
    <cellStyle name="Обычный 2 3 2 12 9" xfId="3594"/>
    <cellStyle name="Обычный 2 3 2 13" xfId="3595"/>
    <cellStyle name="Обычный 2 3 2 13 10" xfId="19963"/>
    <cellStyle name="Обычный 2 3 2 13 11" xfId="21575"/>
    <cellStyle name="Обычный 2 3 2 13 2" xfId="3596"/>
    <cellStyle name="Обычный 2 3 2 13 2 2" xfId="3597"/>
    <cellStyle name="Обычный 2 3 2 13 3" xfId="3598"/>
    <cellStyle name="Обычный 2 3 2 13 4" xfId="3599"/>
    <cellStyle name="Обычный 2 3 2 13 5" xfId="3600"/>
    <cellStyle name="Обычный 2 3 2 13 6" xfId="3601"/>
    <cellStyle name="Обычный 2 3 2 13 7" xfId="3602"/>
    <cellStyle name="Обычный 2 3 2 13 8" xfId="3603"/>
    <cellStyle name="Обычный 2 3 2 13 9" xfId="18263"/>
    <cellStyle name="Обычный 2 3 2 14" xfId="3604"/>
    <cellStyle name="Обычный 2 3 2 14 10" xfId="19964"/>
    <cellStyle name="Обычный 2 3 2 14 11" xfId="21576"/>
    <cellStyle name="Обычный 2 3 2 14 2" xfId="3605"/>
    <cellStyle name="Обычный 2 3 2 14 2 2" xfId="3606"/>
    <cellStyle name="Обычный 2 3 2 14 3" xfId="3607"/>
    <cellStyle name="Обычный 2 3 2 14 4" xfId="3608"/>
    <cellStyle name="Обычный 2 3 2 14 5" xfId="3609"/>
    <cellStyle name="Обычный 2 3 2 14 6" xfId="3610"/>
    <cellStyle name="Обычный 2 3 2 14 7" xfId="3611"/>
    <cellStyle name="Обычный 2 3 2 14 8" xfId="3612"/>
    <cellStyle name="Обычный 2 3 2 14 9" xfId="18264"/>
    <cellStyle name="Обычный 2 3 2 15" xfId="3613"/>
    <cellStyle name="Обычный 2 3 2 15 2" xfId="3614"/>
    <cellStyle name="Обычный 2 3 2 16" xfId="3615"/>
    <cellStyle name="Обычный 2 3 2 17" xfId="3616"/>
    <cellStyle name="Обычный 2 3 2 18" xfId="3617"/>
    <cellStyle name="Обычный 2 3 2 19" xfId="3618"/>
    <cellStyle name="Обычный 2 3 2 2" xfId="3619"/>
    <cellStyle name="Обычный 2 3 2 2 10" xfId="3620"/>
    <cellStyle name="Обычный 2 3 2 2 10 2" xfId="3621"/>
    <cellStyle name="Обычный 2 3 2 2 11" xfId="3622"/>
    <cellStyle name="Обычный 2 3 2 2 12" xfId="3623"/>
    <cellStyle name="Обычный 2 3 2 2 13" xfId="3624"/>
    <cellStyle name="Обычный 2 3 2 2 14" xfId="3625"/>
    <cellStyle name="Обычный 2 3 2 2 15" xfId="3626"/>
    <cellStyle name="Обычный 2 3 2 2 16" xfId="3627"/>
    <cellStyle name="Обычный 2 3 2 2 17" xfId="3628"/>
    <cellStyle name="Обычный 2 3 2 2 18" xfId="3629"/>
    <cellStyle name="Обычный 2 3 2 2 19" xfId="3630"/>
    <cellStyle name="Обычный 2 3 2 2 2" xfId="3631"/>
    <cellStyle name="Обычный 2 3 2 2 2 10" xfId="3632"/>
    <cellStyle name="Обычный 2 3 2 2 2 11" xfId="3633"/>
    <cellStyle name="Обычный 2 3 2 2 2 12" xfId="3634"/>
    <cellStyle name="Обычный 2 3 2 2 2 13" xfId="3635"/>
    <cellStyle name="Обычный 2 3 2 2 2 14" xfId="3636"/>
    <cellStyle name="Обычный 2 3 2 2 2 15" xfId="3637"/>
    <cellStyle name="Обычный 2 3 2 2 2 16" xfId="3638"/>
    <cellStyle name="Обычный 2 3 2 2 2 17" xfId="3639"/>
    <cellStyle name="Обычный 2 3 2 2 2 18" xfId="18266"/>
    <cellStyle name="Обычный 2 3 2 2 2 19" xfId="19966"/>
    <cellStyle name="Обычный 2 3 2 2 2 2" xfId="3640"/>
    <cellStyle name="Обычный 2 3 2 2 2 2 10" xfId="3641"/>
    <cellStyle name="Обычный 2 3 2 2 2 2 11" xfId="3642"/>
    <cellStyle name="Обычный 2 3 2 2 2 2 12" xfId="18267"/>
    <cellStyle name="Обычный 2 3 2 2 2 2 13" xfId="19967"/>
    <cellStyle name="Обычный 2 3 2 2 2 2 14" xfId="21579"/>
    <cellStyle name="Обычный 2 3 2 2 2 2 2" xfId="3643"/>
    <cellStyle name="Обычный 2 3 2 2 2 2 2 10" xfId="3644"/>
    <cellStyle name="Обычный 2 3 2 2 2 2 2 11" xfId="18268"/>
    <cellStyle name="Обычный 2 3 2 2 2 2 2 12" xfId="19968"/>
    <cellStyle name="Обычный 2 3 2 2 2 2 2 13" xfId="21580"/>
    <cellStyle name="Обычный 2 3 2 2 2 2 2 2" xfId="3645"/>
    <cellStyle name="Обычный 2 3 2 2 2 2 2 2 2" xfId="3646"/>
    <cellStyle name="Обычный 2 3 2 2 2 2 2 3" xfId="3647"/>
    <cellStyle name="Обычный 2 3 2 2 2 2 2 4" xfId="3648"/>
    <cellStyle name="Обычный 2 3 2 2 2 2 2 5" xfId="3649"/>
    <cellStyle name="Обычный 2 3 2 2 2 2 2 6" xfId="3650"/>
    <cellStyle name="Обычный 2 3 2 2 2 2 2 7" xfId="3651"/>
    <cellStyle name="Обычный 2 3 2 2 2 2 2 8" xfId="3652"/>
    <cellStyle name="Обычный 2 3 2 2 2 2 2 9" xfId="3653"/>
    <cellStyle name="Обычный 2 3 2 2 2 2 3" xfId="3654"/>
    <cellStyle name="Обычный 2 3 2 2 2 2 3 2" xfId="3655"/>
    <cellStyle name="Обычный 2 3 2 2 2 2 4" xfId="3656"/>
    <cellStyle name="Обычный 2 3 2 2 2 2 5" xfId="3657"/>
    <cellStyle name="Обычный 2 3 2 2 2 2 6" xfId="3658"/>
    <cellStyle name="Обычный 2 3 2 2 2 2 7" xfId="3659"/>
    <cellStyle name="Обычный 2 3 2 2 2 2 8" xfId="3660"/>
    <cellStyle name="Обычный 2 3 2 2 2 2 9" xfId="3661"/>
    <cellStyle name="Обычный 2 3 2 2 2 20" xfId="21578"/>
    <cellStyle name="Обычный 2 3 2 2 2 3" xfId="3662"/>
    <cellStyle name="Обычный 2 3 2 2 2 3 10" xfId="3663"/>
    <cellStyle name="Обычный 2 3 2 2 2 3 11" xfId="3664"/>
    <cellStyle name="Обычный 2 3 2 2 2 3 12" xfId="18269"/>
    <cellStyle name="Обычный 2 3 2 2 2 3 13" xfId="19969"/>
    <cellStyle name="Обычный 2 3 2 2 2 3 14" xfId="21581"/>
    <cellStyle name="Обычный 2 3 2 2 2 3 2" xfId="3665"/>
    <cellStyle name="Обычный 2 3 2 2 2 3 2 10" xfId="3666"/>
    <cellStyle name="Обычный 2 3 2 2 2 3 2 11" xfId="18270"/>
    <cellStyle name="Обычный 2 3 2 2 2 3 2 12" xfId="19970"/>
    <cellStyle name="Обычный 2 3 2 2 2 3 2 13" xfId="21582"/>
    <cellStyle name="Обычный 2 3 2 2 2 3 2 2" xfId="3667"/>
    <cellStyle name="Обычный 2 3 2 2 2 3 2 2 2" xfId="3668"/>
    <cellStyle name="Обычный 2 3 2 2 2 3 2 3" xfId="3669"/>
    <cellStyle name="Обычный 2 3 2 2 2 3 2 4" xfId="3670"/>
    <cellStyle name="Обычный 2 3 2 2 2 3 2 5" xfId="3671"/>
    <cellStyle name="Обычный 2 3 2 2 2 3 2 6" xfId="3672"/>
    <cellStyle name="Обычный 2 3 2 2 2 3 2 7" xfId="3673"/>
    <cellStyle name="Обычный 2 3 2 2 2 3 2 8" xfId="3674"/>
    <cellStyle name="Обычный 2 3 2 2 2 3 2 9" xfId="3675"/>
    <cellStyle name="Обычный 2 3 2 2 2 3 3" xfId="3676"/>
    <cellStyle name="Обычный 2 3 2 2 2 3 3 2" xfId="3677"/>
    <cellStyle name="Обычный 2 3 2 2 2 3 4" xfId="3678"/>
    <cellStyle name="Обычный 2 3 2 2 2 3 5" xfId="3679"/>
    <cellStyle name="Обычный 2 3 2 2 2 3 6" xfId="3680"/>
    <cellStyle name="Обычный 2 3 2 2 2 3 7" xfId="3681"/>
    <cellStyle name="Обычный 2 3 2 2 2 3 8" xfId="3682"/>
    <cellStyle name="Обычный 2 3 2 2 2 3 9" xfId="3683"/>
    <cellStyle name="Обычный 2 3 2 2 2 4" xfId="3684"/>
    <cellStyle name="Обычный 2 3 2 2 2 4 10" xfId="3685"/>
    <cellStyle name="Обычный 2 3 2 2 2 4 11" xfId="3686"/>
    <cellStyle name="Обычный 2 3 2 2 2 4 12" xfId="18271"/>
    <cellStyle name="Обычный 2 3 2 2 2 4 13" xfId="19971"/>
    <cellStyle name="Обычный 2 3 2 2 2 4 14" xfId="21583"/>
    <cellStyle name="Обычный 2 3 2 2 2 4 2" xfId="3687"/>
    <cellStyle name="Обычный 2 3 2 2 2 4 2 10" xfId="3688"/>
    <cellStyle name="Обычный 2 3 2 2 2 4 2 11" xfId="18272"/>
    <cellStyle name="Обычный 2 3 2 2 2 4 2 12" xfId="19972"/>
    <cellStyle name="Обычный 2 3 2 2 2 4 2 13" xfId="21584"/>
    <cellStyle name="Обычный 2 3 2 2 2 4 2 2" xfId="3689"/>
    <cellStyle name="Обычный 2 3 2 2 2 4 2 2 2" xfId="3690"/>
    <cellStyle name="Обычный 2 3 2 2 2 4 2 3" xfId="3691"/>
    <cellStyle name="Обычный 2 3 2 2 2 4 2 4" xfId="3692"/>
    <cellStyle name="Обычный 2 3 2 2 2 4 2 5" xfId="3693"/>
    <cellStyle name="Обычный 2 3 2 2 2 4 2 6" xfId="3694"/>
    <cellStyle name="Обычный 2 3 2 2 2 4 2 7" xfId="3695"/>
    <cellStyle name="Обычный 2 3 2 2 2 4 2 8" xfId="3696"/>
    <cellStyle name="Обычный 2 3 2 2 2 4 2 9" xfId="3697"/>
    <cellStyle name="Обычный 2 3 2 2 2 4 3" xfId="3698"/>
    <cellStyle name="Обычный 2 3 2 2 2 4 3 2" xfId="3699"/>
    <cellStyle name="Обычный 2 3 2 2 2 4 4" xfId="3700"/>
    <cellStyle name="Обычный 2 3 2 2 2 4 5" xfId="3701"/>
    <cellStyle name="Обычный 2 3 2 2 2 4 6" xfId="3702"/>
    <cellStyle name="Обычный 2 3 2 2 2 4 7" xfId="3703"/>
    <cellStyle name="Обычный 2 3 2 2 2 4 8" xfId="3704"/>
    <cellStyle name="Обычный 2 3 2 2 2 4 9" xfId="3705"/>
    <cellStyle name="Обычный 2 3 2 2 2 5" xfId="3706"/>
    <cellStyle name="Обычный 2 3 2 2 2 5 10" xfId="3707"/>
    <cellStyle name="Обычный 2 3 2 2 2 5 11" xfId="3708"/>
    <cellStyle name="Обычный 2 3 2 2 2 5 12" xfId="18273"/>
    <cellStyle name="Обычный 2 3 2 2 2 5 13" xfId="19973"/>
    <cellStyle name="Обычный 2 3 2 2 2 5 14" xfId="21585"/>
    <cellStyle name="Обычный 2 3 2 2 2 5 2" xfId="3709"/>
    <cellStyle name="Обычный 2 3 2 2 2 5 2 10" xfId="3710"/>
    <cellStyle name="Обычный 2 3 2 2 2 5 2 11" xfId="18274"/>
    <cellStyle name="Обычный 2 3 2 2 2 5 2 12" xfId="19974"/>
    <cellStyle name="Обычный 2 3 2 2 2 5 2 13" xfId="21586"/>
    <cellStyle name="Обычный 2 3 2 2 2 5 2 2" xfId="3711"/>
    <cellStyle name="Обычный 2 3 2 2 2 5 2 2 2" xfId="3712"/>
    <cellStyle name="Обычный 2 3 2 2 2 5 2 3" xfId="3713"/>
    <cellStyle name="Обычный 2 3 2 2 2 5 2 4" xfId="3714"/>
    <cellStyle name="Обычный 2 3 2 2 2 5 2 5" xfId="3715"/>
    <cellStyle name="Обычный 2 3 2 2 2 5 2 6" xfId="3716"/>
    <cellStyle name="Обычный 2 3 2 2 2 5 2 7" xfId="3717"/>
    <cellStyle name="Обычный 2 3 2 2 2 5 2 8" xfId="3718"/>
    <cellStyle name="Обычный 2 3 2 2 2 5 2 9" xfId="3719"/>
    <cellStyle name="Обычный 2 3 2 2 2 5 3" xfId="3720"/>
    <cellStyle name="Обычный 2 3 2 2 2 5 3 2" xfId="3721"/>
    <cellStyle name="Обычный 2 3 2 2 2 5 4" xfId="3722"/>
    <cellStyle name="Обычный 2 3 2 2 2 5 5" xfId="3723"/>
    <cellStyle name="Обычный 2 3 2 2 2 5 6" xfId="3724"/>
    <cellStyle name="Обычный 2 3 2 2 2 5 7" xfId="3725"/>
    <cellStyle name="Обычный 2 3 2 2 2 5 8" xfId="3726"/>
    <cellStyle name="Обычный 2 3 2 2 2 5 9" xfId="3727"/>
    <cellStyle name="Обычный 2 3 2 2 2 6" xfId="3728"/>
    <cellStyle name="Обычный 2 3 2 2 2 6 10" xfId="3729"/>
    <cellStyle name="Обычный 2 3 2 2 2 6 11" xfId="18275"/>
    <cellStyle name="Обычный 2 3 2 2 2 6 12" xfId="19975"/>
    <cellStyle name="Обычный 2 3 2 2 2 6 13" xfId="21587"/>
    <cellStyle name="Обычный 2 3 2 2 2 6 2" xfId="3730"/>
    <cellStyle name="Обычный 2 3 2 2 2 6 2 2" xfId="3731"/>
    <cellStyle name="Обычный 2 3 2 2 2 6 3" xfId="3732"/>
    <cellStyle name="Обычный 2 3 2 2 2 6 4" xfId="3733"/>
    <cellStyle name="Обычный 2 3 2 2 2 6 5" xfId="3734"/>
    <cellStyle name="Обычный 2 3 2 2 2 6 6" xfId="3735"/>
    <cellStyle name="Обычный 2 3 2 2 2 6 7" xfId="3736"/>
    <cellStyle name="Обычный 2 3 2 2 2 6 8" xfId="3737"/>
    <cellStyle name="Обычный 2 3 2 2 2 6 9" xfId="3738"/>
    <cellStyle name="Обычный 2 3 2 2 2 7" xfId="3739"/>
    <cellStyle name="Обычный 2 3 2 2 2 7 10" xfId="19976"/>
    <cellStyle name="Обычный 2 3 2 2 2 7 11" xfId="21588"/>
    <cellStyle name="Обычный 2 3 2 2 2 7 2" xfId="3740"/>
    <cellStyle name="Обычный 2 3 2 2 2 7 2 2" xfId="3741"/>
    <cellStyle name="Обычный 2 3 2 2 2 7 3" xfId="3742"/>
    <cellStyle name="Обычный 2 3 2 2 2 7 4" xfId="3743"/>
    <cellStyle name="Обычный 2 3 2 2 2 7 5" xfId="3744"/>
    <cellStyle name="Обычный 2 3 2 2 2 7 6" xfId="3745"/>
    <cellStyle name="Обычный 2 3 2 2 2 7 7" xfId="3746"/>
    <cellStyle name="Обычный 2 3 2 2 2 7 8" xfId="3747"/>
    <cellStyle name="Обычный 2 3 2 2 2 7 9" xfId="18276"/>
    <cellStyle name="Обычный 2 3 2 2 2 8" xfId="3748"/>
    <cellStyle name="Обычный 2 3 2 2 2 8 2" xfId="3749"/>
    <cellStyle name="Обычный 2 3 2 2 2 9" xfId="3750"/>
    <cellStyle name="Обычный 2 3 2 2 20" xfId="18265"/>
    <cellStyle name="Обычный 2 3 2 2 21" xfId="19965"/>
    <cellStyle name="Обычный 2 3 2 2 22" xfId="21577"/>
    <cellStyle name="Обычный 2 3 2 2 3" xfId="3751"/>
    <cellStyle name="Обычный 2 3 2 2 3 10" xfId="3752"/>
    <cellStyle name="Обычный 2 3 2 2 3 11" xfId="3753"/>
    <cellStyle name="Обычный 2 3 2 2 3 12" xfId="3754"/>
    <cellStyle name="Обычный 2 3 2 2 3 13" xfId="3755"/>
    <cellStyle name="Обычный 2 3 2 2 3 14" xfId="3756"/>
    <cellStyle name="Обычный 2 3 2 2 3 15" xfId="3757"/>
    <cellStyle name="Обычный 2 3 2 2 3 16" xfId="3758"/>
    <cellStyle name="Обычный 2 3 2 2 3 17" xfId="3759"/>
    <cellStyle name="Обычный 2 3 2 2 3 18" xfId="18277"/>
    <cellStyle name="Обычный 2 3 2 2 3 19" xfId="19977"/>
    <cellStyle name="Обычный 2 3 2 2 3 2" xfId="3760"/>
    <cellStyle name="Обычный 2 3 2 2 3 2 10" xfId="3761"/>
    <cellStyle name="Обычный 2 3 2 2 3 2 11" xfId="3762"/>
    <cellStyle name="Обычный 2 3 2 2 3 2 12" xfId="18278"/>
    <cellStyle name="Обычный 2 3 2 2 3 2 13" xfId="19978"/>
    <cellStyle name="Обычный 2 3 2 2 3 2 14" xfId="21590"/>
    <cellStyle name="Обычный 2 3 2 2 3 2 2" xfId="3763"/>
    <cellStyle name="Обычный 2 3 2 2 3 2 2 10" xfId="3764"/>
    <cellStyle name="Обычный 2 3 2 2 3 2 2 11" xfId="18279"/>
    <cellStyle name="Обычный 2 3 2 2 3 2 2 12" xfId="19979"/>
    <cellStyle name="Обычный 2 3 2 2 3 2 2 13" xfId="21591"/>
    <cellStyle name="Обычный 2 3 2 2 3 2 2 2" xfId="3765"/>
    <cellStyle name="Обычный 2 3 2 2 3 2 2 2 2" xfId="3766"/>
    <cellStyle name="Обычный 2 3 2 2 3 2 2 3" xfId="3767"/>
    <cellStyle name="Обычный 2 3 2 2 3 2 2 4" xfId="3768"/>
    <cellStyle name="Обычный 2 3 2 2 3 2 2 5" xfId="3769"/>
    <cellStyle name="Обычный 2 3 2 2 3 2 2 6" xfId="3770"/>
    <cellStyle name="Обычный 2 3 2 2 3 2 2 7" xfId="3771"/>
    <cellStyle name="Обычный 2 3 2 2 3 2 2 8" xfId="3772"/>
    <cellStyle name="Обычный 2 3 2 2 3 2 2 9" xfId="3773"/>
    <cellStyle name="Обычный 2 3 2 2 3 2 3" xfId="3774"/>
    <cellStyle name="Обычный 2 3 2 2 3 2 3 2" xfId="3775"/>
    <cellStyle name="Обычный 2 3 2 2 3 2 4" xfId="3776"/>
    <cellStyle name="Обычный 2 3 2 2 3 2 5" xfId="3777"/>
    <cellStyle name="Обычный 2 3 2 2 3 2 6" xfId="3778"/>
    <cellStyle name="Обычный 2 3 2 2 3 2 7" xfId="3779"/>
    <cellStyle name="Обычный 2 3 2 2 3 2 8" xfId="3780"/>
    <cellStyle name="Обычный 2 3 2 2 3 2 9" xfId="3781"/>
    <cellStyle name="Обычный 2 3 2 2 3 20" xfId="21589"/>
    <cellStyle name="Обычный 2 3 2 2 3 3" xfId="3782"/>
    <cellStyle name="Обычный 2 3 2 2 3 3 10" xfId="3783"/>
    <cellStyle name="Обычный 2 3 2 2 3 3 11" xfId="3784"/>
    <cellStyle name="Обычный 2 3 2 2 3 3 12" xfId="18280"/>
    <cellStyle name="Обычный 2 3 2 2 3 3 13" xfId="19980"/>
    <cellStyle name="Обычный 2 3 2 2 3 3 14" xfId="21592"/>
    <cellStyle name="Обычный 2 3 2 2 3 3 2" xfId="3785"/>
    <cellStyle name="Обычный 2 3 2 2 3 3 2 10" xfId="3786"/>
    <cellStyle name="Обычный 2 3 2 2 3 3 2 11" xfId="18281"/>
    <cellStyle name="Обычный 2 3 2 2 3 3 2 12" xfId="19981"/>
    <cellStyle name="Обычный 2 3 2 2 3 3 2 13" xfId="21593"/>
    <cellStyle name="Обычный 2 3 2 2 3 3 2 2" xfId="3787"/>
    <cellStyle name="Обычный 2 3 2 2 3 3 2 2 2" xfId="3788"/>
    <cellStyle name="Обычный 2 3 2 2 3 3 2 3" xfId="3789"/>
    <cellStyle name="Обычный 2 3 2 2 3 3 2 4" xfId="3790"/>
    <cellStyle name="Обычный 2 3 2 2 3 3 2 5" xfId="3791"/>
    <cellStyle name="Обычный 2 3 2 2 3 3 2 6" xfId="3792"/>
    <cellStyle name="Обычный 2 3 2 2 3 3 2 7" xfId="3793"/>
    <cellStyle name="Обычный 2 3 2 2 3 3 2 8" xfId="3794"/>
    <cellStyle name="Обычный 2 3 2 2 3 3 2 9" xfId="3795"/>
    <cellStyle name="Обычный 2 3 2 2 3 3 3" xfId="3796"/>
    <cellStyle name="Обычный 2 3 2 2 3 3 3 2" xfId="3797"/>
    <cellStyle name="Обычный 2 3 2 2 3 3 4" xfId="3798"/>
    <cellStyle name="Обычный 2 3 2 2 3 3 5" xfId="3799"/>
    <cellStyle name="Обычный 2 3 2 2 3 3 6" xfId="3800"/>
    <cellStyle name="Обычный 2 3 2 2 3 3 7" xfId="3801"/>
    <cellStyle name="Обычный 2 3 2 2 3 3 8" xfId="3802"/>
    <cellStyle name="Обычный 2 3 2 2 3 3 9" xfId="3803"/>
    <cellStyle name="Обычный 2 3 2 2 3 4" xfId="3804"/>
    <cellStyle name="Обычный 2 3 2 2 3 4 10" xfId="3805"/>
    <cellStyle name="Обычный 2 3 2 2 3 4 11" xfId="3806"/>
    <cellStyle name="Обычный 2 3 2 2 3 4 12" xfId="18282"/>
    <cellStyle name="Обычный 2 3 2 2 3 4 13" xfId="19982"/>
    <cellStyle name="Обычный 2 3 2 2 3 4 14" xfId="21594"/>
    <cellStyle name="Обычный 2 3 2 2 3 4 2" xfId="3807"/>
    <cellStyle name="Обычный 2 3 2 2 3 4 2 10" xfId="3808"/>
    <cellStyle name="Обычный 2 3 2 2 3 4 2 11" xfId="18283"/>
    <cellStyle name="Обычный 2 3 2 2 3 4 2 12" xfId="19983"/>
    <cellStyle name="Обычный 2 3 2 2 3 4 2 13" xfId="21595"/>
    <cellStyle name="Обычный 2 3 2 2 3 4 2 2" xfId="3809"/>
    <cellStyle name="Обычный 2 3 2 2 3 4 2 2 2" xfId="3810"/>
    <cellStyle name="Обычный 2 3 2 2 3 4 2 3" xfId="3811"/>
    <cellStyle name="Обычный 2 3 2 2 3 4 2 4" xfId="3812"/>
    <cellStyle name="Обычный 2 3 2 2 3 4 2 5" xfId="3813"/>
    <cellStyle name="Обычный 2 3 2 2 3 4 2 6" xfId="3814"/>
    <cellStyle name="Обычный 2 3 2 2 3 4 2 7" xfId="3815"/>
    <cellStyle name="Обычный 2 3 2 2 3 4 2 8" xfId="3816"/>
    <cellStyle name="Обычный 2 3 2 2 3 4 2 9" xfId="3817"/>
    <cellStyle name="Обычный 2 3 2 2 3 4 3" xfId="3818"/>
    <cellStyle name="Обычный 2 3 2 2 3 4 3 2" xfId="3819"/>
    <cellStyle name="Обычный 2 3 2 2 3 4 4" xfId="3820"/>
    <cellStyle name="Обычный 2 3 2 2 3 4 5" xfId="3821"/>
    <cellStyle name="Обычный 2 3 2 2 3 4 6" xfId="3822"/>
    <cellStyle name="Обычный 2 3 2 2 3 4 7" xfId="3823"/>
    <cellStyle name="Обычный 2 3 2 2 3 4 8" xfId="3824"/>
    <cellStyle name="Обычный 2 3 2 2 3 4 9" xfId="3825"/>
    <cellStyle name="Обычный 2 3 2 2 3 5" xfId="3826"/>
    <cellStyle name="Обычный 2 3 2 2 3 5 10" xfId="3827"/>
    <cellStyle name="Обычный 2 3 2 2 3 5 11" xfId="3828"/>
    <cellStyle name="Обычный 2 3 2 2 3 5 12" xfId="18284"/>
    <cellStyle name="Обычный 2 3 2 2 3 5 13" xfId="19984"/>
    <cellStyle name="Обычный 2 3 2 2 3 5 14" xfId="21596"/>
    <cellStyle name="Обычный 2 3 2 2 3 5 2" xfId="3829"/>
    <cellStyle name="Обычный 2 3 2 2 3 5 2 10" xfId="3830"/>
    <cellStyle name="Обычный 2 3 2 2 3 5 2 11" xfId="18285"/>
    <cellStyle name="Обычный 2 3 2 2 3 5 2 12" xfId="19985"/>
    <cellStyle name="Обычный 2 3 2 2 3 5 2 13" xfId="21597"/>
    <cellStyle name="Обычный 2 3 2 2 3 5 2 2" xfId="3831"/>
    <cellStyle name="Обычный 2 3 2 2 3 5 2 2 2" xfId="3832"/>
    <cellStyle name="Обычный 2 3 2 2 3 5 2 3" xfId="3833"/>
    <cellStyle name="Обычный 2 3 2 2 3 5 2 4" xfId="3834"/>
    <cellStyle name="Обычный 2 3 2 2 3 5 2 5" xfId="3835"/>
    <cellStyle name="Обычный 2 3 2 2 3 5 2 6" xfId="3836"/>
    <cellStyle name="Обычный 2 3 2 2 3 5 2 7" xfId="3837"/>
    <cellStyle name="Обычный 2 3 2 2 3 5 2 8" xfId="3838"/>
    <cellStyle name="Обычный 2 3 2 2 3 5 2 9" xfId="3839"/>
    <cellStyle name="Обычный 2 3 2 2 3 5 3" xfId="3840"/>
    <cellStyle name="Обычный 2 3 2 2 3 5 3 2" xfId="3841"/>
    <cellStyle name="Обычный 2 3 2 2 3 5 4" xfId="3842"/>
    <cellStyle name="Обычный 2 3 2 2 3 5 5" xfId="3843"/>
    <cellStyle name="Обычный 2 3 2 2 3 5 6" xfId="3844"/>
    <cellStyle name="Обычный 2 3 2 2 3 5 7" xfId="3845"/>
    <cellStyle name="Обычный 2 3 2 2 3 5 8" xfId="3846"/>
    <cellStyle name="Обычный 2 3 2 2 3 5 9" xfId="3847"/>
    <cellStyle name="Обычный 2 3 2 2 3 6" xfId="3848"/>
    <cellStyle name="Обычный 2 3 2 2 3 6 10" xfId="3849"/>
    <cellStyle name="Обычный 2 3 2 2 3 6 11" xfId="18286"/>
    <cellStyle name="Обычный 2 3 2 2 3 6 12" xfId="19986"/>
    <cellStyle name="Обычный 2 3 2 2 3 6 13" xfId="21598"/>
    <cellStyle name="Обычный 2 3 2 2 3 6 2" xfId="3850"/>
    <cellStyle name="Обычный 2 3 2 2 3 6 2 2" xfId="3851"/>
    <cellStyle name="Обычный 2 3 2 2 3 6 3" xfId="3852"/>
    <cellStyle name="Обычный 2 3 2 2 3 6 4" xfId="3853"/>
    <cellStyle name="Обычный 2 3 2 2 3 6 5" xfId="3854"/>
    <cellStyle name="Обычный 2 3 2 2 3 6 6" xfId="3855"/>
    <cellStyle name="Обычный 2 3 2 2 3 6 7" xfId="3856"/>
    <cellStyle name="Обычный 2 3 2 2 3 6 8" xfId="3857"/>
    <cellStyle name="Обычный 2 3 2 2 3 6 9" xfId="3858"/>
    <cellStyle name="Обычный 2 3 2 2 3 7" xfId="3859"/>
    <cellStyle name="Обычный 2 3 2 2 3 7 10" xfId="19987"/>
    <cellStyle name="Обычный 2 3 2 2 3 7 11" xfId="21599"/>
    <cellStyle name="Обычный 2 3 2 2 3 7 2" xfId="3860"/>
    <cellStyle name="Обычный 2 3 2 2 3 7 2 2" xfId="3861"/>
    <cellStyle name="Обычный 2 3 2 2 3 7 3" xfId="3862"/>
    <cellStyle name="Обычный 2 3 2 2 3 7 4" xfId="3863"/>
    <cellStyle name="Обычный 2 3 2 2 3 7 5" xfId="3864"/>
    <cellStyle name="Обычный 2 3 2 2 3 7 6" xfId="3865"/>
    <cellStyle name="Обычный 2 3 2 2 3 7 7" xfId="3866"/>
    <cellStyle name="Обычный 2 3 2 2 3 7 8" xfId="3867"/>
    <cellStyle name="Обычный 2 3 2 2 3 7 9" xfId="18287"/>
    <cellStyle name="Обычный 2 3 2 2 3 8" xfId="3868"/>
    <cellStyle name="Обычный 2 3 2 2 3 8 2" xfId="3869"/>
    <cellStyle name="Обычный 2 3 2 2 3 9" xfId="3870"/>
    <cellStyle name="Обычный 2 3 2 2 4" xfId="3871"/>
    <cellStyle name="Обычный 2 3 2 2 4 10" xfId="3872"/>
    <cellStyle name="Обычный 2 3 2 2 4 11" xfId="3873"/>
    <cellStyle name="Обычный 2 3 2 2 4 12" xfId="18288"/>
    <cellStyle name="Обычный 2 3 2 2 4 13" xfId="19988"/>
    <cellStyle name="Обычный 2 3 2 2 4 14" xfId="21600"/>
    <cellStyle name="Обычный 2 3 2 2 4 2" xfId="3874"/>
    <cellStyle name="Обычный 2 3 2 2 4 2 10" xfId="3875"/>
    <cellStyle name="Обычный 2 3 2 2 4 2 11" xfId="18289"/>
    <cellStyle name="Обычный 2 3 2 2 4 2 12" xfId="19989"/>
    <cellStyle name="Обычный 2 3 2 2 4 2 13" xfId="21601"/>
    <cellStyle name="Обычный 2 3 2 2 4 2 2" xfId="3876"/>
    <cellStyle name="Обычный 2 3 2 2 4 2 2 2" xfId="3877"/>
    <cellStyle name="Обычный 2 3 2 2 4 2 3" xfId="3878"/>
    <cellStyle name="Обычный 2 3 2 2 4 2 4" xfId="3879"/>
    <cellStyle name="Обычный 2 3 2 2 4 2 5" xfId="3880"/>
    <cellStyle name="Обычный 2 3 2 2 4 2 6" xfId="3881"/>
    <cellStyle name="Обычный 2 3 2 2 4 2 7" xfId="3882"/>
    <cellStyle name="Обычный 2 3 2 2 4 2 8" xfId="3883"/>
    <cellStyle name="Обычный 2 3 2 2 4 2 9" xfId="3884"/>
    <cellStyle name="Обычный 2 3 2 2 4 3" xfId="3885"/>
    <cellStyle name="Обычный 2 3 2 2 4 3 2" xfId="3886"/>
    <cellStyle name="Обычный 2 3 2 2 4 4" xfId="3887"/>
    <cellStyle name="Обычный 2 3 2 2 4 5" xfId="3888"/>
    <cellStyle name="Обычный 2 3 2 2 4 6" xfId="3889"/>
    <cellStyle name="Обычный 2 3 2 2 4 7" xfId="3890"/>
    <cellStyle name="Обычный 2 3 2 2 4 8" xfId="3891"/>
    <cellStyle name="Обычный 2 3 2 2 4 9" xfId="3892"/>
    <cellStyle name="Обычный 2 3 2 2 5" xfId="3893"/>
    <cellStyle name="Обычный 2 3 2 2 5 10" xfId="3894"/>
    <cellStyle name="Обычный 2 3 2 2 5 11" xfId="3895"/>
    <cellStyle name="Обычный 2 3 2 2 5 12" xfId="18290"/>
    <cellStyle name="Обычный 2 3 2 2 5 13" xfId="19990"/>
    <cellStyle name="Обычный 2 3 2 2 5 14" xfId="21602"/>
    <cellStyle name="Обычный 2 3 2 2 5 2" xfId="3896"/>
    <cellStyle name="Обычный 2 3 2 2 5 2 10" xfId="3897"/>
    <cellStyle name="Обычный 2 3 2 2 5 2 11" xfId="18291"/>
    <cellStyle name="Обычный 2 3 2 2 5 2 12" xfId="19991"/>
    <cellStyle name="Обычный 2 3 2 2 5 2 13" xfId="21603"/>
    <cellStyle name="Обычный 2 3 2 2 5 2 2" xfId="3898"/>
    <cellStyle name="Обычный 2 3 2 2 5 2 2 2" xfId="3899"/>
    <cellStyle name="Обычный 2 3 2 2 5 2 3" xfId="3900"/>
    <cellStyle name="Обычный 2 3 2 2 5 2 4" xfId="3901"/>
    <cellStyle name="Обычный 2 3 2 2 5 2 5" xfId="3902"/>
    <cellStyle name="Обычный 2 3 2 2 5 2 6" xfId="3903"/>
    <cellStyle name="Обычный 2 3 2 2 5 2 7" xfId="3904"/>
    <cellStyle name="Обычный 2 3 2 2 5 2 8" xfId="3905"/>
    <cellStyle name="Обычный 2 3 2 2 5 2 9" xfId="3906"/>
    <cellStyle name="Обычный 2 3 2 2 5 3" xfId="3907"/>
    <cellStyle name="Обычный 2 3 2 2 5 3 2" xfId="3908"/>
    <cellStyle name="Обычный 2 3 2 2 5 4" xfId="3909"/>
    <cellStyle name="Обычный 2 3 2 2 5 5" xfId="3910"/>
    <cellStyle name="Обычный 2 3 2 2 5 6" xfId="3911"/>
    <cellStyle name="Обычный 2 3 2 2 5 7" xfId="3912"/>
    <cellStyle name="Обычный 2 3 2 2 5 8" xfId="3913"/>
    <cellStyle name="Обычный 2 3 2 2 5 9" xfId="3914"/>
    <cellStyle name="Обычный 2 3 2 2 6" xfId="3915"/>
    <cellStyle name="Обычный 2 3 2 2 6 10" xfId="3916"/>
    <cellStyle name="Обычный 2 3 2 2 6 11" xfId="3917"/>
    <cellStyle name="Обычный 2 3 2 2 6 12" xfId="18292"/>
    <cellStyle name="Обычный 2 3 2 2 6 13" xfId="19992"/>
    <cellStyle name="Обычный 2 3 2 2 6 14" xfId="21604"/>
    <cellStyle name="Обычный 2 3 2 2 6 2" xfId="3918"/>
    <cellStyle name="Обычный 2 3 2 2 6 2 10" xfId="3919"/>
    <cellStyle name="Обычный 2 3 2 2 6 2 11" xfId="18293"/>
    <cellStyle name="Обычный 2 3 2 2 6 2 12" xfId="19993"/>
    <cellStyle name="Обычный 2 3 2 2 6 2 13" xfId="21605"/>
    <cellStyle name="Обычный 2 3 2 2 6 2 2" xfId="3920"/>
    <cellStyle name="Обычный 2 3 2 2 6 2 2 2" xfId="3921"/>
    <cellStyle name="Обычный 2 3 2 2 6 2 3" xfId="3922"/>
    <cellStyle name="Обычный 2 3 2 2 6 2 4" xfId="3923"/>
    <cellStyle name="Обычный 2 3 2 2 6 2 5" xfId="3924"/>
    <cellStyle name="Обычный 2 3 2 2 6 2 6" xfId="3925"/>
    <cellStyle name="Обычный 2 3 2 2 6 2 7" xfId="3926"/>
    <cellStyle name="Обычный 2 3 2 2 6 2 8" xfId="3927"/>
    <cellStyle name="Обычный 2 3 2 2 6 2 9" xfId="3928"/>
    <cellStyle name="Обычный 2 3 2 2 6 3" xfId="3929"/>
    <cellStyle name="Обычный 2 3 2 2 6 3 2" xfId="3930"/>
    <cellStyle name="Обычный 2 3 2 2 6 4" xfId="3931"/>
    <cellStyle name="Обычный 2 3 2 2 6 5" xfId="3932"/>
    <cellStyle name="Обычный 2 3 2 2 6 6" xfId="3933"/>
    <cellStyle name="Обычный 2 3 2 2 6 7" xfId="3934"/>
    <cellStyle name="Обычный 2 3 2 2 6 8" xfId="3935"/>
    <cellStyle name="Обычный 2 3 2 2 6 9" xfId="3936"/>
    <cellStyle name="Обычный 2 3 2 2 7" xfId="3937"/>
    <cellStyle name="Обычный 2 3 2 2 7 10" xfId="3938"/>
    <cellStyle name="Обычный 2 3 2 2 7 11" xfId="3939"/>
    <cellStyle name="Обычный 2 3 2 2 7 12" xfId="18294"/>
    <cellStyle name="Обычный 2 3 2 2 7 13" xfId="19994"/>
    <cellStyle name="Обычный 2 3 2 2 7 14" xfId="21606"/>
    <cellStyle name="Обычный 2 3 2 2 7 2" xfId="3940"/>
    <cellStyle name="Обычный 2 3 2 2 7 2 10" xfId="3941"/>
    <cellStyle name="Обычный 2 3 2 2 7 2 11" xfId="18295"/>
    <cellStyle name="Обычный 2 3 2 2 7 2 12" xfId="19995"/>
    <cellStyle name="Обычный 2 3 2 2 7 2 13" xfId="21607"/>
    <cellStyle name="Обычный 2 3 2 2 7 2 2" xfId="3942"/>
    <cellStyle name="Обычный 2 3 2 2 7 2 2 2" xfId="3943"/>
    <cellStyle name="Обычный 2 3 2 2 7 2 3" xfId="3944"/>
    <cellStyle name="Обычный 2 3 2 2 7 2 4" xfId="3945"/>
    <cellStyle name="Обычный 2 3 2 2 7 2 5" xfId="3946"/>
    <cellStyle name="Обычный 2 3 2 2 7 2 6" xfId="3947"/>
    <cellStyle name="Обычный 2 3 2 2 7 2 7" xfId="3948"/>
    <cellStyle name="Обычный 2 3 2 2 7 2 8" xfId="3949"/>
    <cellStyle name="Обычный 2 3 2 2 7 2 9" xfId="3950"/>
    <cellStyle name="Обычный 2 3 2 2 7 3" xfId="3951"/>
    <cellStyle name="Обычный 2 3 2 2 7 3 2" xfId="3952"/>
    <cellStyle name="Обычный 2 3 2 2 7 4" xfId="3953"/>
    <cellStyle name="Обычный 2 3 2 2 7 5" xfId="3954"/>
    <cellStyle name="Обычный 2 3 2 2 7 6" xfId="3955"/>
    <cellStyle name="Обычный 2 3 2 2 7 7" xfId="3956"/>
    <cellStyle name="Обычный 2 3 2 2 7 8" xfId="3957"/>
    <cellStyle name="Обычный 2 3 2 2 7 9" xfId="3958"/>
    <cellStyle name="Обычный 2 3 2 2 8" xfId="3959"/>
    <cellStyle name="Обычный 2 3 2 2 8 10" xfId="3960"/>
    <cellStyle name="Обычный 2 3 2 2 8 11" xfId="18296"/>
    <cellStyle name="Обычный 2 3 2 2 8 12" xfId="19996"/>
    <cellStyle name="Обычный 2 3 2 2 8 13" xfId="21608"/>
    <cellStyle name="Обычный 2 3 2 2 8 2" xfId="3961"/>
    <cellStyle name="Обычный 2 3 2 2 8 2 2" xfId="3962"/>
    <cellStyle name="Обычный 2 3 2 2 8 3" xfId="3963"/>
    <cellStyle name="Обычный 2 3 2 2 8 4" xfId="3964"/>
    <cellStyle name="Обычный 2 3 2 2 8 5" xfId="3965"/>
    <cellStyle name="Обычный 2 3 2 2 8 6" xfId="3966"/>
    <cellStyle name="Обычный 2 3 2 2 8 7" xfId="3967"/>
    <cellStyle name="Обычный 2 3 2 2 8 8" xfId="3968"/>
    <cellStyle name="Обычный 2 3 2 2 8 9" xfId="3969"/>
    <cellStyle name="Обычный 2 3 2 2 9" xfId="3970"/>
    <cellStyle name="Обычный 2 3 2 2 9 10" xfId="19997"/>
    <cellStyle name="Обычный 2 3 2 2 9 11" xfId="21609"/>
    <cellStyle name="Обычный 2 3 2 2 9 2" xfId="3971"/>
    <cellStyle name="Обычный 2 3 2 2 9 2 2" xfId="3972"/>
    <cellStyle name="Обычный 2 3 2 2 9 3" xfId="3973"/>
    <cellStyle name="Обычный 2 3 2 2 9 4" xfId="3974"/>
    <cellStyle name="Обычный 2 3 2 2 9 5" xfId="3975"/>
    <cellStyle name="Обычный 2 3 2 2 9 6" xfId="3976"/>
    <cellStyle name="Обычный 2 3 2 2 9 7" xfId="3977"/>
    <cellStyle name="Обычный 2 3 2 2 9 8" xfId="3978"/>
    <cellStyle name="Обычный 2 3 2 2 9 9" xfId="18297"/>
    <cellStyle name="Обычный 2 3 2 20" xfId="3979"/>
    <cellStyle name="Обычный 2 3 2 21" xfId="3980"/>
    <cellStyle name="Обычный 2 3 2 22" xfId="3981"/>
    <cellStyle name="Обычный 2 3 2 23" xfId="3982"/>
    <cellStyle name="Обычный 2 3 2 24" xfId="3983"/>
    <cellStyle name="Обычный 2 3 2 25" xfId="18257"/>
    <cellStyle name="Обычный 2 3 2 26" xfId="19628"/>
    <cellStyle name="Обычный 2 3 2 27" xfId="19957"/>
    <cellStyle name="Обычный 2 3 2 28" xfId="21569"/>
    <cellStyle name="Обычный 2 3 2 3" xfId="3984"/>
    <cellStyle name="Обычный 2 3 2 3 10" xfId="3985"/>
    <cellStyle name="Обычный 2 3 2 3 11" xfId="3986"/>
    <cellStyle name="Обычный 2 3 2 3 12" xfId="3987"/>
    <cellStyle name="Обычный 2 3 2 3 13" xfId="3988"/>
    <cellStyle name="Обычный 2 3 2 3 14" xfId="3989"/>
    <cellStyle name="Обычный 2 3 2 3 15" xfId="3990"/>
    <cellStyle name="Обычный 2 3 2 3 16" xfId="3991"/>
    <cellStyle name="Обычный 2 3 2 3 17" xfId="3992"/>
    <cellStyle name="Обычный 2 3 2 3 18" xfId="18298"/>
    <cellStyle name="Обычный 2 3 2 3 19" xfId="19998"/>
    <cellStyle name="Обычный 2 3 2 3 2" xfId="3993"/>
    <cellStyle name="Обычный 2 3 2 3 2 10" xfId="3994"/>
    <cellStyle name="Обычный 2 3 2 3 2 11" xfId="3995"/>
    <cellStyle name="Обычный 2 3 2 3 2 12" xfId="18299"/>
    <cellStyle name="Обычный 2 3 2 3 2 13" xfId="19999"/>
    <cellStyle name="Обычный 2 3 2 3 2 14" xfId="21611"/>
    <cellStyle name="Обычный 2 3 2 3 2 2" xfId="3996"/>
    <cellStyle name="Обычный 2 3 2 3 2 2 10" xfId="3997"/>
    <cellStyle name="Обычный 2 3 2 3 2 2 11" xfId="18300"/>
    <cellStyle name="Обычный 2 3 2 3 2 2 12" xfId="20000"/>
    <cellStyle name="Обычный 2 3 2 3 2 2 13" xfId="21612"/>
    <cellStyle name="Обычный 2 3 2 3 2 2 2" xfId="3998"/>
    <cellStyle name="Обычный 2 3 2 3 2 2 2 2" xfId="3999"/>
    <cellStyle name="Обычный 2 3 2 3 2 2 3" xfId="4000"/>
    <cellStyle name="Обычный 2 3 2 3 2 2 4" xfId="4001"/>
    <cellStyle name="Обычный 2 3 2 3 2 2 5" xfId="4002"/>
    <cellStyle name="Обычный 2 3 2 3 2 2 6" xfId="4003"/>
    <cellStyle name="Обычный 2 3 2 3 2 2 7" xfId="4004"/>
    <cellStyle name="Обычный 2 3 2 3 2 2 8" xfId="4005"/>
    <cellStyle name="Обычный 2 3 2 3 2 2 9" xfId="4006"/>
    <cellStyle name="Обычный 2 3 2 3 2 3" xfId="4007"/>
    <cellStyle name="Обычный 2 3 2 3 2 3 2" xfId="4008"/>
    <cellStyle name="Обычный 2 3 2 3 2 4" xfId="4009"/>
    <cellStyle name="Обычный 2 3 2 3 2 5" xfId="4010"/>
    <cellStyle name="Обычный 2 3 2 3 2 6" xfId="4011"/>
    <cellStyle name="Обычный 2 3 2 3 2 7" xfId="4012"/>
    <cellStyle name="Обычный 2 3 2 3 2 8" xfId="4013"/>
    <cellStyle name="Обычный 2 3 2 3 2 9" xfId="4014"/>
    <cellStyle name="Обычный 2 3 2 3 20" xfId="21610"/>
    <cellStyle name="Обычный 2 3 2 3 3" xfId="4015"/>
    <cellStyle name="Обычный 2 3 2 3 3 10" xfId="4016"/>
    <cellStyle name="Обычный 2 3 2 3 3 11" xfId="4017"/>
    <cellStyle name="Обычный 2 3 2 3 3 12" xfId="18301"/>
    <cellStyle name="Обычный 2 3 2 3 3 13" xfId="20001"/>
    <cellStyle name="Обычный 2 3 2 3 3 14" xfId="21613"/>
    <cellStyle name="Обычный 2 3 2 3 3 2" xfId="4018"/>
    <cellStyle name="Обычный 2 3 2 3 3 2 10" xfId="4019"/>
    <cellStyle name="Обычный 2 3 2 3 3 2 11" xfId="18302"/>
    <cellStyle name="Обычный 2 3 2 3 3 2 12" xfId="20002"/>
    <cellStyle name="Обычный 2 3 2 3 3 2 13" xfId="21614"/>
    <cellStyle name="Обычный 2 3 2 3 3 2 2" xfId="4020"/>
    <cellStyle name="Обычный 2 3 2 3 3 2 2 2" xfId="4021"/>
    <cellStyle name="Обычный 2 3 2 3 3 2 3" xfId="4022"/>
    <cellStyle name="Обычный 2 3 2 3 3 2 4" xfId="4023"/>
    <cellStyle name="Обычный 2 3 2 3 3 2 5" xfId="4024"/>
    <cellStyle name="Обычный 2 3 2 3 3 2 6" xfId="4025"/>
    <cellStyle name="Обычный 2 3 2 3 3 2 7" xfId="4026"/>
    <cellStyle name="Обычный 2 3 2 3 3 2 8" xfId="4027"/>
    <cellStyle name="Обычный 2 3 2 3 3 2 9" xfId="4028"/>
    <cellStyle name="Обычный 2 3 2 3 3 3" xfId="4029"/>
    <cellStyle name="Обычный 2 3 2 3 3 3 2" xfId="4030"/>
    <cellStyle name="Обычный 2 3 2 3 3 4" xfId="4031"/>
    <cellStyle name="Обычный 2 3 2 3 3 5" xfId="4032"/>
    <cellStyle name="Обычный 2 3 2 3 3 6" xfId="4033"/>
    <cellStyle name="Обычный 2 3 2 3 3 7" xfId="4034"/>
    <cellStyle name="Обычный 2 3 2 3 3 8" xfId="4035"/>
    <cellStyle name="Обычный 2 3 2 3 3 9" xfId="4036"/>
    <cellStyle name="Обычный 2 3 2 3 4" xfId="4037"/>
    <cellStyle name="Обычный 2 3 2 3 4 10" xfId="4038"/>
    <cellStyle name="Обычный 2 3 2 3 4 11" xfId="4039"/>
    <cellStyle name="Обычный 2 3 2 3 4 12" xfId="18303"/>
    <cellStyle name="Обычный 2 3 2 3 4 13" xfId="20003"/>
    <cellStyle name="Обычный 2 3 2 3 4 14" xfId="21615"/>
    <cellStyle name="Обычный 2 3 2 3 4 2" xfId="4040"/>
    <cellStyle name="Обычный 2 3 2 3 4 2 10" xfId="4041"/>
    <cellStyle name="Обычный 2 3 2 3 4 2 11" xfId="18304"/>
    <cellStyle name="Обычный 2 3 2 3 4 2 12" xfId="20004"/>
    <cellStyle name="Обычный 2 3 2 3 4 2 13" xfId="21616"/>
    <cellStyle name="Обычный 2 3 2 3 4 2 2" xfId="4042"/>
    <cellStyle name="Обычный 2 3 2 3 4 2 2 2" xfId="4043"/>
    <cellStyle name="Обычный 2 3 2 3 4 2 3" xfId="4044"/>
    <cellStyle name="Обычный 2 3 2 3 4 2 4" xfId="4045"/>
    <cellStyle name="Обычный 2 3 2 3 4 2 5" xfId="4046"/>
    <cellStyle name="Обычный 2 3 2 3 4 2 6" xfId="4047"/>
    <cellStyle name="Обычный 2 3 2 3 4 2 7" xfId="4048"/>
    <cellStyle name="Обычный 2 3 2 3 4 2 8" xfId="4049"/>
    <cellStyle name="Обычный 2 3 2 3 4 2 9" xfId="4050"/>
    <cellStyle name="Обычный 2 3 2 3 4 3" xfId="4051"/>
    <cellStyle name="Обычный 2 3 2 3 4 3 2" xfId="4052"/>
    <cellStyle name="Обычный 2 3 2 3 4 4" xfId="4053"/>
    <cellStyle name="Обычный 2 3 2 3 4 5" xfId="4054"/>
    <cellStyle name="Обычный 2 3 2 3 4 6" xfId="4055"/>
    <cellStyle name="Обычный 2 3 2 3 4 7" xfId="4056"/>
    <cellStyle name="Обычный 2 3 2 3 4 8" xfId="4057"/>
    <cellStyle name="Обычный 2 3 2 3 4 9" xfId="4058"/>
    <cellStyle name="Обычный 2 3 2 3 5" xfId="4059"/>
    <cellStyle name="Обычный 2 3 2 3 5 10" xfId="4060"/>
    <cellStyle name="Обычный 2 3 2 3 5 11" xfId="4061"/>
    <cellStyle name="Обычный 2 3 2 3 5 12" xfId="18305"/>
    <cellStyle name="Обычный 2 3 2 3 5 13" xfId="20005"/>
    <cellStyle name="Обычный 2 3 2 3 5 14" xfId="21617"/>
    <cellStyle name="Обычный 2 3 2 3 5 2" xfId="4062"/>
    <cellStyle name="Обычный 2 3 2 3 5 2 10" xfId="4063"/>
    <cellStyle name="Обычный 2 3 2 3 5 2 11" xfId="18306"/>
    <cellStyle name="Обычный 2 3 2 3 5 2 12" xfId="20006"/>
    <cellStyle name="Обычный 2 3 2 3 5 2 13" xfId="21618"/>
    <cellStyle name="Обычный 2 3 2 3 5 2 2" xfId="4064"/>
    <cellStyle name="Обычный 2 3 2 3 5 2 2 2" xfId="4065"/>
    <cellStyle name="Обычный 2 3 2 3 5 2 3" xfId="4066"/>
    <cellStyle name="Обычный 2 3 2 3 5 2 4" xfId="4067"/>
    <cellStyle name="Обычный 2 3 2 3 5 2 5" xfId="4068"/>
    <cellStyle name="Обычный 2 3 2 3 5 2 6" xfId="4069"/>
    <cellStyle name="Обычный 2 3 2 3 5 2 7" xfId="4070"/>
    <cellStyle name="Обычный 2 3 2 3 5 2 8" xfId="4071"/>
    <cellStyle name="Обычный 2 3 2 3 5 2 9" xfId="4072"/>
    <cellStyle name="Обычный 2 3 2 3 5 3" xfId="4073"/>
    <cellStyle name="Обычный 2 3 2 3 5 3 2" xfId="4074"/>
    <cellStyle name="Обычный 2 3 2 3 5 4" xfId="4075"/>
    <cellStyle name="Обычный 2 3 2 3 5 5" xfId="4076"/>
    <cellStyle name="Обычный 2 3 2 3 5 6" xfId="4077"/>
    <cellStyle name="Обычный 2 3 2 3 5 7" xfId="4078"/>
    <cellStyle name="Обычный 2 3 2 3 5 8" xfId="4079"/>
    <cellStyle name="Обычный 2 3 2 3 5 9" xfId="4080"/>
    <cellStyle name="Обычный 2 3 2 3 6" xfId="4081"/>
    <cellStyle name="Обычный 2 3 2 3 6 10" xfId="4082"/>
    <cellStyle name="Обычный 2 3 2 3 6 11" xfId="18307"/>
    <cellStyle name="Обычный 2 3 2 3 6 12" xfId="20007"/>
    <cellStyle name="Обычный 2 3 2 3 6 13" xfId="21619"/>
    <cellStyle name="Обычный 2 3 2 3 6 2" xfId="4083"/>
    <cellStyle name="Обычный 2 3 2 3 6 2 2" xfId="4084"/>
    <cellStyle name="Обычный 2 3 2 3 6 3" xfId="4085"/>
    <cellStyle name="Обычный 2 3 2 3 6 4" xfId="4086"/>
    <cellStyle name="Обычный 2 3 2 3 6 5" xfId="4087"/>
    <cellStyle name="Обычный 2 3 2 3 6 6" xfId="4088"/>
    <cellStyle name="Обычный 2 3 2 3 6 7" xfId="4089"/>
    <cellStyle name="Обычный 2 3 2 3 6 8" xfId="4090"/>
    <cellStyle name="Обычный 2 3 2 3 6 9" xfId="4091"/>
    <cellStyle name="Обычный 2 3 2 3 7" xfId="4092"/>
    <cellStyle name="Обычный 2 3 2 3 7 10" xfId="20008"/>
    <cellStyle name="Обычный 2 3 2 3 7 11" xfId="21620"/>
    <cellStyle name="Обычный 2 3 2 3 7 2" xfId="4093"/>
    <cellStyle name="Обычный 2 3 2 3 7 2 2" xfId="4094"/>
    <cellStyle name="Обычный 2 3 2 3 7 3" xfId="4095"/>
    <cellStyle name="Обычный 2 3 2 3 7 4" xfId="4096"/>
    <cellStyle name="Обычный 2 3 2 3 7 5" xfId="4097"/>
    <cellStyle name="Обычный 2 3 2 3 7 6" xfId="4098"/>
    <cellStyle name="Обычный 2 3 2 3 7 7" xfId="4099"/>
    <cellStyle name="Обычный 2 3 2 3 7 8" xfId="4100"/>
    <cellStyle name="Обычный 2 3 2 3 7 9" xfId="18308"/>
    <cellStyle name="Обычный 2 3 2 3 8" xfId="4101"/>
    <cellStyle name="Обычный 2 3 2 3 8 2" xfId="4102"/>
    <cellStyle name="Обычный 2 3 2 3 9" xfId="4103"/>
    <cellStyle name="Обычный 2 3 2 4" xfId="4104"/>
    <cellStyle name="Обычный 2 3 2 4 10" xfId="4105"/>
    <cellStyle name="Обычный 2 3 2 4 11" xfId="4106"/>
    <cellStyle name="Обычный 2 3 2 4 12" xfId="4107"/>
    <cellStyle name="Обычный 2 3 2 4 13" xfId="4108"/>
    <cellStyle name="Обычный 2 3 2 4 14" xfId="4109"/>
    <cellStyle name="Обычный 2 3 2 4 15" xfId="4110"/>
    <cellStyle name="Обычный 2 3 2 4 16" xfId="4111"/>
    <cellStyle name="Обычный 2 3 2 4 17" xfId="4112"/>
    <cellStyle name="Обычный 2 3 2 4 18" xfId="18309"/>
    <cellStyle name="Обычный 2 3 2 4 19" xfId="20009"/>
    <cellStyle name="Обычный 2 3 2 4 2" xfId="4113"/>
    <cellStyle name="Обычный 2 3 2 4 2 10" xfId="4114"/>
    <cellStyle name="Обычный 2 3 2 4 2 11" xfId="4115"/>
    <cellStyle name="Обычный 2 3 2 4 2 12" xfId="18310"/>
    <cellStyle name="Обычный 2 3 2 4 2 13" xfId="20010"/>
    <cellStyle name="Обычный 2 3 2 4 2 14" xfId="21622"/>
    <cellStyle name="Обычный 2 3 2 4 2 2" xfId="4116"/>
    <cellStyle name="Обычный 2 3 2 4 2 2 10" xfId="4117"/>
    <cellStyle name="Обычный 2 3 2 4 2 2 11" xfId="18311"/>
    <cellStyle name="Обычный 2 3 2 4 2 2 12" xfId="20011"/>
    <cellStyle name="Обычный 2 3 2 4 2 2 13" xfId="21623"/>
    <cellStyle name="Обычный 2 3 2 4 2 2 2" xfId="4118"/>
    <cellStyle name="Обычный 2 3 2 4 2 2 2 2" xfId="4119"/>
    <cellStyle name="Обычный 2 3 2 4 2 2 3" xfId="4120"/>
    <cellStyle name="Обычный 2 3 2 4 2 2 4" xfId="4121"/>
    <cellStyle name="Обычный 2 3 2 4 2 2 5" xfId="4122"/>
    <cellStyle name="Обычный 2 3 2 4 2 2 6" xfId="4123"/>
    <cellStyle name="Обычный 2 3 2 4 2 2 7" xfId="4124"/>
    <cellStyle name="Обычный 2 3 2 4 2 2 8" xfId="4125"/>
    <cellStyle name="Обычный 2 3 2 4 2 2 9" xfId="4126"/>
    <cellStyle name="Обычный 2 3 2 4 2 3" xfId="4127"/>
    <cellStyle name="Обычный 2 3 2 4 2 3 2" xfId="4128"/>
    <cellStyle name="Обычный 2 3 2 4 2 4" xfId="4129"/>
    <cellStyle name="Обычный 2 3 2 4 2 5" xfId="4130"/>
    <cellStyle name="Обычный 2 3 2 4 2 6" xfId="4131"/>
    <cellStyle name="Обычный 2 3 2 4 2 7" xfId="4132"/>
    <cellStyle name="Обычный 2 3 2 4 2 8" xfId="4133"/>
    <cellStyle name="Обычный 2 3 2 4 2 9" xfId="4134"/>
    <cellStyle name="Обычный 2 3 2 4 20" xfId="21621"/>
    <cellStyle name="Обычный 2 3 2 4 3" xfId="4135"/>
    <cellStyle name="Обычный 2 3 2 4 3 10" xfId="4136"/>
    <cellStyle name="Обычный 2 3 2 4 3 11" xfId="4137"/>
    <cellStyle name="Обычный 2 3 2 4 3 12" xfId="18312"/>
    <cellStyle name="Обычный 2 3 2 4 3 13" xfId="20012"/>
    <cellStyle name="Обычный 2 3 2 4 3 14" xfId="21624"/>
    <cellStyle name="Обычный 2 3 2 4 3 2" xfId="4138"/>
    <cellStyle name="Обычный 2 3 2 4 3 2 10" xfId="4139"/>
    <cellStyle name="Обычный 2 3 2 4 3 2 11" xfId="18313"/>
    <cellStyle name="Обычный 2 3 2 4 3 2 12" xfId="20013"/>
    <cellStyle name="Обычный 2 3 2 4 3 2 13" xfId="21625"/>
    <cellStyle name="Обычный 2 3 2 4 3 2 2" xfId="4140"/>
    <cellStyle name="Обычный 2 3 2 4 3 2 2 2" xfId="4141"/>
    <cellStyle name="Обычный 2 3 2 4 3 2 3" xfId="4142"/>
    <cellStyle name="Обычный 2 3 2 4 3 2 4" xfId="4143"/>
    <cellStyle name="Обычный 2 3 2 4 3 2 5" xfId="4144"/>
    <cellStyle name="Обычный 2 3 2 4 3 2 6" xfId="4145"/>
    <cellStyle name="Обычный 2 3 2 4 3 2 7" xfId="4146"/>
    <cellStyle name="Обычный 2 3 2 4 3 2 8" xfId="4147"/>
    <cellStyle name="Обычный 2 3 2 4 3 2 9" xfId="4148"/>
    <cellStyle name="Обычный 2 3 2 4 3 3" xfId="4149"/>
    <cellStyle name="Обычный 2 3 2 4 3 3 2" xfId="4150"/>
    <cellStyle name="Обычный 2 3 2 4 3 4" xfId="4151"/>
    <cellStyle name="Обычный 2 3 2 4 3 5" xfId="4152"/>
    <cellStyle name="Обычный 2 3 2 4 3 6" xfId="4153"/>
    <cellStyle name="Обычный 2 3 2 4 3 7" xfId="4154"/>
    <cellStyle name="Обычный 2 3 2 4 3 8" xfId="4155"/>
    <cellStyle name="Обычный 2 3 2 4 3 9" xfId="4156"/>
    <cellStyle name="Обычный 2 3 2 4 4" xfId="4157"/>
    <cellStyle name="Обычный 2 3 2 4 4 10" xfId="4158"/>
    <cellStyle name="Обычный 2 3 2 4 4 11" xfId="4159"/>
    <cellStyle name="Обычный 2 3 2 4 4 12" xfId="18314"/>
    <cellStyle name="Обычный 2 3 2 4 4 13" xfId="20014"/>
    <cellStyle name="Обычный 2 3 2 4 4 14" xfId="21626"/>
    <cellStyle name="Обычный 2 3 2 4 4 2" xfId="4160"/>
    <cellStyle name="Обычный 2 3 2 4 4 2 10" xfId="4161"/>
    <cellStyle name="Обычный 2 3 2 4 4 2 11" xfId="18315"/>
    <cellStyle name="Обычный 2 3 2 4 4 2 12" xfId="20015"/>
    <cellStyle name="Обычный 2 3 2 4 4 2 13" xfId="21627"/>
    <cellStyle name="Обычный 2 3 2 4 4 2 2" xfId="4162"/>
    <cellStyle name="Обычный 2 3 2 4 4 2 2 2" xfId="4163"/>
    <cellStyle name="Обычный 2 3 2 4 4 2 3" xfId="4164"/>
    <cellStyle name="Обычный 2 3 2 4 4 2 4" xfId="4165"/>
    <cellStyle name="Обычный 2 3 2 4 4 2 5" xfId="4166"/>
    <cellStyle name="Обычный 2 3 2 4 4 2 6" xfId="4167"/>
    <cellStyle name="Обычный 2 3 2 4 4 2 7" xfId="4168"/>
    <cellStyle name="Обычный 2 3 2 4 4 2 8" xfId="4169"/>
    <cellStyle name="Обычный 2 3 2 4 4 2 9" xfId="4170"/>
    <cellStyle name="Обычный 2 3 2 4 4 3" xfId="4171"/>
    <cellStyle name="Обычный 2 3 2 4 4 3 2" xfId="4172"/>
    <cellStyle name="Обычный 2 3 2 4 4 4" xfId="4173"/>
    <cellStyle name="Обычный 2 3 2 4 4 5" xfId="4174"/>
    <cellStyle name="Обычный 2 3 2 4 4 6" xfId="4175"/>
    <cellStyle name="Обычный 2 3 2 4 4 7" xfId="4176"/>
    <cellStyle name="Обычный 2 3 2 4 4 8" xfId="4177"/>
    <cellStyle name="Обычный 2 3 2 4 4 9" xfId="4178"/>
    <cellStyle name="Обычный 2 3 2 4 5" xfId="4179"/>
    <cellStyle name="Обычный 2 3 2 4 5 10" xfId="4180"/>
    <cellStyle name="Обычный 2 3 2 4 5 11" xfId="4181"/>
    <cellStyle name="Обычный 2 3 2 4 5 12" xfId="18316"/>
    <cellStyle name="Обычный 2 3 2 4 5 13" xfId="20016"/>
    <cellStyle name="Обычный 2 3 2 4 5 14" xfId="21628"/>
    <cellStyle name="Обычный 2 3 2 4 5 2" xfId="4182"/>
    <cellStyle name="Обычный 2 3 2 4 5 2 10" xfId="4183"/>
    <cellStyle name="Обычный 2 3 2 4 5 2 11" xfId="18317"/>
    <cellStyle name="Обычный 2 3 2 4 5 2 12" xfId="20017"/>
    <cellStyle name="Обычный 2 3 2 4 5 2 13" xfId="21629"/>
    <cellStyle name="Обычный 2 3 2 4 5 2 2" xfId="4184"/>
    <cellStyle name="Обычный 2 3 2 4 5 2 2 2" xfId="4185"/>
    <cellStyle name="Обычный 2 3 2 4 5 2 3" xfId="4186"/>
    <cellStyle name="Обычный 2 3 2 4 5 2 4" xfId="4187"/>
    <cellStyle name="Обычный 2 3 2 4 5 2 5" xfId="4188"/>
    <cellStyle name="Обычный 2 3 2 4 5 2 6" xfId="4189"/>
    <cellStyle name="Обычный 2 3 2 4 5 2 7" xfId="4190"/>
    <cellStyle name="Обычный 2 3 2 4 5 2 8" xfId="4191"/>
    <cellStyle name="Обычный 2 3 2 4 5 2 9" xfId="4192"/>
    <cellStyle name="Обычный 2 3 2 4 5 3" xfId="4193"/>
    <cellStyle name="Обычный 2 3 2 4 5 3 2" xfId="4194"/>
    <cellStyle name="Обычный 2 3 2 4 5 4" xfId="4195"/>
    <cellStyle name="Обычный 2 3 2 4 5 5" xfId="4196"/>
    <cellStyle name="Обычный 2 3 2 4 5 6" xfId="4197"/>
    <cellStyle name="Обычный 2 3 2 4 5 7" xfId="4198"/>
    <cellStyle name="Обычный 2 3 2 4 5 8" xfId="4199"/>
    <cellStyle name="Обычный 2 3 2 4 5 9" xfId="4200"/>
    <cellStyle name="Обычный 2 3 2 4 6" xfId="4201"/>
    <cellStyle name="Обычный 2 3 2 4 6 10" xfId="4202"/>
    <cellStyle name="Обычный 2 3 2 4 6 11" xfId="18318"/>
    <cellStyle name="Обычный 2 3 2 4 6 12" xfId="20018"/>
    <cellStyle name="Обычный 2 3 2 4 6 13" xfId="21630"/>
    <cellStyle name="Обычный 2 3 2 4 6 2" xfId="4203"/>
    <cellStyle name="Обычный 2 3 2 4 6 2 2" xfId="4204"/>
    <cellStyle name="Обычный 2 3 2 4 6 3" xfId="4205"/>
    <cellStyle name="Обычный 2 3 2 4 6 4" xfId="4206"/>
    <cellStyle name="Обычный 2 3 2 4 6 5" xfId="4207"/>
    <cellStyle name="Обычный 2 3 2 4 6 6" xfId="4208"/>
    <cellStyle name="Обычный 2 3 2 4 6 7" xfId="4209"/>
    <cellStyle name="Обычный 2 3 2 4 6 8" xfId="4210"/>
    <cellStyle name="Обычный 2 3 2 4 6 9" xfId="4211"/>
    <cellStyle name="Обычный 2 3 2 4 7" xfId="4212"/>
    <cellStyle name="Обычный 2 3 2 4 7 10" xfId="20019"/>
    <cellStyle name="Обычный 2 3 2 4 7 11" xfId="21631"/>
    <cellStyle name="Обычный 2 3 2 4 7 2" xfId="4213"/>
    <cellStyle name="Обычный 2 3 2 4 7 2 2" xfId="4214"/>
    <cellStyle name="Обычный 2 3 2 4 7 3" xfId="4215"/>
    <cellStyle name="Обычный 2 3 2 4 7 4" xfId="4216"/>
    <cellStyle name="Обычный 2 3 2 4 7 5" xfId="4217"/>
    <cellStyle name="Обычный 2 3 2 4 7 6" xfId="4218"/>
    <cellStyle name="Обычный 2 3 2 4 7 7" xfId="4219"/>
    <cellStyle name="Обычный 2 3 2 4 7 8" xfId="4220"/>
    <cellStyle name="Обычный 2 3 2 4 7 9" xfId="18319"/>
    <cellStyle name="Обычный 2 3 2 4 8" xfId="4221"/>
    <cellStyle name="Обычный 2 3 2 4 8 2" xfId="4222"/>
    <cellStyle name="Обычный 2 3 2 4 9" xfId="4223"/>
    <cellStyle name="Обычный 2 3 2 5" xfId="4224"/>
    <cellStyle name="Обычный 2 3 2 5 10" xfId="4225"/>
    <cellStyle name="Обычный 2 3 2 5 11" xfId="4226"/>
    <cellStyle name="Обычный 2 3 2 5 12" xfId="18320"/>
    <cellStyle name="Обычный 2 3 2 5 13" xfId="20020"/>
    <cellStyle name="Обычный 2 3 2 5 14" xfId="21632"/>
    <cellStyle name="Обычный 2 3 2 5 2" xfId="4227"/>
    <cellStyle name="Обычный 2 3 2 5 2 10" xfId="4228"/>
    <cellStyle name="Обычный 2 3 2 5 2 11" xfId="18321"/>
    <cellStyle name="Обычный 2 3 2 5 2 12" xfId="20021"/>
    <cellStyle name="Обычный 2 3 2 5 2 13" xfId="21633"/>
    <cellStyle name="Обычный 2 3 2 5 2 2" xfId="4229"/>
    <cellStyle name="Обычный 2 3 2 5 2 2 2" xfId="4230"/>
    <cellStyle name="Обычный 2 3 2 5 2 3" xfId="4231"/>
    <cellStyle name="Обычный 2 3 2 5 2 4" xfId="4232"/>
    <cellStyle name="Обычный 2 3 2 5 2 5" xfId="4233"/>
    <cellStyle name="Обычный 2 3 2 5 2 6" xfId="4234"/>
    <cellStyle name="Обычный 2 3 2 5 2 7" xfId="4235"/>
    <cellStyle name="Обычный 2 3 2 5 2 8" xfId="4236"/>
    <cellStyle name="Обычный 2 3 2 5 2 9" xfId="4237"/>
    <cellStyle name="Обычный 2 3 2 5 3" xfId="4238"/>
    <cellStyle name="Обычный 2 3 2 5 3 2" xfId="4239"/>
    <cellStyle name="Обычный 2 3 2 5 4" xfId="4240"/>
    <cellStyle name="Обычный 2 3 2 5 5" xfId="4241"/>
    <cellStyle name="Обычный 2 3 2 5 6" xfId="4242"/>
    <cellStyle name="Обычный 2 3 2 5 7" xfId="4243"/>
    <cellStyle name="Обычный 2 3 2 5 8" xfId="4244"/>
    <cellStyle name="Обычный 2 3 2 5 9" xfId="4245"/>
    <cellStyle name="Обычный 2 3 2 6" xfId="4246"/>
    <cellStyle name="Обычный 2 3 2 6 10" xfId="4247"/>
    <cellStyle name="Обычный 2 3 2 6 11" xfId="4248"/>
    <cellStyle name="Обычный 2 3 2 6 12" xfId="18322"/>
    <cellStyle name="Обычный 2 3 2 6 13" xfId="20022"/>
    <cellStyle name="Обычный 2 3 2 6 14" xfId="21634"/>
    <cellStyle name="Обычный 2 3 2 6 2" xfId="4249"/>
    <cellStyle name="Обычный 2 3 2 6 2 10" xfId="4250"/>
    <cellStyle name="Обычный 2 3 2 6 2 11" xfId="18323"/>
    <cellStyle name="Обычный 2 3 2 6 2 12" xfId="20023"/>
    <cellStyle name="Обычный 2 3 2 6 2 13" xfId="21635"/>
    <cellStyle name="Обычный 2 3 2 6 2 2" xfId="4251"/>
    <cellStyle name="Обычный 2 3 2 6 2 2 2" xfId="4252"/>
    <cellStyle name="Обычный 2 3 2 6 2 3" xfId="4253"/>
    <cellStyle name="Обычный 2 3 2 6 2 4" xfId="4254"/>
    <cellStyle name="Обычный 2 3 2 6 2 5" xfId="4255"/>
    <cellStyle name="Обычный 2 3 2 6 2 6" xfId="4256"/>
    <cellStyle name="Обычный 2 3 2 6 2 7" xfId="4257"/>
    <cellStyle name="Обычный 2 3 2 6 2 8" xfId="4258"/>
    <cellStyle name="Обычный 2 3 2 6 2 9" xfId="4259"/>
    <cellStyle name="Обычный 2 3 2 6 3" xfId="4260"/>
    <cellStyle name="Обычный 2 3 2 6 3 2" xfId="4261"/>
    <cellStyle name="Обычный 2 3 2 6 4" xfId="4262"/>
    <cellStyle name="Обычный 2 3 2 6 5" xfId="4263"/>
    <cellStyle name="Обычный 2 3 2 6 6" xfId="4264"/>
    <cellStyle name="Обычный 2 3 2 6 7" xfId="4265"/>
    <cellStyle name="Обычный 2 3 2 6 8" xfId="4266"/>
    <cellStyle name="Обычный 2 3 2 6 9" xfId="4267"/>
    <cellStyle name="Обычный 2 3 2 7" xfId="4268"/>
    <cellStyle name="Обычный 2 3 2 7 10" xfId="4269"/>
    <cellStyle name="Обычный 2 3 2 7 11" xfId="4270"/>
    <cellStyle name="Обычный 2 3 2 7 12" xfId="18324"/>
    <cellStyle name="Обычный 2 3 2 7 13" xfId="20024"/>
    <cellStyle name="Обычный 2 3 2 7 14" xfId="21636"/>
    <cellStyle name="Обычный 2 3 2 7 2" xfId="4271"/>
    <cellStyle name="Обычный 2 3 2 7 2 10" xfId="4272"/>
    <cellStyle name="Обычный 2 3 2 7 2 11" xfId="18325"/>
    <cellStyle name="Обычный 2 3 2 7 2 12" xfId="20025"/>
    <cellStyle name="Обычный 2 3 2 7 2 13" xfId="21637"/>
    <cellStyle name="Обычный 2 3 2 7 2 2" xfId="4273"/>
    <cellStyle name="Обычный 2 3 2 7 2 2 2" xfId="4274"/>
    <cellStyle name="Обычный 2 3 2 7 2 3" xfId="4275"/>
    <cellStyle name="Обычный 2 3 2 7 2 4" xfId="4276"/>
    <cellStyle name="Обычный 2 3 2 7 2 5" xfId="4277"/>
    <cellStyle name="Обычный 2 3 2 7 2 6" xfId="4278"/>
    <cellStyle name="Обычный 2 3 2 7 2 7" xfId="4279"/>
    <cellStyle name="Обычный 2 3 2 7 2 8" xfId="4280"/>
    <cellStyle name="Обычный 2 3 2 7 2 9" xfId="4281"/>
    <cellStyle name="Обычный 2 3 2 7 3" xfId="4282"/>
    <cellStyle name="Обычный 2 3 2 7 3 2" xfId="4283"/>
    <cellStyle name="Обычный 2 3 2 7 4" xfId="4284"/>
    <cellStyle name="Обычный 2 3 2 7 5" xfId="4285"/>
    <cellStyle name="Обычный 2 3 2 7 6" xfId="4286"/>
    <cellStyle name="Обычный 2 3 2 7 7" xfId="4287"/>
    <cellStyle name="Обычный 2 3 2 7 8" xfId="4288"/>
    <cellStyle name="Обычный 2 3 2 7 9" xfId="4289"/>
    <cellStyle name="Обычный 2 3 2 8" xfId="4290"/>
    <cellStyle name="Обычный 2 3 2 8 10" xfId="4291"/>
    <cellStyle name="Обычный 2 3 2 8 11" xfId="4292"/>
    <cellStyle name="Обычный 2 3 2 8 12" xfId="18326"/>
    <cellStyle name="Обычный 2 3 2 8 13" xfId="20026"/>
    <cellStyle name="Обычный 2 3 2 8 14" xfId="21638"/>
    <cellStyle name="Обычный 2 3 2 8 2" xfId="4293"/>
    <cellStyle name="Обычный 2 3 2 8 2 10" xfId="4294"/>
    <cellStyle name="Обычный 2 3 2 8 2 11" xfId="18327"/>
    <cellStyle name="Обычный 2 3 2 8 2 12" xfId="20027"/>
    <cellStyle name="Обычный 2 3 2 8 2 13" xfId="21639"/>
    <cellStyle name="Обычный 2 3 2 8 2 2" xfId="4295"/>
    <cellStyle name="Обычный 2 3 2 8 2 2 2" xfId="4296"/>
    <cellStyle name="Обычный 2 3 2 8 2 3" xfId="4297"/>
    <cellStyle name="Обычный 2 3 2 8 2 4" xfId="4298"/>
    <cellStyle name="Обычный 2 3 2 8 2 5" xfId="4299"/>
    <cellStyle name="Обычный 2 3 2 8 2 6" xfId="4300"/>
    <cellStyle name="Обычный 2 3 2 8 2 7" xfId="4301"/>
    <cellStyle name="Обычный 2 3 2 8 2 8" xfId="4302"/>
    <cellStyle name="Обычный 2 3 2 8 2 9" xfId="4303"/>
    <cellStyle name="Обычный 2 3 2 8 3" xfId="4304"/>
    <cellStyle name="Обычный 2 3 2 8 3 2" xfId="4305"/>
    <cellStyle name="Обычный 2 3 2 8 4" xfId="4306"/>
    <cellStyle name="Обычный 2 3 2 8 5" xfId="4307"/>
    <cellStyle name="Обычный 2 3 2 8 6" xfId="4308"/>
    <cellStyle name="Обычный 2 3 2 8 7" xfId="4309"/>
    <cellStyle name="Обычный 2 3 2 8 8" xfId="4310"/>
    <cellStyle name="Обычный 2 3 2 8 9" xfId="4311"/>
    <cellStyle name="Обычный 2 3 2 9" xfId="4312"/>
    <cellStyle name="Обычный 2 3 2 9 10" xfId="4313"/>
    <cellStyle name="Обычный 2 3 2 9 11" xfId="4314"/>
    <cellStyle name="Обычный 2 3 2 9 12" xfId="18328"/>
    <cellStyle name="Обычный 2 3 2 9 13" xfId="20028"/>
    <cellStyle name="Обычный 2 3 2 9 14" xfId="21640"/>
    <cellStyle name="Обычный 2 3 2 9 2" xfId="4315"/>
    <cellStyle name="Обычный 2 3 2 9 2 10" xfId="4316"/>
    <cellStyle name="Обычный 2 3 2 9 2 11" xfId="18329"/>
    <cellStyle name="Обычный 2 3 2 9 2 12" xfId="20029"/>
    <cellStyle name="Обычный 2 3 2 9 2 13" xfId="21641"/>
    <cellStyle name="Обычный 2 3 2 9 2 2" xfId="4317"/>
    <cellStyle name="Обычный 2 3 2 9 2 2 2" xfId="4318"/>
    <cellStyle name="Обычный 2 3 2 9 2 3" xfId="4319"/>
    <cellStyle name="Обычный 2 3 2 9 2 4" xfId="4320"/>
    <cellStyle name="Обычный 2 3 2 9 2 5" xfId="4321"/>
    <cellStyle name="Обычный 2 3 2 9 2 6" xfId="4322"/>
    <cellStyle name="Обычный 2 3 2 9 2 7" xfId="4323"/>
    <cellStyle name="Обычный 2 3 2 9 2 8" xfId="4324"/>
    <cellStyle name="Обычный 2 3 2 9 2 9" xfId="4325"/>
    <cellStyle name="Обычный 2 3 2 9 3" xfId="4326"/>
    <cellStyle name="Обычный 2 3 2 9 3 2" xfId="4327"/>
    <cellStyle name="Обычный 2 3 2 9 4" xfId="4328"/>
    <cellStyle name="Обычный 2 3 2 9 5" xfId="4329"/>
    <cellStyle name="Обычный 2 3 2 9 6" xfId="4330"/>
    <cellStyle name="Обычный 2 3 2 9 7" xfId="4331"/>
    <cellStyle name="Обычный 2 3 2 9 8" xfId="4332"/>
    <cellStyle name="Обычный 2 3 2 9 9" xfId="4333"/>
    <cellStyle name="Обычный 2 3 3" xfId="4334"/>
    <cellStyle name="Обычный 2 3 3 2" xfId="18330"/>
    <cellStyle name="Обычный 2 3 4" xfId="18256"/>
    <cellStyle name="Обычный 2 4" xfId="4335"/>
    <cellStyle name="Обычный 2 4 10" xfId="4336"/>
    <cellStyle name="Обычный 2 4 10 10" xfId="4337"/>
    <cellStyle name="Обычный 2 4 10 11" xfId="4338"/>
    <cellStyle name="Обычный 2 4 10 12" xfId="18332"/>
    <cellStyle name="Обычный 2 4 10 13" xfId="20031"/>
    <cellStyle name="Обычный 2 4 10 14" xfId="21643"/>
    <cellStyle name="Обычный 2 4 10 2" xfId="4339"/>
    <cellStyle name="Обычный 2 4 10 2 10" xfId="4340"/>
    <cellStyle name="Обычный 2 4 10 2 11" xfId="18333"/>
    <cellStyle name="Обычный 2 4 10 2 12" xfId="20032"/>
    <cellStyle name="Обычный 2 4 10 2 13" xfId="21644"/>
    <cellStyle name="Обычный 2 4 10 2 2" xfId="4341"/>
    <cellStyle name="Обычный 2 4 10 2 2 2" xfId="4342"/>
    <cellStyle name="Обычный 2 4 10 2 3" xfId="4343"/>
    <cellStyle name="Обычный 2 4 10 2 4" xfId="4344"/>
    <cellStyle name="Обычный 2 4 10 2 5" xfId="4345"/>
    <cellStyle name="Обычный 2 4 10 2 6" xfId="4346"/>
    <cellStyle name="Обычный 2 4 10 2 7" xfId="4347"/>
    <cellStyle name="Обычный 2 4 10 2 8" xfId="4348"/>
    <cellStyle name="Обычный 2 4 10 2 9" xfId="4349"/>
    <cellStyle name="Обычный 2 4 10 3" xfId="4350"/>
    <cellStyle name="Обычный 2 4 10 3 2" xfId="4351"/>
    <cellStyle name="Обычный 2 4 10 4" xfId="4352"/>
    <cellStyle name="Обычный 2 4 10 5" xfId="4353"/>
    <cellStyle name="Обычный 2 4 10 6" xfId="4354"/>
    <cellStyle name="Обычный 2 4 10 7" xfId="4355"/>
    <cellStyle name="Обычный 2 4 10 8" xfId="4356"/>
    <cellStyle name="Обычный 2 4 10 9" xfId="4357"/>
    <cellStyle name="Обычный 2 4 11" xfId="4358"/>
    <cellStyle name="Обычный 2 4 11 10" xfId="4359"/>
    <cellStyle name="Обычный 2 4 11 11" xfId="4360"/>
    <cellStyle name="Обычный 2 4 11 12" xfId="18334"/>
    <cellStyle name="Обычный 2 4 11 13" xfId="20033"/>
    <cellStyle name="Обычный 2 4 11 14" xfId="21645"/>
    <cellStyle name="Обычный 2 4 11 2" xfId="4361"/>
    <cellStyle name="Обычный 2 4 11 2 10" xfId="4362"/>
    <cellStyle name="Обычный 2 4 11 2 11" xfId="18335"/>
    <cellStyle name="Обычный 2 4 11 2 12" xfId="20034"/>
    <cellStyle name="Обычный 2 4 11 2 13" xfId="21646"/>
    <cellStyle name="Обычный 2 4 11 2 2" xfId="4363"/>
    <cellStyle name="Обычный 2 4 11 2 2 2" xfId="4364"/>
    <cellStyle name="Обычный 2 4 11 2 3" xfId="4365"/>
    <cellStyle name="Обычный 2 4 11 2 4" xfId="4366"/>
    <cellStyle name="Обычный 2 4 11 2 5" xfId="4367"/>
    <cellStyle name="Обычный 2 4 11 2 6" xfId="4368"/>
    <cellStyle name="Обычный 2 4 11 2 7" xfId="4369"/>
    <cellStyle name="Обычный 2 4 11 2 8" xfId="4370"/>
    <cellStyle name="Обычный 2 4 11 2 9" xfId="4371"/>
    <cellStyle name="Обычный 2 4 11 3" xfId="4372"/>
    <cellStyle name="Обычный 2 4 11 3 2" xfId="4373"/>
    <cellStyle name="Обычный 2 4 11 4" xfId="4374"/>
    <cellStyle name="Обычный 2 4 11 5" xfId="4375"/>
    <cellStyle name="Обычный 2 4 11 6" xfId="4376"/>
    <cellStyle name="Обычный 2 4 11 7" xfId="4377"/>
    <cellStyle name="Обычный 2 4 11 8" xfId="4378"/>
    <cellStyle name="Обычный 2 4 11 9" xfId="4379"/>
    <cellStyle name="Обычный 2 4 12" xfId="4380"/>
    <cellStyle name="Обычный 2 4 12 10" xfId="4381"/>
    <cellStyle name="Обычный 2 4 12 11" xfId="18336"/>
    <cellStyle name="Обычный 2 4 12 12" xfId="20035"/>
    <cellStyle name="Обычный 2 4 12 13" xfId="21647"/>
    <cellStyle name="Обычный 2 4 12 2" xfId="4382"/>
    <cellStyle name="Обычный 2 4 12 2 2" xfId="4383"/>
    <cellStyle name="Обычный 2 4 12 3" xfId="4384"/>
    <cellStyle name="Обычный 2 4 12 4" xfId="4385"/>
    <cellStyle name="Обычный 2 4 12 5" xfId="4386"/>
    <cellStyle name="Обычный 2 4 12 6" xfId="4387"/>
    <cellStyle name="Обычный 2 4 12 7" xfId="4388"/>
    <cellStyle name="Обычный 2 4 12 8" xfId="4389"/>
    <cellStyle name="Обычный 2 4 12 9" xfId="4390"/>
    <cellStyle name="Обычный 2 4 13" xfId="4391"/>
    <cellStyle name="Обычный 2 4 13 10" xfId="20036"/>
    <cellStyle name="Обычный 2 4 13 11" xfId="21648"/>
    <cellStyle name="Обычный 2 4 13 2" xfId="4392"/>
    <cellStyle name="Обычный 2 4 13 2 2" xfId="4393"/>
    <cellStyle name="Обычный 2 4 13 3" xfId="4394"/>
    <cellStyle name="Обычный 2 4 13 4" xfId="4395"/>
    <cellStyle name="Обычный 2 4 13 5" xfId="4396"/>
    <cellStyle name="Обычный 2 4 13 6" xfId="4397"/>
    <cellStyle name="Обычный 2 4 13 7" xfId="4398"/>
    <cellStyle name="Обычный 2 4 13 8" xfId="4399"/>
    <cellStyle name="Обычный 2 4 13 9" xfId="18337"/>
    <cellStyle name="Обычный 2 4 14" xfId="4400"/>
    <cellStyle name="Обычный 2 4 14 10" xfId="20037"/>
    <cellStyle name="Обычный 2 4 14 11" xfId="21649"/>
    <cellStyle name="Обычный 2 4 14 2" xfId="4401"/>
    <cellStyle name="Обычный 2 4 14 2 2" xfId="4402"/>
    <cellStyle name="Обычный 2 4 14 3" xfId="4403"/>
    <cellStyle name="Обычный 2 4 14 4" xfId="4404"/>
    <cellStyle name="Обычный 2 4 14 5" xfId="4405"/>
    <cellStyle name="Обычный 2 4 14 6" xfId="4406"/>
    <cellStyle name="Обычный 2 4 14 7" xfId="4407"/>
    <cellStyle name="Обычный 2 4 14 8" xfId="4408"/>
    <cellStyle name="Обычный 2 4 14 9" xfId="18338"/>
    <cellStyle name="Обычный 2 4 15" xfId="4409"/>
    <cellStyle name="Обычный 2 4 15 2" xfId="4410"/>
    <cellStyle name="Обычный 2 4 16" xfId="4411"/>
    <cellStyle name="Обычный 2 4 17" xfId="4412"/>
    <cellStyle name="Обычный 2 4 18" xfId="4413"/>
    <cellStyle name="Обычный 2 4 19" xfId="4414"/>
    <cellStyle name="Обычный 2 4 2" xfId="4415"/>
    <cellStyle name="Обычный 2 4 2 10" xfId="4416"/>
    <cellStyle name="Обычный 2 4 2 10 2" xfId="4417"/>
    <cellStyle name="Обычный 2 4 2 11" xfId="4418"/>
    <cellStyle name="Обычный 2 4 2 12" xfId="4419"/>
    <cellStyle name="Обычный 2 4 2 13" xfId="4420"/>
    <cellStyle name="Обычный 2 4 2 14" xfId="4421"/>
    <cellStyle name="Обычный 2 4 2 15" xfId="4422"/>
    <cellStyle name="Обычный 2 4 2 16" xfId="4423"/>
    <cellStyle name="Обычный 2 4 2 17" xfId="4424"/>
    <cellStyle name="Обычный 2 4 2 18" xfId="4425"/>
    <cellStyle name="Обычный 2 4 2 19" xfId="4426"/>
    <cellStyle name="Обычный 2 4 2 2" xfId="4427"/>
    <cellStyle name="Обычный 2 4 2 2 10" xfId="4428"/>
    <cellStyle name="Обычный 2 4 2 2 11" xfId="4429"/>
    <cellStyle name="Обычный 2 4 2 2 12" xfId="4430"/>
    <cellStyle name="Обычный 2 4 2 2 13" xfId="4431"/>
    <cellStyle name="Обычный 2 4 2 2 14" xfId="4432"/>
    <cellStyle name="Обычный 2 4 2 2 15" xfId="4433"/>
    <cellStyle name="Обычный 2 4 2 2 16" xfId="4434"/>
    <cellStyle name="Обычный 2 4 2 2 17" xfId="4435"/>
    <cellStyle name="Обычный 2 4 2 2 18" xfId="18340"/>
    <cellStyle name="Обычный 2 4 2 2 19" xfId="20039"/>
    <cellStyle name="Обычный 2 4 2 2 2" xfId="4436"/>
    <cellStyle name="Обычный 2 4 2 2 2 10" xfId="4437"/>
    <cellStyle name="Обычный 2 4 2 2 2 11" xfId="4438"/>
    <cellStyle name="Обычный 2 4 2 2 2 12" xfId="18341"/>
    <cellStyle name="Обычный 2 4 2 2 2 13" xfId="20040"/>
    <cellStyle name="Обычный 2 4 2 2 2 14" xfId="21652"/>
    <cellStyle name="Обычный 2 4 2 2 2 2" xfId="4439"/>
    <cellStyle name="Обычный 2 4 2 2 2 2 10" xfId="4440"/>
    <cellStyle name="Обычный 2 4 2 2 2 2 11" xfId="18342"/>
    <cellStyle name="Обычный 2 4 2 2 2 2 12" xfId="20041"/>
    <cellStyle name="Обычный 2 4 2 2 2 2 13" xfId="21653"/>
    <cellStyle name="Обычный 2 4 2 2 2 2 2" xfId="4441"/>
    <cellStyle name="Обычный 2 4 2 2 2 2 2 2" xfId="4442"/>
    <cellStyle name="Обычный 2 4 2 2 2 2 3" xfId="4443"/>
    <cellStyle name="Обычный 2 4 2 2 2 2 4" xfId="4444"/>
    <cellStyle name="Обычный 2 4 2 2 2 2 5" xfId="4445"/>
    <cellStyle name="Обычный 2 4 2 2 2 2 6" xfId="4446"/>
    <cellStyle name="Обычный 2 4 2 2 2 2 7" xfId="4447"/>
    <cellStyle name="Обычный 2 4 2 2 2 2 8" xfId="4448"/>
    <cellStyle name="Обычный 2 4 2 2 2 2 9" xfId="4449"/>
    <cellStyle name="Обычный 2 4 2 2 2 3" xfId="4450"/>
    <cellStyle name="Обычный 2 4 2 2 2 3 2" xfId="4451"/>
    <cellStyle name="Обычный 2 4 2 2 2 4" xfId="4452"/>
    <cellStyle name="Обычный 2 4 2 2 2 5" xfId="4453"/>
    <cellStyle name="Обычный 2 4 2 2 2 6" xfId="4454"/>
    <cellStyle name="Обычный 2 4 2 2 2 7" xfId="4455"/>
    <cellStyle name="Обычный 2 4 2 2 2 8" xfId="4456"/>
    <cellStyle name="Обычный 2 4 2 2 2 9" xfId="4457"/>
    <cellStyle name="Обычный 2 4 2 2 20" xfId="21651"/>
    <cellStyle name="Обычный 2 4 2 2 3" xfId="4458"/>
    <cellStyle name="Обычный 2 4 2 2 3 10" xfId="4459"/>
    <cellStyle name="Обычный 2 4 2 2 3 11" xfId="4460"/>
    <cellStyle name="Обычный 2 4 2 2 3 12" xfId="18343"/>
    <cellStyle name="Обычный 2 4 2 2 3 13" xfId="20042"/>
    <cellStyle name="Обычный 2 4 2 2 3 14" xfId="21654"/>
    <cellStyle name="Обычный 2 4 2 2 3 2" xfId="4461"/>
    <cellStyle name="Обычный 2 4 2 2 3 2 10" xfId="4462"/>
    <cellStyle name="Обычный 2 4 2 2 3 2 11" xfId="18344"/>
    <cellStyle name="Обычный 2 4 2 2 3 2 12" xfId="20043"/>
    <cellStyle name="Обычный 2 4 2 2 3 2 13" xfId="21655"/>
    <cellStyle name="Обычный 2 4 2 2 3 2 2" xfId="4463"/>
    <cellStyle name="Обычный 2 4 2 2 3 2 2 2" xfId="4464"/>
    <cellStyle name="Обычный 2 4 2 2 3 2 3" xfId="4465"/>
    <cellStyle name="Обычный 2 4 2 2 3 2 4" xfId="4466"/>
    <cellStyle name="Обычный 2 4 2 2 3 2 5" xfId="4467"/>
    <cellStyle name="Обычный 2 4 2 2 3 2 6" xfId="4468"/>
    <cellStyle name="Обычный 2 4 2 2 3 2 7" xfId="4469"/>
    <cellStyle name="Обычный 2 4 2 2 3 2 8" xfId="4470"/>
    <cellStyle name="Обычный 2 4 2 2 3 2 9" xfId="4471"/>
    <cellStyle name="Обычный 2 4 2 2 3 3" xfId="4472"/>
    <cellStyle name="Обычный 2 4 2 2 3 3 2" xfId="4473"/>
    <cellStyle name="Обычный 2 4 2 2 3 4" xfId="4474"/>
    <cellStyle name="Обычный 2 4 2 2 3 5" xfId="4475"/>
    <cellStyle name="Обычный 2 4 2 2 3 6" xfId="4476"/>
    <cellStyle name="Обычный 2 4 2 2 3 7" xfId="4477"/>
    <cellStyle name="Обычный 2 4 2 2 3 8" xfId="4478"/>
    <cellStyle name="Обычный 2 4 2 2 3 9" xfId="4479"/>
    <cellStyle name="Обычный 2 4 2 2 4" xfId="4480"/>
    <cellStyle name="Обычный 2 4 2 2 4 10" xfId="4481"/>
    <cellStyle name="Обычный 2 4 2 2 4 11" xfId="4482"/>
    <cellStyle name="Обычный 2 4 2 2 4 12" xfId="18345"/>
    <cellStyle name="Обычный 2 4 2 2 4 13" xfId="20044"/>
    <cellStyle name="Обычный 2 4 2 2 4 14" xfId="21656"/>
    <cellStyle name="Обычный 2 4 2 2 4 2" xfId="4483"/>
    <cellStyle name="Обычный 2 4 2 2 4 2 10" xfId="4484"/>
    <cellStyle name="Обычный 2 4 2 2 4 2 11" xfId="18346"/>
    <cellStyle name="Обычный 2 4 2 2 4 2 12" xfId="20045"/>
    <cellStyle name="Обычный 2 4 2 2 4 2 13" xfId="21657"/>
    <cellStyle name="Обычный 2 4 2 2 4 2 2" xfId="4485"/>
    <cellStyle name="Обычный 2 4 2 2 4 2 2 2" xfId="4486"/>
    <cellStyle name="Обычный 2 4 2 2 4 2 3" xfId="4487"/>
    <cellStyle name="Обычный 2 4 2 2 4 2 4" xfId="4488"/>
    <cellStyle name="Обычный 2 4 2 2 4 2 5" xfId="4489"/>
    <cellStyle name="Обычный 2 4 2 2 4 2 6" xfId="4490"/>
    <cellStyle name="Обычный 2 4 2 2 4 2 7" xfId="4491"/>
    <cellStyle name="Обычный 2 4 2 2 4 2 8" xfId="4492"/>
    <cellStyle name="Обычный 2 4 2 2 4 2 9" xfId="4493"/>
    <cellStyle name="Обычный 2 4 2 2 4 3" xfId="4494"/>
    <cellStyle name="Обычный 2 4 2 2 4 3 2" xfId="4495"/>
    <cellStyle name="Обычный 2 4 2 2 4 4" xfId="4496"/>
    <cellStyle name="Обычный 2 4 2 2 4 5" xfId="4497"/>
    <cellStyle name="Обычный 2 4 2 2 4 6" xfId="4498"/>
    <cellStyle name="Обычный 2 4 2 2 4 7" xfId="4499"/>
    <cellStyle name="Обычный 2 4 2 2 4 8" xfId="4500"/>
    <cellStyle name="Обычный 2 4 2 2 4 9" xfId="4501"/>
    <cellStyle name="Обычный 2 4 2 2 5" xfId="4502"/>
    <cellStyle name="Обычный 2 4 2 2 5 10" xfId="4503"/>
    <cellStyle name="Обычный 2 4 2 2 5 11" xfId="4504"/>
    <cellStyle name="Обычный 2 4 2 2 5 12" xfId="18347"/>
    <cellStyle name="Обычный 2 4 2 2 5 13" xfId="20046"/>
    <cellStyle name="Обычный 2 4 2 2 5 14" xfId="21658"/>
    <cellStyle name="Обычный 2 4 2 2 5 2" xfId="4505"/>
    <cellStyle name="Обычный 2 4 2 2 5 2 10" xfId="4506"/>
    <cellStyle name="Обычный 2 4 2 2 5 2 11" xfId="18348"/>
    <cellStyle name="Обычный 2 4 2 2 5 2 12" xfId="20047"/>
    <cellStyle name="Обычный 2 4 2 2 5 2 13" xfId="21659"/>
    <cellStyle name="Обычный 2 4 2 2 5 2 2" xfId="4507"/>
    <cellStyle name="Обычный 2 4 2 2 5 2 2 2" xfId="4508"/>
    <cellStyle name="Обычный 2 4 2 2 5 2 3" xfId="4509"/>
    <cellStyle name="Обычный 2 4 2 2 5 2 4" xfId="4510"/>
    <cellStyle name="Обычный 2 4 2 2 5 2 5" xfId="4511"/>
    <cellStyle name="Обычный 2 4 2 2 5 2 6" xfId="4512"/>
    <cellStyle name="Обычный 2 4 2 2 5 2 7" xfId="4513"/>
    <cellStyle name="Обычный 2 4 2 2 5 2 8" xfId="4514"/>
    <cellStyle name="Обычный 2 4 2 2 5 2 9" xfId="4515"/>
    <cellStyle name="Обычный 2 4 2 2 5 3" xfId="4516"/>
    <cellStyle name="Обычный 2 4 2 2 5 3 2" xfId="4517"/>
    <cellStyle name="Обычный 2 4 2 2 5 4" xfId="4518"/>
    <cellStyle name="Обычный 2 4 2 2 5 5" xfId="4519"/>
    <cellStyle name="Обычный 2 4 2 2 5 6" xfId="4520"/>
    <cellStyle name="Обычный 2 4 2 2 5 7" xfId="4521"/>
    <cellStyle name="Обычный 2 4 2 2 5 8" xfId="4522"/>
    <cellStyle name="Обычный 2 4 2 2 5 9" xfId="4523"/>
    <cellStyle name="Обычный 2 4 2 2 6" xfId="4524"/>
    <cellStyle name="Обычный 2 4 2 2 6 10" xfId="4525"/>
    <cellStyle name="Обычный 2 4 2 2 6 11" xfId="18349"/>
    <cellStyle name="Обычный 2 4 2 2 6 12" xfId="20048"/>
    <cellStyle name="Обычный 2 4 2 2 6 13" xfId="21660"/>
    <cellStyle name="Обычный 2 4 2 2 6 2" xfId="4526"/>
    <cellStyle name="Обычный 2 4 2 2 6 2 2" xfId="4527"/>
    <cellStyle name="Обычный 2 4 2 2 6 3" xfId="4528"/>
    <cellStyle name="Обычный 2 4 2 2 6 4" xfId="4529"/>
    <cellStyle name="Обычный 2 4 2 2 6 5" xfId="4530"/>
    <cellStyle name="Обычный 2 4 2 2 6 6" xfId="4531"/>
    <cellStyle name="Обычный 2 4 2 2 6 7" xfId="4532"/>
    <cellStyle name="Обычный 2 4 2 2 6 8" xfId="4533"/>
    <cellStyle name="Обычный 2 4 2 2 6 9" xfId="4534"/>
    <cellStyle name="Обычный 2 4 2 2 7" xfId="4535"/>
    <cellStyle name="Обычный 2 4 2 2 7 10" xfId="20049"/>
    <cellStyle name="Обычный 2 4 2 2 7 11" xfId="21661"/>
    <cellStyle name="Обычный 2 4 2 2 7 2" xfId="4536"/>
    <cellStyle name="Обычный 2 4 2 2 7 2 2" xfId="4537"/>
    <cellStyle name="Обычный 2 4 2 2 7 3" xfId="4538"/>
    <cellStyle name="Обычный 2 4 2 2 7 4" xfId="4539"/>
    <cellStyle name="Обычный 2 4 2 2 7 5" xfId="4540"/>
    <cellStyle name="Обычный 2 4 2 2 7 6" xfId="4541"/>
    <cellStyle name="Обычный 2 4 2 2 7 7" xfId="4542"/>
    <cellStyle name="Обычный 2 4 2 2 7 8" xfId="4543"/>
    <cellStyle name="Обычный 2 4 2 2 7 9" xfId="18350"/>
    <cellStyle name="Обычный 2 4 2 2 8" xfId="4544"/>
    <cellStyle name="Обычный 2 4 2 2 8 2" xfId="4545"/>
    <cellStyle name="Обычный 2 4 2 2 9" xfId="4546"/>
    <cellStyle name="Обычный 2 4 2 20" xfId="18339"/>
    <cellStyle name="Обычный 2 4 2 21" xfId="20038"/>
    <cellStyle name="Обычный 2 4 2 22" xfId="21650"/>
    <cellStyle name="Обычный 2 4 2 3" xfId="4547"/>
    <cellStyle name="Обычный 2 4 2 3 10" xfId="4548"/>
    <cellStyle name="Обычный 2 4 2 3 11" xfId="4549"/>
    <cellStyle name="Обычный 2 4 2 3 12" xfId="4550"/>
    <cellStyle name="Обычный 2 4 2 3 13" xfId="4551"/>
    <cellStyle name="Обычный 2 4 2 3 14" xfId="4552"/>
    <cellStyle name="Обычный 2 4 2 3 15" xfId="4553"/>
    <cellStyle name="Обычный 2 4 2 3 16" xfId="4554"/>
    <cellStyle name="Обычный 2 4 2 3 17" xfId="4555"/>
    <cellStyle name="Обычный 2 4 2 3 18" xfId="18351"/>
    <cellStyle name="Обычный 2 4 2 3 19" xfId="20050"/>
    <cellStyle name="Обычный 2 4 2 3 2" xfId="4556"/>
    <cellStyle name="Обычный 2 4 2 3 2 10" xfId="4557"/>
    <cellStyle name="Обычный 2 4 2 3 2 11" xfId="4558"/>
    <cellStyle name="Обычный 2 4 2 3 2 12" xfId="18352"/>
    <cellStyle name="Обычный 2 4 2 3 2 13" xfId="20051"/>
    <cellStyle name="Обычный 2 4 2 3 2 14" xfId="21663"/>
    <cellStyle name="Обычный 2 4 2 3 2 2" xfId="4559"/>
    <cellStyle name="Обычный 2 4 2 3 2 2 10" xfId="4560"/>
    <cellStyle name="Обычный 2 4 2 3 2 2 11" xfId="18353"/>
    <cellStyle name="Обычный 2 4 2 3 2 2 12" xfId="20052"/>
    <cellStyle name="Обычный 2 4 2 3 2 2 13" xfId="21664"/>
    <cellStyle name="Обычный 2 4 2 3 2 2 2" xfId="4561"/>
    <cellStyle name="Обычный 2 4 2 3 2 2 2 2" xfId="4562"/>
    <cellStyle name="Обычный 2 4 2 3 2 2 3" xfId="4563"/>
    <cellStyle name="Обычный 2 4 2 3 2 2 4" xfId="4564"/>
    <cellStyle name="Обычный 2 4 2 3 2 2 5" xfId="4565"/>
    <cellStyle name="Обычный 2 4 2 3 2 2 6" xfId="4566"/>
    <cellStyle name="Обычный 2 4 2 3 2 2 7" xfId="4567"/>
    <cellStyle name="Обычный 2 4 2 3 2 2 8" xfId="4568"/>
    <cellStyle name="Обычный 2 4 2 3 2 2 9" xfId="4569"/>
    <cellStyle name="Обычный 2 4 2 3 2 3" xfId="4570"/>
    <cellStyle name="Обычный 2 4 2 3 2 3 2" xfId="4571"/>
    <cellStyle name="Обычный 2 4 2 3 2 4" xfId="4572"/>
    <cellStyle name="Обычный 2 4 2 3 2 5" xfId="4573"/>
    <cellStyle name="Обычный 2 4 2 3 2 6" xfId="4574"/>
    <cellStyle name="Обычный 2 4 2 3 2 7" xfId="4575"/>
    <cellStyle name="Обычный 2 4 2 3 2 8" xfId="4576"/>
    <cellStyle name="Обычный 2 4 2 3 2 9" xfId="4577"/>
    <cellStyle name="Обычный 2 4 2 3 20" xfId="21662"/>
    <cellStyle name="Обычный 2 4 2 3 3" xfId="4578"/>
    <cellStyle name="Обычный 2 4 2 3 3 10" xfId="4579"/>
    <cellStyle name="Обычный 2 4 2 3 3 11" xfId="4580"/>
    <cellStyle name="Обычный 2 4 2 3 3 12" xfId="18354"/>
    <cellStyle name="Обычный 2 4 2 3 3 13" xfId="20053"/>
    <cellStyle name="Обычный 2 4 2 3 3 14" xfId="21665"/>
    <cellStyle name="Обычный 2 4 2 3 3 2" xfId="4581"/>
    <cellStyle name="Обычный 2 4 2 3 3 2 10" xfId="4582"/>
    <cellStyle name="Обычный 2 4 2 3 3 2 11" xfId="18355"/>
    <cellStyle name="Обычный 2 4 2 3 3 2 12" xfId="20054"/>
    <cellStyle name="Обычный 2 4 2 3 3 2 13" xfId="21666"/>
    <cellStyle name="Обычный 2 4 2 3 3 2 2" xfId="4583"/>
    <cellStyle name="Обычный 2 4 2 3 3 2 2 2" xfId="4584"/>
    <cellStyle name="Обычный 2 4 2 3 3 2 3" xfId="4585"/>
    <cellStyle name="Обычный 2 4 2 3 3 2 4" xfId="4586"/>
    <cellStyle name="Обычный 2 4 2 3 3 2 5" xfId="4587"/>
    <cellStyle name="Обычный 2 4 2 3 3 2 6" xfId="4588"/>
    <cellStyle name="Обычный 2 4 2 3 3 2 7" xfId="4589"/>
    <cellStyle name="Обычный 2 4 2 3 3 2 8" xfId="4590"/>
    <cellStyle name="Обычный 2 4 2 3 3 2 9" xfId="4591"/>
    <cellStyle name="Обычный 2 4 2 3 3 3" xfId="4592"/>
    <cellStyle name="Обычный 2 4 2 3 3 3 2" xfId="4593"/>
    <cellStyle name="Обычный 2 4 2 3 3 4" xfId="4594"/>
    <cellStyle name="Обычный 2 4 2 3 3 5" xfId="4595"/>
    <cellStyle name="Обычный 2 4 2 3 3 6" xfId="4596"/>
    <cellStyle name="Обычный 2 4 2 3 3 7" xfId="4597"/>
    <cellStyle name="Обычный 2 4 2 3 3 8" xfId="4598"/>
    <cellStyle name="Обычный 2 4 2 3 3 9" xfId="4599"/>
    <cellStyle name="Обычный 2 4 2 3 4" xfId="4600"/>
    <cellStyle name="Обычный 2 4 2 3 4 10" xfId="4601"/>
    <cellStyle name="Обычный 2 4 2 3 4 11" xfId="4602"/>
    <cellStyle name="Обычный 2 4 2 3 4 12" xfId="18356"/>
    <cellStyle name="Обычный 2 4 2 3 4 13" xfId="20055"/>
    <cellStyle name="Обычный 2 4 2 3 4 14" xfId="21667"/>
    <cellStyle name="Обычный 2 4 2 3 4 2" xfId="4603"/>
    <cellStyle name="Обычный 2 4 2 3 4 2 10" xfId="4604"/>
    <cellStyle name="Обычный 2 4 2 3 4 2 11" xfId="18357"/>
    <cellStyle name="Обычный 2 4 2 3 4 2 12" xfId="20056"/>
    <cellStyle name="Обычный 2 4 2 3 4 2 13" xfId="21668"/>
    <cellStyle name="Обычный 2 4 2 3 4 2 2" xfId="4605"/>
    <cellStyle name="Обычный 2 4 2 3 4 2 2 2" xfId="4606"/>
    <cellStyle name="Обычный 2 4 2 3 4 2 3" xfId="4607"/>
    <cellStyle name="Обычный 2 4 2 3 4 2 4" xfId="4608"/>
    <cellStyle name="Обычный 2 4 2 3 4 2 5" xfId="4609"/>
    <cellStyle name="Обычный 2 4 2 3 4 2 6" xfId="4610"/>
    <cellStyle name="Обычный 2 4 2 3 4 2 7" xfId="4611"/>
    <cellStyle name="Обычный 2 4 2 3 4 2 8" xfId="4612"/>
    <cellStyle name="Обычный 2 4 2 3 4 2 9" xfId="4613"/>
    <cellStyle name="Обычный 2 4 2 3 4 3" xfId="4614"/>
    <cellStyle name="Обычный 2 4 2 3 4 3 2" xfId="4615"/>
    <cellStyle name="Обычный 2 4 2 3 4 4" xfId="4616"/>
    <cellStyle name="Обычный 2 4 2 3 4 5" xfId="4617"/>
    <cellStyle name="Обычный 2 4 2 3 4 6" xfId="4618"/>
    <cellStyle name="Обычный 2 4 2 3 4 7" xfId="4619"/>
    <cellStyle name="Обычный 2 4 2 3 4 8" xfId="4620"/>
    <cellStyle name="Обычный 2 4 2 3 4 9" xfId="4621"/>
    <cellStyle name="Обычный 2 4 2 3 5" xfId="4622"/>
    <cellStyle name="Обычный 2 4 2 3 5 10" xfId="4623"/>
    <cellStyle name="Обычный 2 4 2 3 5 11" xfId="4624"/>
    <cellStyle name="Обычный 2 4 2 3 5 12" xfId="18358"/>
    <cellStyle name="Обычный 2 4 2 3 5 13" xfId="20057"/>
    <cellStyle name="Обычный 2 4 2 3 5 14" xfId="21669"/>
    <cellStyle name="Обычный 2 4 2 3 5 2" xfId="4625"/>
    <cellStyle name="Обычный 2 4 2 3 5 2 10" xfId="4626"/>
    <cellStyle name="Обычный 2 4 2 3 5 2 11" xfId="18359"/>
    <cellStyle name="Обычный 2 4 2 3 5 2 12" xfId="20058"/>
    <cellStyle name="Обычный 2 4 2 3 5 2 13" xfId="21670"/>
    <cellStyle name="Обычный 2 4 2 3 5 2 2" xfId="4627"/>
    <cellStyle name="Обычный 2 4 2 3 5 2 2 2" xfId="4628"/>
    <cellStyle name="Обычный 2 4 2 3 5 2 3" xfId="4629"/>
    <cellStyle name="Обычный 2 4 2 3 5 2 4" xfId="4630"/>
    <cellStyle name="Обычный 2 4 2 3 5 2 5" xfId="4631"/>
    <cellStyle name="Обычный 2 4 2 3 5 2 6" xfId="4632"/>
    <cellStyle name="Обычный 2 4 2 3 5 2 7" xfId="4633"/>
    <cellStyle name="Обычный 2 4 2 3 5 2 8" xfId="4634"/>
    <cellStyle name="Обычный 2 4 2 3 5 2 9" xfId="4635"/>
    <cellStyle name="Обычный 2 4 2 3 5 3" xfId="4636"/>
    <cellStyle name="Обычный 2 4 2 3 5 3 2" xfId="4637"/>
    <cellStyle name="Обычный 2 4 2 3 5 4" xfId="4638"/>
    <cellStyle name="Обычный 2 4 2 3 5 5" xfId="4639"/>
    <cellStyle name="Обычный 2 4 2 3 5 6" xfId="4640"/>
    <cellStyle name="Обычный 2 4 2 3 5 7" xfId="4641"/>
    <cellStyle name="Обычный 2 4 2 3 5 8" xfId="4642"/>
    <cellStyle name="Обычный 2 4 2 3 5 9" xfId="4643"/>
    <cellStyle name="Обычный 2 4 2 3 6" xfId="4644"/>
    <cellStyle name="Обычный 2 4 2 3 6 10" xfId="4645"/>
    <cellStyle name="Обычный 2 4 2 3 6 11" xfId="18360"/>
    <cellStyle name="Обычный 2 4 2 3 6 12" xfId="20059"/>
    <cellStyle name="Обычный 2 4 2 3 6 13" xfId="21671"/>
    <cellStyle name="Обычный 2 4 2 3 6 2" xfId="4646"/>
    <cellStyle name="Обычный 2 4 2 3 6 2 2" xfId="4647"/>
    <cellStyle name="Обычный 2 4 2 3 6 3" xfId="4648"/>
    <cellStyle name="Обычный 2 4 2 3 6 4" xfId="4649"/>
    <cellStyle name="Обычный 2 4 2 3 6 5" xfId="4650"/>
    <cellStyle name="Обычный 2 4 2 3 6 6" xfId="4651"/>
    <cellStyle name="Обычный 2 4 2 3 6 7" xfId="4652"/>
    <cellStyle name="Обычный 2 4 2 3 6 8" xfId="4653"/>
    <cellStyle name="Обычный 2 4 2 3 6 9" xfId="4654"/>
    <cellStyle name="Обычный 2 4 2 3 7" xfId="4655"/>
    <cellStyle name="Обычный 2 4 2 3 7 10" xfId="20060"/>
    <cellStyle name="Обычный 2 4 2 3 7 11" xfId="21672"/>
    <cellStyle name="Обычный 2 4 2 3 7 2" xfId="4656"/>
    <cellStyle name="Обычный 2 4 2 3 7 2 2" xfId="4657"/>
    <cellStyle name="Обычный 2 4 2 3 7 3" xfId="4658"/>
    <cellStyle name="Обычный 2 4 2 3 7 4" xfId="4659"/>
    <cellStyle name="Обычный 2 4 2 3 7 5" xfId="4660"/>
    <cellStyle name="Обычный 2 4 2 3 7 6" xfId="4661"/>
    <cellStyle name="Обычный 2 4 2 3 7 7" xfId="4662"/>
    <cellStyle name="Обычный 2 4 2 3 7 8" xfId="4663"/>
    <cellStyle name="Обычный 2 4 2 3 7 9" xfId="18361"/>
    <cellStyle name="Обычный 2 4 2 3 8" xfId="4664"/>
    <cellStyle name="Обычный 2 4 2 3 8 2" xfId="4665"/>
    <cellStyle name="Обычный 2 4 2 3 9" xfId="4666"/>
    <cellStyle name="Обычный 2 4 2 4" xfId="4667"/>
    <cellStyle name="Обычный 2 4 2 4 10" xfId="4668"/>
    <cellStyle name="Обычный 2 4 2 4 11" xfId="4669"/>
    <cellStyle name="Обычный 2 4 2 4 12" xfId="18362"/>
    <cellStyle name="Обычный 2 4 2 4 13" xfId="20061"/>
    <cellStyle name="Обычный 2 4 2 4 14" xfId="21673"/>
    <cellStyle name="Обычный 2 4 2 4 2" xfId="4670"/>
    <cellStyle name="Обычный 2 4 2 4 2 10" xfId="4671"/>
    <cellStyle name="Обычный 2 4 2 4 2 11" xfId="18363"/>
    <cellStyle name="Обычный 2 4 2 4 2 12" xfId="20062"/>
    <cellStyle name="Обычный 2 4 2 4 2 13" xfId="21674"/>
    <cellStyle name="Обычный 2 4 2 4 2 2" xfId="4672"/>
    <cellStyle name="Обычный 2 4 2 4 2 2 2" xfId="4673"/>
    <cellStyle name="Обычный 2 4 2 4 2 3" xfId="4674"/>
    <cellStyle name="Обычный 2 4 2 4 2 4" xfId="4675"/>
    <cellStyle name="Обычный 2 4 2 4 2 5" xfId="4676"/>
    <cellStyle name="Обычный 2 4 2 4 2 6" xfId="4677"/>
    <cellStyle name="Обычный 2 4 2 4 2 7" xfId="4678"/>
    <cellStyle name="Обычный 2 4 2 4 2 8" xfId="4679"/>
    <cellStyle name="Обычный 2 4 2 4 2 9" xfId="4680"/>
    <cellStyle name="Обычный 2 4 2 4 3" xfId="4681"/>
    <cellStyle name="Обычный 2 4 2 4 3 2" xfId="4682"/>
    <cellStyle name="Обычный 2 4 2 4 4" xfId="4683"/>
    <cellStyle name="Обычный 2 4 2 4 5" xfId="4684"/>
    <cellStyle name="Обычный 2 4 2 4 6" xfId="4685"/>
    <cellStyle name="Обычный 2 4 2 4 7" xfId="4686"/>
    <cellStyle name="Обычный 2 4 2 4 8" xfId="4687"/>
    <cellStyle name="Обычный 2 4 2 4 9" xfId="4688"/>
    <cellStyle name="Обычный 2 4 2 5" xfId="4689"/>
    <cellStyle name="Обычный 2 4 2 5 10" xfId="4690"/>
    <cellStyle name="Обычный 2 4 2 5 11" xfId="4691"/>
    <cellStyle name="Обычный 2 4 2 5 12" xfId="18364"/>
    <cellStyle name="Обычный 2 4 2 5 13" xfId="20063"/>
    <cellStyle name="Обычный 2 4 2 5 14" xfId="21675"/>
    <cellStyle name="Обычный 2 4 2 5 2" xfId="4692"/>
    <cellStyle name="Обычный 2 4 2 5 2 10" xfId="4693"/>
    <cellStyle name="Обычный 2 4 2 5 2 11" xfId="18365"/>
    <cellStyle name="Обычный 2 4 2 5 2 12" xfId="20064"/>
    <cellStyle name="Обычный 2 4 2 5 2 13" xfId="21676"/>
    <cellStyle name="Обычный 2 4 2 5 2 2" xfId="4694"/>
    <cellStyle name="Обычный 2 4 2 5 2 2 2" xfId="4695"/>
    <cellStyle name="Обычный 2 4 2 5 2 3" xfId="4696"/>
    <cellStyle name="Обычный 2 4 2 5 2 4" xfId="4697"/>
    <cellStyle name="Обычный 2 4 2 5 2 5" xfId="4698"/>
    <cellStyle name="Обычный 2 4 2 5 2 6" xfId="4699"/>
    <cellStyle name="Обычный 2 4 2 5 2 7" xfId="4700"/>
    <cellStyle name="Обычный 2 4 2 5 2 8" xfId="4701"/>
    <cellStyle name="Обычный 2 4 2 5 2 9" xfId="4702"/>
    <cellStyle name="Обычный 2 4 2 5 3" xfId="4703"/>
    <cellStyle name="Обычный 2 4 2 5 3 2" xfId="4704"/>
    <cellStyle name="Обычный 2 4 2 5 4" xfId="4705"/>
    <cellStyle name="Обычный 2 4 2 5 5" xfId="4706"/>
    <cellStyle name="Обычный 2 4 2 5 6" xfId="4707"/>
    <cellStyle name="Обычный 2 4 2 5 7" xfId="4708"/>
    <cellStyle name="Обычный 2 4 2 5 8" xfId="4709"/>
    <cellStyle name="Обычный 2 4 2 5 9" xfId="4710"/>
    <cellStyle name="Обычный 2 4 2 6" xfId="4711"/>
    <cellStyle name="Обычный 2 4 2 6 10" xfId="4712"/>
    <cellStyle name="Обычный 2 4 2 6 11" xfId="4713"/>
    <cellStyle name="Обычный 2 4 2 6 12" xfId="18366"/>
    <cellStyle name="Обычный 2 4 2 6 13" xfId="20065"/>
    <cellStyle name="Обычный 2 4 2 6 14" xfId="21677"/>
    <cellStyle name="Обычный 2 4 2 6 2" xfId="4714"/>
    <cellStyle name="Обычный 2 4 2 6 2 10" xfId="4715"/>
    <cellStyle name="Обычный 2 4 2 6 2 11" xfId="18367"/>
    <cellStyle name="Обычный 2 4 2 6 2 12" xfId="20066"/>
    <cellStyle name="Обычный 2 4 2 6 2 13" xfId="21678"/>
    <cellStyle name="Обычный 2 4 2 6 2 2" xfId="4716"/>
    <cellStyle name="Обычный 2 4 2 6 2 2 2" xfId="4717"/>
    <cellStyle name="Обычный 2 4 2 6 2 3" xfId="4718"/>
    <cellStyle name="Обычный 2 4 2 6 2 4" xfId="4719"/>
    <cellStyle name="Обычный 2 4 2 6 2 5" xfId="4720"/>
    <cellStyle name="Обычный 2 4 2 6 2 6" xfId="4721"/>
    <cellStyle name="Обычный 2 4 2 6 2 7" xfId="4722"/>
    <cellStyle name="Обычный 2 4 2 6 2 8" xfId="4723"/>
    <cellStyle name="Обычный 2 4 2 6 2 9" xfId="4724"/>
    <cellStyle name="Обычный 2 4 2 6 3" xfId="4725"/>
    <cellStyle name="Обычный 2 4 2 6 3 2" xfId="4726"/>
    <cellStyle name="Обычный 2 4 2 6 4" xfId="4727"/>
    <cellStyle name="Обычный 2 4 2 6 5" xfId="4728"/>
    <cellStyle name="Обычный 2 4 2 6 6" xfId="4729"/>
    <cellStyle name="Обычный 2 4 2 6 7" xfId="4730"/>
    <cellStyle name="Обычный 2 4 2 6 8" xfId="4731"/>
    <cellStyle name="Обычный 2 4 2 6 9" xfId="4732"/>
    <cellStyle name="Обычный 2 4 2 7" xfId="4733"/>
    <cellStyle name="Обычный 2 4 2 7 10" xfId="4734"/>
    <cellStyle name="Обычный 2 4 2 7 11" xfId="4735"/>
    <cellStyle name="Обычный 2 4 2 7 12" xfId="18368"/>
    <cellStyle name="Обычный 2 4 2 7 13" xfId="20067"/>
    <cellStyle name="Обычный 2 4 2 7 14" xfId="21679"/>
    <cellStyle name="Обычный 2 4 2 7 2" xfId="4736"/>
    <cellStyle name="Обычный 2 4 2 7 2 10" xfId="4737"/>
    <cellStyle name="Обычный 2 4 2 7 2 11" xfId="18369"/>
    <cellStyle name="Обычный 2 4 2 7 2 12" xfId="20068"/>
    <cellStyle name="Обычный 2 4 2 7 2 13" xfId="21680"/>
    <cellStyle name="Обычный 2 4 2 7 2 2" xfId="4738"/>
    <cellStyle name="Обычный 2 4 2 7 2 2 2" xfId="4739"/>
    <cellStyle name="Обычный 2 4 2 7 2 3" xfId="4740"/>
    <cellStyle name="Обычный 2 4 2 7 2 4" xfId="4741"/>
    <cellStyle name="Обычный 2 4 2 7 2 5" xfId="4742"/>
    <cellStyle name="Обычный 2 4 2 7 2 6" xfId="4743"/>
    <cellStyle name="Обычный 2 4 2 7 2 7" xfId="4744"/>
    <cellStyle name="Обычный 2 4 2 7 2 8" xfId="4745"/>
    <cellStyle name="Обычный 2 4 2 7 2 9" xfId="4746"/>
    <cellStyle name="Обычный 2 4 2 7 3" xfId="4747"/>
    <cellStyle name="Обычный 2 4 2 7 3 2" xfId="4748"/>
    <cellStyle name="Обычный 2 4 2 7 4" xfId="4749"/>
    <cellStyle name="Обычный 2 4 2 7 5" xfId="4750"/>
    <cellStyle name="Обычный 2 4 2 7 6" xfId="4751"/>
    <cellStyle name="Обычный 2 4 2 7 7" xfId="4752"/>
    <cellStyle name="Обычный 2 4 2 7 8" xfId="4753"/>
    <cellStyle name="Обычный 2 4 2 7 9" xfId="4754"/>
    <cellStyle name="Обычный 2 4 2 8" xfId="4755"/>
    <cellStyle name="Обычный 2 4 2 8 10" xfId="4756"/>
    <cellStyle name="Обычный 2 4 2 8 11" xfId="18370"/>
    <cellStyle name="Обычный 2 4 2 8 12" xfId="20069"/>
    <cellStyle name="Обычный 2 4 2 8 13" xfId="21681"/>
    <cellStyle name="Обычный 2 4 2 8 2" xfId="4757"/>
    <cellStyle name="Обычный 2 4 2 8 2 2" xfId="4758"/>
    <cellStyle name="Обычный 2 4 2 8 3" xfId="4759"/>
    <cellStyle name="Обычный 2 4 2 8 4" xfId="4760"/>
    <cellStyle name="Обычный 2 4 2 8 5" xfId="4761"/>
    <cellStyle name="Обычный 2 4 2 8 6" xfId="4762"/>
    <cellStyle name="Обычный 2 4 2 8 7" xfId="4763"/>
    <cellStyle name="Обычный 2 4 2 8 8" xfId="4764"/>
    <cellStyle name="Обычный 2 4 2 8 9" xfId="4765"/>
    <cellStyle name="Обычный 2 4 2 9" xfId="4766"/>
    <cellStyle name="Обычный 2 4 2 9 10" xfId="20070"/>
    <cellStyle name="Обычный 2 4 2 9 11" xfId="21682"/>
    <cellStyle name="Обычный 2 4 2 9 2" xfId="4767"/>
    <cellStyle name="Обычный 2 4 2 9 2 2" xfId="4768"/>
    <cellStyle name="Обычный 2 4 2 9 3" xfId="4769"/>
    <cellStyle name="Обычный 2 4 2 9 4" xfId="4770"/>
    <cellStyle name="Обычный 2 4 2 9 5" xfId="4771"/>
    <cellStyle name="Обычный 2 4 2 9 6" xfId="4772"/>
    <cellStyle name="Обычный 2 4 2 9 7" xfId="4773"/>
    <cellStyle name="Обычный 2 4 2 9 8" xfId="4774"/>
    <cellStyle name="Обычный 2 4 2 9 9" xfId="18371"/>
    <cellStyle name="Обычный 2 4 20" xfId="4775"/>
    <cellStyle name="Обычный 2 4 21" xfId="4776"/>
    <cellStyle name="Обычный 2 4 22" xfId="4777"/>
    <cellStyle name="Обычный 2 4 23" xfId="4778"/>
    <cellStyle name="Обычный 2 4 24" xfId="4779"/>
    <cellStyle name="Обычный 2 4 25" xfId="18331"/>
    <cellStyle name="Обычный 2 4 26" xfId="19629"/>
    <cellStyle name="Обычный 2 4 27" xfId="20030"/>
    <cellStyle name="Обычный 2 4 28" xfId="21642"/>
    <cellStyle name="Обычный 2 4 3" xfId="4780"/>
    <cellStyle name="Обычный 2 4 3 10" xfId="4781"/>
    <cellStyle name="Обычный 2 4 3 11" xfId="4782"/>
    <cellStyle name="Обычный 2 4 3 12" xfId="4783"/>
    <cellStyle name="Обычный 2 4 3 13" xfId="4784"/>
    <cellStyle name="Обычный 2 4 3 14" xfId="4785"/>
    <cellStyle name="Обычный 2 4 3 15" xfId="4786"/>
    <cellStyle name="Обычный 2 4 3 16" xfId="4787"/>
    <cellStyle name="Обычный 2 4 3 17" xfId="4788"/>
    <cellStyle name="Обычный 2 4 3 18" xfId="18372"/>
    <cellStyle name="Обычный 2 4 3 19" xfId="20071"/>
    <cellStyle name="Обычный 2 4 3 2" xfId="4789"/>
    <cellStyle name="Обычный 2 4 3 2 10" xfId="4790"/>
    <cellStyle name="Обычный 2 4 3 2 11" xfId="4791"/>
    <cellStyle name="Обычный 2 4 3 2 12" xfId="18373"/>
    <cellStyle name="Обычный 2 4 3 2 13" xfId="20072"/>
    <cellStyle name="Обычный 2 4 3 2 14" xfId="21684"/>
    <cellStyle name="Обычный 2 4 3 2 2" xfId="4792"/>
    <cellStyle name="Обычный 2 4 3 2 2 10" xfId="4793"/>
    <cellStyle name="Обычный 2 4 3 2 2 11" xfId="18374"/>
    <cellStyle name="Обычный 2 4 3 2 2 12" xfId="20073"/>
    <cellStyle name="Обычный 2 4 3 2 2 13" xfId="21685"/>
    <cellStyle name="Обычный 2 4 3 2 2 2" xfId="4794"/>
    <cellStyle name="Обычный 2 4 3 2 2 2 2" xfId="4795"/>
    <cellStyle name="Обычный 2 4 3 2 2 3" xfId="4796"/>
    <cellStyle name="Обычный 2 4 3 2 2 4" xfId="4797"/>
    <cellStyle name="Обычный 2 4 3 2 2 5" xfId="4798"/>
    <cellStyle name="Обычный 2 4 3 2 2 6" xfId="4799"/>
    <cellStyle name="Обычный 2 4 3 2 2 7" xfId="4800"/>
    <cellStyle name="Обычный 2 4 3 2 2 8" xfId="4801"/>
    <cellStyle name="Обычный 2 4 3 2 2 9" xfId="4802"/>
    <cellStyle name="Обычный 2 4 3 2 3" xfId="4803"/>
    <cellStyle name="Обычный 2 4 3 2 3 2" xfId="4804"/>
    <cellStyle name="Обычный 2 4 3 2 4" xfId="4805"/>
    <cellStyle name="Обычный 2 4 3 2 5" xfId="4806"/>
    <cellStyle name="Обычный 2 4 3 2 6" xfId="4807"/>
    <cellStyle name="Обычный 2 4 3 2 7" xfId="4808"/>
    <cellStyle name="Обычный 2 4 3 2 8" xfId="4809"/>
    <cellStyle name="Обычный 2 4 3 2 9" xfId="4810"/>
    <cellStyle name="Обычный 2 4 3 20" xfId="21683"/>
    <cellStyle name="Обычный 2 4 3 3" xfId="4811"/>
    <cellStyle name="Обычный 2 4 3 3 10" xfId="4812"/>
    <cellStyle name="Обычный 2 4 3 3 11" xfId="4813"/>
    <cellStyle name="Обычный 2 4 3 3 12" xfId="18375"/>
    <cellStyle name="Обычный 2 4 3 3 13" xfId="20074"/>
    <cellStyle name="Обычный 2 4 3 3 14" xfId="21686"/>
    <cellStyle name="Обычный 2 4 3 3 2" xfId="4814"/>
    <cellStyle name="Обычный 2 4 3 3 2 10" xfId="4815"/>
    <cellStyle name="Обычный 2 4 3 3 2 11" xfId="18376"/>
    <cellStyle name="Обычный 2 4 3 3 2 12" xfId="20075"/>
    <cellStyle name="Обычный 2 4 3 3 2 13" xfId="21687"/>
    <cellStyle name="Обычный 2 4 3 3 2 2" xfId="4816"/>
    <cellStyle name="Обычный 2 4 3 3 2 2 2" xfId="4817"/>
    <cellStyle name="Обычный 2 4 3 3 2 3" xfId="4818"/>
    <cellStyle name="Обычный 2 4 3 3 2 4" xfId="4819"/>
    <cellStyle name="Обычный 2 4 3 3 2 5" xfId="4820"/>
    <cellStyle name="Обычный 2 4 3 3 2 6" xfId="4821"/>
    <cellStyle name="Обычный 2 4 3 3 2 7" xfId="4822"/>
    <cellStyle name="Обычный 2 4 3 3 2 8" xfId="4823"/>
    <cellStyle name="Обычный 2 4 3 3 2 9" xfId="4824"/>
    <cellStyle name="Обычный 2 4 3 3 3" xfId="4825"/>
    <cellStyle name="Обычный 2 4 3 3 3 2" xfId="4826"/>
    <cellStyle name="Обычный 2 4 3 3 4" xfId="4827"/>
    <cellStyle name="Обычный 2 4 3 3 5" xfId="4828"/>
    <cellStyle name="Обычный 2 4 3 3 6" xfId="4829"/>
    <cellStyle name="Обычный 2 4 3 3 7" xfId="4830"/>
    <cellStyle name="Обычный 2 4 3 3 8" xfId="4831"/>
    <cellStyle name="Обычный 2 4 3 3 9" xfId="4832"/>
    <cellStyle name="Обычный 2 4 3 4" xfId="4833"/>
    <cellStyle name="Обычный 2 4 3 4 10" xfId="4834"/>
    <cellStyle name="Обычный 2 4 3 4 11" xfId="4835"/>
    <cellStyle name="Обычный 2 4 3 4 12" xfId="18377"/>
    <cellStyle name="Обычный 2 4 3 4 13" xfId="20076"/>
    <cellStyle name="Обычный 2 4 3 4 14" xfId="21688"/>
    <cellStyle name="Обычный 2 4 3 4 2" xfId="4836"/>
    <cellStyle name="Обычный 2 4 3 4 2 10" xfId="4837"/>
    <cellStyle name="Обычный 2 4 3 4 2 11" xfId="18378"/>
    <cellStyle name="Обычный 2 4 3 4 2 12" xfId="20077"/>
    <cellStyle name="Обычный 2 4 3 4 2 13" xfId="21689"/>
    <cellStyle name="Обычный 2 4 3 4 2 2" xfId="4838"/>
    <cellStyle name="Обычный 2 4 3 4 2 2 2" xfId="4839"/>
    <cellStyle name="Обычный 2 4 3 4 2 3" xfId="4840"/>
    <cellStyle name="Обычный 2 4 3 4 2 4" xfId="4841"/>
    <cellStyle name="Обычный 2 4 3 4 2 5" xfId="4842"/>
    <cellStyle name="Обычный 2 4 3 4 2 6" xfId="4843"/>
    <cellStyle name="Обычный 2 4 3 4 2 7" xfId="4844"/>
    <cellStyle name="Обычный 2 4 3 4 2 8" xfId="4845"/>
    <cellStyle name="Обычный 2 4 3 4 2 9" xfId="4846"/>
    <cellStyle name="Обычный 2 4 3 4 3" xfId="4847"/>
    <cellStyle name="Обычный 2 4 3 4 3 2" xfId="4848"/>
    <cellStyle name="Обычный 2 4 3 4 4" xfId="4849"/>
    <cellStyle name="Обычный 2 4 3 4 5" xfId="4850"/>
    <cellStyle name="Обычный 2 4 3 4 6" xfId="4851"/>
    <cellStyle name="Обычный 2 4 3 4 7" xfId="4852"/>
    <cellStyle name="Обычный 2 4 3 4 8" xfId="4853"/>
    <cellStyle name="Обычный 2 4 3 4 9" xfId="4854"/>
    <cellStyle name="Обычный 2 4 3 5" xfId="4855"/>
    <cellStyle name="Обычный 2 4 3 5 10" xfId="4856"/>
    <cellStyle name="Обычный 2 4 3 5 11" xfId="4857"/>
    <cellStyle name="Обычный 2 4 3 5 12" xfId="18379"/>
    <cellStyle name="Обычный 2 4 3 5 13" xfId="20078"/>
    <cellStyle name="Обычный 2 4 3 5 14" xfId="21690"/>
    <cellStyle name="Обычный 2 4 3 5 2" xfId="4858"/>
    <cellStyle name="Обычный 2 4 3 5 2 10" xfId="4859"/>
    <cellStyle name="Обычный 2 4 3 5 2 11" xfId="18380"/>
    <cellStyle name="Обычный 2 4 3 5 2 12" xfId="20079"/>
    <cellStyle name="Обычный 2 4 3 5 2 13" xfId="21691"/>
    <cellStyle name="Обычный 2 4 3 5 2 2" xfId="4860"/>
    <cellStyle name="Обычный 2 4 3 5 2 2 2" xfId="4861"/>
    <cellStyle name="Обычный 2 4 3 5 2 3" xfId="4862"/>
    <cellStyle name="Обычный 2 4 3 5 2 4" xfId="4863"/>
    <cellStyle name="Обычный 2 4 3 5 2 5" xfId="4864"/>
    <cellStyle name="Обычный 2 4 3 5 2 6" xfId="4865"/>
    <cellStyle name="Обычный 2 4 3 5 2 7" xfId="4866"/>
    <cellStyle name="Обычный 2 4 3 5 2 8" xfId="4867"/>
    <cellStyle name="Обычный 2 4 3 5 2 9" xfId="4868"/>
    <cellStyle name="Обычный 2 4 3 5 3" xfId="4869"/>
    <cellStyle name="Обычный 2 4 3 5 3 2" xfId="4870"/>
    <cellStyle name="Обычный 2 4 3 5 4" xfId="4871"/>
    <cellStyle name="Обычный 2 4 3 5 5" xfId="4872"/>
    <cellStyle name="Обычный 2 4 3 5 6" xfId="4873"/>
    <cellStyle name="Обычный 2 4 3 5 7" xfId="4874"/>
    <cellStyle name="Обычный 2 4 3 5 8" xfId="4875"/>
    <cellStyle name="Обычный 2 4 3 5 9" xfId="4876"/>
    <cellStyle name="Обычный 2 4 3 6" xfId="4877"/>
    <cellStyle name="Обычный 2 4 3 6 10" xfId="4878"/>
    <cellStyle name="Обычный 2 4 3 6 11" xfId="18381"/>
    <cellStyle name="Обычный 2 4 3 6 12" xfId="20080"/>
    <cellStyle name="Обычный 2 4 3 6 13" xfId="21692"/>
    <cellStyle name="Обычный 2 4 3 6 2" xfId="4879"/>
    <cellStyle name="Обычный 2 4 3 6 2 2" xfId="4880"/>
    <cellStyle name="Обычный 2 4 3 6 3" xfId="4881"/>
    <cellStyle name="Обычный 2 4 3 6 4" xfId="4882"/>
    <cellStyle name="Обычный 2 4 3 6 5" xfId="4883"/>
    <cellStyle name="Обычный 2 4 3 6 6" xfId="4884"/>
    <cellStyle name="Обычный 2 4 3 6 7" xfId="4885"/>
    <cellStyle name="Обычный 2 4 3 6 8" xfId="4886"/>
    <cellStyle name="Обычный 2 4 3 6 9" xfId="4887"/>
    <cellStyle name="Обычный 2 4 3 7" xfId="4888"/>
    <cellStyle name="Обычный 2 4 3 7 10" xfId="20081"/>
    <cellStyle name="Обычный 2 4 3 7 11" xfId="21693"/>
    <cellStyle name="Обычный 2 4 3 7 2" xfId="4889"/>
    <cellStyle name="Обычный 2 4 3 7 2 2" xfId="4890"/>
    <cellStyle name="Обычный 2 4 3 7 3" xfId="4891"/>
    <cellStyle name="Обычный 2 4 3 7 4" xfId="4892"/>
    <cellStyle name="Обычный 2 4 3 7 5" xfId="4893"/>
    <cellStyle name="Обычный 2 4 3 7 6" xfId="4894"/>
    <cellStyle name="Обычный 2 4 3 7 7" xfId="4895"/>
    <cellStyle name="Обычный 2 4 3 7 8" xfId="4896"/>
    <cellStyle name="Обычный 2 4 3 7 9" xfId="18382"/>
    <cellStyle name="Обычный 2 4 3 8" xfId="4897"/>
    <cellStyle name="Обычный 2 4 3 8 2" xfId="4898"/>
    <cellStyle name="Обычный 2 4 3 9" xfId="4899"/>
    <cellStyle name="Обычный 2 4 4" xfId="4900"/>
    <cellStyle name="Обычный 2 4 4 10" xfId="4901"/>
    <cellStyle name="Обычный 2 4 4 11" xfId="4902"/>
    <cellStyle name="Обычный 2 4 4 12" xfId="4903"/>
    <cellStyle name="Обычный 2 4 4 13" xfId="4904"/>
    <cellStyle name="Обычный 2 4 4 14" xfId="4905"/>
    <cellStyle name="Обычный 2 4 4 15" xfId="4906"/>
    <cellStyle name="Обычный 2 4 4 16" xfId="4907"/>
    <cellStyle name="Обычный 2 4 4 17" xfId="4908"/>
    <cellStyle name="Обычный 2 4 4 18" xfId="18383"/>
    <cellStyle name="Обычный 2 4 4 19" xfId="20082"/>
    <cellStyle name="Обычный 2 4 4 2" xfId="4909"/>
    <cellStyle name="Обычный 2 4 4 2 10" xfId="4910"/>
    <cellStyle name="Обычный 2 4 4 2 11" xfId="4911"/>
    <cellStyle name="Обычный 2 4 4 2 12" xfId="18384"/>
    <cellStyle name="Обычный 2 4 4 2 13" xfId="20083"/>
    <cellStyle name="Обычный 2 4 4 2 14" xfId="21695"/>
    <cellStyle name="Обычный 2 4 4 2 2" xfId="4912"/>
    <cellStyle name="Обычный 2 4 4 2 2 10" xfId="4913"/>
    <cellStyle name="Обычный 2 4 4 2 2 11" xfId="18385"/>
    <cellStyle name="Обычный 2 4 4 2 2 12" xfId="20084"/>
    <cellStyle name="Обычный 2 4 4 2 2 13" xfId="21696"/>
    <cellStyle name="Обычный 2 4 4 2 2 2" xfId="4914"/>
    <cellStyle name="Обычный 2 4 4 2 2 2 2" xfId="4915"/>
    <cellStyle name="Обычный 2 4 4 2 2 3" xfId="4916"/>
    <cellStyle name="Обычный 2 4 4 2 2 4" xfId="4917"/>
    <cellStyle name="Обычный 2 4 4 2 2 5" xfId="4918"/>
    <cellStyle name="Обычный 2 4 4 2 2 6" xfId="4919"/>
    <cellStyle name="Обычный 2 4 4 2 2 7" xfId="4920"/>
    <cellStyle name="Обычный 2 4 4 2 2 8" xfId="4921"/>
    <cellStyle name="Обычный 2 4 4 2 2 9" xfId="4922"/>
    <cellStyle name="Обычный 2 4 4 2 3" xfId="4923"/>
    <cellStyle name="Обычный 2 4 4 2 3 2" xfId="4924"/>
    <cellStyle name="Обычный 2 4 4 2 4" xfId="4925"/>
    <cellStyle name="Обычный 2 4 4 2 5" xfId="4926"/>
    <cellStyle name="Обычный 2 4 4 2 6" xfId="4927"/>
    <cellStyle name="Обычный 2 4 4 2 7" xfId="4928"/>
    <cellStyle name="Обычный 2 4 4 2 8" xfId="4929"/>
    <cellStyle name="Обычный 2 4 4 2 9" xfId="4930"/>
    <cellStyle name="Обычный 2 4 4 20" xfId="21694"/>
    <cellStyle name="Обычный 2 4 4 3" xfId="4931"/>
    <cellStyle name="Обычный 2 4 4 3 10" xfId="4932"/>
    <cellStyle name="Обычный 2 4 4 3 11" xfId="4933"/>
    <cellStyle name="Обычный 2 4 4 3 12" xfId="18386"/>
    <cellStyle name="Обычный 2 4 4 3 13" xfId="20085"/>
    <cellStyle name="Обычный 2 4 4 3 14" xfId="21697"/>
    <cellStyle name="Обычный 2 4 4 3 2" xfId="4934"/>
    <cellStyle name="Обычный 2 4 4 3 2 10" xfId="4935"/>
    <cellStyle name="Обычный 2 4 4 3 2 11" xfId="18387"/>
    <cellStyle name="Обычный 2 4 4 3 2 12" xfId="20086"/>
    <cellStyle name="Обычный 2 4 4 3 2 13" xfId="21698"/>
    <cellStyle name="Обычный 2 4 4 3 2 2" xfId="4936"/>
    <cellStyle name="Обычный 2 4 4 3 2 2 2" xfId="4937"/>
    <cellStyle name="Обычный 2 4 4 3 2 3" xfId="4938"/>
    <cellStyle name="Обычный 2 4 4 3 2 4" xfId="4939"/>
    <cellStyle name="Обычный 2 4 4 3 2 5" xfId="4940"/>
    <cellStyle name="Обычный 2 4 4 3 2 6" xfId="4941"/>
    <cellStyle name="Обычный 2 4 4 3 2 7" xfId="4942"/>
    <cellStyle name="Обычный 2 4 4 3 2 8" xfId="4943"/>
    <cellStyle name="Обычный 2 4 4 3 2 9" xfId="4944"/>
    <cellStyle name="Обычный 2 4 4 3 3" xfId="4945"/>
    <cellStyle name="Обычный 2 4 4 3 3 2" xfId="4946"/>
    <cellStyle name="Обычный 2 4 4 3 4" xfId="4947"/>
    <cellStyle name="Обычный 2 4 4 3 5" xfId="4948"/>
    <cellStyle name="Обычный 2 4 4 3 6" xfId="4949"/>
    <cellStyle name="Обычный 2 4 4 3 7" xfId="4950"/>
    <cellStyle name="Обычный 2 4 4 3 8" xfId="4951"/>
    <cellStyle name="Обычный 2 4 4 3 9" xfId="4952"/>
    <cellStyle name="Обычный 2 4 4 4" xfId="4953"/>
    <cellStyle name="Обычный 2 4 4 4 10" xfId="4954"/>
    <cellStyle name="Обычный 2 4 4 4 11" xfId="4955"/>
    <cellStyle name="Обычный 2 4 4 4 12" xfId="18388"/>
    <cellStyle name="Обычный 2 4 4 4 13" xfId="20087"/>
    <cellStyle name="Обычный 2 4 4 4 14" xfId="21699"/>
    <cellStyle name="Обычный 2 4 4 4 2" xfId="4956"/>
    <cellStyle name="Обычный 2 4 4 4 2 10" xfId="4957"/>
    <cellStyle name="Обычный 2 4 4 4 2 11" xfId="18389"/>
    <cellStyle name="Обычный 2 4 4 4 2 12" xfId="20088"/>
    <cellStyle name="Обычный 2 4 4 4 2 13" xfId="21700"/>
    <cellStyle name="Обычный 2 4 4 4 2 2" xfId="4958"/>
    <cellStyle name="Обычный 2 4 4 4 2 2 2" xfId="4959"/>
    <cellStyle name="Обычный 2 4 4 4 2 3" xfId="4960"/>
    <cellStyle name="Обычный 2 4 4 4 2 4" xfId="4961"/>
    <cellStyle name="Обычный 2 4 4 4 2 5" xfId="4962"/>
    <cellStyle name="Обычный 2 4 4 4 2 6" xfId="4963"/>
    <cellStyle name="Обычный 2 4 4 4 2 7" xfId="4964"/>
    <cellStyle name="Обычный 2 4 4 4 2 8" xfId="4965"/>
    <cellStyle name="Обычный 2 4 4 4 2 9" xfId="4966"/>
    <cellStyle name="Обычный 2 4 4 4 3" xfId="4967"/>
    <cellStyle name="Обычный 2 4 4 4 3 2" xfId="4968"/>
    <cellStyle name="Обычный 2 4 4 4 4" xfId="4969"/>
    <cellStyle name="Обычный 2 4 4 4 5" xfId="4970"/>
    <cellStyle name="Обычный 2 4 4 4 6" xfId="4971"/>
    <cellStyle name="Обычный 2 4 4 4 7" xfId="4972"/>
    <cellStyle name="Обычный 2 4 4 4 8" xfId="4973"/>
    <cellStyle name="Обычный 2 4 4 4 9" xfId="4974"/>
    <cellStyle name="Обычный 2 4 4 5" xfId="4975"/>
    <cellStyle name="Обычный 2 4 4 5 10" xfId="4976"/>
    <cellStyle name="Обычный 2 4 4 5 11" xfId="4977"/>
    <cellStyle name="Обычный 2 4 4 5 12" xfId="18390"/>
    <cellStyle name="Обычный 2 4 4 5 13" xfId="20089"/>
    <cellStyle name="Обычный 2 4 4 5 14" xfId="21701"/>
    <cellStyle name="Обычный 2 4 4 5 2" xfId="4978"/>
    <cellStyle name="Обычный 2 4 4 5 2 10" xfId="4979"/>
    <cellStyle name="Обычный 2 4 4 5 2 11" xfId="18391"/>
    <cellStyle name="Обычный 2 4 4 5 2 12" xfId="20090"/>
    <cellStyle name="Обычный 2 4 4 5 2 13" xfId="21702"/>
    <cellStyle name="Обычный 2 4 4 5 2 2" xfId="4980"/>
    <cellStyle name="Обычный 2 4 4 5 2 2 2" xfId="4981"/>
    <cellStyle name="Обычный 2 4 4 5 2 3" xfId="4982"/>
    <cellStyle name="Обычный 2 4 4 5 2 4" xfId="4983"/>
    <cellStyle name="Обычный 2 4 4 5 2 5" xfId="4984"/>
    <cellStyle name="Обычный 2 4 4 5 2 6" xfId="4985"/>
    <cellStyle name="Обычный 2 4 4 5 2 7" xfId="4986"/>
    <cellStyle name="Обычный 2 4 4 5 2 8" xfId="4987"/>
    <cellStyle name="Обычный 2 4 4 5 2 9" xfId="4988"/>
    <cellStyle name="Обычный 2 4 4 5 3" xfId="4989"/>
    <cellStyle name="Обычный 2 4 4 5 3 2" xfId="4990"/>
    <cellStyle name="Обычный 2 4 4 5 4" xfId="4991"/>
    <cellStyle name="Обычный 2 4 4 5 5" xfId="4992"/>
    <cellStyle name="Обычный 2 4 4 5 6" xfId="4993"/>
    <cellStyle name="Обычный 2 4 4 5 7" xfId="4994"/>
    <cellStyle name="Обычный 2 4 4 5 8" xfId="4995"/>
    <cellStyle name="Обычный 2 4 4 5 9" xfId="4996"/>
    <cellStyle name="Обычный 2 4 4 6" xfId="4997"/>
    <cellStyle name="Обычный 2 4 4 6 10" xfId="4998"/>
    <cellStyle name="Обычный 2 4 4 6 11" xfId="18392"/>
    <cellStyle name="Обычный 2 4 4 6 12" xfId="20091"/>
    <cellStyle name="Обычный 2 4 4 6 13" xfId="21703"/>
    <cellStyle name="Обычный 2 4 4 6 2" xfId="4999"/>
    <cellStyle name="Обычный 2 4 4 6 2 2" xfId="5000"/>
    <cellStyle name="Обычный 2 4 4 6 3" xfId="5001"/>
    <cellStyle name="Обычный 2 4 4 6 4" xfId="5002"/>
    <cellStyle name="Обычный 2 4 4 6 5" xfId="5003"/>
    <cellStyle name="Обычный 2 4 4 6 6" xfId="5004"/>
    <cellStyle name="Обычный 2 4 4 6 7" xfId="5005"/>
    <cellStyle name="Обычный 2 4 4 6 8" xfId="5006"/>
    <cellStyle name="Обычный 2 4 4 6 9" xfId="5007"/>
    <cellStyle name="Обычный 2 4 4 7" xfId="5008"/>
    <cellStyle name="Обычный 2 4 4 7 10" xfId="20092"/>
    <cellStyle name="Обычный 2 4 4 7 11" xfId="21704"/>
    <cellStyle name="Обычный 2 4 4 7 2" xfId="5009"/>
    <cellStyle name="Обычный 2 4 4 7 2 2" xfId="5010"/>
    <cellStyle name="Обычный 2 4 4 7 3" xfId="5011"/>
    <cellStyle name="Обычный 2 4 4 7 4" xfId="5012"/>
    <cellStyle name="Обычный 2 4 4 7 5" xfId="5013"/>
    <cellStyle name="Обычный 2 4 4 7 6" xfId="5014"/>
    <cellStyle name="Обычный 2 4 4 7 7" xfId="5015"/>
    <cellStyle name="Обычный 2 4 4 7 8" xfId="5016"/>
    <cellStyle name="Обычный 2 4 4 7 9" xfId="18393"/>
    <cellStyle name="Обычный 2 4 4 8" xfId="5017"/>
    <cellStyle name="Обычный 2 4 4 8 2" xfId="5018"/>
    <cellStyle name="Обычный 2 4 4 9" xfId="5019"/>
    <cellStyle name="Обычный 2 4 5" xfId="5020"/>
    <cellStyle name="Обычный 2 4 5 10" xfId="5021"/>
    <cellStyle name="Обычный 2 4 5 11" xfId="5022"/>
    <cellStyle name="Обычный 2 4 5 12" xfId="18394"/>
    <cellStyle name="Обычный 2 4 5 13" xfId="20093"/>
    <cellStyle name="Обычный 2 4 5 14" xfId="21705"/>
    <cellStyle name="Обычный 2 4 5 2" xfId="5023"/>
    <cellStyle name="Обычный 2 4 5 2 10" xfId="5024"/>
    <cellStyle name="Обычный 2 4 5 2 11" xfId="18395"/>
    <cellStyle name="Обычный 2 4 5 2 12" xfId="20094"/>
    <cellStyle name="Обычный 2 4 5 2 13" xfId="21706"/>
    <cellStyle name="Обычный 2 4 5 2 2" xfId="5025"/>
    <cellStyle name="Обычный 2 4 5 2 2 2" xfId="5026"/>
    <cellStyle name="Обычный 2 4 5 2 3" xfId="5027"/>
    <cellStyle name="Обычный 2 4 5 2 4" xfId="5028"/>
    <cellStyle name="Обычный 2 4 5 2 5" xfId="5029"/>
    <cellStyle name="Обычный 2 4 5 2 6" xfId="5030"/>
    <cellStyle name="Обычный 2 4 5 2 7" xfId="5031"/>
    <cellStyle name="Обычный 2 4 5 2 8" xfId="5032"/>
    <cellStyle name="Обычный 2 4 5 2 9" xfId="5033"/>
    <cellStyle name="Обычный 2 4 5 3" xfId="5034"/>
    <cellStyle name="Обычный 2 4 5 3 2" xfId="5035"/>
    <cellStyle name="Обычный 2 4 5 4" xfId="5036"/>
    <cellStyle name="Обычный 2 4 5 5" xfId="5037"/>
    <cellStyle name="Обычный 2 4 5 6" xfId="5038"/>
    <cellStyle name="Обычный 2 4 5 7" xfId="5039"/>
    <cellStyle name="Обычный 2 4 5 8" xfId="5040"/>
    <cellStyle name="Обычный 2 4 5 9" xfId="5041"/>
    <cellStyle name="Обычный 2 4 6" xfId="5042"/>
    <cellStyle name="Обычный 2 4 6 10" xfId="5043"/>
    <cellStyle name="Обычный 2 4 6 11" xfId="5044"/>
    <cellStyle name="Обычный 2 4 6 12" xfId="18396"/>
    <cellStyle name="Обычный 2 4 6 13" xfId="20095"/>
    <cellStyle name="Обычный 2 4 6 14" xfId="21707"/>
    <cellStyle name="Обычный 2 4 6 2" xfId="5045"/>
    <cellStyle name="Обычный 2 4 6 2 10" xfId="5046"/>
    <cellStyle name="Обычный 2 4 6 2 11" xfId="18397"/>
    <cellStyle name="Обычный 2 4 6 2 12" xfId="20096"/>
    <cellStyle name="Обычный 2 4 6 2 13" xfId="21708"/>
    <cellStyle name="Обычный 2 4 6 2 2" xfId="5047"/>
    <cellStyle name="Обычный 2 4 6 2 2 2" xfId="5048"/>
    <cellStyle name="Обычный 2 4 6 2 3" xfId="5049"/>
    <cellStyle name="Обычный 2 4 6 2 4" xfId="5050"/>
    <cellStyle name="Обычный 2 4 6 2 5" xfId="5051"/>
    <cellStyle name="Обычный 2 4 6 2 6" xfId="5052"/>
    <cellStyle name="Обычный 2 4 6 2 7" xfId="5053"/>
    <cellStyle name="Обычный 2 4 6 2 8" xfId="5054"/>
    <cellStyle name="Обычный 2 4 6 2 9" xfId="5055"/>
    <cellStyle name="Обычный 2 4 6 3" xfId="5056"/>
    <cellStyle name="Обычный 2 4 6 3 2" xfId="5057"/>
    <cellStyle name="Обычный 2 4 6 4" xfId="5058"/>
    <cellStyle name="Обычный 2 4 6 5" xfId="5059"/>
    <cellStyle name="Обычный 2 4 6 6" xfId="5060"/>
    <cellStyle name="Обычный 2 4 6 7" xfId="5061"/>
    <cellStyle name="Обычный 2 4 6 8" xfId="5062"/>
    <cellStyle name="Обычный 2 4 6 9" xfId="5063"/>
    <cellStyle name="Обычный 2 4 7" xfId="5064"/>
    <cellStyle name="Обычный 2 4 7 10" xfId="5065"/>
    <cellStyle name="Обычный 2 4 7 11" xfId="5066"/>
    <cellStyle name="Обычный 2 4 7 12" xfId="18398"/>
    <cellStyle name="Обычный 2 4 7 13" xfId="20097"/>
    <cellStyle name="Обычный 2 4 7 14" xfId="21709"/>
    <cellStyle name="Обычный 2 4 7 2" xfId="5067"/>
    <cellStyle name="Обычный 2 4 7 2 10" xfId="5068"/>
    <cellStyle name="Обычный 2 4 7 2 11" xfId="18399"/>
    <cellStyle name="Обычный 2 4 7 2 12" xfId="20098"/>
    <cellStyle name="Обычный 2 4 7 2 13" xfId="21710"/>
    <cellStyle name="Обычный 2 4 7 2 2" xfId="5069"/>
    <cellStyle name="Обычный 2 4 7 2 2 2" xfId="5070"/>
    <cellStyle name="Обычный 2 4 7 2 3" xfId="5071"/>
    <cellStyle name="Обычный 2 4 7 2 4" xfId="5072"/>
    <cellStyle name="Обычный 2 4 7 2 5" xfId="5073"/>
    <cellStyle name="Обычный 2 4 7 2 6" xfId="5074"/>
    <cellStyle name="Обычный 2 4 7 2 7" xfId="5075"/>
    <cellStyle name="Обычный 2 4 7 2 8" xfId="5076"/>
    <cellStyle name="Обычный 2 4 7 2 9" xfId="5077"/>
    <cellStyle name="Обычный 2 4 7 3" xfId="5078"/>
    <cellStyle name="Обычный 2 4 7 3 2" xfId="5079"/>
    <cellStyle name="Обычный 2 4 7 4" xfId="5080"/>
    <cellStyle name="Обычный 2 4 7 5" xfId="5081"/>
    <cellStyle name="Обычный 2 4 7 6" xfId="5082"/>
    <cellStyle name="Обычный 2 4 7 7" xfId="5083"/>
    <cellStyle name="Обычный 2 4 7 8" xfId="5084"/>
    <cellStyle name="Обычный 2 4 7 9" xfId="5085"/>
    <cellStyle name="Обычный 2 4 8" xfId="5086"/>
    <cellStyle name="Обычный 2 4 8 10" xfId="5087"/>
    <cellStyle name="Обычный 2 4 8 11" xfId="5088"/>
    <cellStyle name="Обычный 2 4 8 12" xfId="18400"/>
    <cellStyle name="Обычный 2 4 8 13" xfId="20099"/>
    <cellStyle name="Обычный 2 4 8 14" xfId="21711"/>
    <cellStyle name="Обычный 2 4 8 2" xfId="5089"/>
    <cellStyle name="Обычный 2 4 8 2 10" xfId="5090"/>
    <cellStyle name="Обычный 2 4 8 2 11" xfId="18401"/>
    <cellStyle name="Обычный 2 4 8 2 12" xfId="20100"/>
    <cellStyle name="Обычный 2 4 8 2 13" xfId="21712"/>
    <cellStyle name="Обычный 2 4 8 2 2" xfId="5091"/>
    <cellStyle name="Обычный 2 4 8 2 2 2" xfId="5092"/>
    <cellStyle name="Обычный 2 4 8 2 3" xfId="5093"/>
    <cellStyle name="Обычный 2 4 8 2 4" xfId="5094"/>
    <cellStyle name="Обычный 2 4 8 2 5" xfId="5095"/>
    <cellStyle name="Обычный 2 4 8 2 6" xfId="5096"/>
    <cellStyle name="Обычный 2 4 8 2 7" xfId="5097"/>
    <cellStyle name="Обычный 2 4 8 2 8" xfId="5098"/>
    <cellStyle name="Обычный 2 4 8 2 9" xfId="5099"/>
    <cellStyle name="Обычный 2 4 8 3" xfId="5100"/>
    <cellStyle name="Обычный 2 4 8 3 2" xfId="5101"/>
    <cellStyle name="Обычный 2 4 8 4" xfId="5102"/>
    <cellStyle name="Обычный 2 4 8 5" xfId="5103"/>
    <cellStyle name="Обычный 2 4 8 6" xfId="5104"/>
    <cellStyle name="Обычный 2 4 8 7" xfId="5105"/>
    <cellStyle name="Обычный 2 4 8 8" xfId="5106"/>
    <cellStyle name="Обычный 2 4 8 9" xfId="5107"/>
    <cellStyle name="Обычный 2 4 9" xfId="5108"/>
    <cellStyle name="Обычный 2 4 9 10" xfId="5109"/>
    <cellStyle name="Обычный 2 4 9 11" xfId="5110"/>
    <cellStyle name="Обычный 2 4 9 12" xfId="18402"/>
    <cellStyle name="Обычный 2 4 9 13" xfId="20101"/>
    <cellStyle name="Обычный 2 4 9 14" xfId="21713"/>
    <cellStyle name="Обычный 2 4 9 2" xfId="5111"/>
    <cellStyle name="Обычный 2 4 9 2 10" xfId="5112"/>
    <cellStyle name="Обычный 2 4 9 2 11" xfId="18403"/>
    <cellStyle name="Обычный 2 4 9 2 12" xfId="20102"/>
    <cellStyle name="Обычный 2 4 9 2 13" xfId="21714"/>
    <cellStyle name="Обычный 2 4 9 2 2" xfId="5113"/>
    <cellStyle name="Обычный 2 4 9 2 2 2" xfId="5114"/>
    <cellStyle name="Обычный 2 4 9 2 3" xfId="5115"/>
    <cellStyle name="Обычный 2 4 9 2 4" xfId="5116"/>
    <cellStyle name="Обычный 2 4 9 2 5" xfId="5117"/>
    <cellStyle name="Обычный 2 4 9 2 6" xfId="5118"/>
    <cellStyle name="Обычный 2 4 9 2 7" xfId="5119"/>
    <cellStyle name="Обычный 2 4 9 2 8" xfId="5120"/>
    <cellStyle name="Обычный 2 4 9 2 9" xfId="5121"/>
    <cellStyle name="Обычный 2 4 9 3" xfId="5122"/>
    <cellStyle name="Обычный 2 4 9 3 2" xfId="5123"/>
    <cellStyle name="Обычный 2 4 9 4" xfId="5124"/>
    <cellStyle name="Обычный 2 4 9 5" xfId="5125"/>
    <cellStyle name="Обычный 2 4 9 6" xfId="5126"/>
    <cellStyle name="Обычный 2 4 9 7" xfId="5127"/>
    <cellStyle name="Обычный 2 4 9 8" xfId="5128"/>
    <cellStyle name="Обычный 2 4 9 9" xfId="5129"/>
    <cellStyle name="Обычный 2 5" xfId="5130"/>
    <cellStyle name="Обычный 2 5 2" xfId="5131"/>
    <cellStyle name="Обычный 2 5 2 2" xfId="18405"/>
    <cellStyle name="Обычный 2 5 3" xfId="18404"/>
    <cellStyle name="Обычный 2 5_5. общ.V" xfId="5132"/>
    <cellStyle name="Обычный 2 6" xfId="18252"/>
    <cellStyle name="Обычный 2 7" xfId="19626"/>
    <cellStyle name="Обычный 2 8" xfId="19647"/>
    <cellStyle name="Обычный 2 9" xfId="19955"/>
    <cellStyle name="Обычный 20" xfId="5133"/>
    <cellStyle name="Обычный 20 10" xfId="5134"/>
    <cellStyle name="Обычный 20 11" xfId="5135"/>
    <cellStyle name="Обычный 20 12" xfId="18406"/>
    <cellStyle name="Обычный 20 13" xfId="20103"/>
    <cellStyle name="Обычный 20 14" xfId="21715"/>
    <cellStyle name="Обычный 20 2" xfId="5136"/>
    <cellStyle name="Обычный 20 2 10" xfId="5137"/>
    <cellStyle name="Обычный 20 2 11" xfId="18407"/>
    <cellStyle name="Обычный 20 2 12" xfId="20104"/>
    <cellStyle name="Обычный 20 2 13" xfId="21716"/>
    <cellStyle name="Обычный 20 2 2" xfId="5138"/>
    <cellStyle name="Обычный 20 2 2 2" xfId="5139"/>
    <cellStyle name="Обычный 20 2 3" xfId="5140"/>
    <cellStyle name="Обычный 20 2 4" xfId="5141"/>
    <cellStyle name="Обычный 20 2 5" xfId="5142"/>
    <cellStyle name="Обычный 20 2 6" xfId="5143"/>
    <cellStyle name="Обычный 20 2 7" xfId="5144"/>
    <cellStyle name="Обычный 20 2 8" xfId="5145"/>
    <cellStyle name="Обычный 20 2 9" xfId="5146"/>
    <cellStyle name="Обычный 20 3" xfId="5147"/>
    <cellStyle name="Обычный 20 3 2" xfId="5148"/>
    <cellStyle name="Обычный 20 4" xfId="5149"/>
    <cellStyle name="Обычный 20 5" xfId="5150"/>
    <cellStyle name="Обычный 20 6" xfId="5151"/>
    <cellStyle name="Обычный 20 7" xfId="5152"/>
    <cellStyle name="Обычный 20 8" xfId="5153"/>
    <cellStyle name="Обычный 20 9" xfId="5154"/>
    <cellStyle name="Обычный 21" xfId="5155"/>
    <cellStyle name="Обычный 21 10" xfId="5156"/>
    <cellStyle name="Обычный 21 11" xfId="5157"/>
    <cellStyle name="Обычный 21 12" xfId="18408"/>
    <cellStyle name="Обычный 21 13" xfId="20105"/>
    <cellStyle name="Обычный 21 14" xfId="21717"/>
    <cellStyle name="Обычный 21 2" xfId="5158"/>
    <cellStyle name="Обычный 21 2 10" xfId="5159"/>
    <cellStyle name="Обычный 21 2 11" xfId="18409"/>
    <cellStyle name="Обычный 21 2 12" xfId="20106"/>
    <cellStyle name="Обычный 21 2 13" xfId="21718"/>
    <cellStyle name="Обычный 21 2 2" xfId="5160"/>
    <cellStyle name="Обычный 21 2 2 2" xfId="5161"/>
    <cellStyle name="Обычный 21 2 3" xfId="5162"/>
    <cellStyle name="Обычный 21 2 4" xfId="5163"/>
    <cellStyle name="Обычный 21 2 5" xfId="5164"/>
    <cellStyle name="Обычный 21 2 6" xfId="5165"/>
    <cellStyle name="Обычный 21 2 7" xfId="5166"/>
    <cellStyle name="Обычный 21 2 8" xfId="5167"/>
    <cellStyle name="Обычный 21 2 9" xfId="5168"/>
    <cellStyle name="Обычный 21 3" xfId="5169"/>
    <cellStyle name="Обычный 21 3 2" xfId="5170"/>
    <cellStyle name="Обычный 21 4" xfId="5171"/>
    <cellStyle name="Обычный 21 5" xfId="5172"/>
    <cellStyle name="Обычный 21 6" xfId="5173"/>
    <cellStyle name="Обычный 21 7" xfId="5174"/>
    <cellStyle name="Обычный 21 8" xfId="5175"/>
    <cellStyle name="Обычный 21 9" xfId="5176"/>
    <cellStyle name="Обычный 22" xfId="5177"/>
    <cellStyle name="Обычный 22 10" xfId="5178"/>
    <cellStyle name="Обычный 22 11" xfId="5179"/>
    <cellStyle name="Обычный 22 12" xfId="18410"/>
    <cellStyle name="Обычный 22 13" xfId="20107"/>
    <cellStyle name="Обычный 22 14" xfId="21719"/>
    <cellStyle name="Обычный 22 2" xfId="5180"/>
    <cellStyle name="Обычный 22 2 10" xfId="5181"/>
    <cellStyle name="Обычный 22 2 11" xfId="18411"/>
    <cellStyle name="Обычный 22 2 12" xfId="20108"/>
    <cellStyle name="Обычный 22 2 13" xfId="21720"/>
    <cellStyle name="Обычный 22 2 2" xfId="5182"/>
    <cellStyle name="Обычный 22 2 2 2" xfId="5183"/>
    <cellStyle name="Обычный 22 2 3" xfId="5184"/>
    <cellStyle name="Обычный 22 2 4" xfId="5185"/>
    <cellStyle name="Обычный 22 2 5" xfId="5186"/>
    <cellStyle name="Обычный 22 2 6" xfId="5187"/>
    <cellStyle name="Обычный 22 2 7" xfId="5188"/>
    <cellStyle name="Обычный 22 2 8" xfId="5189"/>
    <cellStyle name="Обычный 22 2 9" xfId="5190"/>
    <cellStyle name="Обычный 22 3" xfId="5191"/>
    <cellStyle name="Обычный 22 3 2" xfId="5192"/>
    <cellStyle name="Обычный 22 4" xfId="5193"/>
    <cellStyle name="Обычный 22 5" xfId="5194"/>
    <cellStyle name="Обычный 22 6" xfId="5195"/>
    <cellStyle name="Обычный 22 7" xfId="5196"/>
    <cellStyle name="Обычный 22 8" xfId="5197"/>
    <cellStyle name="Обычный 22 9" xfId="5198"/>
    <cellStyle name="Обычный 23" xfId="5199"/>
    <cellStyle name="Обычный 23 2" xfId="18412"/>
    <cellStyle name="Обычный 24" xfId="17835"/>
    <cellStyle name="Обычный 25" xfId="19604"/>
    <cellStyle name="Обычный 26" xfId="19621"/>
    <cellStyle name="Обычный 27" xfId="19649"/>
    <cellStyle name="Обычный 28" xfId="19656"/>
    <cellStyle name="Обычный 29" xfId="21269"/>
    <cellStyle name="Обычный 3" xfId="5200"/>
    <cellStyle name="Обычный 3 10" xfId="5201"/>
    <cellStyle name="Обычный 3 10 10" xfId="5202"/>
    <cellStyle name="Обычный 3 10 11" xfId="5203"/>
    <cellStyle name="Обычный 3 10 12" xfId="5204"/>
    <cellStyle name="Обычный 3 10 13" xfId="5205"/>
    <cellStyle name="Обычный 3 10 14" xfId="5206"/>
    <cellStyle name="Обычный 3 10 15" xfId="5207"/>
    <cellStyle name="Обычный 3 10 16" xfId="5208"/>
    <cellStyle name="Обычный 3 10 17" xfId="5209"/>
    <cellStyle name="Обычный 3 10 18" xfId="18414"/>
    <cellStyle name="Обычный 3 10 19" xfId="20110"/>
    <cellStyle name="Обычный 3 10 2" xfId="5210"/>
    <cellStyle name="Обычный 3 10 2 10" xfId="5211"/>
    <cellStyle name="Обычный 3 10 2 11" xfId="5212"/>
    <cellStyle name="Обычный 3 10 2 12" xfId="18415"/>
    <cellStyle name="Обычный 3 10 2 13" xfId="20111"/>
    <cellStyle name="Обычный 3 10 2 14" xfId="21723"/>
    <cellStyle name="Обычный 3 10 2 2" xfId="5213"/>
    <cellStyle name="Обычный 3 10 2 2 10" xfId="5214"/>
    <cellStyle name="Обычный 3 10 2 2 11" xfId="18416"/>
    <cellStyle name="Обычный 3 10 2 2 12" xfId="20112"/>
    <cellStyle name="Обычный 3 10 2 2 13" xfId="21724"/>
    <cellStyle name="Обычный 3 10 2 2 2" xfId="5215"/>
    <cellStyle name="Обычный 3 10 2 2 2 2" xfId="5216"/>
    <cellStyle name="Обычный 3 10 2 2 3" xfId="5217"/>
    <cellStyle name="Обычный 3 10 2 2 4" xfId="5218"/>
    <cellStyle name="Обычный 3 10 2 2 5" xfId="5219"/>
    <cellStyle name="Обычный 3 10 2 2 6" xfId="5220"/>
    <cellStyle name="Обычный 3 10 2 2 7" xfId="5221"/>
    <cellStyle name="Обычный 3 10 2 2 8" xfId="5222"/>
    <cellStyle name="Обычный 3 10 2 2 9" xfId="5223"/>
    <cellStyle name="Обычный 3 10 2 3" xfId="5224"/>
    <cellStyle name="Обычный 3 10 2 3 2" xfId="5225"/>
    <cellStyle name="Обычный 3 10 2 4" xfId="5226"/>
    <cellStyle name="Обычный 3 10 2 5" xfId="5227"/>
    <cellStyle name="Обычный 3 10 2 6" xfId="5228"/>
    <cellStyle name="Обычный 3 10 2 7" xfId="5229"/>
    <cellStyle name="Обычный 3 10 2 8" xfId="5230"/>
    <cellStyle name="Обычный 3 10 2 9" xfId="5231"/>
    <cellStyle name="Обычный 3 10 20" xfId="21722"/>
    <cellStyle name="Обычный 3 10 3" xfId="5232"/>
    <cellStyle name="Обычный 3 10 3 10" xfId="5233"/>
    <cellStyle name="Обычный 3 10 3 11" xfId="5234"/>
    <cellStyle name="Обычный 3 10 3 12" xfId="18417"/>
    <cellStyle name="Обычный 3 10 3 13" xfId="20113"/>
    <cellStyle name="Обычный 3 10 3 14" xfId="21725"/>
    <cellStyle name="Обычный 3 10 3 2" xfId="5235"/>
    <cellStyle name="Обычный 3 10 3 2 10" xfId="5236"/>
    <cellStyle name="Обычный 3 10 3 2 11" xfId="18418"/>
    <cellStyle name="Обычный 3 10 3 2 12" xfId="20114"/>
    <cellStyle name="Обычный 3 10 3 2 13" xfId="21726"/>
    <cellStyle name="Обычный 3 10 3 2 2" xfId="5237"/>
    <cellStyle name="Обычный 3 10 3 2 2 2" xfId="5238"/>
    <cellStyle name="Обычный 3 10 3 2 3" xfId="5239"/>
    <cellStyle name="Обычный 3 10 3 2 4" xfId="5240"/>
    <cellStyle name="Обычный 3 10 3 2 5" xfId="5241"/>
    <cellStyle name="Обычный 3 10 3 2 6" xfId="5242"/>
    <cellStyle name="Обычный 3 10 3 2 7" xfId="5243"/>
    <cellStyle name="Обычный 3 10 3 2 8" xfId="5244"/>
    <cellStyle name="Обычный 3 10 3 2 9" xfId="5245"/>
    <cellStyle name="Обычный 3 10 3 3" xfId="5246"/>
    <cellStyle name="Обычный 3 10 3 3 2" xfId="5247"/>
    <cellStyle name="Обычный 3 10 3 4" xfId="5248"/>
    <cellStyle name="Обычный 3 10 3 5" xfId="5249"/>
    <cellStyle name="Обычный 3 10 3 6" xfId="5250"/>
    <cellStyle name="Обычный 3 10 3 7" xfId="5251"/>
    <cellStyle name="Обычный 3 10 3 8" xfId="5252"/>
    <cellStyle name="Обычный 3 10 3 9" xfId="5253"/>
    <cellStyle name="Обычный 3 10 4" xfId="5254"/>
    <cellStyle name="Обычный 3 10 4 10" xfId="5255"/>
    <cellStyle name="Обычный 3 10 4 11" xfId="5256"/>
    <cellStyle name="Обычный 3 10 4 12" xfId="18419"/>
    <cellStyle name="Обычный 3 10 4 13" xfId="20115"/>
    <cellStyle name="Обычный 3 10 4 14" xfId="21727"/>
    <cellStyle name="Обычный 3 10 4 2" xfId="5257"/>
    <cellStyle name="Обычный 3 10 4 2 10" xfId="5258"/>
    <cellStyle name="Обычный 3 10 4 2 11" xfId="18420"/>
    <cellStyle name="Обычный 3 10 4 2 12" xfId="20116"/>
    <cellStyle name="Обычный 3 10 4 2 13" xfId="21728"/>
    <cellStyle name="Обычный 3 10 4 2 2" xfId="5259"/>
    <cellStyle name="Обычный 3 10 4 2 2 2" xfId="5260"/>
    <cellStyle name="Обычный 3 10 4 2 3" xfId="5261"/>
    <cellStyle name="Обычный 3 10 4 2 4" xfId="5262"/>
    <cellStyle name="Обычный 3 10 4 2 5" xfId="5263"/>
    <cellStyle name="Обычный 3 10 4 2 6" xfId="5264"/>
    <cellStyle name="Обычный 3 10 4 2 7" xfId="5265"/>
    <cellStyle name="Обычный 3 10 4 2 8" xfId="5266"/>
    <cellStyle name="Обычный 3 10 4 2 9" xfId="5267"/>
    <cellStyle name="Обычный 3 10 4 3" xfId="5268"/>
    <cellStyle name="Обычный 3 10 4 3 2" xfId="5269"/>
    <cellStyle name="Обычный 3 10 4 4" xfId="5270"/>
    <cellStyle name="Обычный 3 10 4 5" xfId="5271"/>
    <cellStyle name="Обычный 3 10 4 6" xfId="5272"/>
    <cellStyle name="Обычный 3 10 4 7" xfId="5273"/>
    <cellStyle name="Обычный 3 10 4 8" xfId="5274"/>
    <cellStyle name="Обычный 3 10 4 9" xfId="5275"/>
    <cellStyle name="Обычный 3 10 5" xfId="5276"/>
    <cellStyle name="Обычный 3 10 5 10" xfId="5277"/>
    <cellStyle name="Обычный 3 10 5 11" xfId="5278"/>
    <cellStyle name="Обычный 3 10 5 12" xfId="18421"/>
    <cellStyle name="Обычный 3 10 5 13" xfId="20117"/>
    <cellStyle name="Обычный 3 10 5 14" xfId="21729"/>
    <cellStyle name="Обычный 3 10 5 2" xfId="5279"/>
    <cellStyle name="Обычный 3 10 5 2 10" xfId="5280"/>
    <cellStyle name="Обычный 3 10 5 2 11" xfId="18422"/>
    <cellStyle name="Обычный 3 10 5 2 12" xfId="20118"/>
    <cellStyle name="Обычный 3 10 5 2 13" xfId="21730"/>
    <cellStyle name="Обычный 3 10 5 2 2" xfId="5281"/>
    <cellStyle name="Обычный 3 10 5 2 2 2" xfId="5282"/>
    <cellStyle name="Обычный 3 10 5 2 3" xfId="5283"/>
    <cellStyle name="Обычный 3 10 5 2 4" xfId="5284"/>
    <cellStyle name="Обычный 3 10 5 2 5" xfId="5285"/>
    <cellStyle name="Обычный 3 10 5 2 6" xfId="5286"/>
    <cellStyle name="Обычный 3 10 5 2 7" xfId="5287"/>
    <cellStyle name="Обычный 3 10 5 2 8" xfId="5288"/>
    <cellStyle name="Обычный 3 10 5 2 9" xfId="5289"/>
    <cellStyle name="Обычный 3 10 5 3" xfId="5290"/>
    <cellStyle name="Обычный 3 10 5 3 2" xfId="5291"/>
    <cellStyle name="Обычный 3 10 5 4" xfId="5292"/>
    <cellStyle name="Обычный 3 10 5 5" xfId="5293"/>
    <cellStyle name="Обычный 3 10 5 6" xfId="5294"/>
    <cellStyle name="Обычный 3 10 5 7" xfId="5295"/>
    <cellStyle name="Обычный 3 10 5 8" xfId="5296"/>
    <cellStyle name="Обычный 3 10 5 9" xfId="5297"/>
    <cellStyle name="Обычный 3 10 6" xfId="5298"/>
    <cellStyle name="Обычный 3 10 6 10" xfId="5299"/>
    <cellStyle name="Обычный 3 10 6 11" xfId="18423"/>
    <cellStyle name="Обычный 3 10 6 12" xfId="20119"/>
    <cellStyle name="Обычный 3 10 6 13" xfId="21731"/>
    <cellStyle name="Обычный 3 10 6 2" xfId="5300"/>
    <cellStyle name="Обычный 3 10 6 2 2" xfId="5301"/>
    <cellStyle name="Обычный 3 10 6 3" xfId="5302"/>
    <cellStyle name="Обычный 3 10 6 4" xfId="5303"/>
    <cellStyle name="Обычный 3 10 6 5" xfId="5304"/>
    <cellStyle name="Обычный 3 10 6 6" xfId="5305"/>
    <cellStyle name="Обычный 3 10 6 7" xfId="5306"/>
    <cellStyle name="Обычный 3 10 6 8" xfId="5307"/>
    <cellStyle name="Обычный 3 10 6 9" xfId="5308"/>
    <cellStyle name="Обычный 3 10 7" xfId="5309"/>
    <cellStyle name="Обычный 3 10 7 10" xfId="20120"/>
    <cellStyle name="Обычный 3 10 7 11" xfId="21732"/>
    <cellStyle name="Обычный 3 10 7 2" xfId="5310"/>
    <cellStyle name="Обычный 3 10 7 2 2" xfId="5311"/>
    <cellStyle name="Обычный 3 10 7 3" xfId="5312"/>
    <cellStyle name="Обычный 3 10 7 4" xfId="5313"/>
    <cellStyle name="Обычный 3 10 7 5" xfId="5314"/>
    <cellStyle name="Обычный 3 10 7 6" xfId="5315"/>
    <cellStyle name="Обычный 3 10 7 7" xfId="5316"/>
    <cellStyle name="Обычный 3 10 7 8" xfId="5317"/>
    <cellStyle name="Обычный 3 10 7 9" xfId="18424"/>
    <cellStyle name="Обычный 3 10 8" xfId="5318"/>
    <cellStyle name="Обычный 3 10 8 2" xfId="5319"/>
    <cellStyle name="Обычный 3 10 9" xfId="5320"/>
    <cellStyle name="Обычный 3 11" xfId="5321"/>
    <cellStyle name="Обычный 3 11 10" xfId="5322"/>
    <cellStyle name="Обычный 3 11 11" xfId="5323"/>
    <cellStyle name="Обычный 3 11 12" xfId="18425"/>
    <cellStyle name="Обычный 3 11 13" xfId="20121"/>
    <cellStyle name="Обычный 3 11 14" xfId="21733"/>
    <cellStyle name="Обычный 3 11 2" xfId="5324"/>
    <cellStyle name="Обычный 3 11 2 10" xfId="5325"/>
    <cellStyle name="Обычный 3 11 2 11" xfId="18426"/>
    <cellStyle name="Обычный 3 11 2 12" xfId="20122"/>
    <cellStyle name="Обычный 3 11 2 13" xfId="21734"/>
    <cellStyle name="Обычный 3 11 2 2" xfId="5326"/>
    <cellStyle name="Обычный 3 11 2 2 2" xfId="5327"/>
    <cellStyle name="Обычный 3 11 2 3" xfId="5328"/>
    <cellStyle name="Обычный 3 11 2 4" xfId="5329"/>
    <cellStyle name="Обычный 3 11 2 5" xfId="5330"/>
    <cellStyle name="Обычный 3 11 2 6" xfId="5331"/>
    <cellStyle name="Обычный 3 11 2 7" xfId="5332"/>
    <cellStyle name="Обычный 3 11 2 8" xfId="5333"/>
    <cellStyle name="Обычный 3 11 2 9" xfId="5334"/>
    <cellStyle name="Обычный 3 11 3" xfId="5335"/>
    <cellStyle name="Обычный 3 11 3 2" xfId="5336"/>
    <cellStyle name="Обычный 3 11 4" xfId="5337"/>
    <cellStyle name="Обычный 3 11 5" xfId="5338"/>
    <cellStyle name="Обычный 3 11 6" xfId="5339"/>
    <cellStyle name="Обычный 3 11 7" xfId="5340"/>
    <cellStyle name="Обычный 3 11 8" xfId="5341"/>
    <cellStyle name="Обычный 3 11 9" xfId="5342"/>
    <cellStyle name="Обычный 3 12" xfId="5343"/>
    <cellStyle name="Обычный 3 12 10" xfId="5344"/>
    <cellStyle name="Обычный 3 12 11" xfId="5345"/>
    <cellStyle name="Обычный 3 12 12" xfId="18427"/>
    <cellStyle name="Обычный 3 12 13" xfId="20123"/>
    <cellStyle name="Обычный 3 12 14" xfId="21735"/>
    <cellStyle name="Обычный 3 12 2" xfId="5346"/>
    <cellStyle name="Обычный 3 12 2 10" xfId="5347"/>
    <cellStyle name="Обычный 3 12 2 11" xfId="18428"/>
    <cellStyle name="Обычный 3 12 2 12" xfId="20124"/>
    <cellStyle name="Обычный 3 12 2 13" xfId="21736"/>
    <cellStyle name="Обычный 3 12 2 2" xfId="5348"/>
    <cellStyle name="Обычный 3 12 2 2 2" xfId="5349"/>
    <cellStyle name="Обычный 3 12 2 3" xfId="5350"/>
    <cellStyle name="Обычный 3 12 2 4" xfId="5351"/>
    <cellStyle name="Обычный 3 12 2 5" xfId="5352"/>
    <cellStyle name="Обычный 3 12 2 6" xfId="5353"/>
    <cellStyle name="Обычный 3 12 2 7" xfId="5354"/>
    <cellStyle name="Обычный 3 12 2 8" xfId="5355"/>
    <cellStyle name="Обычный 3 12 2 9" xfId="5356"/>
    <cellStyle name="Обычный 3 12 3" xfId="5357"/>
    <cellStyle name="Обычный 3 12 3 2" xfId="5358"/>
    <cellStyle name="Обычный 3 12 4" xfId="5359"/>
    <cellStyle name="Обычный 3 12 5" xfId="5360"/>
    <cellStyle name="Обычный 3 12 6" xfId="5361"/>
    <cellStyle name="Обычный 3 12 7" xfId="5362"/>
    <cellStyle name="Обычный 3 12 8" xfId="5363"/>
    <cellStyle name="Обычный 3 12 9" xfId="5364"/>
    <cellStyle name="Обычный 3 13" xfId="5365"/>
    <cellStyle name="Обычный 3 13 10" xfId="5366"/>
    <cellStyle name="Обычный 3 13 11" xfId="5367"/>
    <cellStyle name="Обычный 3 13 12" xfId="18429"/>
    <cellStyle name="Обычный 3 13 13" xfId="20125"/>
    <cellStyle name="Обычный 3 13 14" xfId="21737"/>
    <cellStyle name="Обычный 3 13 2" xfId="5368"/>
    <cellStyle name="Обычный 3 13 2 10" xfId="5369"/>
    <cellStyle name="Обычный 3 13 2 11" xfId="18430"/>
    <cellStyle name="Обычный 3 13 2 12" xfId="20126"/>
    <cellStyle name="Обычный 3 13 2 13" xfId="21738"/>
    <cellStyle name="Обычный 3 13 2 2" xfId="5370"/>
    <cellStyle name="Обычный 3 13 2 2 2" xfId="5371"/>
    <cellStyle name="Обычный 3 13 2 3" xfId="5372"/>
    <cellStyle name="Обычный 3 13 2 4" xfId="5373"/>
    <cellStyle name="Обычный 3 13 2 5" xfId="5374"/>
    <cellStyle name="Обычный 3 13 2 6" xfId="5375"/>
    <cellStyle name="Обычный 3 13 2 7" xfId="5376"/>
    <cellStyle name="Обычный 3 13 2 8" xfId="5377"/>
    <cellStyle name="Обычный 3 13 2 9" xfId="5378"/>
    <cellStyle name="Обычный 3 13 3" xfId="5379"/>
    <cellStyle name="Обычный 3 13 3 2" xfId="5380"/>
    <cellStyle name="Обычный 3 13 4" xfId="5381"/>
    <cellStyle name="Обычный 3 13 5" xfId="5382"/>
    <cellStyle name="Обычный 3 13 6" xfId="5383"/>
    <cellStyle name="Обычный 3 13 7" xfId="5384"/>
    <cellStyle name="Обычный 3 13 8" xfId="5385"/>
    <cellStyle name="Обычный 3 13 9" xfId="5386"/>
    <cellStyle name="Обычный 3 14" xfId="5387"/>
    <cellStyle name="Обычный 3 14 10" xfId="5388"/>
    <cellStyle name="Обычный 3 14 11" xfId="5389"/>
    <cellStyle name="Обычный 3 14 12" xfId="18431"/>
    <cellStyle name="Обычный 3 14 13" xfId="20127"/>
    <cellStyle name="Обычный 3 14 14" xfId="21739"/>
    <cellStyle name="Обычный 3 14 2" xfId="5390"/>
    <cellStyle name="Обычный 3 14 2 10" xfId="5391"/>
    <cellStyle name="Обычный 3 14 2 11" xfId="18432"/>
    <cellStyle name="Обычный 3 14 2 12" xfId="20128"/>
    <cellStyle name="Обычный 3 14 2 13" xfId="21740"/>
    <cellStyle name="Обычный 3 14 2 2" xfId="5392"/>
    <cellStyle name="Обычный 3 14 2 2 2" xfId="5393"/>
    <cellStyle name="Обычный 3 14 2 3" xfId="5394"/>
    <cellStyle name="Обычный 3 14 2 4" xfId="5395"/>
    <cellStyle name="Обычный 3 14 2 5" xfId="5396"/>
    <cellStyle name="Обычный 3 14 2 6" xfId="5397"/>
    <cellStyle name="Обычный 3 14 2 7" xfId="5398"/>
    <cellStyle name="Обычный 3 14 2 8" xfId="5399"/>
    <cellStyle name="Обычный 3 14 2 9" xfId="5400"/>
    <cellStyle name="Обычный 3 14 3" xfId="5401"/>
    <cellStyle name="Обычный 3 14 3 2" xfId="5402"/>
    <cellStyle name="Обычный 3 14 4" xfId="5403"/>
    <cellStyle name="Обычный 3 14 5" xfId="5404"/>
    <cellStyle name="Обычный 3 14 6" xfId="5405"/>
    <cellStyle name="Обычный 3 14 7" xfId="5406"/>
    <cellStyle name="Обычный 3 14 8" xfId="5407"/>
    <cellStyle name="Обычный 3 14 9" xfId="5408"/>
    <cellStyle name="Обычный 3 15" xfId="5409"/>
    <cellStyle name="Обычный 3 15 10" xfId="5410"/>
    <cellStyle name="Обычный 3 15 11" xfId="5411"/>
    <cellStyle name="Обычный 3 15 12" xfId="18433"/>
    <cellStyle name="Обычный 3 15 13" xfId="20129"/>
    <cellStyle name="Обычный 3 15 14" xfId="21741"/>
    <cellStyle name="Обычный 3 15 2" xfId="5412"/>
    <cellStyle name="Обычный 3 15 2 10" xfId="5413"/>
    <cellStyle name="Обычный 3 15 2 11" xfId="18434"/>
    <cellStyle name="Обычный 3 15 2 12" xfId="20130"/>
    <cellStyle name="Обычный 3 15 2 13" xfId="21742"/>
    <cellStyle name="Обычный 3 15 2 2" xfId="5414"/>
    <cellStyle name="Обычный 3 15 2 2 2" xfId="5415"/>
    <cellStyle name="Обычный 3 15 2 3" xfId="5416"/>
    <cellStyle name="Обычный 3 15 2 4" xfId="5417"/>
    <cellStyle name="Обычный 3 15 2 5" xfId="5418"/>
    <cellStyle name="Обычный 3 15 2 6" xfId="5419"/>
    <cellStyle name="Обычный 3 15 2 7" xfId="5420"/>
    <cellStyle name="Обычный 3 15 2 8" xfId="5421"/>
    <cellStyle name="Обычный 3 15 2 9" xfId="5422"/>
    <cellStyle name="Обычный 3 15 3" xfId="5423"/>
    <cellStyle name="Обычный 3 15 3 2" xfId="5424"/>
    <cellStyle name="Обычный 3 15 4" xfId="5425"/>
    <cellStyle name="Обычный 3 15 5" xfId="5426"/>
    <cellStyle name="Обычный 3 15 6" xfId="5427"/>
    <cellStyle name="Обычный 3 15 7" xfId="5428"/>
    <cellStyle name="Обычный 3 15 8" xfId="5429"/>
    <cellStyle name="Обычный 3 15 9" xfId="5430"/>
    <cellStyle name="Обычный 3 16" xfId="5431"/>
    <cellStyle name="Обычный 3 16 10" xfId="5432"/>
    <cellStyle name="Обычный 3 16 11" xfId="5433"/>
    <cellStyle name="Обычный 3 16 12" xfId="18435"/>
    <cellStyle name="Обычный 3 16 13" xfId="20131"/>
    <cellStyle name="Обычный 3 16 14" xfId="21743"/>
    <cellStyle name="Обычный 3 16 2" xfId="5434"/>
    <cellStyle name="Обычный 3 16 2 10" xfId="5435"/>
    <cellStyle name="Обычный 3 16 2 11" xfId="18436"/>
    <cellStyle name="Обычный 3 16 2 12" xfId="20132"/>
    <cellStyle name="Обычный 3 16 2 13" xfId="21744"/>
    <cellStyle name="Обычный 3 16 2 2" xfId="5436"/>
    <cellStyle name="Обычный 3 16 2 2 2" xfId="5437"/>
    <cellStyle name="Обычный 3 16 2 3" xfId="5438"/>
    <cellStyle name="Обычный 3 16 2 4" xfId="5439"/>
    <cellStyle name="Обычный 3 16 2 5" xfId="5440"/>
    <cellStyle name="Обычный 3 16 2 6" xfId="5441"/>
    <cellStyle name="Обычный 3 16 2 7" xfId="5442"/>
    <cellStyle name="Обычный 3 16 2 8" xfId="5443"/>
    <cellStyle name="Обычный 3 16 2 9" xfId="5444"/>
    <cellStyle name="Обычный 3 16 3" xfId="5445"/>
    <cellStyle name="Обычный 3 16 3 2" xfId="5446"/>
    <cellStyle name="Обычный 3 16 4" xfId="5447"/>
    <cellStyle name="Обычный 3 16 5" xfId="5448"/>
    <cellStyle name="Обычный 3 16 6" xfId="5449"/>
    <cellStyle name="Обычный 3 16 7" xfId="5450"/>
    <cellStyle name="Обычный 3 16 8" xfId="5451"/>
    <cellStyle name="Обычный 3 16 9" xfId="5452"/>
    <cellStyle name="Обычный 3 17" xfId="5453"/>
    <cellStyle name="Обычный 3 17 10" xfId="5454"/>
    <cellStyle name="Обычный 3 17 11" xfId="5455"/>
    <cellStyle name="Обычный 3 17 12" xfId="18437"/>
    <cellStyle name="Обычный 3 17 13" xfId="20133"/>
    <cellStyle name="Обычный 3 17 14" xfId="21745"/>
    <cellStyle name="Обычный 3 17 2" xfId="5456"/>
    <cellStyle name="Обычный 3 17 2 10" xfId="5457"/>
    <cellStyle name="Обычный 3 17 2 11" xfId="18438"/>
    <cellStyle name="Обычный 3 17 2 12" xfId="20134"/>
    <cellStyle name="Обычный 3 17 2 13" xfId="21746"/>
    <cellStyle name="Обычный 3 17 2 2" xfId="5458"/>
    <cellStyle name="Обычный 3 17 2 2 2" xfId="5459"/>
    <cellStyle name="Обычный 3 17 2 3" xfId="5460"/>
    <cellStyle name="Обычный 3 17 2 4" xfId="5461"/>
    <cellStyle name="Обычный 3 17 2 5" xfId="5462"/>
    <cellStyle name="Обычный 3 17 2 6" xfId="5463"/>
    <cellStyle name="Обычный 3 17 2 7" xfId="5464"/>
    <cellStyle name="Обычный 3 17 2 8" xfId="5465"/>
    <cellStyle name="Обычный 3 17 2 9" xfId="5466"/>
    <cellStyle name="Обычный 3 17 3" xfId="5467"/>
    <cellStyle name="Обычный 3 17 3 2" xfId="5468"/>
    <cellStyle name="Обычный 3 17 4" xfId="5469"/>
    <cellStyle name="Обычный 3 17 5" xfId="5470"/>
    <cellStyle name="Обычный 3 17 6" xfId="5471"/>
    <cellStyle name="Обычный 3 17 7" xfId="5472"/>
    <cellStyle name="Обычный 3 17 8" xfId="5473"/>
    <cellStyle name="Обычный 3 17 9" xfId="5474"/>
    <cellStyle name="Обычный 3 18" xfId="5475"/>
    <cellStyle name="Обычный 3 18 10" xfId="5476"/>
    <cellStyle name="Обычный 3 18 11" xfId="5477"/>
    <cellStyle name="Обычный 3 18 12" xfId="18439"/>
    <cellStyle name="Обычный 3 18 13" xfId="20135"/>
    <cellStyle name="Обычный 3 18 14" xfId="21747"/>
    <cellStyle name="Обычный 3 18 2" xfId="5478"/>
    <cellStyle name="Обычный 3 18 2 10" xfId="5479"/>
    <cellStyle name="Обычный 3 18 2 11" xfId="18440"/>
    <cellStyle name="Обычный 3 18 2 12" xfId="20136"/>
    <cellStyle name="Обычный 3 18 2 13" xfId="21748"/>
    <cellStyle name="Обычный 3 18 2 2" xfId="5480"/>
    <cellStyle name="Обычный 3 18 2 2 2" xfId="5481"/>
    <cellStyle name="Обычный 3 18 2 3" xfId="5482"/>
    <cellStyle name="Обычный 3 18 2 4" xfId="5483"/>
    <cellStyle name="Обычный 3 18 2 5" xfId="5484"/>
    <cellStyle name="Обычный 3 18 2 6" xfId="5485"/>
    <cellStyle name="Обычный 3 18 2 7" xfId="5486"/>
    <cellStyle name="Обычный 3 18 2 8" xfId="5487"/>
    <cellStyle name="Обычный 3 18 2 9" xfId="5488"/>
    <cellStyle name="Обычный 3 18 3" xfId="5489"/>
    <cellStyle name="Обычный 3 18 3 2" xfId="5490"/>
    <cellStyle name="Обычный 3 18 4" xfId="5491"/>
    <cellStyle name="Обычный 3 18 5" xfId="5492"/>
    <cellStyle name="Обычный 3 18 6" xfId="5493"/>
    <cellStyle name="Обычный 3 18 7" xfId="5494"/>
    <cellStyle name="Обычный 3 18 8" xfId="5495"/>
    <cellStyle name="Обычный 3 18 9" xfId="5496"/>
    <cellStyle name="Обычный 3 19" xfId="5497"/>
    <cellStyle name="Обычный 3 19 10" xfId="5498"/>
    <cellStyle name="Обычный 3 19 11" xfId="18441"/>
    <cellStyle name="Обычный 3 19 12" xfId="20137"/>
    <cellStyle name="Обычный 3 19 13" xfId="21749"/>
    <cellStyle name="Обычный 3 19 2" xfId="5499"/>
    <cellStyle name="Обычный 3 19 2 2" xfId="5500"/>
    <cellStyle name="Обычный 3 19 3" xfId="5501"/>
    <cellStyle name="Обычный 3 19 4" xfId="5502"/>
    <cellStyle name="Обычный 3 19 5" xfId="5503"/>
    <cellStyle name="Обычный 3 19 6" xfId="5504"/>
    <cellStyle name="Обычный 3 19 7" xfId="5505"/>
    <cellStyle name="Обычный 3 19 8" xfId="5506"/>
    <cellStyle name="Обычный 3 19 9" xfId="5507"/>
    <cellStyle name="Обычный 3 2" xfId="5508"/>
    <cellStyle name="Обычный 3 2 10" xfId="5509"/>
    <cellStyle name="Обычный 3 2 10 10" xfId="5510"/>
    <cellStyle name="Обычный 3 2 10 11" xfId="5511"/>
    <cellStyle name="Обычный 3 2 10 12" xfId="18443"/>
    <cellStyle name="Обычный 3 2 10 12 2 2 2" xfId="22884"/>
    <cellStyle name="Обычный 3 2 10 12 2 3" xfId="22889"/>
    <cellStyle name="Обычный 3 2 10 13" xfId="20139"/>
    <cellStyle name="Обычный 3 2 10 14" xfId="21751"/>
    <cellStyle name="Обычный 3 2 10 2" xfId="5512"/>
    <cellStyle name="Обычный 3 2 10 2 10" xfId="5513"/>
    <cellStyle name="Обычный 3 2 10 2 11" xfId="18444"/>
    <cellStyle name="Обычный 3 2 10 2 12" xfId="20140"/>
    <cellStyle name="Обычный 3 2 10 2 13" xfId="21752"/>
    <cellStyle name="Обычный 3 2 10 2 2" xfId="5514"/>
    <cellStyle name="Обычный 3 2 10 2 2 2" xfId="5515"/>
    <cellStyle name="Обычный 3 2 10 2 3" xfId="5516"/>
    <cellStyle name="Обычный 3 2 10 2 4" xfId="5517"/>
    <cellStyle name="Обычный 3 2 10 2 5" xfId="5518"/>
    <cellStyle name="Обычный 3 2 10 2 6" xfId="5519"/>
    <cellStyle name="Обычный 3 2 10 2 7" xfId="5520"/>
    <cellStyle name="Обычный 3 2 10 2 8" xfId="5521"/>
    <cellStyle name="Обычный 3 2 10 2 9" xfId="5522"/>
    <cellStyle name="Обычный 3 2 10 3" xfId="5523"/>
    <cellStyle name="Обычный 3 2 10 3 2" xfId="5524"/>
    <cellStyle name="Обычный 3 2 10 4" xfId="5525"/>
    <cellStyle name="Обычный 3 2 10 5" xfId="5526"/>
    <cellStyle name="Обычный 3 2 10 6" xfId="5527"/>
    <cellStyle name="Обычный 3 2 10 7" xfId="5528"/>
    <cellStyle name="Обычный 3 2 10 8" xfId="5529"/>
    <cellStyle name="Обычный 3 2 10 9" xfId="5530"/>
    <cellStyle name="Обычный 3 2 11" xfId="5531"/>
    <cellStyle name="Обычный 3 2 11 10" xfId="5532"/>
    <cellStyle name="Обычный 3 2 11 11" xfId="18445"/>
    <cellStyle name="Обычный 3 2 11 12" xfId="20141"/>
    <cellStyle name="Обычный 3 2 11 13" xfId="21753"/>
    <cellStyle name="Обычный 3 2 11 2" xfId="5533"/>
    <cellStyle name="Обычный 3 2 11 2 2" xfId="5534"/>
    <cellStyle name="Обычный 3 2 11 3" xfId="5535"/>
    <cellStyle name="Обычный 3 2 11 4" xfId="5536"/>
    <cellStyle name="Обычный 3 2 11 5" xfId="5537"/>
    <cellStyle name="Обычный 3 2 11 6" xfId="5538"/>
    <cellStyle name="Обычный 3 2 11 7" xfId="5539"/>
    <cellStyle name="Обычный 3 2 11 8" xfId="5540"/>
    <cellStyle name="Обычный 3 2 11 9" xfId="5541"/>
    <cellStyle name="Обычный 3 2 12" xfId="5542"/>
    <cellStyle name="Обычный 3 2 12 10" xfId="20142"/>
    <cellStyle name="Обычный 3 2 12 11" xfId="21754"/>
    <cellStyle name="Обычный 3 2 12 2" xfId="5543"/>
    <cellStyle name="Обычный 3 2 12 2 2" xfId="5544"/>
    <cellStyle name="Обычный 3 2 12 3" xfId="5545"/>
    <cellStyle name="Обычный 3 2 12 4" xfId="5546"/>
    <cellStyle name="Обычный 3 2 12 5" xfId="5547"/>
    <cellStyle name="Обычный 3 2 12 6" xfId="5548"/>
    <cellStyle name="Обычный 3 2 12 7" xfId="5549"/>
    <cellStyle name="Обычный 3 2 12 8" xfId="5550"/>
    <cellStyle name="Обычный 3 2 12 9" xfId="18446"/>
    <cellStyle name="Обычный 3 2 13" xfId="5551"/>
    <cellStyle name="Обычный 3 2 13 10" xfId="20143"/>
    <cellStyle name="Обычный 3 2 13 11" xfId="21755"/>
    <cellStyle name="Обычный 3 2 13 2" xfId="5552"/>
    <cellStyle name="Обычный 3 2 13 2 2" xfId="5553"/>
    <cellStyle name="Обычный 3 2 13 3" xfId="5554"/>
    <cellStyle name="Обычный 3 2 13 4" xfId="5555"/>
    <cellStyle name="Обычный 3 2 13 5" xfId="5556"/>
    <cellStyle name="Обычный 3 2 13 6" xfId="5557"/>
    <cellStyle name="Обычный 3 2 13 7" xfId="5558"/>
    <cellStyle name="Обычный 3 2 13 8" xfId="5559"/>
    <cellStyle name="Обычный 3 2 13 9" xfId="18447"/>
    <cellStyle name="Обычный 3 2 14" xfId="5560"/>
    <cellStyle name="Обычный 3 2 14 2" xfId="5561"/>
    <cellStyle name="Обычный 3 2 15" xfId="5562"/>
    <cellStyle name="Обычный 3 2 16" xfId="5563"/>
    <cellStyle name="Обычный 3 2 17" xfId="5564"/>
    <cellStyle name="Обычный 3 2 18" xfId="5565"/>
    <cellStyle name="Обычный 3 2 19" xfId="5566"/>
    <cellStyle name="Обычный 3 2 2" xfId="5567"/>
    <cellStyle name="Обычный 3 2 2 10" xfId="5568"/>
    <cellStyle name="Обычный 3 2 2 10 2" xfId="5569"/>
    <cellStyle name="Обычный 3 2 2 11" xfId="5570"/>
    <cellStyle name="Обычный 3 2 2 12" xfId="5571"/>
    <cellStyle name="Обычный 3 2 2 13" xfId="5572"/>
    <cellStyle name="Обычный 3 2 2 14" xfId="5573"/>
    <cellStyle name="Обычный 3 2 2 15" xfId="5574"/>
    <cellStyle name="Обычный 3 2 2 16" xfId="5575"/>
    <cellStyle name="Обычный 3 2 2 17" xfId="5576"/>
    <cellStyle name="Обычный 3 2 2 18" xfId="5577"/>
    <cellStyle name="Обычный 3 2 2 19" xfId="5578"/>
    <cellStyle name="Обычный 3 2 2 2" xfId="5579"/>
    <cellStyle name="Обычный 3 2 2 2 10" xfId="5580"/>
    <cellStyle name="Обычный 3 2 2 2 11" xfId="5581"/>
    <cellStyle name="Обычный 3 2 2 2 12" xfId="5582"/>
    <cellStyle name="Обычный 3 2 2 2 13" xfId="5583"/>
    <cellStyle name="Обычный 3 2 2 2 14" xfId="5584"/>
    <cellStyle name="Обычный 3 2 2 2 15" xfId="5585"/>
    <cellStyle name="Обычный 3 2 2 2 16" xfId="5586"/>
    <cellStyle name="Обычный 3 2 2 2 17" xfId="5587"/>
    <cellStyle name="Обычный 3 2 2 2 18" xfId="18449"/>
    <cellStyle name="Обычный 3 2 2 2 19" xfId="20145"/>
    <cellStyle name="Обычный 3 2 2 2 2" xfId="5588"/>
    <cellStyle name="Обычный 3 2 2 2 2 10" xfId="5589"/>
    <cellStyle name="Обычный 3 2 2 2 2 11" xfId="5590"/>
    <cellStyle name="Обычный 3 2 2 2 2 12" xfId="18450"/>
    <cellStyle name="Обычный 3 2 2 2 2 13" xfId="20146"/>
    <cellStyle name="Обычный 3 2 2 2 2 14" xfId="21758"/>
    <cellStyle name="Обычный 3 2 2 2 2 2" xfId="5591"/>
    <cellStyle name="Обычный 3 2 2 2 2 2 10" xfId="5592"/>
    <cellStyle name="Обычный 3 2 2 2 2 2 11" xfId="18451"/>
    <cellStyle name="Обычный 3 2 2 2 2 2 12" xfId="20147"/>
    <cellStyle name="Обычный 3 2 2 2 2 2 13" xfId="21759"/>
    <cellStyle name="Обычный 3 2 2 2 2 2 2" xfId="5593"/>
    <cellStyle name="Обычный 3 2 2 2 2 2 2 2" xfId="5594"/>
    <cellStyle name="Обычный 3 2 2 2 2 2 3" xfId="5595"/>
    <cellStyle name="Обычный 3 2 2 2 2 2 4" xfId="5596"/>
    <cellStyle name="Обычный 3 2 2 2 2 2 5" xfId="5597"/>
    <cellStyle name="Обычный 3 2 2 2 2 2 6" xfId="5598"/>
    <cellStyle name="Обычный 3 2 2 2 2 2 7" xfId="5599"/>
    <cellStyle name="Обычный 3 2 2 2 2 2 8" xfId="5600"/>
    <cellStyle name="Обычный 3 2 2 2 2 2 9" xfId="5601"/>
    <cellStyle name="Обычный 3 2 2 2 2 3" xfId="5602"/>
    <cellStyle name="Обычный 3 2 2 2 2 3 2" xfId="5603"/>
    <cellStyle name="Обычный 3 2 2 2 2 4" xfId="5604"/>
    <cellStyle name="Обычный 3 2 2 2 2 5" xfId="5605"/>
    <cellStyle name="Обычный 3 2 2 2 2 6" xfId="5606"/>
    <cellStyle name="Обычный 3 2 2 2 2 7" xfId="5607"/>
    <cellStyle name="Обычный 3 2 2 2 2 8" xfId="5608"/>
    <cellStyle name="Обычный 3 2 2 2 2 9" xfId="5609"/>
    <cellStyle name="Обычный 3 2 2 2 20" xfId="21757"/>
    <cellStyle name="Обычный 3 2 2 2 3" xfId="5610"/>
    <cellStyle name="Обычный 3 2 2 2 3 10" xfId="5611"/>
    <cellStyle name="Обычный 3 2 2 2 3 11" xfId="5612"/>
    <cellStyle name="Обычный 3 2 2 2 3 12" xfId="18452"/>
    <cellStyle name="Обычный 3 2 2 2 3 13" xfId="20148"/>
    <cellStyle name="Обычный 3 2 2 2 3 14" xfId="21760"/>
    <cellStyle name="Обычный 3 2 2 2 3 2" xfId="5613"/>
    <cellStyle name="Обычный 3 2 2 2 3 2 10" xfId="5614"/>
    <cellStyle name="Обычный 3 2 2 2 3 2 11" xfId="18453"/>
    <cellStyle name="Обычный 3 2 2 2 3 2 12" xfId="20149"/>
    <cellStyle name="Обычный 3 2 2 2 3 2 13" xfId="21761"/>
    <cellStyle name="Обычный 3 2 2 2 3 2 2" xfId="5615"/>
    <cellStyle name="Обычный 3 2 2 2 3 2 2 2" xfId="5616"/>
    <cellStyle name="Обычный 3 2 2 2 3 2 3" xfId="5617"/>
    <cellStyle name="Обычный 3 2 2 2 3 2 4" xfId="5618"/>
    <cellStyle name="Обычный 3 2 2 2 3 2 5" xfId="5619"/>
    <cellStyle name="Обычный 3 2 2 2 3 2 6" xfId="5620"/>
    <cellStyle name="Обычный 3 2 2 2 3 2 7" xfId="5621"/>
    <cellStyle name="Обычный 3 2 2 2 3 2 8" xfId="5622"/>
    <cellStyle name="Обычный 3 2 2 2 3 2 9" xfId="5623"/>
    <cellStyle name="Обычный 3 2 2 2 3 3" xfId="5624"/>
    <cellStyle name="Обычный 3 2 2 2 3 3 2" xfId="5625"/>
    <cellStyle name="Обычный 3 2 2 2 3 4" xfId="5626"/>
    <cellStyle name="Обычный 3 2 2 2 3 5" xfId="5627"/>
    <cellStyle name="Обычный 3 2 2 2 3 6" xfId="5628"/>
    <cellStyle name="Обычный 3 2 2 2 3 7" xfId="5629"/>
    <cellStyle name="Обычный 3 2 2 2 3 8" xfId="5630"/>
    <cellStyle name="Обычный 3 2 2 2 3 9" xfId="5631"/>
    <cellStyle name="Обычный 3 2 2 2 4" xfId="5632"/>
    <cellStyle name="Обычный 3 2 2 2 4 10" xfId="5633"/>
    <cellStyle name="Обычный 3 2 2 2 4 11" xfId="5634"/>
    <cellStyle name="Обычный 3 2 2 2 4 12" xfId="18454"/>
    <cellStyle name="Обычный 3 2 2 2 4 13" xfId="20150"/>
    <cellStyle name="Обычный 3 2 2 2 4 14" xfId="21762"/>
    <cellStyle name="Обычный 3 2 2 2 4 2" xfId="5635"/>
    <cellStyle name="Обычный 3 2 2 2 4 2 10" xfId="5636"/>
    <cellStyle name="Обычный 3 2 2 2 4 2 11" xfId="18455"/>
    <cellStyle name="Обычный 3 2 2 2 4 2 12" xfId="20151"/>
    <cellStyle name="Обычный 3 2 2 2 4 2 13" xfId="21763"/>
    <cellStyle name="Обычный 3 2 2 2 4 2 2" xfId="5637"/>
    <cellStyle name="Обычный 3 2 2 2 4 2 2 2" xfId="5638"/>
    <cellStyle name="Обычный 3 2 2 2 4 2 3" xfId="5639"/>
    <cellStyle name="Обычный 3 2 2 2 4 2 4" xfId="5640"/>
    <cellStyle name="Обычный 3 2 2 2 4 2 5" xfId="5641"/>
    <cellStyle name="Обычный 3 2 2 2 4 2 6" xfId="5642"/>
    <cellStyle name="Обычный 3 2 2 2 4 2 7" xfId="5643"/>
    <cellStyle name="Обычный 3 2 2 2 4 2 8" xfId="5644"/>
    <cellStyle name="Обычный 3 2 2 2 4 2 9" xfId="5645"/>
    <cellStyle name="Обычный 3 2 2 2 4 3" xfId="5646"/>
    <cellStyle name="Обычный 3 2 2 2 4 3 2" xfId="5647"/>
    <cellStyle name="Обычный 3 2 2 2 4 4" xfId="5648"/>
    <cellStyle name="Обычный 3 2 2 2 4 5" xfId="5649"/>
    <cellStyle name="Обычный 3 2 2 2 4 6" xfId="5650"/>
    <cellStyle name="Обычный 3 2 2 2 4 7" xfId="5651"/>
    <cellStyle name="Обычный 3 2 2 2 4 8" xfId="5652"/>
    <cellStyle name="Обычный 3 2 2 2 4 9" xfId="5653"/>
    <cellStyle name="Обычный 3 2 2 2 5" xfId="5654"/>
    <cellStyle name="Обычный 3 2 2 2 5 10" xfId="5655"/>
    <cellStyle name="Обычный 3 2 2 2 5 11" xfId="5656"/>
    <cellStyle name="Обычный 3 2 2 2 5 12" xfId="18456"/>
    <cellStyle name="Обычный 3 2 2 2 5 13" xfId="20152"/>
    <cellStyle name="Обычный 3 2 2 2 5 14" xfId="21764"/>
    <cellStyle name="Обычный 3 2 2 2 5 2" xfId="5657"/>
    <cellStyle name="Обычный 3 2 2 2 5 2 10" xfId="5658"/>
    <cellStyle name="Обычный 3 2 2 2 5 2 11" xfId="18457"/>
    <cellStyle name="Обычный 3 2 2 2 5 2 12" xfId="20153"/>
    <cellStyle name="Обычный 3 2 2 2 5 2 13" xfId="21765"/>
    <cellStyle name="Обычный 3 2 2 2 5 2 2" xfId="5659"/>
    <cellStyle name="Обычный 3 2 2 2 5 2 2 2" xfId="5660"/>
    <cellStyle name="Обычный 3 2 2 2 5 2 3" xfId="5661"/>
    <cellStyle name="Обычный 3 2 2 2 5 2 4" xfId="5662"/>
    <cellStyle name="Обычный 3 2 2 2 5 2 5" xfId="5663"/>
    <cellStyle name="Обычный 3 2 2 2 5 2 6" xfId="5664"/>
    <cellStyle name="Обычный 3 2 2 2 5 2 7" xfId="5665"/>
    <cellStyle name="Обычный 3 2 2 2 5 2 8" xfId="5666"/>
    <cellStyle name="Обычный 3 2 2 2 5 2 9" xfId="5667"/>
    <cellStyle name="Обычный 3 2 2 2 5 3" xfId="5668"/>
    <cellStyle name="Обычный 3 2 2 2 5 3 2" xfId="5669"/>
    <cellStyle name="Обычный 3 2 2 2 5 4" xfId="5670"/>
    <cellStyle name="Обычный 3 2 2 2 5 5" xfId="5671"/>
    <cellStyle name="Обычный 3 2 2 2 5 6" xfId="5672"/>
    <cellStyle name="Обычный 3 2 2 2 5 7" xfId="5673"/>
    <cellStyle name="Обычный 3 2 2 2 5 8" xfId="5674"/>
    <cellStyle name="Обычный 3 2 2 2 5 9" xfId="5675"/>
    <cellStyle name="Обычный 3 2 2 2 6" xfId="5676"/>
    <cellStyle name="Обычный 3 2 2 2 6 10" xfId="5677"/>
    <cellStyle name="Обычный 3 2 2 2 6 11" xfId="18458"/>
    <cellStyle name="Обычный 3 2 2 2 6 12" xfId="20154"/>
    <cellStyle name="Обычный 3 2 2 2 6 13" xfId="21766"/>
    <cellStyle name="Обычный 3 2 2 2 6 2" xfId="5678"/>
    <cellStyle name="Обычный 3 2 2 2 6 2 2" xfId="5679"/>
    <cellStyle name="Обычный 3 2 2 2 6 3" xfId="5680"/>
    <cellStyle name="Обычный 3 2 2 2 6 4" xfId="5681"/>
    <cellStyle name="Обычный 3 2 2 2 6 5" xfId="5682"/>
    <cellStyle name="Обычный 3 2 2 2 6 6" xfId="5683"/>
    <cellStyle name="Обычный 3 2 2 2 6 7" xfId="5684"/>
    <cellStyle name="Обычный 3 2 2 2 6 8" xfId="5685"/>
    <cellStyle name="Обычный 3 2 2 2 6 9" xfId="5686"/>
    <cellStyle name="Обычный 3 2 2 2 7" xfId="5687"/>
    <cellStyle name="Обычный 3 2 2 2 7 10" xfId="20155"/>
    <cellStyle name="Обычный 3 2 2 2 7 11" xfId="21767"/>
    <cellStyle name="Обычный 3 2 2 2 7 2" xfId="5688"/>
    <cellStyle name="Обычный 3 2 2 2 7 2 2" xfId="5689"/>
    <cellStyle name="Обычный 3 2 2 2 7 3" xfId="5690"/>
    <cellStyle name="Обычный 3 2 2 2 7 4" xfId="5691"/>
    <cellStyle name="Обычный 3 2 2 2 7 5" xfId="5692"/>
    <cellStyle name="Обычный 3 2 2 2 7 6" xfId="5693"/>
    <cellStyle name="Обычный 3 2 2 2 7 7" xfId="5694"/>
    <cellStyle name="Обычный 3 2 2 2 7 8" xfId="5695"/>
    <cellStyle name="Обычный 3 2 2 2 7 9" xfId="18459"/>
    <cellStyle name="Обычный 3 2 2 2 8" xfId="5696"/>
    <cellStyle name="Обычный 3 2 2 2 8 2" xfId="5697"/>
    <cellStyle name="Обычный 3 2 2 2 9" xfId="5698"/>
    <cellStyle name="Обычный 3 2 2 20" xfId="18448"/>
    <cellStyle name="Обычный 3 2 2 21" xfId="20144"/>
    <cellStyle name="Обычный 3 2 2 22" xfId="21756"/>
    <cellStyle name="Обычный 3 2 2 3" xfId="5699"/>
    <cellStyle name="Обычный 3 2 2 3 10" xfId="5700"/>
    <cellStyle name="Обычный 3 2 2 3 11" xfId="5701"/>
    <cellStyle name="Обычный 3 2 2 3 12" xfId="5702"/>
    <cellStyle name="Обычный 3 2 2 3 13" xfId="5703"/>
    <cellStyle name="Обычный 3 2 2 3 14" xfId="5704"/>
    <cellStyle name="Обычный 3 2 2 3 15" xfId="5705"/>
    <cellStyle name="Обычный 3 2 2 3 16" xfId="5706"/>
    <cellStyle name="Обычный 3 2 2 3 17" xfId="5707"/>
    <cellStyle name="Обычный 3 2 2 3 18" xfId="18460"/>
    <cellStyle name="Обычный 3 2 2 3 19" xfId="20156"/>
    <cellStyle name="Обычный 3 2 2 3 2" xfId="5708"/>
    <cellStyle name="Обычный 3 2 2 3 2 10" xfId="5709"/>
    <cellStyle name="Обычный 3 2 2 3 2 11" xfId="5710"/>
    <cellStyle name="Обычный 3 2 2 3 2 12" xfId="18461"/>
    <cellStyle name="Обычный 3 2 2 3 2 13" xfId="20157"/>
    <cellStyle name="Обычный 3 2 2 3 2 14" xfId="21769"/>
    <cellStyle name="Обычный 3 2 2 3 2 2" xfId="5711"/>
    <cellStyle name="Обычный 3 2 2 3 2 2 10" xfId="5712"/>
    <cellStyle name="Обычный 3 2 2 3 2 2 11" xfId="18462"/>
    <cellStyle name="Обычный 3 2 2 3 2 2 12" xfId="20158"/>
    <cellStyle name="Обычный 3 2 2 3 2 2 13" xfId="21770"/>
    <cellStyle name="Обычный 3 2 2 3 2 2 2" xfId="5713"/>
    <cellStyle name="Обычный 3 2 2 3 2 2 2 2" xfId="5714"/>
    <cellStyle name="Обычный 3 2 2 3 2 2 3" xfId="5715"/>
    <cellStyle name="Обычный 3 2 2 3 2 2 4" xfId="5716"/>
    <cellStyle name="Обычный 3 2 2 3 2 2 5" xfId="5717"/>
    <cellStyle name="Обычный 3 2 2 3 2 2 6" xfId="5718"/>
    <cellStyle name="Обычный 3 2 2 3 2 2 7" xfId="5719"/>
    <cellStyle name="Обычный 3 2 2 3 2 2 8" xfId="5720"/>
    <cellStyle name="Обычный 3 2 2 3 2 2 9" xfId="5721"/>
    <cellStyle name="Обычный 3 2 2 3 2 3" xfId="5722"/>
    <cellStyle name="Обычный 3 2 2 3 2 3 2" xfId="5723"/>
    <cellStyle name="Обычный 3 2 2 3 2 4" xfId="5724"/>
    <cellStyle name="Обычный 3 2 2 3 2 5" xfId="5725"/>
    <cellStyle name="Обычный 3 2 2 3 2 6" xfId="5726"/>
    <cellStyle name="Обычный 3 2 2 3 2 7" xfId="5727"/>
    <cellStyle name="Обычный 3 2 2 3 2 8" xfId="5728"/>
    <cellStyle name="Обычный 3 2 2 3 2 9" xfId="5729"/>
    <cellStyle name="Обычный 3 2 2 3 20" xfId="21768"/>
    <cellStyle name="Обычный 3 2 2 3 3" xfId="5730"/>
    <cellStyle name="Обычный 3 2 2 3 3 10" xfId="5731"/>
    <cellStyle name="Обычный 3 2 2 3 3 11" xfId="5732"/>
    <cellStyle name="Обычный 3 2 2 3 3 12" xfId="18463"/>
    <cellStyle name="Обычный 3 2 2 3 3 13" xfId="20159"/>
    <cellStyle name="Обычный 3 2 2 3 3 14" xfId="21771"/>
    <cellStyle name="Обычный 3 2 2 3 3 2" xfId="5733"/>
    <cellStyle name="Обычный 3 2 2 3 3 2 10" xfId="5734"/>
    <cellStyle name="Обычный 3 2 2 3 3 2 11" xfId="18464"/>
    <cellStyle name="Обычный 3 2 2 3 3 2 12" xfId="20160"/>
    <cellStyle name="Обычный 3 2 2 3 3 2 13" xfId="21772"/>
    <cellStyle name="Обычный 3 2 2 3 3 2 2" xfId="5735"/>
    <cellStyle name="Обычный 3 2 2 3 3 2 2 2" xfId="5736"/>
    <cellStyle name="Обычный 3 2 2 3 3 2 3" xfId="5737"/>
    <cellStyle name="Обычный 3 2 2 3 3 2 4" xfId="5738"/>
    <cellStyle name="Обычный 3 2 2 3 3 2 5" xfId="5739"/>
    <cellStyle name="Обычный 3 2 2 3 3 2 6" xfId="5740"/>
    <cellStyle name="Обычный 3 2 2 3 3 2 7" xfId="5741"/>
    <cellStyle name="Обычный 3 2 2 3 3 2 8" xfId="5742"/>
    <cellStyle name="Обычный 3 2 2 3 3 2 9" xfId="5743"/>
    <cellStyle name="Обычный 3 2 2 3 3 3" xfId="5744"/>
    <cellStyle name="Обычный 3 2 2 3 3 3 2" xfId="5745"/>
    <cellStyle name="Обычный 3 2 2 3 3 4" xfId="5746"/>
    <cellStyle name="Обычный 3 2 2 3 3 5" xfId="5747"/>
    <cellStyle name="Обычный 3 2 2 3 3 6" xfId="5748"/>
    <cellStyle name="Обычный 3 2 2 3 3 7" xfId="5749"/>
    <cellStyle name="Обычный 3 2 2 3 3 8" xfId="5750"/>
    <cellStyle name="Обычный 3 2 2 3 3 9" xfId="5751"/>
    <cellStyle name="Обычный 3 2 2 3 4" xfId="5752"/>
    <cellStyle name="Обычный 3 2 2 3 4 10" xfId="5753"/>
    <cellStyle name="Обычный 3 2 2 3 4 11" xfId="5754"/>
    <cellStyle name="Обычный 3 2 2 3 4 12" xfId="18465"/>
    <cellStyle name="Обычный 3 2 2 3 4 13" xfId="20161"/>
    <cellStyle name="Обычный 3 2 2 3 4 14" xfId="21773"/>
    <cellStyle name="Обычный 3 2 2 3 4 2" xfId="5755"/>
    <cellStyle name="Обычный 3 2 2 3 4 2 10" xfId="5756"/>
    <cellStyle name="Обычный 3 2 2 3 4 2 11" xfId="18466"/>
    <cellStyle name="Обычный 3 2 2 3 4 2 12" xfId="20162"/>
    <cellStyle name="Обычный 3 2 2 3 4 2 13" xfId="21774"/>
    <cellStyle name="Обычный 3 2 2 3 4 2 2" xfId="5757"/>
    <cellStyle name="Обычный 3 2 2 3 4 2 2 2" xfId="5758"/>
    <cellStyle name="Обычный 3 2 2 3 4 2 3" xfId="5759"/>
    <cellStyle name="Обычный 3 2 2 3 4 2 4" xfId="5760"/>
    <cellStyle name="Обычный 3 2 2 3 4 2 5" xfId="5761"/>
    <cellStyle name="Обычный 3 2 2 3 4 2 6" xfId="5762"/>
    <cellStyle name="Обычный 3 2 2 3 4 2 7" xfId="5763"/>
    <cellStyle name="Обычный 3 2 2 3 4 2 8" xfId="5764"/>
    <cellStyle name="Обычный 3 2 2 3 4 2 9" xfId="5765"/>
    <cellStyle name="Обычный 3 2 2 3 4 3" xfId="5766"/>
    <cellStyle name="Обычный 3 2 2 3 4 3 2" xfId="5767"/>
    <cellStyle name="Обычный 3 2 2 3 4 4" xfId="5768"/>
    <cellStyle name="Обычный 3 2 2 3 4 5" xfId="5769"/>
    <cellStyle name="Обычный 3 2 2 3 4 6" xfId="5770"/>
    <cellStyle name="Обычный 3 2 2 3 4 7" xfId="5771"/>
    <cellStyle name="Обычный 3 2 2 3 4 8" xfId="5772"/>
    <cellStyle name="Обычный 3 2 2 3 4 9" xfId="5773"/>
    <cellStyle name="Обычный 3 2 2 3 5" xfId="5774"/>
    <cellStyle name="Обычный 3 2 2 3 5 10" xfId="5775"/>
    <cellStyle name="Обычный 3 2 2 3 5 11" xfId="5776"/>
    <cellStyle name="Обычный 3 2 2 3 5 12" xfId="18467"/>
    <cellStyle name="Обычный 3 2 2 3 5 13" xfId="20163"/>
    <cellStyle name="Обычный 3 2 2 3 5 14" xfId="21775"/>
    <cellStyle name="Обычный 3 2 2 3 5 2" xfId="5777"/>
    <cellStyle name="Обычный 3 2 2 3 5 2 10" xfId="5778"/>
    <cellStyle name="Обычный 3 2 2 3 5 2 11" xfId="18468"/>
    <cellStyle name="Обычный 3 2 2 3 5 2 12" xfId="20164"/>
    <cellStyle name="Обычный 3 2 2 3 5 2 13" xfId="21776"/>
    <cellStyle name="Обычный 3 2 2 3 5 2 2" xfId="5779"/>
    <cellStyle name="Обычный 3 2 2 3 5 2 2 2" xfId="5780"/>
    <cellStyle name="Обычный 3 2 2 3 5 2 3" xfId="5781"/>
    <cellStyle name="Обычный 3 2 2 3 5 2 4" xfId="5782"/>
    <cellStyle name="Обычный 3 2 2 3 5 2 5" xfId="5783"/>
    <cellStyle name="Обычный 3 2 2 3 5 2 6" xfId="5784"/>
    <cellStyle name="Обычный 3 2 2 3 5 2 7" xfId="5785"/>
    <cellStyle name="Обычный 3 2 2 3 5 2 8" xfId="5786"/>
    <cellStyle name="Обычный 3 2 2 3 5 2 9" xfId="5787"/>
    <cellStyle name="Обычный 3 2 2 3 5 3" xfId="5788"/>
    <cellStyle name="Обычный 3 2 2 3 5 3 2" xfId="5789"/>
    <cellStyle name="Обычный 3 2 2 3 5 4" xfId="5790"/>
    <cellStyle name="Обычный 3 2 2 3 5 5" xfId="5791"/>
    <cellStyle name="Обычный 3 2 2 3 5 6" xfId="5792"/>
    <cellStyle name="Обычный 3 2 2 3 5 7" xfId="5793"/>
    <cellStyle name="Обычный 3 2 2 3 5 8" xfId="5794"/>
    <cellStyle name="Обычный 3 2 2 3 5 9" xfId="5795"/>
    <cellStyle name="Обычный 3 2 2 3 6" xfId="5796"/>
    <cellStyle name="Обычный 3 2 2 3 6 10" xfId="5797"/>
    <cellStyle name="Обычный 3 2 2 3 6 11" xfId="18469"/>
    <cellStyle name="Обычный 3 2 2 3 6 12" xfId="20165"/>
    <cellStyle name="Обычный 3 2 2 3 6 13" xfId="21777"/>
    <cellStyle name="Обычный 3 2 2 3 6 2" xfId="5798"/>
    <cellStyle name="Обычный 3 2 2 3 6 2 2" xfId="5799"/>
    <cellStyle name="Обычный 3 2 2 3 6 3" xfId="5800"/>
    <cellStyle name="Обычный 3 2 2 3 6 4" xfId="5801"/>
    <cellStyle name="Обычный 3 2 2 3 6 5" xfId="5802"/>
    <cellStyle name="Обычный 3 2 2 3 6 6" xfId="5803"/>
    <cellStyle name="Обычный 3 2 2 3 6 7" xfId="5804"/>
    <cellStyle name="Обычный 3 2 2 3 6 8" xfId="5805"/>
    <cellStyle name="Обычный 3 2 2 3 6 9" xfId="5806"/>
    <cellStyle name="Обычный 3 2 2 3 7" xfId="5807"/>
    <cellStyle name="Обычный 3 2 2 3 7 10" xfId="20166"/>
    <cellStyle name="Обычный 3 2 2 3 7 11" xfId="21778"/>
    <cellStyle name="Обычный 3 2 2 3 7 2" xfId="5808"/>
    <cellStyle name="Обычный 3 2 2 3 7 2 2" xfId="5809"/>
    <cellStyle name="Обычный 3 2 2 3 7 3" xfId="5810"/>
    <cellStyle name="Обычный 3 2 2 3 7 4" xfId="5811"/>
    <cellStyle name="Обычный 3 2 2 3 7 5" xfId="5812"/>
    <cellStyle name="Обычный 3 2 2 3 7 6" xfId="5813"/>
    <cellStyle name="Обычный 3 2 2 3 7 7" xfId="5814"/>
    <cellStyle name="Обычный 3 2 2 3 7 8" xfId="5815"/>
    <cellStyle name="Обычный 3 2 2 3 7 9" xfId="18470"/>
    <cellStyle name="Обычный 3 2 2 3 8" xfId="5816"/>
    <cellStyle name="Обычный 3 2 2 3 8 2" xfId="5817"/>
    <cellStyle name="Обычный 3 2 2 3 9" xfId="5818"/>
    <cellStyle name="Обычный 3 2 2 4" xfId="5819"/>
    <cellStyle name="Обычный 3 2 2 4 10" xfId="5820"/>
    <cellStyle name="Обычный 3 2 2 4 11" xfId="5821"/>
    <cellStyle name="Обычный 3 2 2 4 12" xfId="18471"/>
    <cellStyle name="Обычный 3 2 2 4 13" xfId="20167"/>
    <cellStyle name="Обычный 3 2 2 4 14" xfId="21779"/>
    <cellStyle name="Обычный 3 2 2 4 2" xfId="5822"/>
    <cellStyle name="Обычный 3 2 2 4 2 10" xfId="5823"/>
    <cellStyle name="Обычный 3 2 2 4 2 11" xfId="18472"/>
    <cellStyle name="Обычный 3 2 2 4 2 12" xfId="20168"/>
    <cellStyle name="Обычный 3 2 2 4 2 13" xfId="21780"/>
    <cellStyle name="Обычный 3 2 2 4 2 2" xfId="5824"/>
    <cellStyle name="Обычный 3 2 2 4 2 2 2" xfId="5825"/>
    <cellStyle name="Обычный 3 2 2 4 2 3" xfId="5826"/>
    <cellStyle name="Обычный 3 2 2 4 2 4" xfId="5827"/>
    <cellStyle name="Обычный 3 2 2 4 2 5" xfId="5828"/>
    <cellStyle name="Обычный 3 2 2 4 2 6" xfId="5829"/>
    <cellStyle name="Обычный 3 2 2 4 2 7" xfId="5830"/>
    <cellStyle name="Обычный 3 2 2 4 2 8" xfId="5831"/>
    <cellStyle name="Обычный 3 2 2 4 2 9" xfId="5832"/>
    <cellStyle name="Обычный 3 2 2 4 3" xfId="5833"/>
    <cellStyle name="Обычный 3 2 2 4 3 2" xfId="5834"/>
    <cellStyle name="Обычный 3 2 2 4 4" xfId="5835"/>
    <cellStyle name="Обычный 3 2 2 4 5" xfId="5836"/>
    <cellStyle name="Обычный 3 2 2 4 6" xfId="5837"/>
    <cellStyle name="Обычный 3 2 2 4 7" xfId="5838"/>
    <cellStyle name="Обычный 3 2 2 4 8" xfId="5839"/>
    <cellStyle name="Обычный 3 2 2 4 9" xfId="5840"/>
    <cellStyle name="Обычный 3 2 2 5" xfId="5841"/>
    <cellStyle name="Обычный 3 2 2 5 10" xfId="5842"/>
    <cellStyle name="Обычный 3 2 2 5 11" xfId="5843"/>
    <cellStyle name="Обычный 3 2 2 5 12" xfId="18473"/>
    <cellStyle name="Обычный 3 2 2 5 13" xfId="20169"/>
    <cellStyle name="Обычный 3 2 2 5 14" xfId="21781"/>
    <cellStyle name="Обычный 3 2 2 5 2" xfId="5844"/>
    <cellStyle name="Обычный 3 2 2 5 2 10" xfId="5845"/>
    <cellStyle name="Обычный 3 2 2 5 2 11" xfId="18474"/>
    <cellStyle name="Обычный 3 2 2 5 2 12" xfId="20170"/>
    <cellStyle name="Обычный 3 2 2 5 2 13" xfId="21782"/>
    <cellStyle name="Обычный 3 2 2 5 2 2" xfId="5846"/>
    <cellStyle name="Обычный 3 2 2 5 2 2 2" xfId="5847"/>
    <cellStyle name="Обычный 3 2 2 5 2 3" xfId="5848"/>
    <cellStyle name="Обычный 3 2 2 5 2 4" xfId="5849"/>
    <cellStyle name="Обычный 3 2 2 5 2 5" xfId="5850"/>
    <cellStyle name="Обычный 3 2 2 5 2 6" xfId="5851"/>
    <cellStyle name="Обычный 3 2 2 5 2 7" xfId="5852"/>
    <cellStyle name="Обычный 3 2 2 5 2 8" xfId="5853"/>
    <cellStyle name="Обычный 3 2 2 5 2 9" xfId="5854"/>
    <cellStyle name="Обычный 3 2 2 5 3" xfId="5855"/>
    <cellStyle name="Обычный 3 2 2 5 3 2" xfId="5856"/>
    <cellStyle name="Обычный 3 2 2 5 4" xfId="5857"/>
    <cellStyle name="Обычный 3 2 2 5 5" xfId="5858"/>
    <cellStyle name="Обычный 3 2 2 5 6" xfId="5859"/>
    <cellStyle name="Обычный 3 2 2 5 7" xfId="5860"/>
    <cellStyle name="Обычный 3 2 2 5 8" xfId="5861"/>
    <cellStyle name="Обычный 3 2 2 5 9" xfId="5862"/>
    <cellStyle name="Обычный 3 2 2 6" xfId="5863"/>
    <cellStyle name="Обычный 3 2 2 6 10" xfId="5864"/>
    <cellStyle name="Обычный 3 2 2 6 11" xfId="5865"/>
    <cellStyle name="Обычный 3 2 2 6 12" xfId="18475"/>
    <cellStyle name="Обычный 3 2 2 6 13" xfId="20171"/>
    <cellStyle name="Обычный 3 2 2 6 14" xfId="21783"/>
    <cellStyle name="Обычный 3 2 2 6 2" xfId="5866"/>
    <cellStyle name="Обычный 3 2 2 6 2 10" xfId="5867"/>
    <cellStyle name="Обычный 3 2 2 6 2 11" xfId="18476"/>
    <cellStyle name="Обычный 3 2 2 6 2 12" xfId="20172"/>
    <cellStyle name="Обычный 3 2 2 6 2 13" xfId="21784"/>
    <cellStyle name="Обычный 3 2 2 6 2 2" xfId="5868"/>
    <cellStyle name="Обычный 3 2 2 6 2 2 2" xfId="5869"/>
    <cellStyle name="Обычный 3 2 2 6 2 3" xfId="5870"/>
    <cellStyle name="Обычный 3 2 2 6 2 4" xfId="5871"/>
    <cellStyle name="Обычный 3 2 2 6 2 5" xfId="5872"/>
    <cellStyle name="Обычный 3 2 2 6 2 6" xfId="5873"/>
    <cellStyle name="Обычный 3 2 2 6 2 7" xfId="5874"/>
    <cellStyle name="Обычный 3 2 2 6 2 8" xfId="5875"/>
    <cellStyle name="Обычный 3 2 2 6 2 9" xfId="5876"/>
    <cellStyle name="Обычный 3 2 2 6 3" xfId="5877"/>
    <cellStyle name="Обычный 3 2 2 6 3 2" xfId="5878"/>
    <cellStyle name="Обычный 3 2 2 6 4" xfId="5879"/>
    <cellStyle name="Обычный 3 2 2 6 5" xfId="5880"/>
    <cellStyle name="Обычный 3 2 2 6 6" xfId="5881"/>
    <cellStyle name="Обычный 3 2 2 6 7" xfId="5882"/>
    <cellStyle name="Обычный 3 2 2 6 8" xfId="5883"/>
    <cellStyle name="Обычный 3 2 2 6 9" xfId="5884"/>
    <cellStyle name="Обычный 3 2 2 7" xfId="5885"/>
    <cellStyle name="Обычный 3 2 2 7 10" xfId="5886"/>
    <cellStyle name="Обычный 3 2 2 7 11" xfId="5887"/>
    <cellStyle name="Обычный 3 2 2 7 12" xfId="18477"/>
    <cellStyle name="Обычный 3 2 2 7 13" xfId="20173"/>
    <cellStyle name="Обычный 3 2 2 7 14" xfId="21785"/>
    <cellStyle name="Обычный 3 2 2 7 2" xfId="5888"/>
    <cellStyle name="Обычный 3 2 2 7 2 10" xfId="5889"/>
    <cellStyle name="Обычный 3 2 2 7 2 11" xfId="18478"/>
    <cellStyle name="Обычный 3 2 2 7 2 12" xfId="20174"/>
    <cellStyle name="Обычный 3 2 2 7 2 13" xfId="21786"/>
    <cellStyle name="Обычный 3 2 2 7 2 2" xfId="5890"/>
    <cellStyle name="Обычный 3 2 2 7 2 2 2" xfId="5891"/>
    <cellStyle name="Обычный 3 2 2 7 2 3" xfId="5892"/>
    <cellStyle name="Обычный 3 2 2 7 2 4" xfId="5893"/>
    <cellStyle name="Обычный 3 2 2 7 2 5" xfId="5894"/>
    <cellStyle name="Обычный 3 2 2 7 2 6" xfId="5895"/>
    <cellStyle name="Обычный 3 2 2 7 2 7" xfId="5896"/>
    <cellStyle name="Обычный 3 2 2 7 2 8" xfId="5897"/>
    <cellStyle name="Обычный 3 2 2 7 2 9" xfId="5898"/>
    <cellStyle name="Обычный 3 2 2 7 3" xfId="5899"/>
    <cellStyle name="Обычный 3 2 2 7 3 2" xfId="5900"/>
    <cellStyle name="Обычный 3 2 2 7 4" xfId="5901"/>
    <cellStyle name="Обычный 3 2 2 7 5" xfId="5902"/>
    <cellStyle name="Обычный 3 2 2 7 6" xfId="5903"/>
    <cellStyle name="Обычный 3 2 2 7 7" xfId="5904"/>
    <cellStyle name="Обычный 3 2 2 7 8" xfId="5905"/>
    <cellStyle name="Обычный 3 2 2 7 9" xfId="5906"/>
    <cellStyle name="Обычный 3 2 2 8" xfId="5907"/>
    <cellStyle name="Обычный 3 2 2 8 10" xfId="5908"/>
    <cellStyle name="Обычный 3 2 2 8 11" xfId="18479"/>
    <cellStyle name="Обычный 3 2 2 8 12" xfId="20175"/>
    <cellStyle name="Обычный 3 2 2 8 13" xfId="21787"/>
    <cellStyle name="Обычный 3 2 2 8 2" xfId="5909"/>
    <cellStyle name="Обычный 3 2 2 8 2 2" xfId="5910"/>
    <cellStyle name="Обычный 3 2 2 8 3" xfId="5911"/>
    <cellStyle name="Обычный 3 2 2 8 4" xfId="5912"/>
    <cellStyle name="Обычный 3 2 2 8 5" xfId="5913"/>
    <cellStyle name="Обычный 3 2 2 8 6" xfId="5914"/>
    <cellStyle name="Обычный 3 2 2 8 7" xfId="5915"/>
    <cellStyle name="Обычный 3 2 2 8 8" xfId="5916"/>
    <cellStyle name="Обычный 3 2 2 8 9" xfId="5917"/>
    <cellStyle name="Обычный 3 2 2 9" xfId="5918"/>
    <cellStyle name="Обычный 3 2 2 9 10" xfId="20176"/>
    <cellStyle name="Обычный 3 2 2 9 11" xfId="21788"/>
    <cellStyle name="Обычный 3 2 2 9 2" xfId="5919"/>
    <cellStyle name="Обычный 3 2 2 9 2 2" xfId="5920"/>
    <cellStyle name="Обычный 3 2 2 9 3" xfId="5921"/>
    <cellStyle name="Обычный 3 2 2 9 4" xfId="5922"/>
    <cellStyle name="Обычный 3 2 2 9 5" xfId="5923"/>
    <cellStyle name="Обычный 3 2 2 9 6" xfId="5924"/>
    <cellStyle name="Обычный 3 2 2 9 7" xfId="5925"/>
    <cellStyle name="Обычный 3 2 2 9 8" xfId="5926"/>
    <cellStyle name="Обычный 3 2 2 9 9" xfId="18480"/>
    <cellStyle name="Обычный 3 2 20" xfId="5927"/>
    <cellStyle name="Обычный 3 2 21" xfId="5928"/>
    <cellStyle name="Обычный 3 2 22" xfId="5929"/>
    <cellStyle name="Обычный 3 2 23" xfId="5930"/>
    <cellStyle name="Обычный 3 2 24" xfId="18442"/>
    <cellStyle name="Обычный 3 2 25" xfId="19631"/>
    <cellStyle name="Обычный 3 2 26" xfId="20138"/>
    <cellStyle name="Обычный 3 2 27" xfId="21750"/>
    <cellStyle name="Обычный 3 2 3" xfId="5931"/>
    <cellStyle name="Обычный 3 2 3 10" xfId="5932"/>
    <cellStyle name="Обычный 3 2 3 11" xfId="5933"/>
    <cellStyle name="Обычный 3 2 3 12" xfId="5934"/>
    <cellStyle name="Обычный 3 2 3 13" xfId="5935"/>
    <cellStyle name="Обычный 3 2 3 14" xfId="5936"/>
    <cellStyle name="Обычный 3 2 3 15" xfId="5937"/>
    <cellStyle name="Обычный 3 2 3 16" xfId="5938"/>
    <cellStyle name="Обычный 3 2 3 17" xfId="5939"/>
    <cellStyle name="Обычный 3 2 3 18" xfId="18481"/>
    <cellStyle name="Обычный 3 2 3 19" xfId="20177"/>
    <cellStyle name="Обычный 3 2 3 2" xfId="5940"/>
    <cellStyle name="Обычный 3 2 3 2 10" xfId="5941"/>
    <cellStyle name="Обычный 3 2 3 2 11" xfId="5942"/>
    <cellStyle name="Обычный 3 2 3 2 12" xfId="18482"/>
    <cellStyle name="Обычный 3 2 3 2 13" xfId="20178"/>
    <cellStyle name="Обычный 3 2 3 2 14" xfId="21790"/>
    <cellStyle name="Обычный 3 2 3 2 2" xfId="5943"/>
    <cellStyle name="Обычный 3 2 3 2 2 10" xfId="5944"/>
    <cellStyle name="Обычный 3 2 3 2 2 11" xfId="18483"/>
    <cellStyle name="Обычный 3 2 3 2 2 12" xfId="20179"/>
    <cellStyle name="Обычный 3 2 3 2 2 13" xfId="21791"/>
    <cellStyle name="Обычный 3 2 3 2 2 2" xfId="5945"/>
    <cellStyle name="Обычный 3 2 3 2 2 2 2" xfId="5946"/>
    <cellStyle name="Обычный 3 2 3 2 2 3" xfId="5947"/>
    <cellStyle name="Обычный 3 2 3 2 2 4" xfId="5948"/>
    <cellStyle name="Обычный 3 2 3 2 2 5" xfId="5949"/>
    <cellStyle name="Обычный 3 2 3 2 2 6" xfId="5950"/>
    <cellStyle name="Обычный 3 2 3 2 2 7" xfId="5951"/>
    <cellStyle name="Обычный 3 2 3 2 2 8" xfId="5952"/>
    <cellStyle name="Обычный 3 2 3 2 2 9" xfId="5953"/>
    <cellStyle name="Обычный 3 2 3 2 3" xfId="5954"/>
    <cellStyle name="Обычный 3 2 3 2 3 2" xfId="5955"/>
    <cellStyle name="Обычный 3 2 3 2 4" xfId="5956"/>
    <cellStyle name="Обычный 3 2 3 2 5" xfId="5957"/>
    <cellStyle name="Обычный 3 2 3 2 6" xfId="5958"/>
    <cellStyle name="Обычный 3 2 3 2 7" xfId="5959"/>
    <cellStyle name="Обычный 3 2 3 2 8" xfId="5960"/>
    <cellStyle name="Обычный 3 2 3 2 9" xfId="5961"/>
    <cellStyle name="Обычный 3 2 3 20" xfId="21789"/>
    <cellStyle name="Обычный 3 2 3 3" xfId="5962"/>
    <cellStyle name="Обычный 3 2 3 3 10" xfId="5963"/>
    <cellStyle name="Обычный 3 2 3 3 11" xfId="5964"/>
    <cellStyle name="Обычный 3 2 3 3 12" xfId="18484"/>
    <cellStyle name="Обычный 3 2 3 3 13" xfId="20180"/>
    <cellStyle name="Обычный 3 2 3 3 14" xfId="21792"/>
    <cellStyle name="Обычный 3 2 3 3 2" xfId="5965"/>
    <cellStyle name="Обычный 3 2 3 3 2 10" xfId="5966"/>
    <cellStyle name="Обычный 3 2 3 3 2 11" xfId="18485"/>
    <cellStyle name="Обычный 3 2 3 3 2 12" xfId="20181"/>
    <cellStyle name="Обычный 3 2 3 3 2 13" xfId="21793"/>
    <cellStyle name="Обычный 3 2 3 3 2 2" xfId="5967"/>
    <cellStyle name="Обычный 3 2 3 3 2 2 2" xfId="5968"/>
    <cellStyle name="Обычный 3 2 3 3 2 3" xfId="5969"/>
    <cellStyle name="Обычный 3 2 3 3 2 4" xfId="5970"/>
    <cellStyle name="Обычный 3 2 3 3 2 5" xfId="5971"/>
    <cellStyle name="Обычный 3 2 3 3 2 6" xfId="5972"/>
    <cellStyle name="Обычный 3 2 3 3 2 7" xfId="5973"/>
    <cellStyle name="Обычный 3 2 3 3 2 8" xfId="5974"/>
    <cellStyle name="Обычный 3 2 3 3 2 9" xfId="5975"/>
    <cellStyle name="Обычный 3 2 3 3 3" xfId="5976"/>
    <cellStyle name="Обычный 3 2 3 3 3 2" xfId="5977"/>
    <cellStyle name="Обычный 3 2 3 3 4" xfId="5978"/>
    <cellStyle name="Обычный 3 2 3 3 5" xfId="5979"/>
    <cellStyle name="Обычный 3 2 3 3 6" xfId="5980"/>
    <cellStyle name="Обычный 3 2 3 3 7" xfId="5981"/>
    <cellStyle name="Обычный 3 2 3 3 8" xfId="5982"/>
    <cellStyle name="Обычный 3 2 3 3 9" xfId="5983"/>
    <cellStyle name="Обычный 3 2 3 4" xfId="5984"/>
    <cellStyle name="Обычный 3 2 3 4 10" xfId="5985"/>
    <cellStyle name="Обычный 3 2 3 4 11" xfId="5986"/>
    <cellStyle name="Обычный 3 2 3 4 12" xfId="18486"/>
    <cellStyle name="Обычный 3 2 3 4 13" xfId="20182"/>
    <cellStyle name="Обычный 3 2 3 4 14" xfId="21794"/>
    <cellStyle name="Обычный 3 2 3 4 2" xfId="5987"/>
    <cellStyle name="Обычный 3 2 3 4 2 10" xfId="5988"/>
    <cellStyle name="Обычный 3 2 3 4 2 11" xfId="18487"/>
    <cellStyle name="Обычный 3 2 3 4 2 12" xfId="20183"/>
    <cellStyle name="Обычный 3 2 3 4 2 13" xfId="21795"/>
    <cellStyle name="Обычный 3 2 3 4 2 2" xfId="5989"/>
    <cellStyle name="Обычный 3 2 3 4 2 2 2" xfId="5990"/>
    <cellStyle name="Обычный 3 2 3 4 2 3" xfId="5991"/>
    <cellStyle name="Обычный 3 2 3 4 2 4" xfId="5992"/>
    <cellStyle name="Обычный 3 2 3 4 2 5" xfId="5993"/>
    <cellStyle name="Обычный 3 2 3 4 2 6" xfId="5994"/>
    <cellStyle name="Обычный 3 2 3 4 2 7" xfId="5995"/>
    <cellStyle name="Обычный 3 2 3 4 2 8" xfId="5996"/>
    <cellStyle name="Обычный 3 2 3 4 2 9" xfId="5997"/>
    <cellStyle name="Обычный 3 2 3 4 3" xfId="5998"/>
    <cellStyle name="Обычный 3 2 3 4 3 2" xfId="5999"/>
    <cellStyle name="Обычный 3 2 3 4 4" xfId="6000"/>
    <cellStyle name="Обычный 3 2 3 4 5" xfId="6001"/>
    <cellStyle name="Обычный 3 2 3 4 6" xfId="6002"/>
    <cellStyle name="Обычный 3 2 3 4 7" xfId="6003"/>
    <cellStyle name="Обычный 3 2 3 4 8" xfId="6004"/>
    <cellStyle name="Обычный 3 2 3 4 9" xfId="6005"/>
    <cellStyle name="Обычный 3 2 3 5" xfId="6006"/>
    <cellStyle name="Обычный 3 2 3 5 10" xfId="6007"/>
    <cellStyle name="Обычный 3 2 3 5 11" xfId="6008"/>
    <cellStyle name="Обычный 3 2 3 5 12" xfId="18488"/>
    <cellStyle name="Обычный 3 2 3 5 13" xfId="20184"/>
    <cellStyle name="Обычный 3 2 3 5 14" xfId="21796"/>
    <cellStyle name="Обычный 3 2 3 5 2" xfId="6009"/>
    <cellStyle name="Обычный 3 2 3 5 2 10" xfId="6010"/>
    <cellStyle name="Обычный 3 2 3 5 2 11" xfId="18489"/>
    <cellStyle name="Обычный 3 2 3 5 2 12" xfId="20185"/>
    <cellStyle name="Обычный 3 2 3 5 2 13" xfId="21797"/>
    <cellStyle name="Обычный 3 2 3 5 2 2" xfId="6011"/>
    <cellStyle name="Обычный 3 2 3 5 2 2 2" xfId="6012"/>
    <cellStyle name="Обычный 3 2 3 5 2 3" xfId="6013"/>
    <cellStyle name="Обычный 3 2 3 5 2 4" xfId="6014"/>
    <cellStyle name="Обычный 3 2 3 5 2 5" xfId="6015"/>
    <cellStyle name="Обычный 3 2 3 5 2 6" xfId="6016"/>
    <cellStyle name="Обычный 3 2 3 5 2 7" xfId="6017"/>
    <cellStyle name="Обычный 3 2 3 5 2 8" xfId="6018"/>
    <cellStyle name="Обычный 3 2 3 5 2 9" xfId="6019"/>
    <cellStyle name="Обычный 3 2 3 5 3" xfId="6020"/>
    <cellStyle name="Обычный 3 2 3 5 3 2" xfId="6021"/>
    <cellStyle name="Обычный 3 2 3 5 4" xfId="6022"/>
    <cellStyle name="Обычный 3 2 3 5 5" xfId="6023"/>
    <cellStyle name="Обычный 3 2 3 5 6" xfId="6024"/>
    <cellStyle name="Обычный 3 2 3 5 7" xfId="6025"/>
    <cellStyle name="Обычный 3 2 3 5 8" xfId="6026"/>
    <cellStyle name="Обычный 3 2 3 5 9" xfId="6027"/>
    <cellStyle name="Обычный 3 2 3 6" xfId="6028"/>
    <cellStyle name="Обычный 3 2 3 6 10" xfId="6029"/>
    <cellStyle name="Обычный 3 2 3 6 11" xfId="18490"/>
    <cellStyle name="Обычный 3 2 3 6 12" xfId="20186"/>
    <cellStyle name="Обычный 3 2 3 6 13" xfId="21798"/>
    <cellStyle name="Обычный 3 2 3 6 2" xfId="6030"/>
    <cellStyle name="Обычный 3 2 3 6 2 2" xfId="6031"/>
    <cellStyle name="Обычный 3 2 3 6 3" xfId="6032"/>
    <cellStyle name="Обычный 3 2 3 6 4" xfId="6033"/>
    <cellStyle name="Обычный 3 2 3 6 5" xfId="6034"/>
    <cellStyle name="Обычный 3 2 3 6 6" xfId="6035"/>
    <cellStyle name="Обычный 3 2 3 6 7" xfId="6036"/>
    <cellStyle name="Обычный 3 2 3 6 8" xfId="6037"/>
    <cellStyle name="Обычный 3 2 3 6 9" xfId="6038"/>
    <cellStyle name="Обычный 3 2 3 7" xfId="6039"/>
    <cellStyle name="Обычный 3 2 3 7 10" xfId="20187"/>
    <cellStyle name="Обычный 3 2 3 7 11" xfId="21799"/>
    <cellStyle name="Обычный 3 2 3 7 2" xfId="6040"/>
    <cellStyle name="Обычный 3 2 3 7 2 2" xfId="6041"/>
    <cellStyle name="Обычный 3 2 3 7 3" xfId="6042"/>
    <cellStyle name="Обычный 3 2 3 7 4" xfId="6043"/>
    <cellStyle name="Обычный 3 2 3 7 5" xfId="6044"/>
    <cellStyle name="Обычный 3 2 3 7 6" xfId="6045"/>
    <cellStyle name="Обычный 3 2 3 7 7" xfId="6046"/>
    <cellStyle name="Обычный 3 2 3 7 8" xfId="6047"/>
    <cellStyle name="Обычный 3 2 3 7 9" xfId="18491"/>
    <cellStyle name="Обычный 3 2 3 8" xfId="6048"/>
    <cellStyle name="Обычный 3 2 3 8 2" xfId="6049"/>
    <cellStyle name="Обычный 3 2 3 9" xfId="6050"/>
    <cellStyle name="Обычный 3 2 4" xfId="6051"/>
    <cellStyle name="Обычный 3 2 4 10" xfId="6052"/>
    <cellStyle name="Обычный 3 2 4 11" xfId="6053"/>
    <cellStyle name="Обычный 3 2 4 12" xfId="6054"/>
    <cellStyle name="Обычный 3 2 4 13" xfId="6055"/>
    <cellStyle name="Обычный 3 2 4 14" xfId="6056"/>
    <cellStyle name="Обычный 3 2 4 15" xfId="6057"/>
    <cellStyle name="Обычный 3 2 4 16" xfId="6058"/>
    <cellStyle name="Обычный 3 2 4 17" xfId="6059"/>
    <cellStyle name="Обычный 3 2 4 18" xfId="18492"/>
    <cellStyle name="Обычный 3 2 4 19" xfId="20188"/>
    <cellStyle name="Обычный 3 2 4 2" xfId="6060"/>
    <cellStyle name="Обычный 3 2 4 2 10" xfId="6061"/>
    <cellStyle name="Обычный 3 2 4 2 11" xfId="6062"/>
    <cellStyle name="Обычный 3 2 4 2 12" xfId="18493"/>
    <cellStyle name="Обычный 3 2 4 2 13" xfId="20189"/>
    <cellStyle name="Обычный 3 2 4 2 14" xfId="21801"/>
    <cellStyle name="Обычный 3 2 4 2 2" xfId="6063"/>
    <cellStyle name="Обычный 3 2 4 2 2 10" xfId="6064"/>
    <cellStyle name="Обычный 3 2 4 2 2 11" xfId="18494"/>
    <cellStyle name="Обычный 3 2 4 2 2 12" xfId="20190"/>
    <cellStyle name="Обычный 3 2 4 2 2 13" xfId="21802"/>
    <cellStyle name="Обычный 3 2 4 2 2 2" xfId="6065"/>
    <cellStyle name="Обычный 3 2 4 2 2 2 2" xfId="6066"/>
    <cellStyle name="Обычный 3 2 4 2 2 3" xfId="6067"/>
    <cellStyle name="Обычный 3 2 4 2 2 4" xfId="6068"/>
    <cellStyle name="Обычный 3 2 4 2 2 5" xfId="6069"/>
    <cellStyle name="Обычный 3 2 4 2 2 6" xfId="6070"/>
    <cellStyle name="Обычный 3 2 4 2 2 7" xfId="6071"/>
    <cellStyle name="Обычный 3 2 4 2 2 8" xfId="6072"/>
    <cellStyle name="Обычный 3 2 4 2 2 9" xfId="6073"/>
    <cellStyle name="Обычный 3 2 4 2 3" xfId="6074"/>
    <cellStyle name="Обычный 3 2 4 2 3 2" xfId="6075"/>
    <cellStyle name="Обычный 3 2 4 2 4" xfId="6076"/>
    <cellStyle name="Обычный 3 2 4 2 5" xfId="6077"/>
    <cellStyle name="Обычный 3 2 4 2 6" xfId="6078"/>
    <cellStyle name="Обычный 3 2 4 2 7" xfId="6079"/>
    <cellStyle name="Обычный 3 2 4 2 8" xfId="6080"/>
    <cellStyle name="Обычный 3 2 4 2 9" xfId="6081"/>
    <cellStyle name="Обычный 3 2 4 20" xfId="21800"/>
    <cellStyle name="Обычный 3 2 4 3" xfId="6082"/>
    <cellStyle name="Обычный 3 2 4 3 10" xfId="6083"/>
    <cellStyle name="Обычный 3 2 4 3 11" xfId="6084"/>
    <cellStyle name="Обычный 3 2 4 3 12" xfId="18495"/>
    <cellStyle name="Обычный 3 2 4 3 13" xfId="20191"/>
    <cellStyle name="Обычный 3 2 4 3 14" xfId="21803"/>
    <cellStyle name="Обычный 3 2 4 3 2" xfId="6085"/>
    <cellStyle name="Обычный 3 2 4 3 2 10" xfId="6086"/>
    <cellStyle name="Обычный 3 2 4 3 2 11" xfId="18496"/>
    <cellStyle name="Обычный 3 2 4 3 2 12" xfId="20192"/>
    <cellStyle name="Обычный 3 2 4 3 2 13" xfId="21804"/>
    <cellStyle name="Обычный 3 2 4 3 2 2" xfId="6087"/>
    <cellStyle name="Обычный 3 2 4 3 2 2 2" xfId="6088"/>
    <cellStyle name="Обычный 3 2 4 3 2 3" xfId="6089"/>
    <cellStyle name="Обычный 3 2 4 3 2 4" xfId="6090"/>
    <cellStyle name="Обычный 3 2 4 3 2 5" xfId="6091"/>
    <cellStyle name="Обычный 3 2 4 3 2 6" xfId="6092"/>
    <cellStyle name="Обычный 3 2 4 3 2 7" xfId="6093"/>
    <cellStyle name="Обычный 3 2 4 3 2 8" xfId="6094"/>
    <cellStyle name="Обычный 3 2 4 3 2 9" xfId="6095"/>
    <cellStyle name="Обычный 3 2 4 3 3" xfId="6096"/>
    <cellStyle name="Обычный 3 2 4 3 3 2" xfId="6097"/>
    <cellStyle name="Обычный 3 2 4 3 4" xfId="6098"/>
    <cellStyle name="Обычный 3 2 4 3 5" xfId="6099"/>
    <cellStyle name="Обычный 3 2 4 3 6" xfId="6100"/>
    <cellStyle name="Обычный 3 2 4 3 7" xfId="6101"/>
    <cellStyle name="Обычный 3 2 4 3 8" xfId="6102"/>
    <cellStyle name="Обычный 3 2 4 3 9" xfId="6103"/>
    <cellStyle name="Обычный 3 2 4 4" xfId="6104"/>
    <cellStyle name="Обычный 3 2 4 4 10" xfId="6105"/>
    <cellStyle name="Обычный 3 2 4 4 11" xfId="6106"/>
    <cellStyle name="Обычный 3 2 4 4 12" xfId="18497"/>
    <cellStyle name="Обычный 3 2 4 4 13" xfId="20193"/>
    <cellStyle name="Обычный 3 2 4 4 14" xfId="21805"/>
    <cellStyle name="Обычный 3 2 4 4 2" xfId="6107"/>
    <cellStyle name="Обычный 3 2 4 4 2 10" xfId="6108"/>
    <cellStyle name="Обычный 3 2 4 4 2 11" xfId="18498"/>
    <cellStyle name="Обычный 3 2 4 4 2 12" xfId="20194"/>
    <cellStyle name="Обычный 3 2 4 4 2 13" xfId="21806"/>
    <cellStyle name="Обычный 3 2 4 4 2 2" xfId="6109"/>
    <cellStyle name="Обычный 3 2 4 4 2 2 2" xfId="6110"/>
    <cellStyle name="Обычный 3 2 4 4 2 3" xfId="6111"/>
    <cellStyle name="Обычный 3 2 4 4 2 4" xfId="6112"/>
    <cellStyle name="Обычный 3 2 4 4 2 5" xfId="6113"/>
    <cellStyle name="Обычный 3 2 4 4 2 6" xfId="6114"/>
    <cellStyle name="Обычный 3 2 4 4 2 7" xfId="6115"/>
    <cellStyle name="Обычный 3 2 4 4 2 8" xfId="6116"/>
    <cellStyle name="Обычный 3 2 4 4 2 9" xfId="6117"/>
    <cellStyle name="Обычный 3 2 4 4 3" xfId="6118"/>
    <cellStyle name="Обычный 3 2 4 4 3 2" xfId="6119"/>
    <cellStyle name="Обычный 3 2 4 4 4" xfId="6120"/>
    <cellStyle name="Обычный 3 2 4 4 5" xfId="6121"/>
    <cellStyle name="Обычный 3 2 4 4 6" xfId="6122"/>
    <cellStyle name="Обычный 3 2 4 4 7" xfId="6123"/>
    <cellStyle name="Обычный 3 2 4 4 8" xfId="6124"/>
    <cellStyle name="Обычный 3 2 4 4 9" xfId="6125"/>
    <cellStyle name="Обычный 3 2 4 5" xfId="6126"/>
    <cellStyle name="Обычный 3 2 4 5 10" xfId="6127"/>
    <cellStyle name="Обычный 3 2 4 5 11" xfId="6128"/>
    <cellStyle name="Обычный 3 2 4 5 12" xfId="18499"/>
    <cellStyle name="Обычный 3 2 4 5 13" xfId="20195"/>
    <cellStyle name="Обычный 3 2 4 5 14" xfId="21807"/>
    <cellStyle name="Обычный 3 2 4 5 2" xfId="6129"/>
    <cellStyle name="Обычный 3 2 4 5 2 10" xfId="6130"/>
    <cellStyle name="Обычный 3 2 4 5 2 11" xfId="18500"/>
    <cellStyle name="Обычный 3 2 4 5 2 12" xfId="20196"/>
    <cellStyle name="Обычный 3 2 4 5 2 13" xfId="21808"/>
    <cellStyle name="Обычный 3 2 4 5 2 2" xfId="6131"/>
    <cellStyle name="Обычный 3 2 4 5 2 2 2" xfId="6132"/>
    <cellStyle name="Обычный 3 2 4 5 2 3" xfId="6133"/>
    <cellStyle name="Обычный 3 2 4 5 2 4" xfId="6134"/>
    <cellStyle name="Обычный 3 2 4 5 2 5" xfId="6135"/>
    <cellStyle name="Обычный 3 2 4 5 2 6" xfId="6136"/>
    <cellStyle name="Обычный 3 2 4 5 2 7" xfId="6137"/>
    <cellStyle name="Обычный 3 2 4 5 2 8" xfId="6138"/>
    <cellStyle name="Обычный 3 2 4 5 2 9" xfId="6139"/>
    <cellStyle name="Обычный 3 2 4 5 3" xfId="6140"/>
    <cellStyle name="Обычный 3 2 4 5 3 2" xfId="6141"/>
    <cellStyle name="Обычный 3 2 4 5 4" xfId="6142"/>
    <cellStyle name="Обычный 3 2 4 5 5" xfId="6143"/>
    <cellStyle name="Обычный 3 2 4 5 6" xfId="6144"/>
    <cellStyle name="Обычный 3 2 4 5 7" xfId="6145"/>
    <cellStyle name="Обычный 3 2 4 5 8" xfId="6146"/>
    <cellStyle name="Обычный 3 2 4 5 9" xfId="6147"/>
    <cellStyle name="Обычный 3 2 4 6" xfId="6148"/>
    <cellStyle name="Обычный 3 2 4 6 10" xfId="6149"/>
    <cellStyle name="Обычный 3 2 4 6 11" xfId="18501"/>
    <cellStyle name="Обычный 3 2 4 6 12" xfId="20197"/>
    <cellStyle name="Обычный 3 2 4 6 13" xfId="21809"/>
    <cellStyle name="Обычный 3 2 4 6 2" xfId="6150"/>
    <cellStyle name="Обычный 3 2 4 6 2 2" xfId="6151"/>
    <cellStyle name="Обычный 3 2 4 6 3" xfId="6152"/>
    <cellStyle name="Обычный 3 2 4 6 4" xfId="6153"/>
    <cellStyle name="Обычный 3 2 4 6 5" xfId="6154"/>
    <cellStyle name="Обычный 3 2 4 6 6" xfId="6155"/>
    <cellStyle name="Обычный 3 2 4 6 7" xfId="6156"/>
    <cellStyle name="Обычный 3 2 4 6 8" xfId="6157"/>
    <cellStyle name="Обычный 3 2 4 6 9" xfId="6158"/>
    <cellStyle name="Обычный 3 2 4 7" xfId="6159"/>
    <cellStyle name="Обычный 3 2 4 7 10" xfId="20198"/>
    <cellStyle name="Обычный 3 2 4 7 11" xfId="21810"/>
    <cellStyle name="Обычный 3 2 4 7 2" xfId="6160"/>
    <cellStyle name="Обычный 3 2 4 7 2 2" xfId="6161"/>
    <cellStyle name="Обычный 3 2 4 7 3" xfId="6162"/>
    <cellStyle name="Обычный 3 2 4 7 4" xfId="6163"/>
    <cellStyle name="Обычный 3 2 4 7 5" xfId="6164"/>
    <cellStyle name="Обычный 3 2 4 7 6" xfId="6165"/>
    <cellStyle name="Обычный 3 2 4 7 7" xfId="6166"/>
    <cellStyle name="Обычный 3 2 4 7 8" xfId="6167"/>
    <cellStyle name="Обычный 3 2 4 7 9" xfId="18502"/>
    <cellStyle name="Обычный 3 2 4 8" xfId="6168"/>
    <cellStyle name="Обычный 3 2 4 8 2" xfId="6169"/>
    <cellStyle name="Обычный 3 2 4 9" xfId="6170"/>
    <cellStyle name="Обычный 3 2 5" xfId="6171"/>
    <cellStyle name="Обычный 3 2 5 10" xfId="6172"/>
    <cellStyle name="Обычный 3 2 5 11" xfId="6173"/>
    <cellStyle name="Обычный 3 2 5 12" xfId="18503"/>
    <cellStyle name="Обычный 3 2 5 13" xfId="20199"/>
    <cellStyle name="Обычный 3 2 5 14" xfId="21811"/>
    <cellStyle name="Обычный 3 2 5 2" xfId="6174"/>
    <cellStyle name="Обычный 3 2 5 2 10" xfId="6175"/>
    <cellStyle name="Обычный 3 2 5 2 11" xfId="18504"/>
    <cellStyle name="Обычный 3 2 5 2 12" xfId="20200"/>
    <cellStyle name="Обычный 3 2 5 2 13" xfId="21812"/>
    <cellStyle name="Обычный 3 2 5 2 2" xfId="6176"/>
    <cellStyle name="Обычный 3 2 5 2 2 2" xfId="6177"/>
    <cellStyle name="Обычный 3 2 5 2 3" xfId="6178"/>
    <cellStyle name="Обычный 3 2 5 2 4" xfId="6179"/>
    <cellStyle name="Обычный 3 2 5 2 5" xfId="6180"/>
    <cellStyle name="Обычный 3 2 5 2 6" xfId="6181"/>
    <cellStyle name="Обычный 3 2 5 2 7" xfId="6182"/>
    <cellStyle name="Обычный 3 2 5 2 8" xfId="6183"/>
    <cellStyle name="Обычный 3 2 5 2 9" xfId="6184"/>
    <cellStyle name="Обычный 3 2 5 3" xfId="6185"/>
    <cellStyle name="Обычный 3 2 5 3 2" xfId="6186"/>
    <cellStyle name="Обычный 3 2 5 4" xfId="6187"/>
    <cellStyle name="Обычный 3 2 5 5" xfId="6188"/>
    <cellStyle name="Обычный 3 2 5 6" xfId="6189"/>
    <cellStyle name="Обычный 3 2 5 7" xfId="6190"/>
    <cellStyle name="Обычный 3 2 5 8" xfId="6191"/>
    <cellStyle name="Обычный 3 2 5 9" xfId="6192"/>
    <cellStyle name="Обычный 3 2 6" xfId="6193"/>
    <cellStyle name="Обычный 3 2 6 10" xfId="6194"/>
    <cellStyle name="Обычный 3 2 6 11" xfId="6195"/>
    <cellStyle name="Обычный 3 2 6 12" xfId="18505"/>
    <cellStyle name="Обычный 3 2 6 13" xfId="20201"/>
    <cellStyle name="Обычный 3 2 6 14" xfId="21813"/>
    <cellStyle name="Обычный 3 2 6 2" xfId="6196"/>
    <cellStyle name="Обычный 3 2 6 2 10" xfId="6197"/>
    <cellStyle name="Обычный 3 2 6 2 11" xfId="18506"/>
    <cellStyle name="Обычный 3 2 6 2 12" xfId="20202"/>
    <cellStyle name="Обычный 3 2 6 2 13" xfId="21814"/>
    <cellStyle name="Обычный 3 2 6 2 2" xfId="6198"/>
    <cellStyle name="Обычный 3 2 6 2 2 2" xfId="6199"/>
    <cellStyle name="Обычный 3 2 6 2 3" xfId="6200"/>
    <cellStyle name="Обычный 3 2 6 2 4" xfId="6201"/>
    <cellStyle name="Обычный 3 2 6 2 5" xfId="6202"/>
    <cellStyle name="Обычный 3 2 6 2 6" xfId="6203"/>
    <cellStyle name="Обычный 3 2 6 2 7" xfId="6204"/>
    <cellStyle name="Обычный 3 2 6 2 8" xfId="6205"/>
    <cellStyle name="Обычный 3 2 6 2 9" xfId="6206"/>
    <cellStyle name="Обычный 3 2 6 3" xfId="6207"/>
    <cellStyle name="Обычный 3 2 6 3 2" xfId="6208"/>
    <cellStyle name="Обычный 3 2 6 4" xfId="6209"/>
    <cellStyle name="Обычный 3 2 6 5" xfId="6210"/>
    <cellStyle name="Обычный 3 2 6 6" xfId="6211"/>
    <cellStyle name="Обычный 3 2 6 7" xfId="6212"/>
    <cellStyle name="Обычный 3 2 6 8" xfId="6213"/>
    <cellStyle name="Обычный 3 2 6 9" xfId="6214"/>
    <cellStyle name="Обычный 3 2 7" xfId="6215"/>
    <cellStyle name="Обычный 3 2 7 10" xfId="6216"/>
    <cellStyle name="Обычный 3 2 7 11" xfId="6217"/>
    <cellStyle name="Обычный 3 2 7 12" xfId="18507"/>
    <cellStyle name="Обычный 3 2 7 13" xfId="20203"/>
    <cellStyle name="Обычный 3 2 7 14" xfId="21815"/>
    <cellStyle name="Обычный 3 2 7 2" xfId="6218"/>
    <cellStyle name="Обычный 3 2 7 2 10" xfId="6219"/>
    <cellStyle name="Обычный 3 2 7 2 11" xfId="18508"/>
    <cellStyle name="Обычный 3 2 7 2 12" xfId="20204"/>
    <cellStyle name="Обычный 3 2 7 2 13" xfId="21816"/>
    <cellStyle name="Обычный 3 2 7 2 2" xfId="6220"/>
    <cellStyle name="Обычный 3 2 7 2 2 2" xfId="6221"/>
    <cellStyle name="Обычный 3 2 7 2 3" xfId="6222"/>
    <cellStyle name="Обычный 3 2 7 2 4" xfId="6223"/>
    <cellStyle name="Обычный 3 2 7 2 5" xfId="6224"/>
    <cellStyle name="Обычный 3 2 7 2 6" xfId="6225"/>
    <cellStyle name="Обычный 3 2 7 2 7" xfId="6226"/>
    <cellStyle name="Обычный 3 2 7 2 8" xfId="6227"/>
    <cellStyle name="Обычный 3 2 7 2 9" xfId="6228"/>
    <cellStyle name="Обычный 3 2 7 3" xfId="6229"/>
    <cellStyle name="Обычный 3 2 7 3 2" xfId="6230"/>
    <cellStyle name="Обычный 3 2 7 4" xfId="6231"/>
    <cellStyle name="Обычный 3 2 7 5" xfId="6232"/>
    <cellStyle name="Обычный 3 2 7 6" xfId="6233"/>
    <cellStyle name="Обычный 3 2 7 7" xfId="6234"/>
    <cellStyle name="Обычный 3 2 7 8" xfId="6235"/>
    <cellStyle name="Обычный 3 2 7 9" xfId="6236"/>
    <cellStyle name="Обычный 3 2 8" xfId="6237"/>
    <cellStyle name="Обычный 3 2 8 10" xfId="6238"/>
    <cellStyle name="Обычный 3 2 8 11" xfId="6239"/>
    <cellStyle name="Обычный 3 2 8 12" xfId="18509"/>
    <cellStyle name="Обычный 3 2 8 13" xfId="20205"/>
    <cellStyle name="Обычный 3 2 8 14" xfId="21817"/>
    <cellStyle name="Обычный 3 2 8 2" xfId="6240"/>
    <cellStyle name="Обычный 3 2 8 2 10" xfId="6241"/>
    <cellStyle name="Обычный 3 2 8 2 11" xfId="18510"/>
    <cellStyle name="Обычный 3 2 8 2 12" xfId="20206"/>
    <cellStyle name="Обычный 3 2 8 2 13" xfId="21818"/>
    <cellStyle name="Обычный 3 2 8 2 2" xfId="6242"/>
    <cellStyle name="Обычный 3 2 8 2 2 2" xfId="6243"/>
    <cellStyle name="Обычный 3 2 8 2 3" xfId="6244"/>
    <cellStyle name="Обычный 3 2 8 2 4" xfId="6245"/>
    <cellStyle name="Обычный 3 2 8 2 5" xfId="6246"/>
    <cellStyle name="Обычный 3 2 8 2 6" xfId="6247"/>
    <cellStyle name="Обычный 3 2 8 2 7" xfId="6248"/>
    <cellStyle name="Обычный 3 2 8 2 8" xfId="6249"/>
    <cellStyle name="Обычный 3 2 8 2 9" xfId="6250"/>
    <cellStyle name="Обычный 3 2 8 3" xfId="6251"/>
    <cellStyle name="Обычный 3 2 8 3 2" xfId="6252"/>
    <cellStyle name="Обычный 3 2 8 4" xfId="6253"/>
    <cellStyle name="Обычный 3 2 8 5" xfId="6254"/>
    <cellStyle name="Обычный 3 2 8 6" xfId="6255"/>
    <cellStyle name="Обычный 3 2 8 7" xfId="6256"/>
    <cellStyle name="Обычный 3 2 8 8" xfId="6257"/>
    <cellStyle name="Обычный 3 2 8 9" xfId="6258"/>
    <cellStyle name="Обычный 3 2 9" xfId="6259"/>
    <cellStyle name="Обычный 3 2 9 10" xfId="6260"/>
    <cellStyle name="Обычный 3 2 9 11" xfId="6261"/>
    <cellStyle name="Обычный 3 2 9 12" xfId="18511"/>
    <cellStyle name="Обычный 3 2 9 13" xfId="20207"/>
    <cellStyle name="Обычный 3 2 9 14" xfId="21819"/>
    <cellStyle name="Обычный 3 2 9 2" xfId="6262"/>
    <cellStyle name="Обычный 3 2 9 2 10" xfId="6263"/>
    <cellStyle name="Обычный 3 2 9 2 11" xfId="18512"/>
    <cellStyle name="Обычный 3 2 9 2 12" xfId="20208"/>
    <cellStyle name="Обычный 3 2 9 2 13" xfId="21820"/>
    <cellStyle name="Обычный 3 2 9 2 2" xfId="6264"/>
    <cellStyle name="Обычный 3 2 9 2 2 2" xfId="6265"/>
    <cellStyle name="Обычный 3 2 9 2 3" xfId="6266"/>
    <cellStyle name="Обычный 3 2 9 2 4" xfId="6267"/>
    <cellStyle name="Обычный 3 2 9 2 5" xfId="6268"/>
    <cellStyle name="Обычный 3 2 9 2 6" xfId="6269"/>
    <cellStyle name="Обычный 3 2 9 2 7" xfId="6270"/>
    <cellStyle name="Обычный 3 2 9 2 8" xfId="6271"/>
    <cellStyle name="Обычный 3 2 9 2 9" xfId="6272"/>
    <cellStyle name="Обычный 3 2 9 3" xfId="6273"/>
    <cellStyle name="Обычный 3 2 9 3 2" xfId="6274"/>
    <cellStyle name="Обычный 3 2 9 4" xfId="6275"/>
    <cellStyle name="Обычный 3 2 9 5" xfId="6276"/>
    <cellStyle name="Обычный 3 2 9 6" xfId="6277"/>
    <cellStyle name="Обычный 3 2 9 7" xfId="6278"/>
    <cellStyle name="Обычный 3 2 9 8" xfId="6279"/>
    <cellStyle name="Обычный 3 2 9 9" xfId="6280"/>
    <cellStyle name="Обычный 3 20" xfId="6281"/>
    <cellStyle name="Обычный 3 20 10" xfId="20209"/>
    <cellStyle name="Обычный 3 20 11" xfId="21821"/>
    <cellStyle name="Обычный 3 20 2" xfId="6282"/>
    <cellStyle name="Обычный 3 20 2 2" xfId="6283"/>
    <cellStyle name="Обычный 3 20 3" xfId="6284"/>
    <cellStyle name="Обычный 3 20 4" xfId="6285"/>
    <cellStyle name="Обычный 3 20 5" xfId="6286"/>
    <cellStyle name="Обычный 3 20 6" xfId="6287"/>
    <cellStyle name="Обычный 3 20 7" xfId="6288"/>
    <cellStyle name="Обычный 3 20 8" xfId="6289"/>
    <cellStyle name="Обычный 3 20 9" xfId="18513"/>
    <cellStyle name="Обычный 3 21" xfId="6290"/>
    <cellStyle name="Обычный 3 21 10" xfId="20210"/>
    <cellStyle name="Обычный 3 21 11" xfId="21822"/>
    <cellStyle name="Обычный 3 21 2" xfId="6291"/>
    <cellStyle name="Обычный 3 21 2 2" xfId="6292"/>
    <cellStyle name="Обычный 3 21 3" xfId="6293"/>
    <cellStyle name="Обычный 3 21 4" xfId="6294"/>
    <cellStyle name="Обычный 3 21 5" xfId="6295"/>
    <cellStyle name="Обычный 3 21 6" xfId="6296"/>
    <cellStyle name="Обычный 3 21 7" xfId="6297"/>
    <cellStyle name="Обычный 3 21 8" xfId="6298"/>
    <cellStyle name="Обычный 3 21 9" xfId="18514"/>
    <cellStyle name="Обычный 3 22" xfId="6299"/>
    <cellStyle name="Обычный 3 22 2" xfId="6300"/>
    <cellStyle name="Обычный 3 23" xfId="6301"/>
    <cellStyle name="Обычный 3 24" xfId="6302"/>
    <cellStyle name="Обычный 3 25" xfId="6303"/>
    <cellStyle name="Обычный 3 26" xfId="6304"/>
    <cellStyle name="Обычный 3 27" xfId="6305"/>
    <cellStyle name="Обычный 3 28" xfId="6306"/>
    <cellStyle name="Обычный 3 29" xfId="6307"/>
    <cellStyle name="Обычный 3 3" xfId="6308"/>
    <cellStyle name="Обычный 3 3 10" xfId="6309"/>
    <cellStyle name="Обычный 3 3 10 10" xfId="6310"/>
    <cellStyle name="Обычный 3 3 10 11" xfId="6311"/>
    <cellStyle name="Обычный 3 3 10 12" xfId="18516"/>
    <cellStyle name="Обычный 3 3 10 13" xfId="20212"/>
    <cellStyle name="Обычный 3 3 10 14" xfId="21824"/>
    <cellStyle name="Обычный 3 3 10 2" xfId="6312"/>
    <cellStyle name="Обычный 3 3 10 2 10" xfId="6313"/>
    <cellStyle name="Обычный 3 3 10 2 11" xfId="18517"/>
    <cellStyle name="Обычный 3 3 10 2 12" xfId="20213"/>
    <cellStyle name="Обычный 3 3 10 2 13" xfId="21825"/>
    <cellStyle name="Обычный 3 3 10 2 2" xfId="6314"/>
    <cellStyle name="Обычный 3 3 10 2 2 2" xfId="6315"/>
    <cellStyle name="Обычный 3 3 10 2 3" xfId="6316"/>
    <cellStyle name="Обычный 3 3 10 2 4" xfId="6317"/>
    <cellStyle name="Обычный 3 3 10 2 5" xfId="6318"/>
    <cellStyle name="Обычный 3 3 10 2 6" xfId="6319"/>
    <cellStyle name="Обычный 3 3 10 2 7" xfId="6320"/>
    <cellStyle name="Обычный 3 3 10 2 8" xfId="6321"/>
    <cellStyle name="Обычный 3 3 10 2 9" xfId="6322"/>
    <cellStyle name="Обычный 3 3 10 3" xfId="6323"/>
    <cellStyle name="Обычный 3 3 10 3 2" xfId="6324"/>
    <cellStyle name="Обычный 3 3 10 4" xfId="6325"/>
    <cellStyle name="Обычный 3 3 10 5" xfId="6326"/>
    <cellStyle name="Обычный 3 3 10 6" xfId="6327"/>
    <cellStyle name="Обычный 3 3 10 7" xfId="6328"/>
    <cellStyle name="Обычный 3 3 10 8" xfId="6329"/>
    <cellStyle name="Обычный 3 3 10 9" xfId="6330"/>
    <cellStyle name="Обычный 3 3 11" xfId="6331"/>
    <cellStyle name="Обычный 3 3 11 10" xfId="6332"/>
    <cellStyle name="Обычный 3 3 11 11" xfId="18518"/>
    <cellStyle name="Обычный 3 3 11 12" xfId="20214"/>
    <cellStyle name="Обычный 3 3 11 13" xfId="21826"/>
    <cellStyle name="Обычный 3 3 11 2" xfId="6333"/>
    <cellStyle name="Обычный 3 3 11 2 2" xfId="6334"/>
    <cellStyle name="Обычный 3 3 11 3" xfId="6335"/>
    <cellStyle name="Обычный 3 3 11 4" xfId="6336"/>
    <cellStyle name="Обычный 3 3 11 5" xfId="6337"/>
    <cellStyle name="Обычный 3 3 11 6" xfId="6338"/>
    <cellStyle name="Обычный 3 3 11 7" xfId="6339"/>
    <cellStyle name="Обычный 3 3 11 8" xfId="6340"/>
    <cellStyle name="Обычный 3 3 11 9" xfId="6341"/>
    <cellStyle name="Обычный 3 3 12" xfId="6342"/>
    <cellStyle name="Обычный 3 3 12 10" xfId="20215"/>
    <cellStyle name="Обычный 3 3 12 11" xfId="21827"/>
    <cellStyle name="Обычный 3 3 12 2" xfId="6343"/>
    <cellStyle name="Обычный 3 3 12 2 2" xfId="6344"/>
    <cellStyle name="Обычный 3 3 12 3" xfId="6345"/>
    <cellStyle name="Обычный 3 3 12 4" xfId="6346"/>
    <cellStyle name="Обычный 3 3 12 5" xfId="6347"/>
    <cellStyle name="Обычный 3 3 12 6" xfId="6348"/>
    <cellStyle name="Обычный 3 3 12 7" xfId="6349"/>
    <cellStyle name="Обычный 3 3 12 8" xfId="6350"/>
    <cellStyle name="Обычный 3 3 12 9" xfId="18519"/>
    <cellStyle name="Обычный 3 3 13" xfId="6351"/>
    <cellStyle name="Обычный 3 3 13 10" xfId="20216"/>
    <cellStyle name="Обычный 3 3 13 11" xfId="21828"/>
    <cellStyle name="Обычный 3 3 13 2" xfId="6352"/>
    <cellStyle name="Обычный 3 3 13 2 2" xfId="6353"/>
    <cellStyle name="Обычный 3 3 13 3" xfId="6354"/>
    <cellStyle name="Обычный 3 3 13 4" xfId="6355"/>
    <cellStyle name="Обычный 3 3 13 5" xfId="6356"/>
    <cellStyle name="Обычный 3 3 13 6" xfId="6357"/>
    <cellStyle name="Обычный 3 3 13 7" xfId="6358"/>
    <cellStyle name="Обычный 3 3 13 8" xfId="6359"/>
    <cellStyle name="Обычный 3 3 13 9" xfId="18520"/>
    <cellStyle name="Обычный 3 3 14" xfId="6360"/>
    <cellStyle name="Обычный 3 3 14 2" xfId="6361"/>
    <cellStyle name="Обычный 3 3 15" xfId="6362"/>
    <cellStyle name="Обычный 3 3 16" xfId="6363"/>
    <cellStyle name="Обычный 3 3 17" xfId="6364"/>
    <cellStyle name="Обычный 3 3 18" xfId="6365"/>
    <cellStyle name="Обычный 3 3 19" xfId="6366"/>
    <cellStyle name="Обычный 3 3 2" xfId="6367"/>
    <cellStyle name="Обычный 3 3 2 10" xfId="6368"/>
    <cellStyle name="Обычный 3 3 2 10 2" xfId="6369"/>
    <cellStyle name="Обычный 3 3 2 11" xfId="6370"/>
    <cellStyle name="Обычный 3 3 2 12" xfId="6371"/>
    <cellStyle name="Обычный 3 3 2 13" xfId="6372"/>
    <cellStyle name="Обычный 3 3 2 14" xfId="6373"/>
    <cellStyle name="Обычный 3 3 2 15" xfId="6374"/>
    <cellStyle name="Обычный 3 3 2 16" xfId="6375"/>
    <cellStyle name="Обычный 3 3 2 17" xfId="6376"/>
    <cellStyle name="Обычный 3 3 2 18" xfId="6377"/>
    <cellStyle name="Обычный 3 3 2 19" xfId="6378"/>
    <cellStyle name="Обычный 3 3 2 2" xfId="6379"/>
    <cellStyle name="Обычный 3 3 2 2 10" xfId="6380"/>
    <cellStyle name="Обычный 3 3 2 2 11" xfId="6381"/>
    <cellStyle name="Обычный 3 3 2 2 12" xfId="6382"/>
    <cellStyle name="Обычный 3 3 2 2 13" xfId="6383"/>
    <cellStyle name="Обычный 3 3 2 2 14" xfId="6384"/>
    <cellStyle name="Обычный 3 3 2 2 15" xfId="6385"/>
    <cellStyle name="Обычный 3 3 2 2 16" xfId="6386"/>
    <cellStyle name="Обычный 3 3 2 2 17" xfId="6387"/>
    <cellStyle name="Обычный 3 3 2 2 18" xfId="18522"/>
    <cellStyle name="Обычный 3 3 2 2 19" xfId="20218"/>
    <cellStyle name="Обычный 3 3 2 2 2" xfId="6388"/>
    <cellStyle name="Обычный 3 3 2 2 2 10" xfId="6389"/>
    <cellStyle name="Обычный 3 3 2 2 2 11" xfId="6390"/>
    <cellStyle name="Обычный 3 3 2 2 2 12" xfId="18523"/>
    <cellStyle name="Обычный 3 3 2 2 2 13" xfId="20219"/>
    <cellStyle name="Обычный 3 3 2 2 2 14" xfId="21831"/>
    <cellStyle name="Обычный 3 3 2 2 2 2" xfId="6391"/>
    <cellStyle name="Обычный 3 3 2 2 2 2 10" xfId="6392"/>
    <cellStyle name="Обычный 3 3 2 2 2 2 11" xfId="18524"/>
    <cellStyle name="Обычный 3 3 2 2 2 2 12" xfId="20220"/>
    <cellStyle name="Обычный 3 3 2 2 2 2 13" xfId="21832"/>
    <cellStyle name="Обычный 3 3 2 2 2 2 2" xfId="6393"/>
    <cellStyle name="Обычный 3 3 2 2 2 2 2 2" xfId="6394"/>
    <cellStyle name="Обычный 3 3 2 2 2 2 3" xfId="6395"/>
    <cellStyle name="Обычный 3 3 2 2 2 2 4" xfId="6396"/>
    <cellStyle name="Обычный 3 3 2 2 2 2 5" xfId="6397"/>
    <cellStyle name="Обычный 3 3 2 2 2 2 6" xfId="6398"/>
    <cellStyle name="Обычный 3 3 2 2 2 2 7" xfId="6399"/>
    <cellStyle name="Обычный 3 3 2 2 2 2 8" xfId="6400"/>
    <cellStyle name="Обычный 3 3 2 2 2 2 9" xfId="6401"/>
    <cellStyle name="Обычный 3 3 2 2 2 3" xfId="6402"/>
    <cellStyle name="Обычный 3 3 2 2 2 3 2" xfId="6403"/>
    <cellStyle name="Обычный 3 3 2 2 2 4" xfId="6404"/>
    <cellStyle name="Обычный 3 3 2 2 2 5" xfId="6405"/>
    <cellStyle name="Обычный 3 3 2 2 2 6" xfId="6406"/>
    <cellStyle name="Обычный 3 3 2 2 2 7" xfId="6407"/>
    <cellStyle name="Обычный 3 3 2 2 2 8" xfId="6408"/>
    <cellStyle name="Обычный 3 3 2 2 2 9" xfId="6409"/>
    <cellStyle name="Обычный 3 3 2 2 20" xfId="21830"/>
    <cellStyle name="Обычный 3 3 2 2 3" xfId="6410"/>
    <cellStyle name="Обычный 3 3 2 2 3 10" xfId="6411"/>
    <cellStyle name="Обычный 3 3 2 2 3 11" xfId="6412"/>
    <cellStyle name="Обычный 3 3 2 2 3 12" xfId="18525"/>
    <cellStyle name="Обычный 3 3 2 2 3 13" xfId="20221"/>
    <cellStyle name="Обычный 3 3 2 2 3 14" xfId="21833"/>
    <cellStyle name="Обычный 3 3 2 2 3 2" xfId="6413"/>
    <cellStyle name="Обычный 3 3 2 2 3 2 10" xfId="6414"/>
    <cellStyle name="Обычный 3 3 2 2 3 2 11" xfId="18526"/>
    <cellStyle name="Обычный 3 3 2 2 3 2 12" xfId="20222"/>
    <cellStyle name="Обычный 3 3 2 2 3 2 13" xfId="21834"/>
    <cellStyle name="Обычный 3 3 2 2 3 2 2" xfId="6415"/>
    <cellStyle name="Обычный 3 3 2 2 3 2 2 2" xfId="6416"/>
    <cellStyle name="Обычный 3 3 2 2 3 2 3" xfId="6417"/>
    <cellStyle name="Обычный 3 3 2 2 3 2 4" xfId="6418"/>
    <cellStyle name="Обычный 3 3 2 2 3 2 5" xfId="6419"/>
    <cellStyle name="Обычный 3 3 2 2 3 2 6" xfId="6420"/>
    <cellStyle name="Обычный 3 3 2 2 3 2 7" xfId="6421"/>
    <cellStyle name="Обычный 3 3 2 2 3 2 8" xfId="6422"/>
    <cellStyle name="Обычный 3 3 2 2 3 2 9" xfId="6423"/>
    <cellStyle name="Обычный 3 3 2 2 3 3" xfId="6424"/>
    <cellStyle name="Обычный 3 3 2 2 3 3 2" xfId="6425"/>
    <cellStyle name="Обычный 3 3 2 2 3 4" xfId="6426"/>
    <cellStyle name="Обычный 3 3 2 2 3 5" xfId="6427"/>
    <cellStyle name="Обычный 3 3 2 2 3 6" xfId="6428"/>
    <cellStyle name="Обычный 3 3 2 2 3 7" xfId="6429"/>
    <cellStyle name="Обычный 3 3 2 2 3 8" xfId="6430"/>
    <cellStyle name="Обычный 3 3 2 2 3 9" xfId="6431"/>
    <cellStyle name="Обычный 3 3 2 2 4" xfId="6432"/>
    <cellStyle name="Обычный 3 3 2 2 4 10" xfId="6433"/>
    <cellStyle name="Обычный 3 3 2 2 4 11" xfId="6434"/>
    <cellStyle name="Обычный 3 3 2 2 4 12" xfId="18527"/>
    <cellStyle name="Обычный 3 3 2 2 4 13" xfId="20223"/>
    <cellStyle name="Обычный 3 3 2 2 4 14" xfId="21835"/>
    <cellStyle name="Обычный 3 3 2 2 4 2" xfId="6435"/>
    <cellStyle name="Обычный 3 3 2 2 4 2 10" xfId="6436"/>
    <cellStyle name="Обычный 3 3 2 2 4 2 11" xfId="18528"/>
    <cellStyle name="Обычный 3 3 2 2 4 2 12" xfId="20224"/>
    <cellStyle name="Обычный 3 3 2 2 4 2 13" xfId="21836"/>
    <cellStyle name="Обычный 3 3 2 2 4 2 2" xfId="6437"/>
    <cellStyle name="Обычный 3 3 2 2 4 2 2 2" xfId="6438"/>
    <cellStyle name="Обычный 3 3 2 2 4 2 3" xfId="6439"/>
    <cellStyle name="Обычный 3 3 2 2 4 2 4" xfId="6440"/>
    <cellStyle name="Обычный 3 3 2 2 4 2 5" xfId="6441"/>
    <cellStyle name="Обычный 3 3 2 2 4 2 6" xfId="6442"/>
    <cellStyle name="Обычный 3 3 2 2 4 2 7" xfId="6443"/>
    <cellStyle name="Обычный 3 3 2 2 4 2 8" xfId="6444"/>
    <cellStyle name="Обычный 3 3 2 2 4 2 9" xfId="6445"/>
    <cellStyle name="Обычный 3 3 2 2 4 3" xfId="6446"/>
    <cellStyle name="Обычный 3 3 2 2 4 3 2" xfId="6447"/>
    <cellStyle name="Обычный 3 3 2 2 4 4" xfId="6448"/>
    <cellStyle name="Обычный 3 3 2 2 4 5" xfId="6449"/>
    <cellStyle name="Обычный 3 3 2 2 4 6" xfId="6450"/>
    <cellStyle name="Обычный 3 3 2 2 4 7" xfId="6451"/>
    <cellStyle name="Обычный 3 3 2 2 4 8" xfId="6452"/>
    <cellStyle name="Обычный 3 3 2 2 4 9" xfId="6453"/>
    <cellStyle name="Обычный 3 3 2 2 5" xfId="6454"/>
    <cellStyle name="Обычный 3 3 2 2 5 10" xfId="6455"/>
    <cellStyle name="Обычный 3 3 2 2 5 11" xfId="6456"/>
    <cellStyle name="Обычный 3 3 2 2 5 12" xfId="18529"/>
    <cellStyle name="Обычный 3 3 2 2 5 13" xfId="20225"/>
    <cellStyle name="Обычный 3 3 2 2 5 14" xfId="21837"/>
    <cellStyle name="Обычный 3 3 2 2 5 2" xfId="6457"/>
    <cellStyle name="Обычный 3 3 2 2 5 2 10" xfId="6458"/>
    <cellStyle name="Обычный 3 3 2 2 5 2 11" xfId="18530"/>
    <cellStyle name="Обычный 3 3 2 2 5 2 12" xfId="20226"/>
    <cellStyle name="Обычный 3 3 2 2 5 2 13" xfId="21838"/>
    <cellStyle name="Обычный 3 3 2 2 5 2 2" xfId="6459"/>
    <cellStyle name="Обычный 3 3 2 2 5 2 2 2" xfId="6460"/>
    <cellStyle name="Обычный 3 3 2 2 5 2 3" xfId="6461"/>
    <cellStyle name="Обычный 3 3 2 2 5 2 4" xfId="6462"/>
    <cellStyle name="Обычный 3 3 2 2 5 2 5" xfId="6463"/>
    <cellStyle name="Обычный 3 3 2 2 5 2 6" xfId="6464"/>
    <cellStyle name="Обычный 3 3 2 2 5 2 7" xfId="6465"/>
    <cellStyle name="Обычный 3 3 2 2 5 2 8" xfId="6466"/>
    <cellStyle name="Обычный 3 3 2 2 5 2 9" xfId="6467"/>
    <cellStyle name="Обычный 3 3 2 2 5 3" xfId="6468"/>
    <cellStyle name="Обычный 3 3 2 2 5 3 2" xfId="6469"/>
    <cellStyle name="Обычный 3 3 2 2 5 4" xfId="6470"/>
    <cellStyle name="Обычный 3 3 2 2 5 5" xfId="6471"/>
    <cellStyle name="Обычный 3 3 2 2 5 6" xfId="6472"/>
    <cellStyle name="Обычный 3 3 2 2 5 7" xfId="6473"/>
    <cellStyle name="Обычный 3 3 2 2 5 8" xfId="6474"/>
    <cellStyle name="Обычный 3 3 2 2 5 9" xfId="6475"/>
    <cellStyle name="Обычный 3 3 2 2 6" xfId="6476"/>
    <cellStyle name="Обычный 3 3 2 2 6 10" xfId="6477"/>
    <cellStyle name="Обычный 3 3 2 2 6 11" xfId="18531"/>
    <cellStyle name="Обычный 3 3 2 2 6 12" xfId="20227"/>
    <cellStyle name="Обычный 3 3 2 2 6 13" xfId="21839"/>
    <cellStyle name="Обычный 3 3 2 2 6 2" xfId="6478"/>
    <cellStyle name="Обычный 3 3 2 2 6 2 2" xfId="6479"/>
    <cellStyle name="Обычный 3 3 2 2 6 3" xfId="6480"/>
    <cellStyle name="Обычный 3 3 2 2 6 4" xfId="6481"/>
    <cellStyle name="Обычный 3 3 2 2 6 5" xfId="6482"/>
    <cellStyle name="Обычный 3 3 2 2 6 6" xfId="6483"/>
    <cellStyle name="Обычный 3 3 2 2 6 7" xfId="6484"/>
    <cellStyle name="Обычный 3 3 2 2 6 8" xfId="6485"/>
    <cellStyle name="Обычный 3 3 2 2 6 9" xfId="6486"/>
    <cellStyle name="Обычный 3 3 2 2 7" xfId="6487"/>
    <cellStyle name="Обычный 3 3 2 2 7 10" xfId="20228"/>
    <cellStyle name="Обычный 3 3 2 2 7 11" xfId="21840"/>
    <cellStyle name="Обычный 3 3 2 2 7 2" xfId="6488"/>
    <cellStyle name="Обычный 3 3 2 2 7 2 2" xfId="6489"/>
    <cellStyle name="Обычный 3 3 2 2 7 3" xfId="6490"/>
    <cellStyle name="Обычный 3 3 2 2 7 4" xfId="6491"/>
    <cellStyle name="Обычный 3 3 2 2 7 5" xfId="6492"/>
    <cellStyle name="Обычный 3 3 2 2 7 6" xfId="6493"/>
    <cellStyle name="Обычный 3 3 2 2 7 7" xfId="6494"/>
    <cellStyle name="Обычный 3 3 2 2 7 8" xfId="6495"/>
    <cellStyle name="Обычный 3 3 2 2 7 9" xfId="18532"/>
    <cellStyle name="Обычный 3 3 2 2 8" xfId="6496"/>
    <cellStyle name="Обычный 3 3 2 2 8 2" xfId="6497"/>
    <cellStyle name="Обычный 3 3 2 2 9" xfId="6498"/>
    <cellStyle name="Обычный 3 3 2 20" xfId="18521"/>
    <cellStyle name="Обычный 3 3 2 21" xfId="20217"/>
    <cellStyle name="Обычный 3 3 2 22" xfId="21829"/>
    <cellStyle name="Обычный 3 3 2 3" xfId="6499"/>
    <cellStyle name="Обычный 3 3 2 3 10" xfId="6500"/>
    <cellStyle name="Обычный 3 3 2 3 11" xfId="6501"/>
    <cellStyle name="Обычный 3 3 2 3 12" xfId="6502"/>
    <cellStyle name="Обычный 3 3 2 3 13" xfId="6503"/>
    <cellStyle name="Обычный 3 3 2 3 14" xfId="6504"/>
    <cellStyle name="Обычный 3 3 2 3 15" xfId="6505"/>
    <cellStyle name="Обычный 3 3 2 3 16" xfId="6506"/>
    <cellStyle name="Обычный 3 3 2 3 17" xfId="6507"/>
    <cellStyle name="Обычный 3 3 2 3 18" xfId="18533"/>
    <cellStyle name="Обычный 3 3 2 3 19" xfId="20229"/>
    <cellStyle name="Обычный 3 3 2 3 2" xfId="6508"/>
    <cellStyle name="Обычный 3 3 2 3 2 10" xfId="6509"/>
    <cellStyle name="Обычный 3 3 2 3 2 11" xfId="6510"/>
    <cellStyle name="Обычный 3 3 2 3 2 12" xfId="18534"/>
    <cellStyle name="Обычный 3 3 2 3 2 13" xfId="20230"/>
    <cellStyle name="Обычный 3 3 2 3 2 14" xfId="21842"/>
    <cellStyle name="Обычный 3 3 2 3 2 2" xfId="6511"/>
    <cellStyle name="Обычный 3 3 2 3 2 2 10" xfId="6512"/>
    <cellStyle name="Обычный 3 3 2 3 2 2 11" xfId="18535"/>
    <cellStyle name="Обычный 3 3 2 3 2 2 12" xfId="20231"/>
    <cellStyle name="Обычный 3 3 2 3 2 2 13" xfId="21843"/>
    <cellStyle name="Обычный 3 3 2 3 2 2 2" xfId="6513"/>
    <cellStyle name="Обычный 3 3 2 3 2 2 2 2" xfId="6514"/>
    <cellStyle name="Обычный 3 3 2 3 2 2 3" xfId="6515"/>
    <cellStyle name="Обычный 3 3 2 3 2 2 4" xfId="6516"/>
    <cellStyle name="Обычный 3 3 2 3 2 2 5" xfId="6517"/>
    <cellStyle name="Обычный 3 3 2 3 2 2 6" xfId="6518"/>
    <cellStyle name="Обычный 3 3 2 3 2 2 7" xfId="6519"/>
    <cellStyle name="Обычный 3 3 2 3 2 2 8" xfId="6520"/>
    <cellStyle name="Обычный 3 3 2 3 2 2 9" xfId="6521"/>
    <cellStyle name="Обычный 3 3 2 3 2 3" xfId="6522"/>
    <cellStyle name="Обычный 3 3 2 3 2 3 2" xfId="6523"/>
    <cellStyle name="Обычный 3 3 2 3 2 4" xfId="6524"/>
    <cellStyle name="Обычный 3 3 2 3 2 5" xfId="6525"/>
    <cellStyle name="Обычный 3 3 2 3 2 6" xfId="6526"/>
    <cellStyle name="Обычный 3 3 2 3 2 7" xfId="6527"/>
    <cellStyle name="Обычный 3 3 2 3 2 8" xfId="6528"/>
    <cellStyle name="Обычный 3 3 2 3 2 9" xfId="6529"/>
    <cellStyle name="Обычный 3 3 2 3 20" xfId="21841"/>
    <cellStyle name="Обычный 3 3 2 3 3" xfId="6530"/>
    <cellStyle name="Обычный 3 3 2 3 3 10" xfId="6531"/>
    <cellStyle name="Обычный 3 3 2 3 3 11" xfId="6532"/>
    <cellStyle name="Обычный 3 3 2 3 3 12" xfId="18536"/>
    <cellStyle name="Обычный 3 3 2 3 3 13" xfId="20232"/>
    <cellStyle name="Обычный 3 3 2 3 3 14" xfId="21844"/>
    <cellStyle name="Обычный 3 3 2 3 3 2" xfId="6533"/>
    <cellStyle name="Обычный 3 3 2 3 3 2 10" xfId="6534"/>
    <cellStyle name="Обычный 3 3 2 3 3 2 11" xfId="18537"/>
    <cellStyle name="Обычный 3 3 2 3 3 2 12" xfId="20233"/>
    <cellStyle name="Обычный 3 3 2 3 3 2 13" xfId="21845"/>
    <cellStyle name="Обычный 3 3 2 3 3 2 2" xfId="6535"/>
    <cellStyle name="Обычный 3 3 2 3 3 2 2 2" xfId="6536"/>
    <cellStyle name="Обычный 3 3 2 3 3 2 3" xfId="6537"/>
    <cellStyle name="Обычный 3 3 2 3 3 2 4" xfId="6538"/>
    <cellStyle name="Обычный 3 3 2 3 3 2 5" xfId="6539"/>
    <cellStyle name="Обычный 3 3 2 3 3 2 6" xfId="6540"/>
    <cellStyle name="Обычный 3 3 2 3 3 2 7" xfId="6541"/>
    <cellStyle name="Обычный 3 3 2 3 3 2 8" xfId="6542"/>
    <cellStyle name="Обычный 3 3 2 3 3 2 9" xfId="6543"/>
    <cellStyle name="Обычный 3 3 2 3 3 3" xfId="6544"/>
    <cellStyle name="Обычный 3 3 2 3 3 3 2" xfId="6545"/>
    <cellStyle name="Обычный 3 3 2 3 3 4" xfId="6546"/>
    <cellStyle name="Обычный 3 3 2 3 3 5" xfId="6547"/>
    <cellStyle name="Обычный 3 3 2 3 3 6" xfId="6548"/>
    <cellStyle name="Обычный 3 3 2 3 3 7" xfId="6549"/>
    <cellStyle name="Обычный 3 3 2 3 3 8" xfId="6550"/>
    <cellStyle name="Обычный 3 3 2 3 3 9" xfId="6551"/>
    <cellStyle name="Обычный 3 3 2 3 4" xfId="6552"/>
    <cellStyle name="Обычный 3 3 2 3 4 10" xfId="6553"/>
    <cellStyle name="Обычный 3 3 2 3 4 11" xfId="6554"/>
    <cellStyle name="Обычный 3 3 2 3 4 12" xfId="18538"/>
    <cellStyle name="Обычный 3 3 2 3 4 13" xfId="20234"/>
    <cellStyle name="Обычный 3 3 2 3 4 14" xfId="21846"/>
    <cellStyle name="Обычный 3 3 2 3 4 2" xfId="6555"/>
    <cellStyle name="Обычный 3 3 2 3 4 2 10" xfId="6556"/>
    <cellStyle name="Обычный 3 3 2 3 4 2 11" xfId="18539"/>
    <cellStyle name="Обычный 3 3 2 3 4 2 12" xfId="20235"/>
    <cellStyle name="Обычный 3 3 2 3 4 2 13" xfId="21847"/>
    <cellStyle name="Обычный 3 3 2 3 4 2 2" xfId="6557"/>
    <cellStyle name="Обычный 3 3 2 3 4 2 2 2" xfId="6558"/>
    <cellStyle name="Обычный 3 3 2 3 4 2 3" xfId="6559"/>
    <cellStyle name="Обычный 3 3 2 3 4 2 4" xfId="6560"/>
    <cellStyle name="Обычный 3 3 2 3 4 2 5" xfId="6561"/>
    <cellStyle name="Обычный 3 3 2 3 4 2 6" xfId="6562"/>
    <cellStyle name="Обычный 3 3 2 3 4 2 7" xfId="6563"/>
    <cellStyle name="Обычный 3 3 2 3 4 2 8" xfId="6564"/>
    <cellStyle name="Обычный 3 3 2 3 4 2 9" xfId="6565"/>
    <cellStyle name="Обычный 3 3 2 3 4 3" xfId="6566"/>
    <cellStyle name="Обычный 3 3 2 3 4 3 2" xfId="6567"/>
    <cellStyle name="Обычный 3 3 2 3 4 4" xfId="6568"/>
    <cellStyle name="Обычный 3 3 2 3 4 5" xfId="6569"/>
    <cellStyle name="Обычный 3 3 2 3 4 6" xfId="6570"/>
    <cellStyle name="Обычный 3 3 2 3 4 7" xfId="6571"/>
    <cellStyle name="Обычный 3 3 2 3 4 8" xfId="6572"/>
    <cellStyle name="Обычный 3 3 2 3 4 9" xfId="6573"/>
    <cellStyle name="Обычный 3 3 2 3 5" xfId="6574"/>
    <cellStyle name="Обычный 3 3 2 3 5 10" xfId="6575"/>
    <cellStyle name="Обычный 3 3 2 3 5 11" xfId="6576"/>
    <cellStyle name="Обычный 3 3 2 3 5 12" xfId="18540"/>
    <cellStyle name="Обычный 3 3 2 3 5 13" xfId="20236"/>
    <cellStyle name="Обычный 3 3 2 3 5 14" xfId="21848"/>
    <cellStyle name="Обычный 3 3 2 3 5 2" xfId="6577"/>
    <cellStyle name="Обычный 3 3 2 3 5 2 10" xfId="6578"/>
    <cellStyle name="Обычный 3 3 2 3 5 2 11" xfId="18541"/>
    <cellStyle name="Обычный 3 3 2 3 5 2 12" xfId="20237"/>
    <cellStyle name="Обычный 3 3 2 3 5 2 13" xfId="21849"/>
    <cellStyle name="Обычный 3 3 2 3 5 2 2" xfId="6579"/>
    <cellStyle name="Обычный 3 3 2 3 5 2 2 2" xfId="6580"/>
    <cellStyle name="Обычный 3 3 2 3 5 2 3" xfId="6581"/>
    <cellStyle name="Обычный 3 3 2 3 5 2 4" xfId="6582"/>
    <cellStyle name="Обычный 3 3 2 3 5 2 5" xfId="6583"/>
    <cellStyle name="Обычный 3 3 2 3 5 2 6" xfId="6584"/>
    <cellStyle name="Обычный 3 3 2 3 5 2 7" xfId="6585"/>
    <cellStyle name="Обычный 3 3 2 3 5 2 8" xfId="6586"/>
    <cellStyle name="Обычный 3 3 2 3 5 2 9" xfId="6587"/>
    <cellStyle name="Обычный 3 3 2 3 5 3" xfId="6588"/>
    <cellStyle name="Обычный 3 3 2 3 5 3 2" xfId="6589"/>
    <cellStyle name="Обычный 3 3 2 3 5 4" xfId="6590"/>
    <cellStyle name="Обычный 3 3 2 3 5 5" xfId="6591"/>
    <cellStyle name="Обычный 3 3 2 3 5 6" xfId="6592"/>
    <cellStyle name="Обычный 3 3 2 3 5 7" xfId="6593"/>
    <cellStyle name="Обычный 3 3 2 3 5 8" xfId="6594"/>
    <cellStyle name="Обычный 3 3 2 3 5 9" xfId="6595"/>
    <cellStyle name="Обычный 3 3 2 3 6" xfId="6596"/>
    <cellStyle name="Обычный 3 3 2 3 6 10" xfId="6597"/>
    <cellStyle name="Обычный 3 3 2 3 6 11" xfId="18542"/>
    <cellStyle name="Обычный 3 3 2 3 6 12" xfId="20238"/>
    <cellStyle name="Обычный 3 3 2 3 6 13" xfId="21850"/>
    <cellStyle name="Обычный 3 3 2 3 6 2" xfId="6598"/>
    <cellStyle name="Обычный 3 3 2 3 6 2 2" xfId="6599"/>
    <cellStyle name="Обычный 3 3 2 3 6 3" xfId="6600"/>
    <cellStyle name="Обычный 3 3 2 3 6 4" xfId="6601"/>
    <cellStyle name="Обычный 3 3 2 3 6 5" xfId="6602"/>
    <cellStyle name="Обычный 3 3 2 3 6 6" xfId="6603"/>
    <cellStyle name="Обычный 3 3 2 3 6 7" xfId="6604"/>
    <cellStyle name="Обычный 3 3 2 3 6 8" xfId="6605"/>
    <cellStyle name="Обычный 3 3 2 3 6 9" xfId="6606"/>
    <cellStyle name="Обычный 3 3 2 3 7" xfId="6607"/>
    <cellStyle name="Обычный 3 3 2 3 7 10" xfId="20239"/>
    <cellStyle name="Обычный 3 3 2 3 7 11" xfId="21851"/>
    <cellStyle name="Обычный 3 3 2 3 7 2" xfId="6608"/>
    <cellStyle name="Обычный 3 3 2 3 7 2 2" xfId="6609"/>
    <cellStyle name="Обычный 3 3 2 3 7 3" xfId="6610"/>
    <cellStyle name="Обычный 3 3 2 3 7 4" xfId="6611"/>
    <cellStyle name="Обычный 3 3 2 3 7 5" xfId="6612"/>
    <cellStyle name="Обычный 3 3 2 3 7 6" xfId="6613"/>
    <cellStyle name="Обычный 3 3 2 3 7 7" xfId="6614"/>
    <cellStyle name="Обычный 3 3 2 3 7 8" xfId="6615"/>
    <cellStyle name="Обычный 3 3 2 3 7 9" xfId="18543"/>
    <cellStyle name="Обычный 3 3 2 3 8" xfId="6616"/>
    <cellStyle name="Обычный 3 3 2 3 8 2" xfId="6617"/>
    <cellStyle name="Обычный 3 3 2 3 9" xfId="6618"/>
    <cellStyle name="Обычный 3 3 2 4" xfId="6619"/>
    <cellStyle name="Обычный 3 3 2 4 10" xfId="6620"/>
    <cellStyle name="Обычный 3 3 2 4 11" xfId="6621"/>
    <cellStyle name="Обычный 3 3 2 4 12" xfId="18544"/>
    <cellStyle name="Обычный 3 3 2 4 13" xfId="20240"/>
    <cellStyle name="Обычный 3 3 2 4 14" xfId="21852"/>
    <cellStyle name="Обычный 3 3 2 4 2" xfId="6622"/>
    <cellStyle name="Обычный 3 3 2 4 2 10" xfId="6623"/>
    <cellStyle name="Обычный 3 3 2 4 2 11" xfId="18545"/>
    <cellStyle name="Обычный 3 3 2 4 2 12" xfId="20241"/>
    <cellStyle name="Обычный 3 3 2 4 2 13" xfId="21853"/>
    <cellStyle name="Обычный 3 3 2 4 2 2" xfId="6624"/>
    <cellStyle name="Обычный 3 3 2 4 2 2 2" xfId="6625"/>
    <cellStyle name="Обычный 3 3 2 4 2 3" xfId="6626"/>
    <cellStyle name="Обычный 3 3 2 4 2 4" xfId="6627"/>
    <cellStyle name="Обычный 3 3 2 4 2 5" xfId="6628"/>
    <cellStyle name="Обычный 3 3 2 4 2 6" xfId="6629"/>
    <cellStyle name="Обычный 3 3 2 4 2 7" xfId="6630"/>
    <cellStyle name="Обычный 3 3 2 4 2 8" xfId="6631"/>
    <cellStyle name="Обычный 3 3 2 4 2 9" xfId="6632"/>
    <cellStyle name="Обычный 3 3 2 4 3" xfId="6633"/>
    <cellStyle name="Обычный 3 3 2 4 3 2" xfId="6634"/>
    <cellStyle name="Обычный 3 3 2 4 4" xfId="6635"/>
    <cellStyle name="Обычный 3 3 2 4 5" xfId="6636"/>
    <cellStyle name="Обычный 3 3 2 4 6" xfId="6637"/>
    <cellStyle name="Обычный 3 3 2 4 7" xfId="6638"/>
    <cellStyle name="Обычный 3 3 2 4 8" xfId="6639"/>
    <cellStyle name="Обычный 3 3 2 4 9" xfId="6640"/>
    <cellStyle name="Обычный 3 3 2 5" xfId="6641"/>
    <cellStyle name="Обычный 3 3 2 5 10" xfId="6642"/>
    <cellStyle name="Обычный 3 3 2 5 11" xfId="6643"/>
    <cellStyle name="Обычный 3 3 2 5 12" xfId="18546"/>
    <cellStyle name="Обычный 3 3 2 5 13" xfId="20242"/>
    <cellStyle name="Обычный 3 3 2 5 14" xfId="21854"/>
    <cellStyle name="Обычный 3 3 2 5 2" xfId="6644"/>
    <cellStyle name="Обычный 3 3 2 5 2 10" xfId="6645"/>
    <cellStyle name="Обычный 3 3 2 5 2 11" xfId="18547"/>
    <cellStyle name="Обычный 3 3 2 5 2 12" xfId="20243"/>
    <cellStyle name="Обычный 3 3 2 5 2 13" xfId="21855"/>
    <cellStyle name="Обычный 3 3 2 5 2 2" xfId="6646"/>
    <cellStyle name="Обычный 3 3 2 5 2 2 2" xfId="6647"/>
    <cellStyle name="Обычный 3 3 2 5 2 3" xfId="6648"/>
    <cellStyle name="Обычный 3 3 2 5 2 4" xfId="6649"/>
    <cellStyle name="Обычный 3 3 2 5 2 5" xfId="6650"/>
    <cellStyle name="Обычный 3 3 2 5 2 6" xfId="6651"/>
    <cellStyle name="Обычный 3 3 2 5 2 7" xfId="6652"/>
    <cellStyle name="Обычный 3 3 2 5 2 8" xfId="6653"/>
    <cellStyle name="Обычный 3 3 2 5 2 9" xfId="6654"/>
    <cellStyle name="Обычный 3 3 2 5 3" xfId="6655"/>
    <cellStyle name="Обычный 3 3 2 5 3 2" xfId="6656"/>
    <cellStyle name="Обычный 3 3 2 5 4" xfId="6657"/>
    <cellStyle name="Обычный 3 3 2 5 5" xfId="6658"/>
    <cellStyle name="Обычный 3 3 2 5 6" xfId="6659"/>
    <cellStyle name="Обычный 3 3 2 5 7" xfId="6660"/>
    <cellStyle name="Обычный 3 3 2 5 8" xfId="6661"/>
    <cellStyle name="Обычный 3 3 2 5 9" xfId="6662"/>
    <cellStyle name="Обычный 3 3 2 6" xfId="6663"/>
    <cellStyle name="Обычный 3 3 2 6 10" xfId="6664"/>
    <cellStyle name="Обычный 3 3 2 6 11" xfId="6665"/>
    <cellStyle name="Обычный 3 3 2 6 12" xfId="18548"/>
    <cellStyle name="Обычный 3 3 2 6 13" xfId="20244"/>
    <cellStyle name="Обычный 3 3 2 6 14" xfId="21856"/>
    <cellStyle name="Обычный 3 3 2 6 2" xfId="6666"/>
    <cellStyle name="Обычный 3 3 2 6 2 10" xfId="6667"/>
    <cellStyle name="Обычный 3 3 2 6 2 11" xfId="18549"/>
    <cellStyle name="Обычный 3 3 2 6 2 12" xfId="20245"/>
    <cellStyle name="Обычный 3 3 2 6 2 13" xfId="21857"/>
    <cellStyle name="Обычный 3 3 2 6 2 2" xfId="6668"/>
    <cellStyle name="Обычный 3 3 2 6 2 2 2" xfId="6669"/>
    <cellStyle name="Обычный 3 3 2 6 2 3" xfId="6670"/>
    <cellStyle name="Обычный 3 3 2 6 2 4" xfId="6671"/>
    <cellStyle name="Обычный 3 3 2 6 2 5" xfId="6672"/>
    <cellStyle name="Обычный 3 3 2 6 2 6" xfId="6673"/>
    <cellStyle name="Обычный 3 3 2 6 2 7" xfId="6674"/>
    <cellStyle name="Обычный 3 3 2 6 2 8" xfId="6675"/>
    <cellStyle name="Обычный 3 3 2 6 2 9" xfId="6676"/>
    <cellStyle name="Обычный 3 3 2 6 3" xfId="6677"/>
    <cellStyle name="Обычный 3 3 2 6 3 2" xfId="6678"/>
    <cellStyle name="Обычный 3 3 2 6 4" xfId="6679"/>
    <cellStyle name="Обычный 3 3 2 6 5" xfId="6680"/>
    <cellStyle name="Обычный 3 3 2 6 6" xfId="6681"/>
    <cellStyle name="Обычный 3 3 2 6 7" xfId="6682"/>
    <cellStyle name="Обычный 3 3 2 6 8" xfId="6683"/>
    <cellStyle name="Обычный 3 3 2 6 9" xfId="6684"/>
    <cellStyle name="Обычный 3 3 2 7" xfId="6685"/>
    <cellStyle name="Обычный 3 3 2 7 10" xfId="6686"/>
    <cellStyle name="Обычный 3 3 2 7 11" xfId="6687"/>
    <cellStyle name="Обычный 3 3 2 7 12" xfId="18550"/>
    <cellStyle name="Обычный 3 3 2 7 13" xfId="20246"/>
    <cellStyle name="Обычный 3 3 2 7 14" xfId="21858"/>
    <cellStyle name="Обычный 3 3 2 7 2" xfId="6688"/>
    <cellStyle name="Обычный 3 3 2 7 2 10" xfId="6689"/>
    <cellStyle name="Обычный 3 3 2 7 2 11" xfId="18551"/>
    <cellStyle name="Обычный 3 3 2 7 2 12" xfId="20247"/>
    <cellStyle name="Обычный 3 3 2 7 2 13" xfId="21859"/>
    <cellStyle name="Обычный 3 3 2 7 2 2" xfId="6690"/>
    <cellStyle name="Обычный 3 3 2 7 2 2 2" xfId="6691"/>
    <cellStyle name="Обычный 3 3 2 7 2 3" xfId="6692"/>
    <cellStyle name="Обычный 3 3 2 7 2 4" xfId="6693"/>
    <cellStyle name="Обычный 3 3 2 7 2 5" xfId="6694"/>
    <cellStyle name="Обычный 3 3 2 7 2 6" xfId="6695"/>
    <cellStyle name="Обычный 3 3 2 7 2 7" xfId="6696"/>
    <cellStyle name="Обычный 3 3 2 7 2 8" xfId="6697"/>
    <cellStyle name="Обычный 3 3 2 7 2 9" xfId="6698"/>
    <cellStyle name="Обычный 3 3 2 7 3" xfId="6699"/>
    <cellStyle name="Обычный 3 3 2 7 3 2" xfId="6700"/>
    <cellStyle name="Обычный 3 3 2 7 4" xfId="6701"/>
    <cellStyle name="Обычный 3 3 2 7 5" xfId="6702"/>
    <cellStyle name="Обычный 3 3 2 7 6" xfId="6703"/>
    <cellStyle name="Обычный 3 3 2 7 7" xfId="6704"/>
    <cellStyle name="Обычный 3 3 2 7 8" xfId="6705"/>
    <cellStyle name="Обычный 3 3 2 7 9" xfId="6706"/>
    <cellStyle name="Обычный 3 3 2 8" xfId="6707"/>
    <cellStyle name="Обычный 3 3 2 8 10" xfId="6708"/>
    <cellStyle name="Обычный 3 3 2 8 11" xfId="18552"/>
    <cellStyle name="Обычный 3 3 2 8 12" xfId="20248"/>
    <cellStyle name="Обычный 3 3 2 8 13" xfId="21860"/>
    <cellStyle name="Обычный 3 3 2 8 2" xfId="6709"/>
    <cellStyle name="Обычный 3 3 2 8 2 2" xfId="6710"/>
    <cellStyle name="Обычный 3 3 2 8 3" xfId="6711"/>
    <cellStyle name="Обычный 3 3 2 8 4" xfId="6712"/>
    <cellStyle name="Обычный 3 3 2 8 5" xfId="6713"/>
    <cellStyle name="Обычный 3 3 2 8 6" xfId="6714"/>
    <cellStyle name="Обычный 3 3 2 8 7" xfId="6715"/>
    <cellStyle name="Обычный 3 3 2 8 8" xfId="6716"/>
    <cellStyle name="Обычный 3 3 2 8 9" xfId="6717"/>
    <cellStyle name="Обычный 3 3 2 9" xfId="6718"/>
    <cellStyle name="Обычный 3 3 2 9 10" xfId="20249"/>
    <cellStyle name="Обычный 3 3 2 9 11" xfId="21861"/>
    <cellStyle name="Обычный 3 3 2 9 2" xfId="6719"/>
    <cellStyle name="Обычный 3 3 2 9 2 2" xfId="6720"/>
    <cellStyle name="Обычный 3 3 2 9 3" xfId="6721"/>
    <cellStyle name="Обычный 3 3 2 9 4" xfId="6722"/>
    <cellStyle name="Обычный 3 3 2 9 5" xfId="6723"/>
    <cellStyle name="Обычный 3 3 2 9 6" xfId="6724"/>
    <cellStyle name="Обычный 3 3 2 9 7" xfId="6725"/>
    <cellStyle name="Обычный 3 3 2 9 8" xfId="6726"/>
    <cellStyle name="Обычный 3 3 2 9 9" xfId="18553"/>
    <cellStyle name="Обычный 3 3 20" xfId="6727"/>
    <cellStyle name="Обычный 3 3 21" xfId="6728"/>
    <cellStyle name="Обычный 3 3 22" xfId="6729"/>
    <cellStyle name="Обычный 3 3 23" xfId="6730"/>
    <cellStyle name="Обычный 3 3 24" xfId="18515"/>
    <cellStyle name="Обычный 3 3 25" xfId="19632"/>
    <cellStyle name="Обычный 3 3 26" xfId="20211"/>
    <cellStyle name="Обычный 3 3 27" xfId="21823"/>
    <cellStyle name="Обычный 3 3 3" xfId="6731"/>
    <cellStyle name="Обычный 3 3 3 10" xfId="6732"/>
    <cellStyle name="Обычный 3 3 3 11" xfId="6733"/>
    <cellStyle name="Обычный 3 3 3 12" xfId="6734"/>
    <cellStyle name="Обычный 3 3 3 13" xfId="6735"/>
    <cellStyle name="Обычный 3 3 3 14" xfId="6736"/>
    <cellStyle name="Обычный 3 3 3 15" xfId="6737"/>
    <cellStyle name="Обычный 3 3 3 16" xfId="6738"/>
    <cellStyle name="Обычный 3 3 3 17" xfId="6739"/>
    <cellStyle name="Обычный 3 3 3 18" xfId="18554"/>
    <cellStyle name="Обычный 3 3 3 19" xfId="20250"/>
    <cellStyle name="Обычный 3 3 3 2" xfId="6740"/>
    <cellStyle name="Обычный 3 3 3 2 10" xfId="6741"/>
    <cellStyle name="Обычный 3 3 3 2 11" xfId="6742"/>
    <cellStyle name="Обычный 3 3 3 2 12" xfId="18555"/>
    <cellStyle name="Обычный 3 3 3 2 13" xfId="20251"/>
    <cellStyle name="Обычный 3 3 3 2 14" xfId="21863"/>
    <cellStyle name="Обычный 3 3 3 2 2" xfId="6743"/>
    <cellStyle name="Обычный 3 3 3 2 2 10" xfId="6744"/>
    <cellStyle name="Обычный 3 3 3 2 2 11" xfId="18556"/>
    <cellStyle name="Обычный 3 3 3 2 2 12" xfId="20252"/>
    <cellStyle name="Обычный 3 3 3 2 2 13" xfId="21864"/>
    <cellStyle name="Обычный 3 3 3 2 2 2" xfId="6745"/>
    <cellStyle name="Обычный 3 3 3 2 2 2 2" xfId="6746"/>
    <cellStyle name="Обычный 3 3 3 2 2 3" xfId="6747"/>
    <cellStyle name="Обычный 3 3 3 2 2 4" xfId="6748"/>
    <cellStyle name="Обычный 3 3 3 2 2 5" xfId="6749"/>
    <cellStyle name="Обычный 3 3 3 2 2 6" xfId="6750"/>
    <cellStyle name="Обычный 3 3 3 2 2 7" xfId="6751"/>
    <cellStyle name="Обычный 3 3 3 2 2 8" xfId="6752"/>
    <cellStyle name="Обычный 3 3 3 2 2 9" xfId="6753"/>
    <cellStyle name="Обычный 3 3 3 2 3" xfId="6754"/>
    <cellStyle name="Обычный 3 3 3 2 3 2" xfId="6755"/>
    <cellStyle name="Обычный 3 3 3 2 4" xfId="6756"/>
    <cellStyle name="Обычный 3 3 3 2 5" xfId="6757"/>
    <cellStyle name="Обычный 3 3 3 2 6" xfId="6758"/>
    <cellStyle name="Обычный 3 3 3 2 7" xfId="6759"/>
    <cellStyle name="Обычный 3 3 3 2 8" xfId="6760"/>
    <cellStyle name="Обычный 3 3 3 2 9" xfId="6761"/>
    <cellStyle name="Обычный 3 3 3 20" xfId="21862"/>
    <cellStyle name="Обычный 3 3 3 3" xfId="6762"/>
    <cellStyle name="Обычный 3 3 3 3 10" xfId="6763"/>
    <cellStyle name="Обычный 3 3 3 3 11" xfId="6764"/>
    <cellStyle name="Обычный 3 3 3 3 12" xfId="18557"/>
    <cellStyle name="Обычный 3 3 3 3 13" xfId="20253"/>
    <cellStyle name="Обычный 3 3 3 3 14" xfId="21865"/>
    <cellStyle name="Обычный 3 3 3 3 2" xfId="6765"/>
    <cellStyle name="Обычный 3 3 3 3 2 10" xfId="6766"/>
    <cellStyle name="Обычный 3 3 3 3 2 11" xfId="18558"/>
    <cellStyle name="Обычный 3 3 3 3 2 12" xfId="20254"/>
    <cellStyle name="Обычный 3 3 3 3 2 13" xfId="21866"/>
    <cellStyle name="Обычный 3 3 3 3 2 2" xfId="6767"/>
    <cellStyle name="Обычный 3 3 3 3 2 2 2" xfId="6768"/>
    <cellStyle name="Обычный 3 3 3 3 2 3" xfId="6769"/>
    <cellStyle name="Обычный 3 3 3 3 2 4" xfId="6770"/>
    <cellStyle name="Обычный 3 3 3 3 2 5" xfId="6771"/>
    <cellStyle name="Обычный 3 3 3 3 2 6" xfId="6772"/>
    <cellStyle name="Обычный 3 3 3 3 2 7" xfId="6773"/>
    <cellStyle name="Обычный 3 3 3 3 2 8" xfId="6774"/>
    <cellStyle name="Обычный 3 3 3 3 2 9" xfId="6775"/>
    <cellStyle name="Обычный 3 3 3 3 3" xfId="6776"/>
    <cellStyle name="Обычный 3 3 3 3 3 2" xfId="6777"/>
    <cellStyle name="Обычный 3 3 3 3 4" xfId="6778"/>
    <cellStyle name="Обычный 3 3 3 3 5" xfId="6779"/>
    <cellStyle name="Обычный 3 3 3 3 6" xfId="6780"/>
    <cellStyle name="Обычный 3 3 3 3 7" xfId="6781"/>
    <cellStyle name="Обычный 3 3 3 3 8" xfId="6782"/>
    <cellStyle name="Обычный 3 3 3 3 9" xfId="6783"/>
    <cellStyle name="Обычный 3 3 3 4" xfId="6784"/>
    <cellStyle name="Обычный 3 3 3 4 10" xfId="6785"/>
    <cellStyle name="Обычный 3 3 3 4 11" xfId="6786"/>
    <cellStyle name="Обычный 3 3 3 4 12" xfId="18559"/>
    <cellStyle name="Обычный 3 3 3 4 13" xfId="20255"/>
    <cellStyle name="Обычный 3 3 3 4 14" xfId="21867"/>
    <cellStyle name="Обычный 3 3 3 4 2" xfId="6787"/>
    <cellStyle name="Обычный 3 3 3 4 2 10" xfId="6788"/>
    <cellStyle name="Обычный 3 3 3 4 2 11" xfId="18560"/>
    <cellStyle name="Обычный 3 3 3 4 2 12" xfId="20256"/>
    <cellStyle name="Обычный 3 3 3 4 2 13" xfId="21868"/>
    <cellStyle name="Обычный 3 3 3 4 2 2" xfId="6789"/>
    <cellStyle name="Обычный 3 3 3 4 2 2 2" xfId="6790"/>
    <cellStyle name="Обычный 3 3 3 4 2 3" xfId="6791"/>
    <cellStyle name="Обычный 3 3 3 4 2 4" xfId="6792"/>
    <cellStyle name="Обычный 3 3 3 4 2 5" xfId="6793"/>
    <cellStyle name="Обычный 3 3 3 4 2 6" xfId="6794"/>
    <cellStyle name="Обычный 3 3 3 4 2 7" xfId="6795"/>
    <cellStyle name="Обычный 3 3 3 4 2 8" xfId="6796"/>
    <cellStyle name="Обычный 3 3 3 4 2 9" xfId="6797"/>
    <cellStyle name="Обычный 3 3 3 4 3" xfId="6798"/>
    <cellStyle name="Обычный 3 3 3 4 3 2" xfId="6799"/>
    <cellStyle name="Обычный 3 3 3 4 4" xfId="6800"/>
    <cellStyle name="Обычный 3 3 3 4 5" xfId="6801"/>
    <cellStyle name="Обычный 3 3 3 4 6" xfId="6802"/>
    <cellStyle name="Обычный 3 3 3 4 7" xfId="6803"/>
    <cellStyle name="Обычный 3 3 3 4 8" xfId="6804"/>
    <cellStyle name="Обычный 3 3 3 4 9" xfId="6805"/>
    <cellStyle name="Обычный 3 3 3 5" xfId="6806"/>
    <cellStyle name="Обычный 3 3 3 5 10" xfId="6807"/>
    <cellStyle name="Обычный 3 3 3 5 11" xfId="6808"/>
    <cellStyle name="Обычный 3 3 3 5 12" xfId="18561"/>
    <cellStyle name="Обычный 3 3 3 5 13" xfId="20257"/>
    <cellStyle name="Обычный 3 3 3 5 14" xfId="21869"/>
    <cellStyle name="Обычный 3 3 3 5 2" xfId="6809"/>
    <cellStyle name="Обычный 3 3 3 5 2 10" xfId="6810"/>
    <cellStyle name="Обычный 3 3 3 5 2 11" xfId="18562"/>
    <cellStyle name="Обычный 3 3 3 5 2 12" xfId="20258"/>
    <cellStyle name="Обычный 3 3 3 5 2 13" xfId="21870"/>
    <cellStyle name="Обычный 3 3 3 5 2 2" xfId="6811"/>
    <cellStyle name="Обычный 3 3 3 5 2 2 2" xfId="6812"/>
    <cellStyle name="Обычный 3 3 3 5 2 3" xfId="6813"/>
    <cellStyle name="Обычный 3 3 3 5 2 4" xfId="6814"/>
    <cellStyle name="Обычный 3 3 3 5 2 5" xfId="6815"/>
    <cellStyle name="Обычный 3 3 3 5 2 6" xfId="6816"/>
    <cellStyle name="Обычный 3 3 3 5 2 7" xfId="6817"/>
    <cellStyle name="Обычный 3 3 3 5 2 8" xfId="6818"/>
    <cellStyle name="Обычный 3 3 3 5 2 9" xfId="6819"/>
    <cellStyle name="Обычный 3 3 3 5 3" xfId="6820"/>
    <cellStyle name="Обычный 3 3 3 5 3 2" xfId="6821"/>
    <cellStyle name="Обычный 3 3 3 5 4" xfId="6822"/>
    <cellStyle name="Обычный 3 3 3 5 5" xfId="6823"/>
    <cellStyle name="Обычный 3 3 3 5 6" xfId="6824"/>
    <cellStyle name="Обычный 3 3 3 5 7" xfId="6825"/>
    <cellStyle name="Обычный 3 3 3 5 8" xfId="6826"/>
    <cellStyle name="Обычный 3 3 3 5 9" xfId="6827"/>
    <cellStyle name="Обычный 3 3 3 6" xfId="6828"/>
    <cellStyle name="Обычный 3 3 3 6 10" xfId="6829"/>
    <cellStyle name="Обычный 3 3 3 6 11" xfId="18563"/>
    <cellStyle name="Обычный 3 3 3 6 12" xfId="20259"/>
    <cellStyle name="Обычный 3 3 3 6 13" xfId="21871"/>
    <cellStyle name="Обычный 3 3 3 6 2" xfId="6830"/>
    <cellStyle name="Обычный 3 3 3 6 2 2" xfId="6831"/>
    <cellStyle name="Обычный 3 3 3 6 3" xfId="6832"/>
    <cellStyle name="Обычный 3 3 3 6 4" xfId="6833"/>
    <cellStyle name="Обычный 3 3 3 6 5" xfId="6834"/>
    <cellStyle name="Обычный 3 3 3 6 6" xfId="6835"/>
    <cellStyle name="Обычный 3 3 3 6 7" xfId="6836"/>
    <cellStyle name="Обычный 3 3 3 6 8" xfId="6837"/>
    <cellStyle name="Обычный 3 3 3 6 9" xfId="6838"/>
    <cellStyle name="Обычный 3 3 3 7" xfId="6839"/>
    <cellStyle name="Обычный 3 3 3 7 10" xfId="20260"/>
    <cellStyle name="Обычный 3 3 3 7 11" xfId="21872"/>
    <cellStyle name="Обычный 3 3 3 7 2" xfId="6840"/>
    <cellStyle name="Обычный 3 3 3 7 2 2" xfId="6841"/>
    <cellStyle name="Обычный 3 3 3 7 3" xfId="6842"/>
    <cellStyle name="Обычный 3 3 3 7 4" xfId="6843"/>
    <cellStyle name="Обычный 3 3 3 7 5" xfId="6844"/>
    <cellStyle name="Обычный 3 3 3 7 6" xfId="6845"/>
    <cellStyle name="Обычный 3 3 3 7 7" xfId="6846"/>
    <cellStyle name="Обычный 3 3 3 7 8" xfId="6847"/>
    <cellStyle name="Обычный 3 3 3 7 9" xfId="18564"/>
    <cellStyle name="Обычный 3 3 3 8" xfId="6848"/>
    <cellStyle name="Обычный 3 3 3 8 2" xfId="6849"/>
    <cellStyle name="Обычный 3 3 3 9" xfId="6850"/>
    <cellStyle name="Обычный 3 3 4" xfId="6851"/>
    <cellStyle name="Обычный 3 3 4 10" xfId="6852"/>
    <cellStyle name="Обычный 3 3 4 11" xfId="6853"/>
    <cellStyle name="Обычный 3 3 4 12" xfId="6854"/>
    <cellStyle name="Обычный 3 3 4 13" xfId="6855"/>
    <cellStyle name="Обычный 3 3 4 14" xfId="6856"/>
    <cellStyle name="Обычный 3 3 4 15" xfId="6857"/>
    <cellStyle name="Обычный 3 3 4 16" xfId="6858"/>
    <cellStyle name="Обычный 3 3 4 17" xfId="6859"/>
    <cellStyle name="Обычный 3 3 4 18" xfId="18565"/>
    <cellStyle name="Обычный 3 3 4 19" xfId="20261"/>
    <cellStyle name="Обычный 3 3 4 2" xfId="6860"/>
    <cellStyle name="Обычный 3 3 4 2 10" xfId="6861"/>
    <cellStyle name="Обычный 3 3 4 2 11" xfId="6862"/>
    <cellStyle name="Обычный 3 3 4 2 12" xfId="18566"/>
    <cellStyle name="Обычный 3 3 4 2 13" xfId="20262"/>
    <cellStyle name="Обычный 3 3 4 2 14" xfId="21874"/>
    <cellStyle name="Обычный 3 3 4 2 2" xfId="6863"/>
    <cellStyle name="Обычный 3 3 4 2 2 10" xfId="6864"/>
    <cellStyle name="Обычный 3 3 4 2 2 11" xfId="18567"/>
    <cellStyle name="Обычный 3 3 4 2 2 12" xfId="20263"/>
    <cellStyle name="Обычный 3 3 4 2 2 13" xfId="21875"/>
    <cellStyle name="Обычный 3 3 4 2 2 2" xfId="6865"/>
    <cellStyle name="Обычный 3 3 4 2 2 2 2" xfId="6866"/>
    <cellStyle name="Обычный 3 3 4 2 2 3" xfId="6867"/>
    <cellStyle name="Обычный 3 3 4 2 2 4" xfId="6868"/>
    <cellStyle name="Обычный 3 3 4 2 2 5" xfId="6869"/>
    <cellStyle name="Обычный 3 3 4 2 2 6" xfId="6870"/>
    <cellStyle name="Обычный 3 3 4 2 2 7" xfId="6871"/>
    <cellStyle name="Обычный 3 3 4 2 2 8" xfId="6872"/>
    <cellStyle name="Обычный 3 3 4 2 2 9" xfId="6873"/>
    <cellStyle name="Обычный 3 3 4 2 3" xfId="6874"/>
    <cellStyle name="Обычный 3 3 4 2 3 2" xfId="6875"/>
    <cellStyle name="Обычный 3 3 4 2 4" xfId="6876"/>
    <cellStyle name="Обычный 3 3 4 2 5" xfId="6877"/>
    <cellStyle name="Обычный 3 3 4 2 6" xfId="6878"/>
    <cellStyle name="Обычный 3 3 4 2 7" xfId="6879"/>
    <cellStyle name="Обычный 3 3 4 2 8" xfId="6880"/>
    <cellStyle name="Обычный 3 3 4 2 9" xfId="6881"/>
    <cellStyle name="Обычный 3 3 4 20" xfId="21873"/>
    <cellStyle name="Обычный 3 3 4 3" xfId="6882"/>
    <cellStyle name="Обычный 3 3 4 3 10" xfId="6883"/>
    <cellStyle name="Обычный 3 3 4 3 11" xfId="6884"/>
    <cellStyle name="Обычный 3 3 4 3 12" xfId="18568"/>
    <cellStyle name="Обычный 3 3 4 3 13" xfId="20264"/>
    <cellStyle name="Обычный 3 3 4 3 14" xfId="21876"/>
    <cellStyle name="Обычный 3 3 4 3 2" xfId="6885"/>
    <cellStyle name="Обычный 3 3 4 3 2 10" xfId="6886"/>
    <cellStyle name="Обычный 3 3 4 3 2 11" xfId="18569"/>
    <cellStyle name="Обычный 3 3 4 3 2 12" xfId="20265"/>
    <cellStyle name="Обычный 3 3 4 3 2 13" xfId="21877"/>
    <cellStyle name="Обычный 3 3 4 3 2 2" xfId="6887"/>
    <cellStyle name="Обычный 3 3 4 3 2 2 2" xfId="6888"/>
    <cellStyle name="Обычный 3 3 4 3 2 3" xfId="6889"/>
    <cellStyle name="Обычный 3 3 4 3 2 4" xfId="6890"/>
    <cellStyle name="Обычный 3 3 4 3 2 5" xfId="6891"/>
    <cellStyle name="Обычный 3 3 4 3 2 6" xfId="6892"/>
    <cellStyle name="Обычный 3 3 4 3 2 7" xfId="6893"/>
    <cellStyle name="Обычный 3 3 4 3 2 8" xfId="6894"/>
    <cellStyle name="Обычный 3 3 4 3 2 9" xfId="6895"/>
    <cellStyle name="Обычный 3 3 4 3 3" xfId="6896"/>
    <cellStyle name="Обычный 3 3 4 3 3 2" xfId="6897"/>
    <cellStyle name="Обычный 3 3 4 3 4" xfId="6898"/>
    <cellStyle name="Обычный 3 3 4 3 5" xfId="6899"/>
    <cellStyle name="Обычный 3 3 4 3 6" xfId="6900"/>
    <cellStyle name="Обычный 3 3 4 3 7" xfId="6901"/>
    <cellStyle name="Обычный 3 3 4 3 8" xfId="6902"/>
    <cellStyle name="Обычный 3 3 4 3 9" xfId="6903"/>
    <cellStyle name="Обычный 3 3 4 4" xfId="6904"/>
    <cellStyle name="Обычный 3 3 4 4 10" xfId="6905"/>
    <cellStyle name="Обычный 3 3 4 4 11" xfId="6906"/>
    <cellStyle name="Обычный 3 3 4 4 12" xfId="18570"/>
    <cellStyle name="Обычный 3 3 4 4 13" xfId="20266"/>
    <cellStyle name="Обычный 3 3 4 4 14" xfId="21878"/>
    <cellStyle name="Обычный 3 3 4 4 2" xfId="6907"/>
    <cellStyle name="Обычный 3 3 4 4 2 10" xfId="6908"/>
    <cellStyle name="Обычный 3 3 4 4 2 11" xfId="18571"/>
    <cellStyle name="Обычный 3 3 4 4 2 12" xfId="20267"/>
    <cellStyle name="Обычный 3 3 4 4 2 13" xfId="21879"/>
    <cellStyle name="Обычный 3 3 4 4 2 2" xfId="6909"/>
    <cellStyle name="Обычный 3 3 4 4 2 2 2" xfId="6910"/>
    <cellStyle name="Обычный 3 3 4 4 2 3" xfId="6911"/>
    <cellStyle name="Обычный 3 3 4 4 2 4" xfId="6912"/>
    <cellStyle name="Обычный 3 3 4 4 2 5" xfId="6913"/>
    <cellStyle name="Обычный 3 3 4 4 2 6" xfId="6914"/>
    <cellStyle name="Обычный 3 3 4 4 2 7" xfId="6915"/>
    <cellStyle name="Обычный 3 3 4 4 2 8" xfId="6916"/>
    <cellStyle name="Обычный 3 3 4 4 2 9" xfId="6917"/>
    <cellStyle name="Обычный 3 3 4 4 3" xfId="6918"/>
    <cellStyle name="Обычный 3 3 4 4 3 2" xfId="6919"/>
    <cellStyle name="Обычный 3 3 4 4 4" xfId="6920"/>
    <cellStyle name="Обычный 3 3 4 4 5" xfId="6921"/>
    <cellStyle name="Обычный 3 3 4 4 6" xfId="6922"/>
    <cellStyle name="Обычный 3 3 4 4 7" xfId="6923"/>
    <cellStyle name="Обычный 3 3 4 4 8" xfId="6924"/>
    <cellStyle name="Обычный 3 3 4 4 9" xfId="6925"/>
    <cellStyle name="Обычный 3 3 4 5" xfId="6926"/>
    <cellStyle name="Обычный 3 3 4 5 10" xfId="6927"/>
    <cellStyle name="Обычный 3 3 4 5 11" xfId="6928"/>
    <cellStyle name="Обычный 3 3 4 5 12" xfId="18572"/>
    <cellStyle name="Обычный 3 3 4 5 13" xfId="20268"/>
    <cellStyle name="Обычный 3 3 4 5 14" xfId="21880"/>
    <cellStyle name="Обычный 3 3 4 5 2" xfId="6929"/>
    <cellStyle name="Обычный 3 3 4 5 2 10" xfId="6930"/>
    <cellStyle name="Обычный 3 3 4 5 2 11" xfId="18573"/>
    <cellStyle name="Обычный 3 3 4 5 2 12" xfId="20269"/>
    <cellStyle name="Обычный 3 3 4 5 2 13" xfId="21881"/>
    <cellStyle name="Обычный 3 3 4 5 2 2" xfId="6931"/>
    <cellStyle name="Обычный 3 3 4 5 2 2 2" xfId="6932"/>
    <cellStyle name="Обычный 3 3 4 5 2 3" xfId="6933"/>
    <cellStyle name="Обычный 3 3 4 5 2 4" xfId="6934"/>
    <cellStyle name="Обычный 3 3 4 5 2 5" xfId="6935"/>
    <cellStyle name="Обычный 3 3 4 5 2 6" xfId="6936"/>
    <cellStyle name="Обычный 3 3 4 5 2 7" xfId="6937"/>
    <cellStyle name="Обычный 3 3 4 5 2 8" xfId="6938"/>
    <cellStyle name="Обычный 3 3 4 5 2 9" xfId="6939"/>
    <cellStyle name="Обычный 3 3 4 5 3" xfId="6940"/>
    <cellStyle name="Обычный 3 3 4 5 3 2" xfId="6941"/>
    <cellStyle name="Обычный 3 3 4 5 4" xfId="6942"/>
    <cellStyle name="Обычный 3 3 4 5 5" xfId="6943"/>
    <cellStyle name="Обычный 3 3 4 5 6" xfId="6944"/>
    <cellStyle name="Обычный 3 3 4 5 7" xfId="6945"/>
    <cellStyle name="Обычный 3 3 4 5 8" xfId="6946"/>
    <cellStyle name="Обычный 3 3 4 5 9" xfId="6947"/>
    <cellStyle name="Обычный 3 3 4 6" xfId="6948"/>
    <cellStyle name="Обычный 3 3 4 6 10" xfId="6949"/>
    <cellStyle name="Обычный 3 3 4 6 11" xfId="18574"/>
    <cellStyle name="Обычный 3 3 4 6 12" xfId="20270"/>
    <cellStyle name="Обычный 3 3 4 6 13" xfId="21882"/>
    <cellStyle name="Обычный 3 3 4 6 2" xfId="6950"/>
    <cellStyle name="Обычный 3 3 4 6 2 2" xfId="6951"/>
    <cellStyle name="Обычный 3 3 4 6 3" xfId="6952"/>
    <cellStyle name="Обычный 3 3 4 6 4" xfId="6953"/>
    <cellStyle name="Обычный 3 3 4 6 5" xfId="6954"/>
    <cellStyle name="Обычный 3 3 4 6 6" xfId="6955"/>
    <cellStyle name="Обычный 3 3 4 6 7" xfId="6956"/>
    <cellStyle name="Обычный 3 3 4 6 8" xfId="6957"/>
    <cellStyle name="Обычный 3 3 4 6 9" xfId="6958"/>
    <cellStyle name="Обычный 3 3 4 7" xfId="6959"/>
    <cellStyle name="Обычный 3 3 4 7 10" xfId="20271"/>
    <cellStyle name="Обычный 3 3 4 7 11" xfId="21883"/>
    <cellStyle name="Обычный 3 3 4 7 2" xfId="6960"/>
    <cellStyle name="Обычный 3 3 4 7 2 2" xfId="6961"/>
    <cellStyle name="Обычный 3 3 4 7 3" xfId="6962"/>
    <cellStyle name="Обычный 3 3 4 7 4" xfId="6963"/>
    <cellStyle name="Обычный 3 3 4 7 5" xfId="6964"/>
    <cellStyle name="Обычный 3 3 4 7 6" xfId="6965"/>
    <cellStyle name="Обычный 3 3 4 7 7" xfId="6966"/>
    <cellStyle name="Обычный 3 3 4 7 8" xfId="6967"/>
    <cellStyle name="Обычный 3 3 4 7 9" xfId="18575"/>
    <cellStyle name="Обычный 3 3 4 8" xfId="6968"/>
    <cellStyle name="Обычный 3 3 4 8 2" xfId="6969"/>
    <cellStyle name="Обычный 3 3 4 9" xfId="6970"/>
    <cellStyle name="Обычный 3 3 5" xfId="6971"/>
    <cellStyle name="Обычный 3 3 5 10" xfId="6972"/>
    <cellStyle name="Обычный 3 3 5 11" xfId="6973"/>
    <cellStyle name="Обычный 3 3 5 12" xfId="18576"/>
    <cellStyle name="Обычный 3 3 5 13" xfId="20272"/>
    <cellStyle name="Обычный 3 3 5 14" xfId="21884"/>
    <cellStyle name="Обычный 3 3 5 2" xfId="6974"/>
    <cellStyle name="Обычный 3 3 5 2 10" xfId="6975"/>
    <cellStyle name="Обычный 3 3 5 2 11" xfId="18577"/>
    <cellStyle name="Обычный 3 3 5 2 12" xfId="20273"/>
    <cellStyle name="Обычный 3 3 5 2 13" xfId="21885"/>
    <cellStyle name="Обычный 3 3 5 2 2" xfId="6976"/>
    <cellStyle name="Обычный 3 3 5 2 2 2" xfId="6977"/>
    <cellStyle name="Обычный 3 3 5 2 3" xfId="6978"/>
    <cellStyle name="Обычный 3 3 5 2 4" xfId="6979"/>
    <cellStyle name="Обычный 3 3 5 2 5" xfId="6980"/>
    <cellStyle name="Обычный 3 3 5 2 6" xfId="6981"/>
    <cellStyle name="Обычный 3 3 5 2 7" xfId="6982"/>
    <cellStyle name="Обычный 3 3 5 2 8" xfId="6983"/>
    <cellStyle name="Обычный 3 3 5 2 9" xfId="6984"/>
    <cellStyle name="Обычный 3 3 5 3" xfId="6985"/>
    <cellStyle name="Обычный 3 3 5 3 2" xfId="6986"/>
    <cellStyle name="Обычный 3 3 5 4" xfId="6987"/>
    <cellStyle name="Обычный 3 3 5 5" xfId="6988"/>
    <cellStyle name="Обычный 3 3 5 6" xfId="6989"/>
    <cellStyle name="Обычный 3 3 5 7" xfId="6990"/>
    <cellStyle name="Обычный 3 3 5 8" xfId="6991"/>
    <cellStyle name="Обычный 3 3 5 9" xfId="6992"/>
    <cellStyle name="Обычный 3 3 6" xfId="6993"/>
    <cellStyle name="Обычный 3 3 6 10" xfId="6994"/>
    <cellStyle name="Обычный 3 3 6 11" xfId="6995"/>
    <cellStyle name="Обычный 3 3 6 12" xfId="18578"/>
    <cellStyle name="Обычный 3 3 6 13" xfId="20274"/>
    <cellStyle name="Обычный 3 3 6 14" xfId="21886"/>
    <cellStyle name="Обычный 3 3 6 2" xfId="6996"/>
    <cellStyle name="Обычный 3 3 6 2 10" xfId="6997"/>
    <cellStyle name="Обычный 3 3 6 2 11" xfId="18579"/>
    <cellStyle name="Обычный 3 3 6 2 12" xfId="20275"/>
    <cellStyle name="Обычный 3 3 6 2 13" xfId="21887"/>
    <cellStyle name="Обычный 3 3 6 2 2" xfId="6998"/>
    <cellStyle name="Обычный 3 3 6 2 2 2" xfId="6999"/>
    <cellStyle name="Обычный 3 3 6 2 3" xfId="7000"/>
    <cellStyle name="Обычный 3 3 6 2 4" xfId="7001"/>
    <cellStyle name="Обычный 3 3 6 2 5" xfId="7002"/>
    <cellStyle name="Обычный 3 3 6 2 6" xfId="7003"/>
    <cellStyle name="Обычный 3 3 6 2 7" xfId="7004"/>
    <cellStyle name="Обычный 3 3 6 2 8" xfId="7005"/>
    <cellStyle name="Обычный 3 3 6 2 9" xfId="7006"/>
    <cellStyle name="Обычный 3 3 6 3" xfId="7007"/>
    <cellStyle name="Обычный 3 3 6 3 2" xfId="7008"/>
    <cellStyle name="Обычный 3 3 6 4" xfId="7009"/>
    <cellStyle name="Обычный 3 3 6 5" xfId="7010"/>
    <cellStyle name="Обычный 3 3 6 6" xfId="7011"/>
    <cellStyle name="Обычный 3 3 6 7" xfId="7012"/>
    <cellStyle name="Обычный 3 3 6 8" xfId="7013"/>
    <cellStyle name="Обычный 3 3 6 9" xfId="7014"/>
    <cellStyle name="Обычный 3 3 7" xfId="7015"/>
    <cellStyle name="Обычный 3 3 7 10" xfId="7016"/>
    <cellStyle name="Обычный 3 3 7 11" xfId="7017"/>
    <cellStyle name="Обычный 3 3 7 12" xfId="18580"/>
    <cellStyle name="Обычный 3 3 7 13" xfId="20276"/>
    <cellStyle name="Обычный 3 3 7 14" xfId="21888"/>
    <cellStyle name="Обычный 3 3 7 2" xfId="7018"/>
    <cellStyle name="Обычный 3 3 7 2 10" xfId="7019"/>
    <cellStyle name="Обычный 3 3 7 2 11" xfId="18581"/>
    <cellStyle name="Обычный 3 3 7 2 12" xfId="20277"/>
    <cellStyle name="Обычный 3 3 7 2 13" xfId="21889"/>
    <cellStyle name="Обычный 3 3 7 2 2" xfId="7020"/>
    <cellStyle name="Обычный 3 3 7 2 2 2" xfId="7021"/>
    <cellStyle name="Обычный 3 3 7 2 3" xfId="7022"/>
    <cellStyle name="Обычный 3 3 7 2 4" xfId="7023"/>
    <cellStyle name="Обычный 3 3 7 2 5" xfId="7024"/>
    <cellStyle name="Обычный 3 3 7 2 6" xfId="7025"/>
    <cellStyle name="Обычный 3 3 7 2 7" xfId="7026"/>
    <cellStyle name="Обычный 3 3 7 2 8" xfId="7027"/>
    <cellStyle name="Обычный 3 3 7 2 9" xfId="7028"/>
    <cellStyle name="Обычный 3 3 7 3" xfId="7029"/>
    <cellStyle name="Обычный 3 3 7 3 2" xfId="7030"/>
    <cellStyle name="Обычный 3 3 7 4" xfId="7031"/>
    <cellStyle name="Обычный 3 3 7 5" xfId="7032"/>
    <cellStyle name="Обычный 3 3 7 6" xfId="7033"/>
    <cellStyle name="Обычный 3 3 7 7" xfId="7034"/>
    <cellStyle name="Обычный 3 3 7 8" xfId="7035"/>
    <cellStyle name="Обычный 3 3 7 9" xfId="7036"/>
    <cellStyle name="Обычный 3 3 8" xfId="7037"/>
    <cellStyle name="Обычный 3 3 8 10" xfId="7038"/>
    <cellStyle name="Обычный 3 3 8 11" xfId="7039"/>
    <cellStyle name="Обычный 3 3 8 12" xfId="18582"/>
    <cellStyle name="Обычный 3 3 8 13" xfId="20278"/>
    <cellStyle name="Обычный 3 3 8 14" xfId="21890"/>
    <cellStyle name="Обычный 3 3 8 2" xfId="7040"/>
    <cellStyle name="Обычный 3 3 8 2 10" xfId="7041"/>
    <cellStyle name="Обычный 3 3 8 2 11" xfId="18583"/>
    <cellStyle name="Обычный 3 3 8 2 12" xfId="20279"/>
    <cellStyle name="Обычный 3 3 8 2 13" xfId="21891"/>
    <cellStyle name="Обычный 3 3 8 2 2" xfId="7042"/>
    <cellStyle name="Обычный 3 3 8 2 2 2" xfId="7043"/>
    <cellStyle name="Обычный 3 3 8 2 3" xfId="7044"/>
    <cellStyle name="Обычный 3 3 8 2 4" xfId="7045"/>
    <cellStyle name="Обычный 3 3 8 2 5" xfId="7046"/>
    <cellStyle name="Обычный 3 3 8 2 6" xfId="7047"/>
    <cellStyle name="Обычный 3 3 8 2 7" xfId="7048"/>
    <cellStyle name="Обычный 3 3 8 2 8" xfId="7049"/>
    <cellStyle name="Обычный 3 3 8 2 9" xfId="7050"/>
    <cellStyle name="Обычный 3 3 8 3" xfId="7051"/>
    <cellStyle name="Обычный 3 3 8 3 2" xfId="7052"/>
    <cellStyle name="Обычный 3 3 8 4" xfId="7053"/>
    <cellStyle name="Обычный 3 3 8 5" xfId="7054"/>
    <cellStyle name="Обычный 3 3 8 6" xfId="7055"/>
    <cellStyle name="Обычный 3 3 8 7" xfId="7056"/>
    <cellStyle name="Обычный 3 3 8 8" xfId="7057"/>
    <cellStyle name="Обычный 3 3 8 9" xfId="7058"/>
    <cellStyle name="Обычный 3 3 9" xfId="7059"/>
    <cellStyle name="Обычный 3 3 9 10" xfId="7060"/>
    <cellStyle name="Обычный 3 3 9 11" xfId="7061"/>
    <cellStyle name="Обычный 3 3 9 12" xfId="18584"/>
    <cellStyle name="Обычный 3 3 9 13" xfId="20280"/>
    <cellStyle name="Обычный 3 3 9 14" xfId="21892"/>
    <cellStyle name="Обычный 3 3 9 2" xfId="7062"/>
    <cellStyle name="Обычный 3 3 9 2 10" xfId="7063"/>
    <cellStyle name="Обычный 3 3 9 2 11" xfId="18585"/>
    <cellStyle name="Обычный 3 3 9 2 12" xfId="20281"/>
    <cellStyle name="Обычный 3 3 9 2 13" xfId="21893"/>
    <cellStyle name="Обычный 3 3 9 2 2" xfId="7064"/>
    <cellStyle name="Обычный 3 3 9 2 2 2" xfId="7065"/>
    <cellStyle name="Обычный 3 3 9 2 3" xfId="7066"/>
    <cellStyle name="Обычный 3 3 9 2 4" xfId="7067"/>
    <cellStyle name="Обычный 3 3 9 2 5" xfId="7068"/>
    <cellStyle name="Обычный 3 3 9 2 6" xfId="7069"/>
    <cellStyle name="Обычный 3 3 9 2 7" xfId="7070"/>
    <cellStyle name="Обычный 3 3 9 2 8" xfId="7071"/>
    <cellStyle name="Обычный 3 3 9 2 9" xfId="7072"/>
    <cellStyle name="Обычный 3 3 9 3" xfId="7073"/>
    <cellStyle name="Обычный 3 3 9 3 2" xfId="7074"/>
    <cellStyle name="Обычный 3 3 9 4" xfId="7075"/>
    <cellStyle name="Обычный 3 3 9 5" xfId="7076"/>
    <cellStyle name="Обычный 3 3 9 6" xfId="7077"/>
    <cellStyle name="Обычный 3 3 9 7" xfId="7078"/>
    <cellStyle name="Обычный 3 3 9 8" xfId="7079"/>
    <cellStyle name="Обычный 3 3 9 9" xfId="7080"/>
    <cellStyle name="Обычный 3 30" xfId="7081"/>
    <cellStyle name="Обычный 3 31" xfId="7082"/>
    <cellStyle name="Обычный 3 32" xfId="18413"/>
    <cellStyle name="Обычный 3 33" xfId="19630"/>
    <cellStyle name="Обычный 3 34" xfId="20109"/>
    <cellStyle name="Обычный 3 35" xfId="21721"/>
    <cellStyle name="Обычный 3 4" xfId="7083"/>
    <cellStyle name="Обычный 3 4 10" xfId="7084"/>
    <cellStyle name="Обычный 3 4 10 10" xfId="7085"/>
    <cellStyle name="Обычный 3 4 10 11" xfId="7086"/>
    <cellStyle name="Обычный 3 4 10 12" xfId="18587"/>
    <cellStyle name="Обычный 3 4 10 13" xfId="20283"/>
    <cellStyle name="Обычный 3 4 10 14" xfId="21895"/>
    <cellStyle name="Обычный 3 4 10 2" xfId="7087"/>
    <cellStyle name="Обычный 3 4 10 2 10" xfId="7088"/>
    <cellStyle name="Обычный 3 4 10 2 11" xfId="18588"/>
    <cellStyle name="Обычный 3 4 10 2 12" xfId="20284"/>
    <cellStyle name="Обычный 3 4 10 2 13" xfId="21896"/>
    <cellStyle name="Обычный 3 4 10 2 2" xfId="7089"/>
    <cellStyle name="Обычный 3 4 10 2 2 2" xfId="7090"/>
    <cellStyle name="Обычный 3 4 10 2 3" xfId="7091"/>
    <cellStyle name="Обычный 3 4 10 2 4" xfId="7092"/>
    <cellStyle name="Обычный 3 4 10 2 5" xfId="7093"/>
    <cellStyle name="Обычный 3 4 10 2 6" xfId="7094"/>
    <cellStyle name="Обычный 3 4 10 2 7" xfId="7095"/>
    <cellStyle name="Обычный 3 4 10 2 8" xfId="7096"/>
    <cellStyle name="Обычный 3 4 10 2 9" xfId="7097"/>
    <cellStyle name="Обычный 3 4 10 3" xfId="7098"/>
    <cellStyle name="Обычный 3 4 10 3 2" xfId="7099"/>
    <cellStyle name="Обычный 3 4 10 4" xfId="7100"/>
    <cellStyle name="Обычный 3 4 10 5" xfId="7101"/>
    <cellStyle name="Обычный 3 4 10 6" xfId="7102"/>
    <cellStyle name="Обычный 3 4 10 7" xfId="7103"/>
    <cellStyle name="Обычный 3 4 10 8" xfId="7104"/>
    <cellStyle name="Обычный 3 4 10 9" xfId="7105"/>
    <cellStyle name="Обычный 3 4 11" xfId="7106"/>
    <cellStyle name="Обычный 3 4 11 10" xfId="7107"/>
    <cellStyle name="Обычный 3 4 11 11" xfId="18589"/>
    <cellStyle name="Обычный 3 4 11 12" xfId="20285"/>
    <cellStyle name="Обычный 3 4 11 13" xfId="21897"/>
    <cellStyle name="Обычный 3 4 11 2" xfId="7108"/>
    <cellStyle name="Обычный 3 4 11 2 2" xfId="7109"/>
    <cellStyle name="Обычный 3 4 11 3" xfId="7110"/>
    <cellStyle name="Обычный 3 4 11 4" xfId="7111"/>
    <cellStyle name="Обычный 3 4 11 5" xfId="7112"/>
    <cellStyle name="Обычный 3 4 11 6" xfId="7113"/>
    <cellStyle name="Обычный 3 4 11 7" xfId="7114"/>
    <cellStyle name="Обычный 3 4 11 8" xfId="7115"/>
    <cellStyle name="Обычный 3 4 11 9" xfId="7116"/>
    <cellStyle name="Обычный 3 4 12" xfId="7117"/>
    <cellStyle name="Обычный 3 4 12 10" xfId="20286"/>
    <cellStyle name="Обычный 3 4 12 11" xfId="21898"/>
    <cellStyle name="Обычный 3 4 12 2" xfId="7118"/>
    <cellStyle name="Обычный 3 4 12 2 2" xfId="7119"/>
    <cellStyle name="Обычный 3 4 12 3" xfId="7120"/>
    <cellStyle name="Обычный 3 4 12 4" xfId="7121"/>
    <cellStyle name="Обычный 3 4 12 5" xfId="7122"/>
    <cellStyle name="Обычный 3 4 12 6" xfId="7123"/>
    <cellStyle name="Обычный 3 4 12 7" xfId="7124"/>
    <cellStyle name="Обычный 3 4 12 8" xfId="7125"/>
    <cellStyle name="Обычный 3 4 12 9" xfId="18590"/>
    <cellStyle name="Обычный 3 4 13" xfId="7126"/>
    <cellStyle name="Обычный 3 4 13 10" xfId="20287"/>
    <cellStyle name="Обычный 3 4 13 11" xfId="21899"/>
    <cellStyle name="Обычный 3 4 13 2" xfId="7127"/>
    <cellStyle name="Обычный 3 4 13 2 2" xfId="7128"/>
    <cellStyle name="Обычный 3 4 13 3" xfId="7129"/>
    <cellStyle name="Обычный 3 4 13 4" xfId="7130"/>
    <cellStyle name="Обычный 3 4 13 5" xfId="7131"/>
    <cellStyle name="Обычный 3 4 13 6" xfId="7132"/>
    <cellStyle name="Обычный 3 4 13 7" xfId="7133"/>
    <cellStyle name="Обычный 3 4 13 8" xfId="7134"/>
    <cellStyle name="Обычный 3 4 13 9" xfId="18591"/>
    <cellStyle name="Обычный 3 4 14" xfId="7135"/>
    <cellStyle name="Обычный 3 4 14 2" xfId="7136"/>
    <cellStyle name="Обычный 3 4 15" xfId="7137"/>
    <cellStyle name="Обычный 3 4 16" xfId="7138"/>
    <cellStyle name="Обычный 3 4 17" xfId="7139"/>
    <cellStyle name="Обычный 3 4 18" xfId="7140"/>
    <cellStyle name="Обычный 3 4 19" xfId="7141"/>
    <cellStyle name="Обычный 3 4 2" xfId="7142"/>
    <cellStyle name="Обычный 3 4 2 10" xfId="7143"/>
    <cellStyle name="Обычный 3 4 2 10 2" xfId="7144"/>
    <cellStyle name="Обычный 3 4 2 11" xfId="7145"/>
    <cellStyle name="Обычный 3 4 2 12" xfId="7146"/>
    <cellStyle name="Обычный 3 4 2 13" xfId="7147"/>
    <cellStyle name="Обычный 3 4 2 14" xfId="7148"/>
    <cellStyle name="Обычный 3 4 2 15" xfId="7149"/>
    <cellStyle name="Обычный 3 4 2 16" xfId="7150"/>
    <cellStyle name="Обычный 3 4 2 17" xfId="7151"/>
    <cellStyle name="Обычный 3 4 2 18" xfId="7152"/>
    <cellStyle name="Обычный 3 4 2 19" xfId="7153"/>
    <cellStyle name="Обычный 3 4 2 2" xfId="7154"/>
    <cellStyle name="Обычный 3 4 2 2 10" xfId="7155"/>
    <cellStyle name="Обычный 3 4 2 2 11" xfId="7156"/>
    <cellStyle name="Обычный 3 4 2 2 12" xfId="7157"/>
    <cellStyle name="Обычный 3 4 2 2 13" xfId="7158"/>
    <cellStyle name="Обычный 3 4 2 2 14" xfId="7159"/>
    <cellStyle name="Обычный 3 4 2 2 15" xfId="7160"/>
    <cellStyle name="Обычный 3 4 2 2 16" xfId="7161"/>
    <cellStyle name="Обычный 3 4 2 2 17" xfId="7162"/>
    <cellStyle name="Обычный 3 4 2 2 18" xfId="18593"/>
    <cellStyle name="Обычный 3 4 2 2 19" xfId="20289"/>
    <cellStyle name="Обычный 3 4 2 2 2" xfId="7163"/>
    <cellStyle name="Обычный 3 4 2 2 2 10" xfId="7164"/>
    <cellStyle name="Обычный 3 4 2 2 2 11" xfId="7165"/>
    <cellStyle name="Обычный 3 4 2 2 2 12" xfId="18594"/>
    <cellStyle name="Обычный 3 4 2 2 2 13" xfId="20290"/>
    <cellStyle name="Обычный 3 4 2 2 2 14" xfId="21902"/>
    <cellStyle name="Обычный 3 4 2 2 2 2" xfId="7166"/>
    <cellStyle name="Обычный 3 4 2 2 2 2 10" xfId="7167"/>
    <cellStyle name="Обычный 3 4 2 2 2 2 11" xfId="18595"/>
    <cellStyle name="Обычный 3 4 2 2 2 2 12" xfId="20291"/>
    <cellStyle name="Обычный 3 4 2 2 2 2 13" xfId="21903"/>
    <cellStyle name="Обычный 3 4 2 2 2 2 2" xfId="7168"/>
    <cellStyle name="Обычный 3 4 2 2 2 2 2 2" xfId="7169"/>
    <cellStyle name="Обычный 3 4 2 2 2 2 3" xfId="7170"/>
    <cellStyle name="Обычный 3 4 2 2 2 2 4" xfId="7171"/>
    <cellStyle name="Обычный 3 4 2 2 2 2 5" xfId="7172"/>
    <cellStyle name="Обычный 3 4 2 2 2 2 6" xfId="7173"/>
    <cellStyle name="Обычный 3 4 2 2 2 2 7" xfId="7174"/>
    <cellStyle name="Обычный 3 4 2 2 2 2 8" xfId="7175"/>
    <cellStyle name="Обычный 3 4 2 2 2 2 9" xfId="7176"/>
    <cellStyle name="Обычный 3 4 2 2 2 3" xfId="7177"/>
    <cellStyle name="Обычный 3 4 2 2 2 3 2" xfId="7178"/>
    <cellStyle name="Обычный 3 4 2 2 2 4" xfId="7179"/>
    <cellStyle name="Обычный 3 4 2 2 2 5" xfId="7180"/>
    <cellStyle name="Обычный 3 4 2 2 2 6" xfId="7181"/>
    <cellStyle name="Обычный 3 4 2 2 2 7" xfId="7182"/>
    <cellStyle name="Обычный 3 4 2 2 2 8" xfId="7183"/>
    <cellStyle name="Обычный 3 4 2 2 2 9" xfId="7184"/>
    <cellStyle name="Обычный 3 4 2 2 20" xfId="21901"/>
    <cellStyle name="Обычный 3 4 2 2 3" xfId="7185"/>
    <cellStyle name="Обычный 3 4 2 2 3 10" xfId="7186"/>
    <cellStyle name="Обычный 3 4 2 2 3 11" xfId="7187"/>
    <cellStyle name="Обычный 3 4 2 2 3 12" xfId="18596"/>
    <cellStyle name="Обычный 3 4 2 2 3 13" xfId="20292"/>
    <cellStyle name="Обычный 3 4 2 2 3 14" xfId="21904"/>
    <cellStyle name="Обычный 3 4 2 2 3 2" xfId="7188"/>
    <cellStyle name="Обычный 3 4 2 2 3 2 10" xfId="7189"/>
    <cellStyle name="Обычный 3 4 2 2 3 2 11" xfId="18597"/>
    <cellStyle name="Обычный 3 4 2 2 3 2 12" xfId="20293"/>
    <cellStyle name="Обычный 3 4 2 2 3 2 13" xfId="21905"/>
    <cellStyle name="Обычный 3 4 2 2 3 2 2" xfId="7190"/>
    <cellStyle name="Обычный 3 4 2 2 3 2 2 2" xfId="7191"/>
    <cellStyle name="Обычный 3 4 2 2 3 2 3" xfId="7192"/>
    <cellStyle name="Обычный 3 4 2 2 3 2 4" xfId="7193"/>
    <cellStyle name="Обычный 3 4 2 2 3 2 5" xfId="7194"/>
    <cellStyle name="Обычный 3 4 2 2 3 2 6" xfId="7195"/>
    <cellStyle name="Обычный 3 4 2 2 3 2 7" xfId="7196"/>
    <cellStyle name="Обычный 3 4 2 2 3 2 8" xfId="7197"/>
    <cellStyle name="Обычный 3 4 2 2 3 2 9" xfId="7198"/>
    <cellStyle name="Обычный 3 4 2 2 3 3" xfId="7199"/>
    <cellStyle name="Обычный 3 4 2 2 3 3 2" xfId="7200"/>
    <cellStyle name="Обычный 3 4 2 2 3 4" xfId="7201"/>
    <cellStyle name="Обычный 3 4 2 2 3 5" xfId="7202"/>
    <cellStyle name="Обычный 3 4 2 2 3 6" xfId="7203"/>
    <cellStyle name="Обычный 3 4 2 2 3 7" xfId="7204"/>
    <cellStyle name="Обычный 3 4 2 2 3 8" xfId="7205"/>
    <cellStyle name="Обычный 3 4 2 2 3 9" xfId="7206"/>
    <cellStyle name="Обычный 3 4 2 2 4" xfId="7207"/>
    <cellStyle name="Обычный 3 4 2 2 4 10" xfId="7208"/>
    <cellStyle name="Обычный 3 4 2 2 4 11" xfId="7209"/>
    <cellStyle name="Обычный 3 4 2 2 4 12" xfId="18598"/>
    <cellStyle name="Обычный 3 4 2 2 4 13" xfId="20294"/>
    <cellStyle name="Обычный 3 4 2 2 4 14" xfId="21906"/>
    <cellStyle name="Обычный 3 4 2 2 4 2" xfId="7210"/>
    <cellStyle name="Обычный 3 4 2 2 4 2 10" xfId="7211"/>
    <cellStyle name="Обычный 3 4 2 2 4 2 11" xfId="18599"/>
    <cellStyle name="Обычный 3 4 2 2 4 2 12" xfId="20295"/>
    <cellStyle name="Обычный 3 4 2 2 4 2 13" xfId="21907"/>
    <cellStyle name="Обычный 3 4 2 2 4 2 2" xfId="7212"/>
    <cellStyle name="Обычный 3 4 2 2 4 2 2 2" xfId="7213"/>
    <cellStyle name="Обычный 3 4 2 2 4 2 3" xfId="7214"/>
    <cellStyle name="Обычный 3 4 2 2 4 2 4" xfId="7215"/>
    <cellStyle name="Обычный 3 4 2 2 4 2 5" xfId="7216"/>
    <cellStyle name="Обычный 3 4 2 2 4 2 6" xfId="7217"/>
    <cellStyle name="Обычный 3 4 2 2 4 2 7" xfId="7218"/>
    <cellStyle name="Обычный 3 4 2 2 4 2 8" xfId="7219"/>
    <cellStyle name="Обычный 3 4 2 2 4 2 9" xfId="7220"/>
    <cellStyle name="Обычный 3 4 2 2 4 3" xfId="7221"/>
    <cellStyle name="Обычный 3 4 2 2 4 3 2" xfId="7222"/>
    <cellStyle name="Обычный 3 4 2 2 4 4" xfId="7223"/>
    <cellStyle name="Обычный 3 4 2 2 4 5" xfId="7224"/>
    <cellStyle name="Обычный 3 4 2 2 4 6" xfId="7225"/>
    <cellStyle name="Обычный 3 4 2 2 4 7" xfId="7226"/>
    <cellStyle name="Обычный 3 4 2 2 4 8" xfId="7227"/>
    <cellStyle name="Обычный 3 4 2 2 4 9" xfId="7228"/>
    <cellStyle name="Обычный 3 4 2 2 5" xfId="7229"/>
    <cellStyle name="Обычный 3 4 2 2 5 10" xfId="7230"/>
    <cellStyle name="Обычный 3 4 2 2 5 11" xfId="7231"/>
    <cellStyle name="Обычный 3 4 2 2 5 12" xfId="18600"/>
    <cellStyle name="Обычный 3 4 2 2 5 13" xfId="20296"/>
    <cellStyle name="Обычный 3 4 2 2 5 14" xfId="21908"/>
    <cellStyle name="Обычный 3 4 2 2 5 2" xfId="7232"/>
    <cellStyle name="Обычный 3 4 2 2 5 2 10" xfId="7233"/>
    <cellStyle name="Обычный 3 4 2 2 5 2 11" xfId="18601"/>
    <cellStyle name="Обычный 3 4 2 2 5 2 12" xfId="20297"/>
    <cellStyle name="Обычный 3 4 2 2 5 2 13" xfId="21909"/>
    <cellStyle name="Обычный 3 4 2 2 5 2 2" xfId="7234"/>
    <cellStyle name="Обычный 3 4 2 2 5 2 2 2" xfId="7235"/>
    <cellStyle name="Обычный 3 4 2 2 5 2 3" xfId="7236"/>
    <cellStyle name="Обычный 3 4 2 2 5 2 4" xfId="7237"/>
    <cellStyle name="Обычный 3 4 2 2 5 2 5" xfId="7238"/>
    <cellStyle name="Обычный 3 4 2 2 5 2 6" xfId="7239"/>
    <cellStyle name="Обычный 3 4 2 2 5 2 7" xfId="7240"/>
    <cellStyle name="Обычный 3 4 2 2 5 2 8" xfId="7241"/>
    <cellStyle name="Обычный 3 4 2 2 5 2 9" xfId="7242"/>
    <cellStyle name="Обычный 3 4 2 2 5 3" xfId="7243"/>
    <cellStyle name="Обычный 3 4 2 2 5 3 2" xfId="7244"/>
    <cellStyle name="Обычный 3 4 2 2 5 4" xfId="7245"/>
    <cellStyle name="Обычный 3 4 2 2 5 5" xfId="7246"/>
    <cellStyle name="Обычный 3 4 2 2 5 6" xfId="7247"/>
    <cellStyle name="Обычный 3 4 2 2 5 7" xfId="7248"/>
    <cellStyle name="Обычный 3 4 2 2 5 8" xfId="7249"/>
    <cellStyle name="Обычный 3 4 2 2 5 9" xfId="7250"/>
    <cellStyle name="Обычный 3 4 2 2 6" xfId="7251"/>
    <cellStyle name="Обычный 3 4 2 2 6 10" xfId="7252"/>
    <cellStyle name="Обычный 3 4 2 2 6 11" xfId="18602"/>
    <cellStyle name="Обычный 3 4 2 2 6 12" xfId="20298"/>
    <cellStyle name="Обычный 3 4 2 2 6 13" xfId="21910"/>
    <cellStyle name="Обычный 3 4 2 2 6 2" xfId="7253"/>
    <cellStyle name="Обычный 3 4 2 2 6 2 2" xfId="7254"/>
    <cellStyle name="Обычный 3 4 2 2 6 3" xfId="7255"/>
    <cellStyle name="Обычный 3 4 2 2 6 4" xfId="7256"/>
    <cellStyle name="Обычный 3 4 2 2 6 5" xfId="7257"/>
    <cellStyle name="Обычный 3 4 2 2 6 6" xfId="7258"/>
    <cellStyle name="Обычный 3 4 2 2 6 7" xfId="7259"/>
    <cellStyle name="Обычный 3 4 2 2 6 8" xfId="7260"/>
    <cellStyle name="Обычный 3 4 2 2 6 9" xfId="7261"/>
    <cellStyle name="Обычный 3 4 2 2 7" xfId="7262"/>
    <cellStyle name="Обычный 3 4 2 2 7 10" xfId="20299"/>
    <cellStyle name="Обычный 3 4 2 2 7 11" xfId="21911"/>
    <cellStyle name="Обычный 3 4 2 2 7 2" xfId="7263"/>
    <cellStyle name="Обычный 3 4 2 2 7 2 2" xfId="7264"/>
    <cellStyle name="Обычный 3 4 2 2 7 3" xfId="7265"/>
    <cellStyle name="Обычный 3 4 2 2 7 4" xfId="7266"/>
    <cellStyle name="Обычный 3 4 2 2 7 5" xfId="7267"/>
    <cellStyle name="Обычный 3 4 2 2 7 6" xfId="7268"/>
    <cellStyle name="Обычный 3 4 2 2 7 7" xfId="7269"/>
    <cellStyle name="Обычный 3 4 2 2 7 8" xfId="7270"/>
    <cellStyle name="Обычный 3 4 2 2 7 9" xfId="18603"/>
    <cellStyle name="Обычный 3 4 2 2 8" xfId="7271"/>
    <cellStyle name="Обычный 3 4 2 2 8 2" xfId="7272"/>
    <cellStyle name="Обычный 3 4 2 2 9" xfId="7273"/>
    <cellStyle name="Обычный 3 4 2 20" xfId="18592"/>
    <cellStyle name="Обычный 3 4 2 21" xfId="20288"/>
    <cellStyle name="Обычный 3 4 2 22" xfId="21900"/>
    <cellStyle name="Обычный 3 4 2 3" xfId="7274"/>
    <cellStyle name="Обычный 3 4 2 3 10" xfId="7275"/>
    <cellStyle name="Обычный 3 4 2 3 11" xfId="7276"/>
    <cellStyle name="Обычный 3 4 2 3 12" xfId="7277"/>
    <cellStyle name="Обычный 3 4 2 3 13" xfId="7278"/>
    <cellStyle name="Обычный 3 4 2 3 14" xfId="7279"/>
    <cellStyle name="Обычный 3 4 2 3 15" xfId="7280"/>
    <cellStyle name="Обычный 3 4 2 3 16" xfId="7281"/>
    <cellStyle name="Обычный 3 4 2 3 17" xfId="7282"/>
    <cellStyle name="Обычный 3 4 2 3 18" xfId="18604"/>
    <cellStyle name="Обычный 3 4 2 3 19" xfId="20300"/>
    <cellStyle name="Обычный 3 4 2 3 2" xfId="7283"/>
    <cellStyle name="Обычный 3 4 2 3 2 10" xfId="7284"/>
    <cellStyle name="Обычный 3 4 2 3 2 11" xfId="7285"/>
    <cellStyle name="Обычный 3 4 2 3 2 12" xfId="18605"/>
    <cellStyle name="Обычный 3 4 2 3 2 13" xfId="20301"/>
    <cellStyle name="Обычный 3 4 2 3 2 14" xfId="21913"/>
    <cellStyle name="Обычный 3 4 2 3 2 2" xfId="7286"/>
    <cellStyle name="Обычный 3 4 2 3 2 2 10" xfId="7287"/>
    <cellStyle name="Обычный 3 4 2 3 2 2 11" xfId="18606"/>
    <cellStyle name="Обычный 3 4 2 3 2 2 12" xfId="20302"/>
    <cellStyle name="Обычный 3 4 2 3 2 2 13" xfId="21914"/>
    <cellStyle name="Обычный 3 4 2 3 2 2 2" xfId="7288"/>
    <cellStyle name="Обычный 3 4 2 3 2 2 2 2" xfId="7289"/>
    <cellStyle name="Обычный 3 4 2 3 2 2 3" xfId="7290"/>
    <cellStyle name="Обычный 3 4 2 3 2 2 4" xfId="7291"/>
    <cellStyle name="Обычный 3 4 2 3 2 2 5" xfId="7292"/>
    <cellStyle name="Обычный 3 4 2 3 2 2 6" xfId="7293"/>
    <cellStyle name="Обычный 3 4 2 3 2 2 7" xfId="7294"/>
    <cellStyle name="Обычный 3 4 2 3 2 2 8" xfId="7295"/>
    <cellStyle name="Обычный 3 4 2 3 2 2 9" xfId="7296"/>
    <cellStyle name="Обычный 3 4 2 3 2 3" xfId="7297"/>
    <cellStyle name="Обычный 3 4 2 3 2 3 2" xfId="7298"/>
    <cellStyle name="Обычный 3 4 2 3 2 4" xfId="7299"/>
    <cellStyle name="Обычный 3 4 2 3 2 5" xfId="7300"/>
    <cellStyle name="Обычный 3 4 2 3 2 6" xfId="7301"/>
    <cellStyle name="Обычный 3 4 2 3 2 7" xfId="7302"/>
    <cellStyle name="Обычный 3 4 2 3 2 8" xfId="7303"/>
    <cellStyle name="Обычный 3 4 2 3 2 9" xfId="7304"/>
    <cellStyle name="Обычный 3 4 2 3 20" xfId="21912"/>
    <cellStyle name="Обычный 3 4 2 3 3" xfId="7305"/>
    <cellStyle name="Обычный 3 4 2 3 3 10" xfId="7306"/>
    <cellStyle name="Обычный 3 4 2 3 3 11" xfId="7307"/>
    <cellStyle name="Обычный 3 4 2 3 3 12" xfId="18607"/>
    <cellStyle name="Обычный 3 4 2 3 3 13" xfId="20303"/>
    <cellStyle name="Обычный 3 4 2 3 3 14" xfId="21915"/>
    <cellStyle name="Обычный 3 4 2 3 3 2" xfId="7308"/>
    <cellStyle name="Обычный 3 4 2 3 3 2 10" xfId="7309"/>
    <cellStyle name="Обычный 3 4 2 3 3 2 11" xfId="18608"/>
    <cellStyle name="Обычный 3 4 2 3 3 2 12" xfId="20304"/>
    <cellStyle name="Обычный 3 4 2 3 3 2 13" xfId="21916"/>
    <cellStyle name="Обычный 3 4 2 3 3 2 2" xfId="7310"/>
    <cellStyle name="Обычный 3 4 2 3 3 2 2 2" xfId="7311"/>
    <cellStyle name="Обычный 3 4 2 3 3 2 3" xfId="7312"/>
    <cellStyle name="Обычный 3 4 2 3 3 2 4" xfId="7313"/>
    <cellStyle name="Обычный 3 4 2 3 3 2 5" xfId="7314"/>
    <cellStyle name="Обычный 3 4 2 3 3 2 6" xfId="7315"/>
    <cellStyle name="Обычный 3 4 2 3 3 2 7" xfId="7316"/>
    <cellStyle name="Обычный 3 4 2 3 3 2 8" xfId="7317"/>
    <cellStyle name="Обычный 3 4 2 3 3 2 9" xfId="7318"/>
    <cellStyle name="Обычный 3 4 2 3 3 3" xfId="7319"/>
    <cellStyle name="Обычный 3 4 2 3 3 3 2" xfId="7320"/>
    <cellStyle name="Обычный 3 4 2 3 3 4" xfId="7321"/>
    <cellStyle name="Обычный 3 4 2 3 3 5" xfId="7322"/>
    <cellStyle name="Обычный 3 4 2 3 3 6" xfId="7323"/>
    <cellStyle name="Обычный 3 4 2 3 3 7" xfId="7324"/>
    <cellStyle name="Обычный 3 4 2 3 3 8" xfId="7325"/>
    <cellStyle name="Обычный 3 4 2 3 3 9" xfId="7326"/>
    <cellStyle name="Обычный 3 4 2 3 4" xfId="7327"/>
    <cellStyle name="Обычный 3 4 2 3 4 10" xfId="7328"/>
    <cellStyle name="Обычный 3 4 2 3 4 11" xfId="7329"/>
    <cellStyle name="Обычный 3 4 2 3 4 12" xfId="18609"/>
    <cellStyle name="Обычный 3 4 2 3 4 13" xfId="20305"/>
    <cellStyle name="Обычный 3 4 2 3 4 14" xfId="21917"/>
    <cellStyle name="Обычный 3 4 2 3 4 2" xfId="7330"/>
    <cellStyle name="Обычный 3 4 2 3 4 2 10" xfId="7331"/>
    <cellStyle name="Обычный 3 4 2 3 4 2 11" xfId="18610"/>
    <cellStyle name="Обычный 3 4 2 3 4 2 12" xfId="20306"/>
    <cellStyle name="Обычный 3 4 2 3 4 2 13" xfId="21918"/>
    <cellStyle name="Обычный 3 4 2 3 4 2 2" xfId="7332"/>
    <cellStyle name="Обычный 3 4 2 3 4 2 2 2" xfId="7333"/>
    <cellStyle name="Обычный 3 4 2 3 4 2 3" xfId="7334"/>
    <cellStyle name="Обычный 3 4 2 3 4 2 4" xfId="7335"/>
    <cellStyle name="Обычный 3 4 2 3 4 2 5" xfId="7336"/>
    <cellStyle name="Обычный 3 4 2 3 4 2 6" xfId="7337"/>
    <cellStyle name="Обычный 3 4 2 3 4 2 7" xfId="7338"/>
    <cellStyle name="Обычный 3 4 2 3 4 2 8" xfId="7339"/>
    <cellStyle name="Обычный 3 4 2 3 4 2 9" xfId="7340"/>
    <cellStyle name="Обычный 3 4 2 3 4 3" xfId="7341"/>
    <cellStyle name="Обычный 3 4 2 3 4 3 2" xfId="7342"/>
    <cellStyle name="Обычный 3 4 2 3 4 4" xfId="7343"/>
    <cellStyle name="Обычный 3 4 2 3 4 5" xfId="7344"/>
    <cellStyle name="Обычный 3 4 2 3 4 6" xfId="7345"/>
    <cellStyle name="Обычный 3 4 2 3 4 7" xfId="7346"/>
    <cellStyle name="Обычный 3 4 2 3 4 8" xfId="7347"/>
    <cellStyle name="Обычный 3 4 2 3 4 9" xfId="7348"/>
    <cellStyle name="Обычный 3 4 2 3 5" xfId="7349"/>
    <cellStyle name="Обычный 3 4 2 3 5 10" xfId="7350"/>
    <cellStyle name="Обычный 3 4 2 3 5 11" xfId="7351"/>
    <cellStyle name="Обычный 3 4 2 3 5 12" xfId="18611"/>
    <cellStyle name="Обычный 3 4 2 3 5 13" xfId="20307"/>
    <cellStyle name="Обычный 3 4 2 3 5 14" xfId="21919"/>
    <cellStyle name="Обычный 3 4 2 3 5 2" xfId="7352"/>
    <cellStyle name="Обычный 3 4 2 3 5 2 10" xfId="7353"/>
    <cellStyle name="Обычный 3 4 2 3 5 2 11" xfId="18612"/>
    <cellStyle name="Обычный 3 4 2 3 5 2 12" xfId="20308"/>
    <cellStyle name="Обычный 3 4 2 3 5 2 13" xfId="21920"/>
    <cellStyle name="Обычный 3 4 2 3 5 2 2" xfId="7354"/>
    <cellStyle name="Обычный 3 4 2 3 5 2 2 2" xfId="7355"/>
    <cellStyle name="Обычный 3 4 2 3 5 2 3" xfId="7356"/>
    <cellStyle name="Обычный 3 4 2 3 5 2 4" xfId="7357"/>
    <cellStyle name="Обычный 3 4 2 3 5 2 5" xfId="7358"/>
    <cellStyle name="Обычный 3 4 2 3 5 2 6" xfId="7359"/>
    <cellStyle name="Обычный 3 4 2 3 5 2 7" xfId="7360"/>
    <cellStyle name="Обычный 3 4 2 3 5 2 8" xfId="7361"/>
    <cellStyle name="Обычный 3 4 2 3 5 2 9" xfId="7362"/>
    <cellStyle name="Обычный 3 4 2 3 5 3" xfId="7363"/>
    <cellStyle name="Обычный 3 4 2 3 5 3 2" xfId="7364"/>
    <cellStyle name="Обычный 3 4 2 3 5 4" xfId="7365"/>
    <cellStyle name="Обычный 3 4 2 3 5 5" xfId="7366"/>
    <cellStyle name="Обычный 3 4 2 3 5 6" xfId="7367"/>
    <cellStyle name="Обычный 3 4 2 3 5 7" xfId="7368"/>
    <cellStyle name="Обычный 3 4 2 3 5 8" xfId="7369"/>
    <cellStyle name="Обычный 3 4 2 3 5 9" xfId="7370"/>
    <cellStyle name="Обычный 3 4 2 3 6" xfId="7371"/>
    <cellStyle name="Обычный 3 4 2 3 6 10" xfId="7372"/>
    <cellStyle name="Обычный 3 4 2 3 6 11" xfId="18613"/>
    <cellStyle name="Обычный 3 4 2 3 6 12" xfId="20309"/>
    <cellStyle name="Обычный 3 4 2 3 6 13" xfId="21921"/>
    <cellStyle name="Обычный 3 4 2 3 6 2" xfId="7373"/>
    <cellStyle name="Обычный 3 4 2 3 6 2 2" xfId="7374"/>
    <cellStyle name="Обычный 3 4 2 3 6 3" xfId="7375"/>
    <cellStyle name="Обычный 3 4 2 3 6 4" xfId="7376"/>
    <cellStyle name="Обычный 3 4 2 3 6 5" xfId="7377"/>
    <cellStyle name="Обычный 3 4 2 3 6 6" xfId="7378"/>
    <cellStyle name="Обычный 3 4 2 3 6 7" xfId="7379"/>
    <cellStyle name="Обычный 3 4 2 3 6 8" xfId="7380"/>
    <cellStyle name="Обычный 3 4 2 3 6 9" xfId="7381"/>
    <cellStyle name="Обычный 3 4 2 3 7" xfId="7382"/>
    <cellStyle name="Обычный 3 4 2 3 7 10" xfId="20310"/>
    <cellStyle name="Обычный 3 4 2 3 7 11" xfId="21922"/>
    <cellStyle name="Обычный 3 4 2 3 7 2" xfId="7383"/>
    <cellStyle name="Обычный 3 4 2 3 7 2 2" xfId="7384"/>
    <cellStyle name="Обычный 3 4 2 3 7 3" xfId="7385"/>
    <cellStyle name="Обычный 3 4 2 3 7 4" xfId="7386"/>
    <cellStyle name="Обычный 3 4 2 3 7 5" xfId="7387"/>
    <cellStyle name="Обычный 3 4 2 3 7 6" xfId="7388"/>
    <cellStyle name="Обычный 3 4 2 3 7 7" xfId="7389"/>
    <cellStyle name="Обычный 3 4 2 3 7 8" xfId="7390"/>
    <cellStyle name="Обычный 3 4 2 3 7 9" xfId="18614"/>
    <cellStyle name="Обычный 3 4 2 3 8" xfId="7391"/>
    <cellStyle name="Обычный 3 4 2 3 8 2" xfId="7392"/>
    <cellStyle name="Обычный 3 4 2 3 9" xfId="7393"/>
    <cellStyle name="Обычный 3 4 2 4" xfId="7394"/>
    <cellStyle name="Обычный 3 4 2 4 10" xfId="7395"/>
    <cellStyle name="Обычный 3 4 2 4 11" xfId="7396"/>
    <cellStyle name="Обычный 3 4 2 4 12" xfId="18615"/>
    <cellStyle name="Обычный 3 4 2 4 13" xfId="20311"/>
    <cellStyle name="Обычный 3 4 2 4 14" xfId="21923"/>
    <cellStyle name="Обычный 3 4 2 4 2" xfId="7397"/>
    <cellStyle name="Обычный 3 4 2 4 2 10" xfId="7398"/>
    <cellStyle name="Обычный 3 4 2 4 2 11" xfId="18616"/>
    <cellStyle name="Обычный 3 4 2 4 2 12" xfId="20312"/>
    <cellStyle name="Обычный 3 4 2 4 2 13" xfId="21924"/>
    <cellStyle name="Обычный 3 4 2 4 2 2" xfId="7399"/>
    <cellStyle name="Обычный 3 4 2 4 2 2 2" xfId="7400"/>
    <cellStyle name="Обычный 3 4 2 4 2 3" xfId="7401"/>
    <cellStyle name="Обычный 3 4 2 4 2 4" xfId="7402"/>
    <cellStyle name="Обычный 3 4 2 4 2 5" xfId="7403"/>
    <cellStyle name="Обычный 3 4 2 4 2 6" xfId="7404"/>
    <cellStyle name="Обычный 3 4 2 4 2 7" xfId="7405"/>
    <cellStyle name="Обычный 3 4 2 4 2 8" xfId="7406"/>
    <cellStyle name="Обычный 3 4 2 4 2 9" xfId="7407"/>
    <cellStyle name="Обычный 3 4 2 4 3" xfId="7408"/>
    <cellStyle name="Обычный 3 4 2 4 3 2" xfId="7409"/>
    <cellStyle name="Обычный 3 4 2 4 4" xfId="7410"/>
    <cellStyle name="Обычный 3 4 2 4 5" xfId="7411"/>
    <cellStyle name="Обычный 3 4 2 4 6" xfId="7412"/>
    <cellStyle name="Обычный 3 4 2 4 7" xfId="7413"/>
    <cellStyle name="Обычный 3 4 2 4 8" xfId="7414"/>
    <cellStyle name="Обычный 3 4 2 4 9" xfId="7415"/>
    <cellStyle name="Обычный 3 4 2 5" xfId="7416"/>
    <cellStyle name="Обычный 3 4 2 5 10" xfId="7417"/>
    <cellStyle name="Обычный 3 4 2 5 11" xfId="7418"/>
    <cellStyle name="Обычный 3 4 2 5 12" xfId="18617"/>
    <cellStyle name="Обычный 3 4 2 5 13" xfId="20313"/>
    <cellStyle name="Обычный 3 4 2 5 14" xfId="21925"/>
    <cellStyle name="Обычный 3 4 2 5 2" xfId="7419"/>
    <cellStyle name="Обычный 3 4 2 5 2 10" xfId="7420"/>
    <cellStyle name="Обычный 3 4 2 5 2 11" xfId="18618"/>
    <cellStyle name="Обычный 3 4 2 5 2 12" xfId="20314"/>
    <cellStyle name="Обычный 3 4 2 5 2 13" xfId="21926"/>
    <cellStyle name="Обычный 3 4 2 5 2 2" xfId="7421"/>
    <cellStyle name="Обычный 3 4 2 5 2 2 2" xfId="7422"/>
    <cellStyle name="Обычный 3 4 2 5 2 3" xfId="7423"/>
    <cellStyle name="Обычный 3 4 2 5 2 4" xfId="7424"/>
    <cellStyle name="Обычный 3 4 2 5 2 5" xfId="7425"/>
    <cellStyle name="Обычный 3 4 2 5 2 6" xfId="7426"/>
    <cellStyle name="Обычный 3 4 2 5 2 7" xfId="7427"/>
    <cellStyle name="Обычный 3 4 2 5 2 8" xfId="7428"/>
    <cellStyle name="Обычный 3 4 2 5 2 9" xfId="7429"/>
    <cellStyle name="Обычный 3 4 2 5 3" xfId="7430"/>
    <cellStyle name="Обычный 3 4 2 5 3 2" xfId="7431"/>
    <cellStyle name="Обычный 3 4 2 5 4" xfId="7432"/>
    <cellStyle name="Обычный 3 4 2 5 5" xfId="7433"/>
    <cellStyle name="Обычный 3 4 2 5 6" xfId="7434"/>
    <cellStyle name="Обычный 3 4 2 5 7" xfId="7435"/>
    <cellStyle name="Обычный 3 4 2 5 8" xfId="7436"/>
    <cellStyle name="Обычный 3 4 2 5 9" xfId="7437"/>
    <cellStyle name="Обычный 3 4 2 6" xfId="7438"/>
    <cellStyle name="Обычный 3 4 2 6 10" xfId="7439"/>
    <cellStyle name="Обычный 3 4 2 6 11" xfId="7440"/>
    <cellStyle name="Обычный 3 4 2 6 12" xfId="18619"/>
    <cellStyle name="Обычный 3 4 2 6 13" xfId="20315"/>
    <cellStyle name="Обычный 3 4 2 6 14" xfId="21927"/>
    <cellStyle name="Обычный 3 4 2 6 2" xfId="7441"/>
    <cellStyle name="Обычный 3 4 2 6 2 10" xfId="7442"/>
    <cellStyle name="Обычный 3 4 2 6 2 11" xfId="18620"/>
    <cellStyle name="Обычный 3 4 2 6 2 12" xfId="20316"/>
    <cellStyle name="Обычный 3 4 2 6 2 13" xfId="21928"/>
    <cellStyle name="Обычный 3 4 2 6 2 2" xfId="7443"/>
    <cellStyle name="Обычный 3 4 2 6 2 2 2" xfId="7444"/>
    <cellStyle name="Обычный 3 4 2 6 2 3" xfId="7445"/>
    <cellStyle name="Обычный 3 4 2 6 2 4" xfId="7446"/>
    <cellStyle name="Обычный 3 4 2 6 2 5" xfId="7447"/>
    <cellStyle name="Обычный 3 4 2 6 2 6" xfId="7448"/>
    <cellStyle name="Обычный 3 4 2 6 2 7" xfId="7449"/>
    <cellStyle name="Обычный 3 4 2 6 2 8" xfId="7450"/>
    <cellStyle name="Обычный 3 4 2 6 2 9" xfId="7451"/>
    <cellStyle name="Обычный 3 4 2 6 3" xfId="7452"/>
    <cellStyle name="Обычный 3 4 2 6 3 2" xfId="7453"/>
    <cellStyle name="Обычный 3 4 2 6 4" xfId="7454"/>
    <cellStyle name="Обычный 3 4 2 6 5" xfId="7455"/>
    <cellStyle name="Обычный 3 4 2 6 6" xfId="7456"/>
    <cellStyle name="Обычный 3 4 2 6 7" xfId="7457"/>
    <cellStyle name="Обычный 3 4 2 6 8" xfId="7458"/>
    <cellStyle name="Обычный 3 4 2 6 9" xfId="7459"/>
    <cellStyle name="Обычный 3 4 2 7" xfId="7460"/>
    <cellStyle name="Обычный 3 4 2 7 10" xfId="7461"/>
    <cellStyle name="Обычный 3 4 2 7 11" xfId="7462"/>
    <cellStyle name="Обычный 3 4 2 7 12" xfId="18621"/>
    <cellStyle name="Обычный 3 4 2 7 13" xfId="20317"/>
    <cellStyle name="Обычный 3 4 2 7 14" xfId="21929"/>
    <cellStyle name="Обычный 3 4 2 7 2" xfId="7463"/>
    <cellStyle name="Обычный 3 4 2 7 2 10" xfId="7464"/>
    <cellStyle name="Обычный 3 4 2 7 2 11" xfId="18622"/>
    <cellStyle name="Обычный 3 4 2 7 2 12" xfId="20318"/>
    <cellStyle name="Обычный 3 4 2 7 2 13" xfId="21930"/>
    <cellStyle name="Обычный 3 4 2 7 2 2" xfId="7465"/>
    <cellStyle name="Обычный 3 4 2 7 2 2 2" xfId="7466"/>
    <cellStyle name="Обычный 3 4 2 7 2 3" xfId="7467"/>
    <cellStyle name="Обычный 3 4 2 7 2 4" xfId="7468"/>
    <cellStyle name="Обычный 3 4 2 7 2 5" xfId="7469"/>
    <cellStyle name="Обычный 3 4 2 7 2 6" xfId="7470"/>
    <cellStyle name="Обычный 3 4 2 7 2 7" xfId="7471"/>
    <cellStyle name="Обычный 3 4 2 7 2 8" xfId="7472"/>
    <cellStyle name="Обычный 3 4 2 7 2 9" xfId="7473"/>
    <cellStyle name="Обычный 3 4 2 7 3" xfId="7474"/>
    <cellStyle name="Обычный 3 4 2 7 3 2" xfId="7475"/>
    <cellStyle name="Обычный 3 4 2 7 4" xfId="7476"/>
    <cellStyle name="Обычный 3 4 2 7 5" xfId="7477"/>
    <cellStyle name="Обычный 3 4 2 7 6" xfId="7478"/>
    <cellStyle name="Обычный 3 4 2 7 7" xfId="7479"/>
    <cellStyle name="Обычный 3 4 2 7 8" xfId="7480"/>
    <cellStyle name="Обычный 3 4 2 7 9" xfId="7481"/>
    <cellStyle name="Обычный 3 4 2 8" xfId="7482"/>
    <cellStyle name="Обычный 3 4 2 8 10" xfId="7483"/>
    <cellStyle name="Обычный 3 4 2 8 11" xfId="18623"/>
    <cellStyle name="Обычный 3 4 2 8 12" xfId="20319"/>
    <cellStyle name="Обычный 3 4 2 8 13" xfId="21931"/>
    <cellStyle name="Обычный 3 4 2 8 2" xfId="7484"/>
    <cellStyle name="Обычный 3 4 2 8 2 2" xfId="7485"/>
    <cellStyle name="Обычный 3 4 2 8 3" xfId="7486"/>
    <cellStyle name="Обычный 3 4 2 8 4" xfId="7487"/>
    <cellStyle name="Обычный 3 4 2 8 5" xfId="7488"/>
    <cellStyle name="Обычный 3 4 2 8 6" xfId="7489"/>
    <cellStyle name="Обычный 3 4 2 8 7" xfId="7490"/>
    <cellStyle name="Обычный 3 4 2 8 8" xfId="7491"/>
    <cellStyle name="Обычный 3 4 2 8 9" xfId="7492"/>
    <cellStyle name="Обычный 3 4 2 9" xfId="7493"/>
    <cellStyle name="Обычный 3 4 2 9 10" xfId="20320"/>
    <cellStyle name="Обычный 3 4 2 9 11" xfId="21932"/>
    <cellStyle name="Обычный 3 4 2 9 2" xfId="7494"/>
    <cellStyle name="Обычный 3 4 2 9 2 2" xfId="7495"/>
    <cellStyle name="Обычный 3 4 2 9 3" xfId="7496"/>
    <cellStyle name="Обычный 3 4 2 9 4" xfId="7497"/>
    <cellStyle name="Обычный 3 4 2 9 5" xfId="7498"/>
    <cellStyle name="Обычный 3 4 2 9 6" xfId="7499"/>
    <cellStyle name="Обычный 3 4 2 9 7" xfId="7500"/>
    <cellStyle name="Обычный 3 4 2 9 8" xfId="7501"/>
    <cellStyle name="Обычный 3 4 2 9 9" xfId="18624"/>
    <cellStyle name="Обычный 3 4 20" xfId="7502"/>
    <cellStyle name="Обычный 3 4 21" xfId="7503"/>
    <cellStyle name="Обычный 3 4 22" xfId="7504"/>
    <cellStyle name="Обычный 3 4 23" xfId="7505"/>
    <cellStyle name="Обычный 3 4 24" xfId="18586"/>
    <cellStyle name="Обычный 3 4 25" xfId="19633"/>
    <cellStyle name="Обычный 3 4 26" xfId="20282"/>
    <cellStyle name="Обычный 3 4 27" xfId="21894"/>
    <cellStyle name="Обычный 3 4 3" xfId="7506"/>
    <cellStyle name="Обычный 3 4 3 10" xfId="7507"/>
    <cellStyle name="Обычный 3 4 3 11" xfId="7508"/>
    <cellStyle name="Обычный 3 4 3 12" xfId="7509"/>
    <cellStyle name="Обычный 3 4 3 13" xfId="7510"/>
    <cellStyle name="Обычный 3 4 3 14" xfId="7511"/>
    <cellStyle name="Обычный 3 4 3 15" xfId="7512"/>
    <cellStyle name="Обычный 3 4 3 16" xfId="7513"/>
    <cellStyle name="Обычный 3 4 3 17" xfId="7514"/>
    <cellStyle name="Обычный 3 4 3 18" xfId="18625"/>
    <cellStyle name="Обычный 3 4 3 19" xfId="20321"/>
    <cellStyle name="Обычный 3 4 3 2" xfId="7515"/>
    <cellStyle name="Обычный 3 4 3 2 10" xfId="7516"/>
    <cellStyle name="Обычный 3 4 3 2 11" xfId="7517"/>
    <cellStyle name="Обычный 3 4 3 2 12" xfId="18626"/>
    <cellStyle name="Обычный 3 4 3 2 13" xfId="20322"/>
    <cellStyle name="Обычный 3 4 3 2 14" xfId="21934"/>
    <cellStyle name="Обычный 3 4 3 2 2" xfId="7518"/>
    <cellStyle name="Обычный 3 4 3 2 2 10" xfId="7519"/>
    <cellStyle name="Обычный 3 4 3 2 2 11" xfId="18627"/>
    <cellStyle name="Обычный 3 4 3 2 2 12" xfId="20323"/>
    <cellStyle name="Обычный 3 4 3 2 2 13" xfId="21935"/>
    <cellStyle name="Обычный 3 4 3 2 2 2" xfId="7520"/>
    <cellStyle name="Обычный 3 4 3 2 2 2 2" xfId="7521"/>
    <cellStyle name="Обычный 3 4 3 2 2 3" xfId="7522"/>
    <cellStyle name="Обычный 3 4 3 2 2 4" xfId="7523"/>
    <cellStyle name="Обычный 3 4 3 2 2 5" xfId="7524"/>
    <cellStyle name="Обычный 3 4 3 2 2 6" xfId="7525"/>
    <cellStyle name="Обычный 3 4 3 2 2 7" xfId="7526"/>
    <cellStyle name="Обычный 3 4 3 2 2 8" xfId="7527"/>
    <cellStyle name="Обычный 3 4 3 2 2 9" xfId="7528"/>
    <cellStyle name="Обычный 3 4 3 2 3" xfId="7529"/>
    <cellStyle name="Обычный 3 4 3 2 3 2" xfId="7530"/>
    <cellStyle name="Обычный 3 4 3 2 4" xfId="7531"/>
    <cellStyle name="Обычный 3 4 3 2 5" xfId="7532"/>
    <cellStyle name="Обычный 3 4 3 2 6" xfId="7533"/>
    <cellStyle name="Обычный 3 4 3 2 7" xfId="7534"/>
    <cellStyle name="Обычный 3 4 3 2 8" xfId="7535"/>
    <cellStyle name="Обычный 3 4 3 2 9" xfId="7536"/>
    <cellStyle name="Обычный 3 4 3 20" xfId="21933"/>
    <cellStyle name="Обычный 3 4 3 3" xfId="7537"/>
    <cellStyle name="Обычный 3 4 3 3 10" xfId="7538"/>
    <cellStyle name="Обычный 3 4 3 3 11" xfId="7539"/>
    <cellStyle name="Обычный 3 4 3 3 12" xfId="18628"/>
    <cellStyle name="Обычный 3 4 3 3 13" xfId="20324"/>
    <cellStyle name="Обычный 3 4 3 3 14" xfId="21936"/>
    <cellStyle name="Обычный 3 4 3 3 2" xfId="7540"/>
    <cellStyle name="Обычный 3 4 3 3 2 10" xfId="7541"/>
    <cellStyle name="Обычный 3 4 3 3 2 11" xfId="18629"/>
    <cellStyle name="Обычный 3 4 3 3 2 12" xfId="20325"/>
    <cellStyle name="Обычный 3 4 3 3 2 13" xfId="21937"/>
    <cellStyle name="Обычный 3 4 3 3 2 2" xfId="7542"/>
    <cellStyle name="Обычный 3 4 3 3 2 2 2" xfId="7543"/>
    <cellStyle name="Обычный 3 4 3 3 2 3" xfId="7544"/>
    <cellStyle name="Обычный 3 4 3 3 2 4" xfId="7545"/>
    <cellStyle name="Обычный 3 4 3 3 2 5" xfId="7546"/>
    <cellStyle name="Обычный 3 4 3 3 2 6" xfId="7547"/>
    <cellStyle name="Обычный 3 4 3 3 2 7" xfId="7548"/>
    <cellStyle name="Обычный 3 4 3 3 2 8" xfId="7549"/>
    <cellStyle name="Обычный 3 4 3 3 2 9" xfId="7550"/>
    <cellStyle name="Обычный 3 4 3 3 3" xfId="7551"/>
    <cellStyle name="Обычный 3 4 3 3 3 2" xfId="7552"/>
    <cellStyle name="Обычный 3 4 3 3 4" xfId="7553"/>
    <cellStyle name="Обычный 3 4 3 3 5" xfId="7554"/>
    <cellStyle name="Обычный 3 4 3 3 6" xfId="7555"/>
    <cellStyle name="Обычный 3 4 3 3 7" xfId="7556"/>
    <cellStyle name="Обычный 3 4 3 3 8" xfId="7557"/>
    <cellStyle name="Обычный 3 4 3 3 9" xfId="7558"/>
    <cellStyle name="Обычный 3 4 3 4" xfId="7559"/>
    <cellStyle name="Обычный 3 4 3 4 10" xfId="7560"/>
    <cellStyle name="Обычный 3 4 3 4 11" xfId="7561"/>
    <cellStyle name="Обычный 3 4 3 4 12" xfId="18630"/>
    <cellStyle name="Обычный 3 4 3 4 13" xfId="20326"/>
    <cellStyle name="Обычный 3 4 3 4 14" xfId="21938"/>
    <cellStyle name="Обычный 3 4 3 4 2" xfId="7562"/>
    <cellStyle name="Обычный 3 4 3 4 2 10" xfId="7563"/>
    <cellStyle name="Обычный 3 4 3 4 2 11" xfId="18631"/>
    <cellStyle name="Обычный 3 4 3 4 2 12" xfId="20327"/>
    <cellStyle name="Обычный 3 4 3 4 2 13" xfId="21939"/>
    <cellStyle name="Обычный 3 4 3 4 2 2" xfId="7564"/>
    <cellStyle name="Обычный 3 4 3 4 2 2 2" xfId="7565"/>
    <cellStyle name="Обычный 3 4 3 4 2 3" xfId="7566"/>
    <cellStyle name="Обычный 3 4 3 4 2 4" xfId="7567"/>
    <cellStyle name="Обычный 3 4 3 4 2 5" xfId="7568"/>
    <cellStyle name="Обычный 3 4 3 4 2 6" xfId="7569"/>
    <cellStyle name="Обычный 3 4 3 4 2 7" xfId="7570"/>
    <cellStyle name="Обычный 3 4 3 4 2 8" xfId="7571"/>
    <cellStyle name="Обычный 3 4 3 4 2 9" xfId="7572"/>
    <cellStyle name="Обычный 3 4 3 4 3" xfId="7573"/>
    <cellStyle name="Обычный 3 4 3 4 3 2" xfId="7574"/>
    <cellStyle name="Обычный 3 4 3 4 4" xfId="7575"/>
    <cellStyle name="Обычный 3 4 3 4 5" xfId="7576"/>
    <cellStyle name="Обычный 3 4 3 4 6" xfId="7577"/>
    <cellStyle name="Обычный 3 4 3 4 7" xfId="7578"/>
    <cellStyle name="Обычный 3 4 3 4 8" xfId="7579"/>
    <cellStyle name="Обычный 3 4 3 4 9" xfId="7580"/>
    <cellStyle name="Обычный 3 4 3 5" xfId="7581"/>
    <cellStyle name="Обычный 3 4 3 5 10" xfId="7582"/>
    <cellStyle name="Обычный 3 4 3 5 11" xfId="7583"/>
    <cellStyle name="Обычный 3 4 3 5 12" xfId="18632"/>
    <cellStyle name="Обычный 3 4 3 5 13" xfId="20328"/>
    <cellStyle name="Обычный 3 4 3 5 14" xfId="21940"/>
    <cellStyle name="Обычный 3 4 3 5 2" xfId="7584"/>
    <cellStyle name="Обычный 3 4 3 5 2 10" xfId="7585"/>
    <cellStyle name="Обычный 3 4 3 5 2 11" xfId="18633"/>
    <cellStyle name="Обычный 3 4 3 5 2 12" xfId="20329"/>
    <cellStyle name="Обычный 3 4 3 5 2 13" xfId="21941"/>
    <cellStyle name="Обычный 3 4 3 5 2 2" xfId="7586"/>
    <cellStyle name="Обычный 3 4 3 5 2 2 2" xfId="7587"/>
    <cellStyle name="Обычный 3 4 3 5 2 3" xfId="7588"/>
    <cellStyle name="Обычный 3 4 3 5 2 4" xfId="7589"/>
    <cellStyle name="Обычный 3 4 3 5 2 5" xfId="7590"/>
    <cellStyle name="Обычный 3 4 3 5 2 6" xfId="7591"/>
    <cellStyle name="Обычный 3 4 3 5 2 7" xfId="7592"/>
    <cellStyle name="Обычный 3 4 3 5 2 8" xfId="7593"/>
    <cellStyle name="Обычный 3 4 3 5 2 9" xfId="7594"/>
    <cellStyle name="Обычный 3 4 3 5 3" xfId="7595"/>
    <cellStyle name="Обычный 3 4 3 5 3 2" xfId="7596"/>
    <cellStyle name="Обычный 3 4 3 5 4" xfId="7597"/>
    <cellStyle name="Обычный 3 4 3 5 5" xfId="7598"/>
    <cellStyle name="Обычный 3 4 3 5 6" xfId="7599"/>
    <cellStyle name="Обычный 3 4 3 5 7" xfId="7600"/>
    <cellStyle name="Обычный 3 4 3 5 8" xfId="7601"/>
    <cellStyle name="Обычный 3 4 3 5 9" xfId="7602"/>
    <cellStyle name="Обычный 3 4 3 6" xfId="7603"/>
    <cellStyle name="Обычный 3 4 3 6 10" xfId="7604"/>
    <cellStyle name="Обычный 3 4 3 6 11" xfId="18634"/>
    <cellStyle name="Обычный 3 4 3 6 12" xfId="20330"/>
    <cellStyle name="Обычный 3 4 3 6 13" xfId="21942"/>
    <cellStyle name="Обычный 3 4 3 6 2" xfId="7605"/>
    <cellStyle name="Обычный 3 4 3 6 2 2" xfId="7606"/>
    <cellStyle name="Обычный 3 4 3 6 3" xfId="7607"/>
    <cellStyle name="Обычный 3 4 3 6 4" xfId="7608"/>
    <cellStyle name="Обычный 3 4 3 6 5" xfId="7609"/>
    <cellStyle name="Обычный 3 4 3 6 6" xfId="7610"/>
    <cellStyle name="Обычный 3 4 3 6 7" xfId="7611"/>
    <cellStyle name="Обычный 3 4 3 6 8" xfId="7612"/>
    <cellStyle name="Обычный 3 4 3 6 9" xfId="7613"/>
    <cellStyle name="Обычный 3 4 3 7" xfId="7614"/>
    <cellStyle name="Обычный 3 4 3 7 10" xfId="20331"/>
    <cellStyle name="Обычный 3 4 3 7 11" xfId="21943"/>
    <cellStyle name="Обычный 3 4 3 7 2" xfId="7615"/>
    <cellStyle name="Обычный 3 4 3 7 2 2" xfId="7616"/>
    <cellStyle name="Обычный 3 4 3 7 3" xfId="7617"/>
    <cellStyle name="Обычный 3 4 3 7 4" xfId="7618"/>
    <cellStyle name="Обычный 3 4 3 7 5" xfId="7619"/>
    <cellStyle name="Обычный 3 4 3 7 6" xfId="7620"/>
    <cellStyle name="Обычный 3 4 3 7 7" xfId="7621"/>
    <cellStyle name="Обычный 3 4 3 7 8" xfId="7622"/>
    <cellStyle name="Обычный 3 4 3 7 9" xfId="18635"/>
    <cellStyle name="Обычный 3 4 3 8" xfId="7623"/>
    <cellStyle name="Обычный 3 4 3 8 2" xfId="7624"/>
    <cellStyle name="Обычный 3 4 3 9" xfId="7625"/>
    <cellStyle name="Обычный 3 4 4" xfId="7626"/>
    <cellStyle name="Обычный 3 4 4 10" xfId="7627"/>
    <cellStyle name="Обычный 3 4 4 11" xfId="7628"/>
    <cellStyle name="Обычный 3 4 4 12" xfId="7629"/>
    <cellStyle name="Обычный 3 4 4 13" xfId="7630"/>
    <cellStyle name="Обычный 3 4 4 14" xfId="7631"/>
    <cellStyle name="Обычный 3 4 4 15" xfId="7632"/>
    <cellStyle name="Обычный 3 4 4 16" xfId="7633"/>
    <cellStyle name="Обычный 3 4 4 17" xfId="7634"/>
    <cellStyle name="Обычный 3 4 4 18" xfId="18636"/>
    <cellStyle name="Обычный 3 4 4 19" xfId="20332"/>
    <cellStyle name="Обычный 3 4 4 2" xfId="7635"/>
    <cellStyle name="Обычный 3 4 4 2 10" xfId="7636"/>
    <cellStyle name="Обычный 3 4 4 2 11" xfId="7637"/>
    <cellStyle name="Обычный 3 4 4 2 12" xfId="18637"/>
    <cellStyle name="Обычный 3 4 4 2 13" xfId="20333"/>
    <cellStyle name="Обычный 3 4 4 2 14" xfId="21945"/>
    <cellStyle name="Обычный 3 4 4 2 2" xfId="7638"/>
    <cellStyle name="Обычный 3 4 4 2 2 10" xfId="7639"/>
    <cellStyle name="Обычный 3 4 4 2 2 11" xfId="18638"/>
    <cellStyle name="Обычный 3 4 4 2 2 12" xfId="20334"/>
    <cellStyle name="Обычный 3 4 4 2 2 13" xfId="21946"/>
    <cellStyle name="Обычный 3 4 4 2 2 2" xfId="7640"/>
    <cellStyle name="Обычный 3 4 4 2 2 2 2" xfId="7641"/>
    <cellStyle name="Обычный 3 4 4 2 2 3" xfId="7642"/>
    <cellStyle name="Обычный 3 4 4 2 2 4" xfId="7643"/>
    <cellStyle name="Обычный 3 4 4 2 2 5" xfId="7644"/>
    <cellStyle name="Обычный 3 4 4 2 2 6" xfId="7645"/>
    <cellStyle name="Обычный 3 4 4 2 2 7" xfId="7646"/>
    <cellStyle name="Обычный 3 4 4 2 2 8" xfId="7647"/>
    <cellStyle name="Обычный 3 4 4 2 2 9" xfId="7648"/>
    <cellStyle name="Обычный 3 4 4 2 3" xfId="7649"/>
    <cellStyle name="Обычный 3 4 4 2 3 2" xfId="7650"/>
    <cellStyle name="Обычный 3 4 4 2 4" xfId="7651"/>
    <cellStyle name="Обычный 3 4 4 2 5" xfId="7652"/>
    <cellStyle name="Обычный 3 4 4 2 6" xfId="7653"/>
    <cellStyle name="Обычный 3 4 4 2 7" xfId="7654"/>
    <cellStyle name="Обычный 3 4 4 2 8" xfId="7655"/>
    <cellStyle name="Обычный 3 4 4 2 9" xfId="7656"/>
    <cellStyle name="Обычный 3 4 4 20" xfId="21944"/>
    <cellStyle name="Обычный 3 4 4 3" xfId="7657"/>
    <cellStyle name="Обычный 3 4 4 3 10" xfId="7658"/>
    <cellStyle name="Обычный 3 4 4 3 11" xfId="7659"/>
    <cellStyle name="Обычный 3 4 4 3 12" xfId="18639"/>
    <cellStyle name="Обычный 3 4 4 3 13" xfId="20335"/>
    <cellStyle name="Обычный 3 4 4 3 14" xfId="21947"/>
    <cellStyle name="Обычный 3 4 4 3 2" xfId="7660"/>
    <cellStyle name="Обычный 3 4 4 3 2 10" xfId="7661"/>
    <cellStyle name="Обычный 3 4 4 3 2 11" xfId="18640"/>
    <cellStyle name="Обычный 3 4 4 3 2 12" xfId="20336"/>
    <cellStyle name="Обычный 3 4 4 3 2 13" xfId="21948"/>
    <cellStyle name="Обычный 3 4 4 3 2 2" xfId="7662"/>
    <cellStyle name="Обычный 3 4 4 3 2 2 2" xfId="7663"/>
    <cellStyle name="Обычный 3 4 4 3 2 3" xfId="7664"/>
    <cellStyle name="Обычный 3 4 4 3 2 4" xfId="7665"/>
    <cellStyle name="Обычный 3 4 4 3 2 5" xfId="7666"/>
    <cellStyle name="Обычный 3 4 4 3 2 6" xfId="7667"/>
    <cellStyle name="Обычный 3 4 4 3 2 7" xfId="7668"/>
    <cellStyle name="Обычный 3 4 4 3 2 8" xfId="7669"/>
    <cellStyle name="Обычный 3 4 4 3 2 9" xfId="7670"/>
    <cellStyle name="Обычный 3 4 4 3 3" xfId="7671"/>
    <cellStyle name="Обычный 3 4 4 3 3 2" xfId="7672"/>
    <cellStyle name="Обычный 3 4 4 3 4" xfId="7673"/>
    <cellStyle name="Обычный 3 4 4 3 5" xfId="7674"/>
    <cellStyle name="Обычный 3 4 4 3 6" xfId="7675"/>
    <cellStyle name="Обычный 3 4 4 3 7" xfId="7676"/>
    <cellStyle name="Обычный 3 4 4 3 8" xfId="7677"/>
    <cellStyle name="Обычный 3 4 4 3 9" xfId="7678"/>
    <cellStyle name="Обычный 3 4 4 4" xfId="7679"/>
    <cellStyle name="Обычный 3 4 4 4 10" xfId="7680"/>
    <cellStyle name="Обычный 3 4 4 4 11" xfId="7681"/>
    <cellStyle name="Обычный 3 4 4 4 12" xfId="18641"/>
    <cellStyle name="Обычный 3 4 4 4 13" xfId="20337"/>
    <cellStyle name="Обычный 3 4 4 4 14" xfId="21949"/>
    <cellStyle name="Обычный 3 4 4 4 2" xfId="7682"/>
    <cellStyle name="Обычный 3 4 4 4 2 10" xfId="7683"/>
    <cellStyle name="Обычный 3 4 4 4 2 11" xfId="18642"/>
    <cellStyle name="Обычный 3 4 4 4 2 12" xfId="20338"/>
    <cellStyle name="Обычный 3 4 4 4 2 13" xfId="21950"/>
    <cellStyle name="Обычный 3 4 4 4 2 2" xfId="7684"/>
    <cellStyle name="Обычный 3 4 4 4 2 2 2" xfId="7685"/>
    <cellStyle name="Обычный 3 4 4 4 2 3" xfId="7686"/>
    <cellStyle name="Обычный 3 4 4 4 2 4" xfId="7687"/>
    <cellStyle name="Обычный 3 4 4 4 2 5" xfId="7688"/>
    <cellStyle name="Обычный 3 4 4 4 2 6" xfId="7689"/>
    <cellStyle name="Обычный 3 4 4 4 2 7" xfId="7690"/>
    <cellStyle name="Обычный 3 4 4 4 2 8" xfId="7691"/>
    <cellStyle name="Обычный 3 4 4 4 2 9" xfId="7692"/>
    <cellStyle name="Обычный 3 4 4 4 3" xfId="7693"/>
    <cellStyle name="Обычный 3 4 4 4 3 2" xfId="7694"/>
    <cellStyle name="Обычный 3 4 4 4 4" xfId="7695"/>
    <cellStyle name="Обычный 3 4 4 4 5" xfId="7696"/>
    <cellStyle name="Обычный 3 4 4 4 6" xfId="7697"/>
    <cellStyle name="Обычный 3 4 4 4 7" xfId="7698"/>
    <cellStyle name="Обычный 3 4 4 4 8" xfId="7699"/>
    <cellStyle name="Обычный 3 4 4 4 9" xfId="7700"/>
    <cellStyle name="Обычный 3 4 4 5" xfId="7701"/>
    <cellStyle name="Обычный 3 4 4 5 10" xfId="7702"/>
    <cellStyle name="Обычный 3 4 4 5 11" xfId="7703"/>
    <cellStyle name="Обычный 3 4 4 5 12" xfId="18643"/>
    <cellStyle name="Обычный 3 4 4 5 13" xfId="20339"/>
    <cellStyle name="Обычный 3 4 4 5 14" xfId="21951"/>
    <cellStyle name="Обычный 3 4 4 5 2" xfId="7704"/>
    <cellStyle name="Обычный 3 4 4 5 2 10" xfId="7705"/>
    <cellStyle name="Обычный 3 4 4 5 2 11" xfId="18644"/>
    <cellStyle name="Обычный 3 4 4 5 2 12" xfId="20340"/>
    <cellStyle name="Обычный 3 4 4 5 2 13" xfId="21952"/>
    <cellStyle name="Обычный 3 4 4 5 2 2" xfId="7706"/>
    <cellStyle name="Обычный 3 4 4 5 2 2 2" xfId="7707"/>
    <cellStyle name="Обычный 3 4 4 5 2 3" xfId="7708"/>
    <cellStyle name="Обычный 3 4 4 5 2 4" xfId="7709"/>
    <cellStyle name="Обычный 3 4 4 5 2 5" xfId="7710"/>
    <cellStyle name="Обычный 3 4 4 5 2 6" xfId="7711"/>
    <cellStyle name="Обычный 3 4 4 5 2 7" xfId="7712"/>
    <cellStyle name="Обычный 3 4 4 5 2 8" xfId="7713"/>
    <cellStyle name="Обычный 3 4 4 5 2 9" xfId="7714"/>
    <cellStyle name="Обычный 3 4 4 5 3" xfId="7715"/>
    <cellStyle name="Обычный 3 4 4 5 3 2" xfId="7716"/>
    <cellStyle name="Обычный 3 4 4 5 4" xfId="7717"/>
    <cellStyle name="Обычный 3 4 4 5 5" xfId="7718"/>
    <cellStyle name="Обычный 3 4 4 5 6" xfId="7719"/>
    <cellStyle name="Обычный 3 4 4 5 7" xfId="7720"/>
    <cellStyle name="Обычный 3 4 4 5 8" xfId="7721"/>
    <cellStyle name="Обычный 3 4 4 5 9" xfId="7722"/>
    <cellStyle name="Обычный 3 4 4 6" xfId="7723"/>
    <cellStyle name="Обычный 3 4 4 6 10" xfId="7724"/>
    <cellStyle name="Обычный 3 4 4 6 11" xfId="18645"/>
    <cellStyle name="Обычный 3 4 4 6 12" xfId="20341"/>
    <cellStyle name="Обычный 3 4 4 6 13" xfId="21953"/>
    <cellStyle name="Обычный 3 4 4 6 2" xfId="7725"/>
    <cellStyle name="Обычный 3 4 4 6 2 2" xfId="7726"/>
    <cellStyle name="Обычный 3 4 4 6 3" xfId="7727"/>
    <cellStyle name="Обычный 3 4 4 6 4" xfId="7728"/>
    <cellStyle name="Обычный 3 4 4 6 5" xfId="7729"/>
    <cellStyle name="Обычный 3 4 4 6 6" xfId="7730"/>
    <cellStyle name="Обычный 3 4 4 6 7" xfId="7731"/>
    <cellStyle name="Обычный 3 4 4 6 8" xfId="7732"/>
    <cellStyle name="Обычный 3 4 4 6 9" xfId="7733"/>
    <cellStyle name="Обычный 3 4 4 7" xfId="7734"/>
    <cellStyle name="Обычный 3 4 4 7 10" xfId="20342"/>
    <cellStyle name="Обычный 3 4 4 7 11" xfId="21954"/>
    <cellStyle name="Обычный 3 4 4 7 2" xfId="7735"/>
    <cellStyle name="Обычный 3 4 4 7 2 2" xfId="7736"/>
    <cellStyle name="Обычный 3 4 4 7 3" xfId="7737"/>
    <cellStyle name="Обычный 3 4 4 7 4" xfId="7738"/>
    <cellStyle name="Обычный 3 4 4 7 5" xfId="7739"/>
    <cellStyle name="Обычный 3 4 4 7 6" xfId="7740"/>
    <cellStyle name="Обычный 3 4 4 7 7" xfId="7741"/>
    <cellStyle name="Обычный 3 4 4 7 8" xfId="7742"/>
    <cellStyle name="Обычный 3 4 4 7 9" xfId="18646"/>
    <cellStyle name="Обычный 3 4 4 8" xfId="7743"/>
    <cellStyle name="Обычный 3 4 4 8 2" xfId="7744"/>
    <cellStyle name="Обычный 3 4 4 9" xfId="7745"/>
    <cellStyle name="Обычный 3 4 5" xfId="7746"/>
    <cellStyle name="Обычный 3 4 5 10" xfId="7747"/>
    <cellStyle name="Обычный 3 4 5 11" xfId="7748"/>
    <cellStyle name="Обычный 3 4 5 12" xfId="18647"/>
    <cellStyle name="Обычный 3 4 5 13" xfId="20343"/>
    <cellStyle name="Обычный 3 4 5 14" xfId="21955"/>
    <cellStyle name="Обычный 3 4 5 2" xfId="7749"/>
    <cellStyle name="Обычный 3 4 5 2 10" xfId="7750"/>
    <cellStyle name="Обычный 3 4 5 2 11" xfId="18648"/>
    <cellStyle name="Обычный 3 4 5 2 12" xfId="20344"/>
    <cellStyle name="Обычный 3 4 5 2 13" xfId="21956"/>
    <cellStyle name="Обычный 3 4 5 2 2" xfId="7751"/>
    <cellStyle name="Обычный 3 4 5 2 2 2" xfId="7752"/>
    <cellStyle name="Обычный 3 4 5 2 3" xfId="7753"/>
    <cellStyle name="Обычный 3 4 5 2 4" xfId="7754"/>
    <cellStyle name="Обычный 3 4 5 2 5" xfId="7755"/>
    <cellStyle name="Обычный 3 4 5 2 6" xfId="7756"/>
    <cellStyle name="Обычный 3 4 5 2 7" xfId="7757"/>
    <cellStyle name="Обычный 3 4 5 2 8" xfId="7758"/>
    <cellStyle name="Обычный 3 4 5 2 9" xfId="7759"/>
    <cellStyle name="Обычный 3 4 5 3" xfId="7760"/>
    <cellStyle name="Обычный 3 4 5 3 2" xfId="7761"/>
    <cellStyle name="Обычный 3 4 5 4" xfId="7762"/>
    <cellStyle name="Обычный 3 4 5 5" xfId="7763"/>
    <cellStyle name="Обычный 3 4 5 6" xfId="7764"/>
    <cellStyle name="Обычный 3 4 5 7" xfId="7765"/>
    <cellStyle name="Обычный 3 4 5 8" xfId="7766"/>
    <cellStyle name="Обычный 3 4 5 9" xfId="7767"/>
    <cellStyle name="Обычный 3 4 6" xfId="7768"/>
    <cellStyle name="Обычный 3 4 6 10" xfId="7769"/>
    <cellStyle name="Обычный 3 4 6 11" xfId="7770"/>
    <cellStyle name="Обычный 3 4 6 12" xfId="18649"/>
    <cellStyle name="Обычный 3 4 6 13" xfId="20345"/>
    <cellStyle name="Обычный 3 4 6 14" xfId="21957"/>
    <cellStyle name="Обычный 3 4 6 2" xfId="7771"/>
    <cellStyle name="Обычный 3 4 6 2 10" xfId="7772"/>
    <cellStyle name="Обычный 3 4 6 2 11" xfId="18650"/>
    <cellStyle name="Обычный 3 4 6 2 12" xfId="20346"/>
    <cellStyle name="Обычный 3 4 6 2 13" xfId="21958"/>
    <cellStyle name="Обычный 3 4 6 2 2" xfId="7773"/>
    <cellStyle name="Обычный 3 4 6 2 2 2" xfId="7774"/>
    <cellStyle name="Обычный 3 4 6 2 3" xfId="7775"/>
    <cellStyle name="Обычный 3 4 6 2 4" xfId="7776"/>
    <cellStyle name="Обычный 3 4 6 2 5" xfId="7777"/>
    <cellStyle name="Обычный 3 4 6 2 6" xfId="7778"/>
    <cellStyle name="Обычный 3 4 6 2 7" xfId="7779"/>
    <cellStyle name="Обычный 3 4 6 2 8" xfId="7780"/>
    <cellStyle name="Обычный 3 4 6 2 9" xfId="7781"/>
    <cellStyle name="Обычный 3 4 6 3" xfId="7782"/>
    <cellStyle name="Обычный 3 4 6 3 2" xfId="7783"/>
    <cellStyle name="Обычный 3 4 6 4" xfId="7784"/>
    <cellStyle name="Обычный 3 4 6 5" xfId="7785"/>
    <cellStyle name="Обычный 3 4 6 6" xfId="7786"/>
    <cellStyle name="Обычный 3 4 6 7" xfId="7787"/>
    <cellStyle name="Обычный 3 4 6 8" xfId="7788"/>
    <cellStyle name="Обычный 3 4 6 9" xfId="7789"/>
    <cellStyle name="Обычный 3 4 7" xfId="7790"/>
    <cellStyle name="Обычный 3 4 7 10" xfId="7791"/>
    <cellStyle name="Обычный 3 4 7 11" xfId="7792"/>
    <cellStyle name="Обычный 3 4 7 12" xfId="18651"/>
    <cellStyle name="Обычный 3 4 7 13" xfId="20347"/>
    <cellStyle name="Обычный 3 4 7 14" xfId="21959"/>
    <cellStyle name="Обычный 3 4 7 2" xfId="7793"/>
    <cellStyle name="Обычный 3 4 7 2 10" xfId="7794"/>
    <cellStyle name="Обычный 3 4 7 2 11" xfId="18652"/>
    <cellStyle name="Обычный 3 4 7 2 12" xfId="20348"/>
    <cellStyle name="Обычный 3 4 7 2 13" xfId="21960"/>
    <cellStyle name="Обычный 3 4 7 2 2" xfId="7795"/>
    <cellStyle name="Обычный 3 4 7 2 2 2" xfId="7796"/>
    <cellStyle name="Обычный 3 4 7 2 3" xfId="7797"/>
    <cellStyle name="Обычный 3 4 7 2 4" xfId="7798"/>
    <cellStyle name="Обычный 3 4 7 2 5" xfId="7799"/>
    <cellStyle name="Обычный 3 4 7 2 6" xfId="7800"/>
    <cellStyle name="Обычный 3 4 7 2 7" xfId="7801"/>
    <cellStyle name="Обычный 3 4 7 2 8" xfId="7802"/>
    <cellStyle name="Обычный 3 4 7 2 9" xfId="7803"/>
    <cellStyle name="Обычный 3 4 7 3" xfId="7804"/>
    <cellStyle name="Обычный 3 4 7 3 2" xfId="7805"/>
    <cellStyle name="Обычный 3 4 7 4" xfId="7806"/>
    <cellStyle name="Обычный 3 4 7 5" xfId="7807"/>
    <cellStyle name="Обычный 3 4 7 6" xfId="7808"/>
    <cellStyle name="Обычный 3 4 7 7" xfId="7809"/>
    <cellStyle name="Обычный 3 4 7 8" xfId="7810"/>
    <cellStyle name="Обычный 3 4 7 9" xfId="7811"/>
    <cellStyle name="Обычный 3 4 8" xfId="7812"/>
    <cellStyle name="Обычный 3 4 8 10" xfId="7813"/>
    <cellStyle name="Обычный 3 4 8 11" xfId="7814"/>
    <cellStyle name="Обычный 3 4 8 12" xfId="18653"/>
    <cellStyle name="Обычный 3 4 8 13" xfId="20349"/>
    <cellStyle name="Обычный 3 4 8 14" xfId="21961"/>
    <cellStyle name="Обычный 3 4 8 2" xfId="7815"/>
    <cellStyle name="Обычный 3 4 8 2 10" xfId="7816"/>
    <cellStyle name="Обычный 3 4 8 2 11" xfId="18654"/>
    <cellStyle name="Обычный 3 4 8 2 12" xfId="20350"/>
    <cellStyle name="Обычный 3 4 8 2 13" xfId="21962"/>
    <cellStyle name="Обычный 3 4 8 2 2" xfId="7817"/>
    <cellStyle name="Обычный 3 4 8 2 2 2" xfId="7818"/>
    <cellStyle name="Обычный 3 4 8 2 3" xfId="7819"/>
    <cellStyle name="Обычный 3 4 8 2 4" xfId="7820"/>
    <cellStyle name="Обычный 3 4 8 2 5" xfId="7821"/>
    <cellStyle name="Обычный 3 4 8 2 6" xfId="7822"/>
    <cellStyle name="Обычный 3 4 8 2 7" xfId="7823"/>
    <cellStyle name="Обычный 3 4 8 2 8" xfId="7824"/>
    <cellStyle name="Обычный 3 4 8 2 9" xfId="7825"/>
    <cellStyle name="Обычный 3 4 8 3" xfId="7826"/>
    <cellStyle name="Обычный 3 4 8 3 2" xfId="7827"/>
    <cellStyle name="Обычный 3 4 8 4" xfId="7828"/>
    <cellStyle name="Обычный 3 4 8 5" xfId="7829"/>
    <cellStyle name="Обычный 3 4 8 6" xfId="7830"/>
    <cellStyle name="Обычный 3 4 8 7" xfId="7831"/>
    <cellStyle name="Обычный 3 4 8 8" xfId="7832"/>
    <cellStyle name="Обычный 3 4 8 9" xfId="7833"/>
    <cellStyle name="Обычный 3 4 9" xfId="7834"/>
    <cellStyle name="Обычный 3 4 9 10" xfId="7835"/>
    <cellStyle name="Обычный 3 4 9 11" xfId="7836"/>
    <cellStyle name="Обычный 3 4 9 12" xfId="18655"/>
    <cellStyle name="Обычный 3 4 9 13" xfId="20351"/>
    <cellStyle name="Обычный 3 4 9 14" xfId="21963"/>
    <cellStyle name="Обычный 3 4 9 2" xfId="7837"/>
    <cellStyle name="Обычный 3 4 9 2 10" xfId="7838"/>
    <cellStyle name="Обычный 3 4 9 2 11" xfId="18656"/>
    <cellStyle name="Обычный 3 4 9 2 12" xfId="20352"/>
    <cellStyle name="Обычный 3 4 9 2 13" xfId="21964"/>
    <cellStyle name="Обычный 3 4 9 2 2" xfId="7839"/>
    <cellStyle name="Обычный 3 4 9 2 2 2" xfId="7840"/>
    <cellStyle name="Обычный 3 4 9 2 3" xfId="7841"/>
    <cellStyle name="Обычный 3 4 9 2 4" xfId="7842"/>
    <cellStyle name="Обычный 3 4 9 2 5" xfId="7843"/>
    <cellStyle name="Обычный 3 4 9 2 6" xfId="7844"/>
    <cellStyle name="Обычный 3 4 9 2 7" xfId="7845"/>
    <cellStyle name="Обычный 3 4 9 2 8" xfId="7846"/>
    <cellStyle name="Обычный 3 4 9 2 9" xfId="7847"/>
    <cellStyle name="Обычный 3 4 9 3" xfId="7848"/>
    <cellStyle name="Обычный 3 4 9 3 2" xfId="7849"/>
    <cellStyle name="Обычный 3 4 9 4" xfId="7850"/>
    <cellStyle name="Обычный 3 4 9 5" xfId="7851"/>
    <cellStyle name="Обычный 3 4 9 6" xfId="7852"/>
    <cellStyle name="Обычный 3 4 9 7" xfId="7853"/>
    <cellStyle name="Обычный 3 4 9 8" xfId="7854"/>
    <cellStyle name="Обычный 3 4 9 9" xfId="7855"/>
    <cellStyle name="Обычный 3 5" xfId="7856"/>
    <cellStyle name="Обычный 3 5 10" xfId="7857"/>
    <cellStyle name="Обычный 3 5 10 10" xfId="7858"/>
    <cellStyle name="Обычный 3 5 10 11" xfId="7859"/>
    <cellStyle name="Обычный 3 5 10 12" xfId="18658"/>
    <cellStyle name="Обычный 3 5 10 13" xfId="20354"/>
    <cellStyle name="Обычный 3 5 10 14" xfId="21966"/>
    <cellStyle name="Обычный 3 5 10 2" xfId="7860"/>
    <cellStyle name="Обычный 3 5 10 2 10" xfId="7861"/>
    <cellStyle name="Обычный 3 5 10 2 11" xfId="18659"/>
    <cellStyle name="Обычный 3 5 10 2 12" xfId="20355"/>
    <cellStyle name="Обычный 3 5 10 2 13" xfId="21967"/>
    <cellStyle name="Обычный 3 5 10 2 2" xfId="7862"/>
    <cellStyle name="Обычный 3 5 10 2 2 2" xfId="7863"/>
    <cellStyle name="Обычный 3 5 10 2 3" xfId="7864"/>
    <cellStyle name="Обычный 3 5 10 2 4" xfId="7865"/>
    <cellStyle name="Обычный 3 5 10 2 5" xfId="7866"/>
    <cellStyle name="Обычный 3 5 10 2 6" xfId="7867"/>
    <cellStyle name="Обычный 3 5 10 2 7" xfId="7868"/>
    <cellStyle name="Обычный 3 5 10 2 8" xfId="7869"/>
    <cellStyle name="Обычный 3 5 10 2 9" xfId="7870"/>
    <cellStyle name="Обычный 3 5 10 3" xfId="7871"/>
    <cellStyle name="Обычный 3 5 10 3 2" xfId="7872"/>
    <cellStyle name="Обычный 3 5 10 4" xfId="7873"/>
    <cellStyle name="Обычный 3 5 10 5" xfId="7874"/>
    <cellStyle name="Обычный 3 5 10 6" xfId="7875"/>
    <cellStyle name="Обычный 3 5 10 7" xfId="7876"/>
    <cellStyle name="Обычный 3 5 10 8" xfId="7877"/>
    <cellStyle name="Обычный 3 5 10 9" xfId="7878"/>
    <cellStyle name="Обычный 3 5 11" xfId="7879"/>
    <cellStyle name="Обычный 3 5 11 10" xfId="7880"/>
    <cellStyle name="Обычный 3 5 11 11" xfId="18660"/>
    <cellStyle name="Обычный 3 5 11 12" xfId="20356"/>
    <cellStyle name="Обычный 3 5 11 13" xfId="21968"/>
    <cellStyle name="Обычный 3 5 11 2" xfId="7881"/>
    <cellStyle name="Обычный 3 5 11 2 2" xfId="7882"/>
    <cellStyle name="Обычный 3 5 11 3" xfId="7883"/>
    <cellStyle name="Обычный 3 5 11 4" xfId="7884"/>
    <cellStyle name="Обычный 3 5 11 5" xfId="7885"/>
    <cellStyle name="Обычный 3 5 11 6" xfId="7886"/>
    <cellStyle name="Обычный 3 5 11 7" xfId="7887"/>
    <cellStyle name="Обычный 3 5 11 8" xfId="7888"/>
    <cellStyle name="Обычный 3 5 11 9" xfId="7889"/>
    <cellStyle name="Обычный 3 5 12" xfId="7890"/>
    <cellStyle name="Обычный 3 5 12 10" xfId="20357"/>
    <cellStyle name="Обычный 3 5 12 11" xfId="21969"/>
    <cellStyle name="Обычный 3 5 12 2" xfId="7891"/>
    <cellStyle name="Обычный 3 5 12 2 2" xfId="7892"/>
    <cellStyle name="Обычный 3 5 12 3" xfId="7893"/>
    <cellStyle name="Обычный 3 5 12 4" xfId="7894"/>
    <cellStyle name="Обычный 3 5 12 5" xfId="7895"/>
    <cellStyle name="Обычный 3 5 12 6" xfId="7896"/>
    <cellStyle name="Обычный 3 5 12 7" xfId="7897"/>
    <cellStyle name="Обычный 3 5 12 8" xfId="7898"/>
    <cellStyle name="Обычный 3 5 12 9" xfId="18661"/>
    <cellStyle name="Обычный 3 5 13" xfId="7899"/>
    <cellStyle name="Обычный 3 5 13 10" xfId="20358"/>
    <cellStyle name="Обычный 3 5 13 11" xfId="21970"/>
    <cellStyle name="Обычный 3 5 13 2" xfId="7900"/>
    <cellStyle name="Обычный 3 5 13 2 2" xfId="7901"/>
    <cellStyle name="Обычный 3 5 13 3" xfId="7902"/>
    <cellStyle name="Обычный 3 5 13 4" xfId="7903"/>
    <cellStyle name="Обычный 3 5 13 5" xfId="7904"/>
    <cellStyle name="Обычный 3 5 13 6" xfId="7905"/>
    <cellStyle name="Обычный 3 5 13 7" xfId="7906"/>
    <cellStyle name="Обычный 3 5 13 8" xfId="7907"/>
    <cellStyle name="Обычный 3 5 13 9" xfId="18662"/>
    <cellStyle name="Обычный 3 5 14" xfId="7908"/>
    <cellStyle name="Обычный 3 5 14 2" xfId="7909"/>
    <cellStyle name="Обычный 3 5 15" xfId="7910"/>
    <cellStyle name="Обычный 3 5 16" xfId="7911"/>
    <cellStyle name="Обычный 3 5 17" xfId="7912"/>
    <cellStyle name="Обычный 3 5 18" xfId="7913"/>
    <cellStyle name="Обычный 3 5 19" xfId="7914"/>
    <cellStyle name="Обычный 3 5 2" xfId="7915"/>
    <cellStyle name="Обычный 3 5 2 10" xfId="7916"/>
    <cellStyle name="Обычный 3 5 2 10 2" xfId="7917"/>
    <cellStyle name="Обычный 3 5 2 11" xfId="7918"/>
    <cellStyle name="Обычный 3 5 2 12" xfId="7919"/>
    <cellStyle name="Обычный 3 5 2 13" xfId="7920"/>
    <cellStyle name="Обычный 3 5 2 14" xfId="7921"/>
    <cellStyle name="Обычный 3 5 2 15" xfId="7922"/>
    <cellStyle name="Обычный 3 5 2 16" xfId="7923"/>
    <cellStyle name="Обычный 3 5 2 17" xfId="7924"/>
    <cellStyle name="Обычный 3 5 2 18" xfId="7925"/>
    <cellStyle name="Обычный 3 5 2 19" xfId="7926"/>
    <cellStyle name="Обычный 3 5 2 2" xfId="7927"/>
    <cellStyle name="Обычный 3 5 2 2 10" xfId="7928"/>
    <cellStyle name="Обычный 3 5 2 2 11" xfId="7929"/>
    <cellStyle name="Обычный 3 5 2 2 12" xfId="7930"/>
    <cellStyle name="Обычный 3 5 2 2 13" xfId="7931"/>
    <cellStyle name="Обычный 3 5 2 2 14" xfId="7932"/>
    <cellStyle name="Обычный 3 5 2 2 15" xfId="7933"/>
    <cellStyle name="Обычный 3 5 2 2 16" xfId="7934"/>
    <cellStyle name="Обычный 3 5 2 2 17" xfId="7935"/>
    <cellStyle name="Обычный 3 5 2 2 18" xfId="18664"/>
    <cellStyle name="Обычный 3 5 2 2 19" xfId="20360"/>
    <cellStyle name="Обычный 3 5 2 2 2" xfId="7936"/>
    <cellStyle name="Обычный 3 5 2 2 2 10" xfId="7937"/>
    <cellStyle name="Обычный 3 5 2 2 2 11" xfId="7938"/>
    <cellStyle name="Обычный 3 5 2 2 2 12" xfId="18665"/>
    <cellStyle name="Обычный 3 5 2 2 2 13" xfId="20361"/>
    <cellStyle name="Обычный 3 5 2 2 2 14" xfId="21973"/>
    <cellStyle name="Обычный 3 5 2 2 2 2" xfId="7939"/>
    <cellStyle name="Обычный 3 5 2 2 2 2 10" xfId="7940"/>
    <cellStyle name="Обычный 3 5 2 2 2 2 11" xfId="18666"/>
    <cellStyle name="Обычный 3 5 2 2 2 2 12" xfId="20362"/>
    <cellStyle name="Обычный 3 5 2 2 2 2 13" xfId="21974"/>
    <cellStyle name="Обычный 3 5 2 2 2 2 2" xfId="7941"/>
    <cellStyle name="Обычный 3 5 2 2 2 2 2 2" xfId="7942"/>
    <cellStyle name="Обычный 3 5 2 2 2 2 3" xfId="7943"/>
    <cellStyle name="Обычный 3 5 2 2 2 2 4" xfId="7944"/>
    <cellStyle name="Обычный 3 5 2 2 2 2 5" xfId="7945"/>
    <cellStyle name="Обычный 3 5 2 2 2 2 6" xfId="7946"/>
    <cellStyle name="Обычный 3 5 2 2 2 2 7" xfId="7947"/>
    <cellStyle name="Обычный 3 5 2 2 2 2 8" xfId="7948"/>
    <cellStyle name="Обычный 3 5 2 2 2 2 9" xfId="7949"/>
    <cellStyle name="Обычный 3 5 2 2 2 3" xfId="7950"/>
    <cellStyle name="Обычный 3 5 2 2 2 3 2" xfId="7951"/>
    <cellStyle name="Обычный 3 5 2 2 2 4" xfId="7952"/>
    <cellStyle name="Обычный 3 5 2 2 2 5" xfId="7953"/>
    <cellStyle name="Обычный 3 5 2 2 2 6" xfId="7954"/>
    <cellStyle name="Обычный 3 5 2 2 2 7" xfId="7955"/>
    <cellStyle name="Обычный 3 5 2 2 2 8" xfId="7956"/>
    <cellStyle name="Обычный 3 5 2 2 2 9" xfId="7957"/>
    <cellStyle name="Обычный 3 5 2 2 20" xfId="21972"/>
    <cellStyle name="Обычный 3 5 2 2 3" xfId="7958"/>
    <cellStyle name="Обычный 3 5 2 2 3 10" xfId="7959"/>
    <cellStyle name="Обычный 3 5 2 2 3 11" xfId="7960"/>
    <cellStyle name="Обычный 3 5 2 2 3 12" xfId="18667"/>
    <cellStyle name="Обычный 3 5 2 2 3 13" xfId="20363"/>
    <cellStyle name="Обычный 3 5 2 2 3 14" xfId="21975"/>
    <cellStyle name="Обычный 3 5 2 2 3 2" xfId="7961"/>
    <cellStyle name="Обычный 3 5 2 2 3 2 10" xfId="7962"/>
    <cellStyle name="Обычный 3 5 2 2 3 2 11" xfId="18668"/>
    <cellStyle name="Обычный 3 5 2 2 3 2 12" xfId="20364"/>
    <cellStyle name="Обычный 3 5 2 2 3 2 13" xfId="21976"/>
    <cellStyle name="Обычный 3 5 2 2 3 2 2" xfId="7963"/>
    <cellStyle name="Обычный 3 5 2 2 3 2 2 2" xfId="7964"/>
    <cellStyle name="Обычный 3 5 2 2 3 2 3" xfId="7965"/>
    <cellStyle name="Обычный 3 5 2 2 3 2 4" xfId="7966"/>
    <cellStyle name="Обычный 3 5 2 2 3 2 5" xfId="7967"/>
    <cellStyle name="Обычный 3 5 2 2 3 2 6" xfId="7968"/>
    <cellStyle name="Обычный 3 5 2 2 3 2 7" xfId="7969"/>
    <cellStyle name="Обычный 3 5 2 2 3 2 8" xfId="7970"/>
    <cellStyle name="Обычный 3 5 2 2 3 2 9" xfId="7971"/>
    <cellStyle name="Обычный 3 5 2 2 3 3" xfId="7972"/>
    <cellStyle name="Обычный 3 5 2 2 3 3 2" xfId="7973"/>
    <cellStyle name="Обычный 3 5 2 2 3 4" xfId="7974"/>
    <cellStyle name="Обычный 3 5 2 2 3 5" xfId="7975"/>
    <cellStyle name="Обычный 3 5 2 2 3 6" xfId="7976"/>
    <cellStyle name="Обычный 3 5 2 2 3 7" xfId="7977"/>
    <cellStyle name="Обычный 3 5 2 2 3 8" xfId="7978"/>
    <cellStyle name="Обычный 3 5 2 2 3 9" xfId="7979"/>
    <cellStyle name="Обычный 3 5 2 2 4" xfId="7980"/>
    <cellStyle name="Обычный 3 5 2 2 4 10" xfId="7981"/>
    <cellStyle name="Обычный 3 5 2 2 4 11" xfId="7982"/>
    <cellStyle name="Обычный 3 5 2 2 4 12" xfId="18669"/>
    <cellStyle name="Обычный 3 5 2 2 4 13" xfId="20365"/>
    <cellStyle name="Обычный 3 5 2 2 4 14" xfId="21977"/>
    <cellStyle name="Обычный 3 5 2 2 4 2" xfId="7983"/>
    <cellStyle name="Обычный 3 5 2 2 4 2 10" xfId="7984"/>
    <cellStyle name="Обычный 3 5 2 2 4 2 11" xfId="18670"/>
    <cellStyle name="Обычный 3 5 2 2 4 2 12" xfId="20366"/>
    <cellStyle name="Обычный 3 5 2 2 4 2 13" xfId="21978"/>
    <cellStyle name="Обычный 3 5 2 2 4 2 2" xfId="7985"/>
    <cellStyle name="Обычный 3 5 2 2 4 2 2 2" xfId="7986"/>
    <cellStyle name="Обычный 3 5 2 2 4 2 3" xfId="7987"/>
    <cellStyle name="Обычный 3 5 2 2 4 2 4" xfId="7988"/>
    <cellStyle name="Обычный 3 5 2 2 4 2 5" xfId="7989"/>
    <cellStyle name="Обычный 3 5 2 2 4 2 6" xfId="7990"/>
    <cellStyle name="Обычный 3 5 2 2 4 2 7" xfId="7991"/>
    <cellStyle name="Обычный 3 5 2 2 4 2 8" xfId="7992"/>
    <cellStyle name="Обычный 3 5 2 2 4 2 9" xfId="7993"/>
    <cellStyle name="Обычный 3 5 2 2 4 3" xfId="7994"/>
    <cellStyle name="Обычный 3 5 2 2 4 3 2" xfId="7995"/>
    <cellStyle name="Обычный 3 5 2 2 4 4" xfId="7996"/>
    <cellStyle name="Обычный 3 5 2 2 4 5" xfId="7997"/>
    <cellStyle name="Обычный 3 5 2 2 4 6" xfId="7998"/>
    <cellStyle name="Обычный 3 5 2 2 4 7" xfId="7999"/>
    <cellStyle name="Обычный 3 5 2 2 4 8" xfId="8000"/>
    <cellStyle name="Обычный 3 5 2 2 4 9" xfId="8001"/>
    <cellStyle name="Обычный 3 5 2 2 5" xfId="8002"/>
    <cellStyle name="Обычный 3 5 2 2 5 10" xfId="8003"/>
    <cellStyle name="Обычный 3 5 2 2 5 11" xfId="8004"/>
    <cellStyle name="Обычный 3 5 2 2 5 12" xfId="18671"/>
    <cellStyle name="Обычный 3 5 2 2 5 13" xfId="20367"/>
    <cellStyle name="Обычный 3 5 2 2 5 14" xfId="21979"/>
    <cellStyle name="Обычный 3 5 2 2 5 2" xfId="8005"/>
    <cellStyle name="Обычный 3 5 2 2 5 2 10" xfId="8006"/>
    <cellStyle name="Обычный 3 5 2 2 5 2 11" xfId="18672"/>
    <cellStyle name="Обычный 3 5 2 2 5 2 12" xfId="20368"/>
    <cellStyle name="Обычный 3 5 2 2 5 2 13" xfId="21980"/>
    <cellStyle name="Обычный 3 5 2 2 5 2 2" xfId="8007"/>
    <cellStyle name="Обычный 3 5 2 2 5 2 2 2" xfId="8008"/>
    <cellStyle name="Обычный 3 5 2 2 5 2 3" xfId="8009"/>
    <cellStyle name="Обычный 3 5 2 2 5 2 4" xfId="8010"/>
    <cellStyle name="Обычный 3 5 2 2 5 2 5" xfId="8011"/>
    <cellStyle name="Обычный 3 5 2 2 5 2 6" xfId="8012"/>
    <cellStyle name="Обычный 3 5 2 2 5 2 7" xfId="8013"/>
    <cellStyle name="Обычный 3 5 2 2 5 2 8" xfId="8014"/>
    <cellStyle name="Обычный 3 5 2 2 5 2 9" xfId="8015"/>
    <cellStyle name="Обычный 3 5 2 2 5 3" xfId="8016"/>
    <cellStyle name="Обычный 3 5 2 2 5 3 2" xfId="8017"/>
    <cellStyle name="Обычный 3 5 2 2 5 4" xfId="8018"/>
    <cellStyle name="Обычный 3 5 2 2 5 5" xfId="8019"/>
    <cellStyle name="Обычный 3 5 2 2 5 6" xfId="8020"/>
    <cellStyle name="Обычный 3 5 2 2 5 7" xfId="8021"/>
    <cellStyle name="Обычный 3 5 2 2 5 8" xfId="8022"/>
    <cellStyle name="Обычный 3 5 2 2 5 9" xfId="8023"/>
    <cellStyle name="Обычный 3 5 2 2 6" xfId="8024"/>
    <cellStyle name="Обычный 3 5 2 2 6 10" xfId="8025"/>
    <cellStyle name="Обычный 3 5 2 2 6 11" xfId="18673"/>
    <cellStyle name="Обычный 3 5 2 2 6 12" xfId="20369"/>
    <cellStyle name="Обычный 3 5 2 2 6 13" xfId="21981"/>
    <cellStyle name="Обычный 3 5 2 2 6 2" xfId="8026"/>
    <cellStyle name="Обычный 3 5 2 2 6 2 2" xfId="8027"/>
    <cellStyle name="Обычный 3 5 2 2 6 3" xfId="8028"/>
    <cellStyle name="Обычный 3 5 2 2 6 4" xfId="8029"/>
    <cellStyle name="Обычный 3 5 2 2 6 5" xfId="8030"/>
    <cellStyle name="Обычный 3 5 2 2 6 6" xfId="8031"/>
    <cellStyle name="Обычный 3 5 2 2 6 7" xfId="8032"/>
    <cellStyle name="Обычный 3 5 2 2 6 8" xfId="8033"/>
    <cellStyle name="Обычный 3 5 2 2 6 9" xfId="8034"/>
    <cellStyle name="Обычный 3 5 2 2 7" xfId="8035"/>
    <cellStyle name="Обычный 3 5 2 2 7 10" xfId="20370"/>
    <cellStyle name="Обычный 3 5 2 2 7 11" xfId="21982"/>
    <cellStyle name="Обычный 3 5 2 2 7 2" xfId="8036"/>
    <cellStyle name="Обычный 3 5 2 2 7 2 2" xfId="8037"/>
    <cellStyle name="Обычный 3 5 2 2 7 3" xfId="8038"/>
    <cellStyle name="Обычный 3 5 2 2 7 4" xfId="8039"/>
    <cellStyle name="Обычный 3 5 2 2 7 5" xfId="8040"/>
    <cellStyle name="Обычный 3 5 2 2 7 6" xfId="8041"/>
    <cellStyle name="Обычный 3 5 2 2 7 7" xfId="8042"/>
    <cellStyle name="Обычный 3 5 2 2 7 8" xfId="8043"/>
    <cellStyle name="Обычный 3 5 2 2 7 9" xfId="18674"/>
    <cellStyle name="Обычный 3 5 2 2 8" xfId="8044"/>
    <cellStyle name="Обычный 3 5 2 2 8 2" xfId="8045"/>
    <cellStyle name="Обычный 3 5 2 2 9" xfId="8046"/>
    <cellStyle name="Обычный 3 5 2 20" xfId="18663"/>
    <cellStyle name="Обычный 3 5 2 21" xfId="20359"/>
    <cellStyle name="Обычный 3 5 2 22" xfId="21971"/>
    <cellStyle name="Обычный 3 5 2 3" xfId="8047"/>
    <cellStyle name="Обычный 3 5 2 3 10" xfId="8048"/>
    <cellStyle name="Обычный 3 5 2 3 11" xfId="8049"/>
    <cellStyle name="Обычный 3 5 2 3 12" xfId="8050"/>
    <cellStyle name="Обычный 3 5 2 3 13" xfId="8051"/>
    <cellStyle name="Обычный 3 5 2 3 14" xfId="8052"/>
    <cellStyle name="Обычный 3 5 2 3 15" xfId="8053"/>
    <cellStyle name="Обычный 3 5 2 3 16" xfId="8054"/>
    <cellStyle name="Обычный 3 5 2 3 17" xfId="8055"/>
    <cellStyle name="Обычный 3 5 2 3 18" xfId="18675"/>
    <cellStyle name="Обычный 3 5 2 3 19" xfId="20371"/>
    <cellStyle name="Обычный 3 5 2 3 2" xfId="8056"/>
    <cellStyle name="Обычный 3 5 2 3 2 10" xfId="8057"/>
    <cellStyle name="Обычный 3 5 2 3 2 11" xfId="8058"/>
    <cellStyle name="Обычный 3 5 2 3 2 12" xfId="18676"/>
    <cellStyle name="Обычный 3 5 2 3 2 13" xfId="20372"/>
    <cellStyle name="Обычный 3 5 2 3 2 14" xfId="21984"/>
    <cellStyle name="Обычный 3 5 2 3 2 2" xfId="8059"/>
    <cellStyle name="Обычный 3 5 2 3 2 2 10" xfId="8060"/>
    <cellStyle name="Обычный 3 5 2 3 2 2 11" xfId="18677"/>
    <cellStyle name="Обычный 3 5 2 3 2 2 12" xfId="20373"/>
    <cellStyle name="Обычный 3 5 2 3 2 2 13" xfId="21985"/>
    <cellStyle name="Обычный 3 5 2 3 2 2 2" xfId="8061"/>
    <cellStyle name="Обычный 3 5 2 3 2 2 2 2" xfId="8062"/>
    <cellStyle name="Обычный 3 5 2 3 2 2 3" xfId="8063"/>
    <cellStyle name="Обычный 3 5 2 3 2 2 4" xfId="8064"/>
    <cellStyle name="Обычный 3 5 2 3 2 2 5" xfId="8065"/>
    <cellStyle name="Обычный 3 5 2 3 2 2 6" xfId="8066"/>
    <cellStyle name="Обычный 3 5 2 3 2 2 7" xfId="8067"/>
    <cellStyle name="Обычный 3 5 2 3 2 2 8" xfId="8068"/>
    <cellStyle name="Обычный 3 5 2 3 2 2 9" xfId="8069"/>
    <cellStyle name="Обычный 3 5 2 3 2 3" xfId="8070"/>
    <cellStyle name="Обычный 3 5 2 3 2 3 2" xfId="8071"/>
    <cellStyle name="Обычный 3 5 2 3 2 4" xfId="8072"/>
    <cellStyle name="Обычный 3 5 2 3 2 5" xfId="8073"/>
    <cellStyle name="Обычный 3 5 2 3 2 6" xfId="8074"/>
    <cellStyle name="Обычный 3 5 2 3 2 7" xfId="8075"/>
    <cellStyle name="Обычный 3 5 2 3 2 8" xfId="8076"/>
    <cellStyle name="Обычный 3 5 2 3 2 9" xfId="8077"/>
    <cellStyle name="Обычный 3 5 2 3 20" xfId="21983"/>
    <cellStyle name="Обычный 3 5 2 3 3" xfId="8078"/>
    <cellStyle name="Обычный 3 5 2 3 3 10" xfId="8079"/>
    <cellStyle name="Обычный 3 5 2 3 3 11" xfId="8080"/>
    <cellStyle name="Обычный 3 5 2 3 3 12" xfId="18678"/>
    <cellStyle name="Обычный 3 5 2 3 3 13" xfId="20374"/>
    <cellStyle name="Обычный 3 5 2 3 3 14" xfId="21986"/>
    <cellStyle name="Обычный 3 5 2 3 3 2" xfId="8081"/>
    <cellStyle name="Обычный 3 5 2 3 3 2 10" xfId="8082"/>
    <cellStyle name="Обычный 3 5 2 3 3 2 11" xfId="18679"/>
    <cellStyle name="Обычный 3 5 2 3 3 2 12" xfId="20375"/>
    <cellStyle name="Обычный 3 5 2 3 3 2 13" xfId="21987"/>
    <cellStyle name="Обычный 3 5 2 3 3 2 2" xfId="8083"/>
    <cellStyle name="Обычный 3 5 2 3 3 2 2 2" xfId="8084"/>
    <cellStyle name="Обычный 3 5 2 3 3 2 3" xfId="8085"/>
    <cellStyle name="Обычный 3 5 2 3 3 2 4" xfId="8086"/>
    <cellStyle name="Обычный 3 5 2 3 3 2 5" xfId="8087"/>
    <cellStyle name="Обычный 3 5 2 3 3 2 6" xfId="8088"/>
    <cellStyle name="Обычный 3 5 2 3 3 2 7" xfId="8089"/>
    <cellStyle name="Обычный 3 5 2 3 3 2 8" xfId="8090"/>
    <cellStyle name="Обычный 3 5 2 3 3 2 9" xfId="8091"/>
    <cellStyle name="Обычный 3 5 2 3 3 3" xfId="8092"/>
    <cellStyle name="Обычный 3 5 2 3 3 3 2" xfId="8093"/>
    <cellStyle name="Обычный 3 5 2 3 3 4" xfId="8094"/>
    <cellStyle name="Обычный 3 5 2 3 3 5" xfId="8095"/>
    <cellStyle name="Обычный 3 5 2 3 3 6" xfId="8096"/>
    <cellStyle name="Обычный 3 5 2 3 3 7" xfId="8097"/>
    <cellStyle name="Обычный 3 5 2 3 3 8" xfId="8098"/>
    <cellStyle name="Обычный 3 5 2 3 3 9" xfId="8099"/>
    <cellStyle name="Обычный 3 5 2 3 4" xfId="8100"/>
    <cellStyle name="Обычный 3 5 2 3 4 10" xfId="8101"/>
    <cellStyle name="Обычный 3 5 2 3 4 11" xfId="8102"/>
    <cellStyle name="Обычный 3 5 2 3 4 12" xfId="18680"/>
    <cellStyle name="Обычный 3 5 2 3 4 13" xfId="20376"/>
    <cellStyle name="Обычный 3 5 2 3 4 14" xfId="21988"/>
    <cellStyle name="Обычный 3 5 2 3 4 2" xfId="8103"/>
    <cellStyle name="Обычный 3 5 2 3 4 2 10" xfId="8104"/>
    <cellStyle name="Обычный 3 5 2 3 4 2 11" xfId="18681"/>
    <cellStyle name="Обычный 3 5 2 3 4 2 12" xfId="20377"/>
    <cellStyle name="Обычный 3 5 2 3 4 2 13" xfId="21989"/>
    <cellStyle name="Обычный 3 5 2 3 4 2 2" xfId="8105"/>
    <cellStyle name="Обычный 3 5 2 3 4 2 2 2" xfId="8106"/>
    <cellStyle name="Обычный 3 5 2 3 4 2 3" xfId="8107"/>
    <cellStyle name="Обычный 3 5 2 3 4 2 4" xfId="8108"/>
    <cellStyle name="Обычный 3 5 2 3 4 2 5" xfId="8109"/>
    <cellStyle name="Обычный 3 5 2 3 4 2 6" xfId="8110"/>
    <cellStyle name="Обычный 3 5 2 3 4 2 7" xfId="8111"/>
    <cellStyle name="Обычный 3 5 2 3 4 2 8" xfId="8112"/>
    <cellStyle name="Обычный 3 5 2 3 4 2 9" xfId="8113"/>
    <cellStyle name="Обычный 3 5 2 3 4 3" xfId="8114"/>
    <cellStyle name="Обычный 3 5 2 3 4 3 2" xfId="8115"/>
    <cellStyle name="Обычный 3 5 2 3 4 4" xfId="8116"/>
    <cellStyle name="Обычный 3 5 2 3 4 5" xfId="8117"/>
    <cellStyle name="Обычный 3 5 2 3 4 6" xfId="8118"/>
    <cellStyle name="Обычный 3 5 2 3 4 7" xfId="8119"/>
    <cellStyle name="Обычный 3 5 2 3 4 8" xfId="8120"/>
    <cellStyle name="Обычный 3 5 2 3 4 9" xfId="8121"/>
    <cellStyle name="Обычный 3 5 2 3 5" xfId="8122"/>
    <cellStyle name="Обычный 3 5 2 3 5 10" xfId="8123"/>
    <cellStyle name="Обычный 3 5 2 3 5 11" xfId="8124"/>
    <cellStyle name="Обычный 3 5 2 3 5 12" xfId="18682"/>
    <cellStyle name="Обычный 3 5 2 3 5 13" xfId="20378"/>
    <cellStyle name="Обычный 3 5 2 3 5 14" xfId="21990"/>
    <cellStyle name="Обычный 3 5 2 3 5 2" xfId="8125"/>
    <cellStyle name="Обычный 3 5 2 3 5 2 10" xfId="8126"/>
    <cellStyle name="Обычный 3 5 2 3 5 2 11" xfId="18683"/>
    <cellStyle name="Обычный 3 5 2 3 5 2 12" xfId="20379"/>
    <cellStyle name="Обычный 3 5 2 3 5 2 13" xfId="21991"/>
    <cellStyle name="Обычный 3 5 2 3 5 2 2" xfId="8127"/>
    <cellStyle name="Обычный 3 5 2 3 5 2 2 2" xfId="8128"/>
    <cellStyle name="Обычный 3 5 2 3 5 2 3" xfId="8129"/>
    <cellStyle name="Обычный 3 5 2 3 5 2 4" xfId="8130"/>
    <cellStyle name="Обычный 3 5 2 3 5 2 5" xfId="8131"/>
    <cellStyle name="Обычный 3 5 2 3 5 2 6" xfId="8132"/>
    <cellStyle name="Обычный 3 5 2 3 5 2 7" xfId="8133"/>
    <cellStyle name="Обычный 3 5 2 3 5 2 8" xfId="8134"/>
    <cellStyle name="Обычный 3 5 2 3 5 2 9" xfId="8135"/>
    <cellStyle name="Обычный 3 5 2 3 5 3" xfId="8136"/>
    <cellStyle name="Обычный 3 5 2 3 5 3 2" xfId="8137"/>
    <cellStyle name="Обычный 3 5 2 3 5 4" xfId="8138"/>
    <cellStyle name="Обычный 3 5 2 3 5 5" xfId="8139"/>
    <cellStyle name="Обычный 3 5 2 3 5 6" xfId="8140"/>
    <cellStyle name="Обычный 3 5 2 3 5 7" xfId="8141"/>
    <cellStyle name="Обычный 3 5 2 3 5 8" xfId="8142"/>
    <cellStyle name="Обычный 3 5 2 3 5 9" xfId="8143"/>
    <cellStyle name="Обычный 3 5 2 3 6" xfId="8144"/>
    <cellStyle name="Обычный 3 5 2 3 6 10" xfId="8145"/>
    <cellStyle name="Обычный 3 5 2 3 6 11" xfId="18684"/>
    <cellStyle name="Обычный 3 5 2 3 6 12" xfId="20380"/>
    <cellStyle name="Обычный 3 5 2 3 6 13" xfId="21992"/>
    <cellStyle name="Обычный 3 5 2 3 6 2" xfId="8146"/>
    <cellStyle name="Обычный 3 5 2 3 6 2 2" xfId="8147"/>
    <cellStyle name="Обычный 3 5 2 3 6 3" xfId="8148"/>
    <cellStyle name="Обычный 3 5 2 3 6 4" xfId="8149"/>
    <cellStyle name="Обычный 3 5 2 3 6 5" xfId="8150"/>
    <cellStyle name="Обычный 3 5 2 3 6 6" xfId="8151"/>
    <cellStyle name="Обычный 3 5 2 3 6 7" xfId="8152"/>
    <cellStyle name="Обычный 3 5 2 3 6 8" xfId="8153"/>
    <cellStyle name="Обычный 3 5 2 3 6 9" xfId="8154"/>
    <cellStyle name="Обычный 3 5 2 3 7" xfId="8155"/>
    <cellStyle name="Обычный 3 5 2 3 7 10" xfId="20381"/>
    <cellStyle name="Обычный 3 5 2 3 7 11" xfId="21993"/>
    <cellStyle name="Обычный 3 5 2 3 7 2" xfId="8156"/>
    <cellStyle name="Обычный 3 5 2 3 7 2 2" xfId="8157"/>
    <cellStyle name="Обычный 3 5 2 3 7 3" xfId="8158"/>
    <cellStyle name="Обычный 3 5 2 3 7 4" xfId="8159"/>
    <cellStyle name="Обычный 3 5 2 3 7 5" xfId="8160"/>
    <cellStyle name="Обычный 3 5 2 3 7 6" xfId="8161"/>
    <cellStyle name="Обычный 3 5 2 3 7 7" xfId="8162"/>
    <cellStyle name="Обычный 3 5 2 3 7 8" xfId="8163"/>
    <cellStyle name="Обычный 3 5 2 3 7 9" xfId="18685"/>
    <cellStyle name="Обычный 3 5 2 3 8" xfId="8164"/>
    <cellStyle name="Обычный 3 5 2 3 8 2" xfId="8165"/>
    <cellStyle name="Обычный 3 5 2 3 9" xfId="8166"/>
    <cellStyle name="Обычный 3 5 2 4" xfId="8167"/>
    <cellStyle name="Обычный 3 5 2 4 10" xfId="8168"/>
    <cellStyle name="Обычный 3 5 2 4 11" xfId="8169"/>
    <cellStyle name="Обычный 3 5 2 4 12" xfId="18686"/>
    <cellStyle name="Обычный 3 5 2 4 13" xfId="20382"/>
    <cellStyle name="Обычный 3 5 2 4 14" xfId="21994"/>
    <cellStyle name="Обычный 3 5 2 4 2" xfId="8170"/>
    <cellStyle name="Обычный 3 5 2 4 2 10" xfId="8171"/>
    <cellStyle name="Обычный 3 5 2 4 2 11" xfId="18687"/>
    <cellStyle name="Обычный 3 5 2 4 2 12" xfId="20383"/>
    <cellStyle name="Обычный 3 5 2 4 2 13" xfId="21995"/>
    <cellStyle name="Обычный 3 5 2 4 2 2" xfId="8172"/>
    <cellStyle name="Обычный 3 5 2 4 2 2 2" xfId="8173"/>
    <cellStyle name="Обычный 3 5 2 4 2 3" xfId="8174"/>
    <cellStyle name="Обычный 3 5 2 4 2 4" xfId="8175"/>
    <cellStyle name="Обычный 3 5 2 4 2 5" xfId="8176"/>
    <cellStyle name="Обычный 3 5 2 4 2 6" xfId="8177"/>
    <cellStyle name="Обычный 3 5 2 4 2 7" xfId="8178"/>
    <cellStyle name="Обычный 3 5 2 4 2 8" xfId="8179"/>
    <cellStyle name="Обычный 3 5 2 4 2 9" xfId="8180"/>
    <cellStyle name="Обычный 3 5 2 4 3" xfId="8181"/>
    <cellStyle name="Обычный 3 5 2 4 3 2" xfId="8182"/>
    <cellStyle name="Обычный 3 5 2 4 4" xfId="8183"/>
    <cellStyle name="Обычный 3 5 2 4 5" xfId="8184"/>
    <cellStyle name="Обычный 3 5 2 4 6" xfId="8185"/>
    <cellStyle name="Обычный 3 5 2 4 7" xfId="8186"/>
    <cellStyle name="Обычный 3 5 2 4 8" xfId="8187"/>
    <cellStyle name="Обычный 3 5 2 4 9" xfId="8188"/>
    <cellStyle name="Обычный 3 5 2 5" xfId="8189"/>
    <cellStyle name="Обычный 3 5 2 5 10" xfId="8190"/>
    <cellStyle name="Обычный 3 5 2 5 11" xfId="8191"/>
    <cellStyle name="Обычный 3 5 2 5 12" xfId="18688"/>
    <cellStyle name="Обычный 3 5 2 5 13" xfId="20384"/>
    <cellStyle name="Обычный 3 5 2 5 14" xfId="21996"/>
    <cellStyle name="Обычный 3 5 2 5 2" xfId="8192"/>
    <cellStyle name="Обычный 3 5 2 5 2 10" xfId="8193"/>
    <cellStyle name="Обычный 3 5 2 5 2 11" xfId="18689"/>
    <cellStyle name="Обычный 3 5 2 5 2 12" xfId="20385"/>
    <cellStyle name="Обычный 3 5 2 5 2 13" xfId="21997"/>
    <cellStyle name="Обычный 3 5 2 5 2 2" xfId="8194"/>
    <cellStyle name="Обычный 3 5 2 5 2 2 2" xfId="8195"/>
    <cellStyle name="Обычный 3 5 2 5 2 3" xfId="8196"/>
    <cellStyle name="Обычный 3 5 2 5 2 4" xfId="8197"/>
    <cellStyle name="Обычный 3 5 2 5 2 5" xfId="8198"/>
    <cellStyle name="Обычный 3 5 2 5 2 6" xfId="8199"/>
    <cellStyle name="Обычный 3 5 2 5 2 7" xfId="8200"/>
    <cellStyle name="Обычный 3 5 2 5 2 8" xfId="8201"/>
    <cellStyle name="Обычный 3 5 2 5 2 9" xfId="8202"/>
    <cellStyle name="Обычный 3 5 2 5 3" xfId="8203"/>
    <cellStyle name="Обычный 3 5 2 5 3 2" xfId="8204"/>
    <cellStyle name="Обычный 3 5 2 5 4" xfId="8205"/>
    <cellStyle name="Обычный 3 5 2 5 5" xfId="8206"/>
    <cellStyle name="Обычный 3 5 2 5 6" xfId="8207"/>
    <cellStyle name="Обычный 3 5 2 5 7" xfId="8208"/>
    <cellStyle name="Обычный 3 5 2 5 8" xfId="8209"/>
    <cellStyle name="Обычный 3 5 2 5 9" xfId="8210"/>
    <cellStyle name="Обычный 3 5 2 6" xfId="8211"/>
    <cellStyle name="Обычный 3 5 2 6 10" xfId="8212"/>
    <cellStyle name="Обычный 3 5 2 6 11" xfId="8213"/>
    <cellStyle name="Обычный 3 5 2 6 12" xfId="18690"/>
    <cellStyle name="Обычный 3 5 2 6 13" xfId="20386"/>
    <cellStyle name="Обычный 3 5 2 6 14" xfId="21998"/>
    <cellStyle name="Обычный 3 5 2 6 2" xfId="8214"/>
    <cellStyle name="Обычный 3 5 2 6 2 10" xfId="8215"/>
    <cellStyle name="Обычный 3 5 2 6 2 11" xfId="18691"/>
    <cellStyle name="Обычный 3 5 2 6 2 12" xfId="20387"/>
    <cellStyle name="Обычный 3 5 2 6 2 13" xfId="21999"/>
    <cellStyle name="Обычный 3 5 2 6 2 2" xfId="8216"/>
    <cellStyle name="Обычный 3 5 2 6 2 2 2" xfId="8217"/>
    <cellStyle name="Обычный 3 5 2 6 2 3" xfId="8218"/>
    <cellStyle name="Обычный 3 5 2 6 2 4" xfId="8219"/>
    <cellStyle name="Обычный 3 5 2 6 2 5" xfId="8220"/>
    <cellStyle name="Обычный 3 5 2 6 2 6" xfId="8221"/>
    <cellStyle name="Обычный 3 5 2 6 2 7" xfId="8222"/>
    <cellStyle name="Обычный 3 5 2 6 2 8" xfId="8223"/>
    <cellStyle name="Обычный 3 5 2 6 2 9" xfId="8224"/>
    <cellStyle name="Обычный 3 5 2 6 3" xfId="8225"/>
    <cellStyle name="Обычный 3 5 2 6 3 2" xfId="8226"/>
    <cellStyle name="Обычный 3 5 2 6 4" xfId="8227"/>
    <cellStyle name="Обычный 3 5 2 6 5" xfId="8228"/>
    <cellStyle name="Обычный 3 5 2 6 6" xfId="8229"/>
    <cellStyle name="Обычный 3 5 2 6 7" xfId="8230"/>
    <cellStyle name="Обычный 3 5 2 6 8" xfId="8231"/>
    <cellStyle name="Обычный 3 5 2 6 9" xfId="8232"/>
    <cellStyle name="Обычный 3 5 2 7" xfId="8233"/>
    <cellStyle name="Обычный 3 5 2 7 10" xfId="8234"/>
    <cellStyle name="Обычный 3 5 2 7 11" xfId="8235"/>
    <cellStyle name="Обычный 3 5 2 7 12" xfId="18692"/>
    <cellStyle name="Обычный 3 5 2 7 13" xfId="20388"/>
    <cellStyle name="Обычный 3 5 2 7 14" xfId="22000"/>
    <cellStyle name="Обычный 3 5 2 7 2" xfId="8236"/>
    <cellStyle name="Обычный 3 5 2 7 2 10" xfId="8237"/>
    <cellStyle name="Обычный 3 5 2 7 2 11" xfId="18693"/>
    <cellStyle name="Обычный 3 5 2 7 2 12" xfId="20389"/>
    <cellStyle name="Обычный 3 5 2 7 2 13" xfId="22001"/>
    <cellStyle name="Обычный 3 5 2 7 2 2" xfId="8238"/>
    <cellStyle name="Обычный 3 5 2 7 2 2 2" xfId="8239"/>
    <cellStyle name="Обычный 3 5 2 7 2 3" xfId="8240"/>
    <cellStyle name="Обычный 3 5 2 7 2 4" xfId="8241"/>
    <cellStyle name="Обычный 3 5 2 7 2 5" xfId="8242"/>
    <cellStyle name="Обычный 3 5 2 7 2 6" xfId="8243"/>
    <cellStyle name="Обычный 3 5 2 7 2 7" xfId="8244"/>
    <cellStyle name="Обычный 3 5 2 7 2 8" xfId="8245"/>
    <cellStyle name="Обычный 3 5 2 7 2 9" xfId="8246"/>
    <cellStyle name="Обычный 3 5 2 7 3" xfId="8247"/>
    <cellStyle name="Обычный 3 5 2 7 3 2" xfId="8248"/>
    <cellStyle name="Обычный 3 5 2 7 4" xfId="8249"/>
    <cellStyle name="Обычный 3 5 2 7 5" xfId="8250"/>
    <cellStyle name="Обычный 3 5 2 7 6" xfId="8251"/>
    <cellStyle name="Обычный 3 5 2 7 7" xfId="8252"/>
    <cellStyle name="Обычный 3 5 2 7 8" xfId="8253"/>
    <cellStyle name="Обычный 3 5 2 7 9" xfId="8254"/>
    <cellStyle name="Обычный 3 5 2 8" xfId="8255"/>
    <cellStyle name="Обычный 3 5 2 8 10" xfId="8256"/>
    <cellStyle name="Обычный 3 5 2 8 11" xfId="18694"/>
    <cellStyle name="Обычный 3 5 2 8 12" xfId="20390"/>
    <cellStyle name="Обычный 3 5 2 8 13" xfId="22002"/>
    <cellStyle name="Обычный 3 5 2 8 2" xfId="8257"/>
    <cellStyle name="Обычный 3 5 2 8 2 2" xfId="8258"/>
    <cellStyle name="Обычный 3 5 2 8 3" xfId="8259"/>
    <cellStyle name="Обычный 3 5 2 8 4" xfId="8260"/>
    <cellStyle name="Обычный 3 5 2 8 5" xfId="8261"/>
    <cellStyle name="Обычный 3 5 2 8 6" xfId="8262"/>
    <cellStyle name="Обычный 3 5 2 8 7" xfId="8263"/>
    <cellStyle name="Обычный 3 5 2 8 8" xfId="8264"/>
    <cellStyle name="Обычный 3 5 2 8 9" xfId="8265"/>
    <cellStyle name="Обычный 3 5 2 9" xfId="8266"/>
    <cellStyle name="Обычный 3 5 2 9 10" xfId="20391"/>
    <cellStyle name="Обычный 3 5 2 9 11" xfId="22003"/>
    <cellStyle name="Обычный 3 5 2 9 2" xfId="8267"/>
    <cellStyle name="Обычный 3 5 2 9 2 2" xfId="8268"/>
    <cellStyle name="Обычный 3 5 2 9 3" xfId="8269"/>
    <cellStyle name="Обычный 3 5 2 9 4" xfId="8270"/>
    <cellStyle name="Обычный 3 5 2 9 5" xfId="8271"/>
    <cellStyle name="Обычный 3 5 2 9 6" xfId="8272"/>
    <cellStyle name="Обычный 3 5 2 9 7" xfId="8273"/>
    <cellStyle name="Обычный 3 5 2 9 8" xfId="8274"/>
    <cellStyle name="Обычный 3 5 2 9 9" xfId="18695"/>
    <cellStyle name="Обычный 3 5 20" xfId="8275"/>
    <cellStyle name="Обычный 3 5 21" xfId="8276"/>
    <cellStyle name="Обычный 3 5 22" xfId="8277"/>
    <cellStyle name="Обычный 3 5 23" xfId="8278"/>
    <cellStyle name="Обычный 3 5 24" xfId="18657"/>
    <cellStyle name="Обычный 3 5 25" xfId="19634"/>
    <cellStyle name="Обычный 3 5 26" xfId="20353"/>
    <cellStyle name="Обычный 3 5 27" xfId="21965"/>
    <cellStyle name="Обычный 3 5 3" xfId="8279"/>
    <cellStyle name="Обычный 3 5 3 10" xfId="8280"/>
    <cellStyle name="Обычный 3 5 3 11" xfId="8281"/>
    <cellStyle name="Обычный 3 5 3 12" xfId="8282"/>
    <cellStyle name="Обычный 3 5 3 13" xfId="8283"/>
    <cellStyle name="Обычный 3 5 3 14" xfId="8284"/>
    <cellStyle name="Обычный 3 5 3 15" xfId="8285"/>
    <cellStyle name="Обычный 3 5 3 16" xfId="8286"/>
    <cellStyle name="Обычный 3 5 3 17" xfId="8287"/>
    <cellStyle name="Обычный 3 5 3 18" xfId="18696"/>
    <cellStyle name="Обычный 3 5 3 19" xfId="20392"/>
    <cellStyle name="Обычный 3 5 3 2" xfId="8288"/>
    <cellStyle name="Обычный 3 5 3 2 10" xfId="8289"/>
    <cellStyle name="Обычный 3 5 3 2 11" xfId="8290"/>
    <cellStyle name="Обычный 3 5 3 2 12" xfId="18697"/>
    <cellStyle name="Обычный 3 5 3 2 13" xfId="20393"/>
    <cellStyle name="Обычный 3 5 3 2 14" xfId="22005"/>
    <cellStyle name="Обычный 3 5 3 2 2" xfId="8291"/>
    <cellStyle name="Обычный 3 5 3 2 2 10" xfId="8292"/>
    <cellStyle name="Обычный 3 5 3 2 2 11" xfId="18698"/>
    <cellStyle name="Обычный 3 5 3 2 2 12" xfId="20394"/>
    <cellStyle name="Обычный 3 5 3 2 2 13" xfId="22006"/>
    <cellStyle name="Обычный 3 5 3 2 2 2" xfId="8293"/>
    <cellStyle name="Обычный 3 5 3 2 2 2 2" xfId="8294"/>
    <cellStyle name="Обычный 3 5 3 2 2 3" xfId="8295"/>
    <cellStyle name="Обычный 3 5 3 2 2 4" xfId="8296"/>
    <cellStyle name="Обычный 3 5 3 2 2 5" xfId="8297"/>
    <cellStyle name="Обычный 3 5 3 2 2 6" xfId="8298"/>
    <cellStyle name="Обычный 3 5 3 2 2 7" xfId="8299"/>
    <cellStyle name="Обычный 3 5 3 2 2 8" xfId="8300"/>
    <cellStyle name="Обычный 3 5 3 2 2 9" xfId="8301"/>
    <cellStyle name="Обычный 3 5 3 2 3" xfId="8302"/>
    <cellStyle name="Обычный 3 5 3 2 3 2" xfId="8303"/>
    <cellStyle name="Обычный 3 5 3 2 4" xfId="8304"/>
    <cellStyle name="Обычный 3 5 3 2 5" xfId="8305"/>
    <cellStyle name="Обычный 3 5 3 2 6" xfId="8306"/>
    <cellStyle name="Обычный 3 5 3 2 7" xfId="8307"/>
    <cellStyle name="Обычный 3 5 3 2 8" xfId="8308"/>
    <cellStyle name="Обычный 3 5 3 2 9" xfId="8309"/>
    <cellStyle name="Обычный 3 5 3 20" xfId="22004"/>
    <cellStyle name="Обычный 3 5 3 3" xfId="8310"/>
    <cellStyle name="Обычный 3 5 3 3 10" xfId="8311"/>
    <cellStyle name="Обычный 3 5 3 3 11" xfId="8312"/>
    <cellStyle name="Обычный 3 5 3 3 12" xfId="18699"/>
    <cellStyle name="Обычный 3 5 3 3 13" xfId="20395"/>
    <cellStyle name="Обычный 3 5 3 3 14" xfId="22007"/>
    <cellStyle name="Обычный 3 5 3 3 2" xfId="8313"/>
    <cellStyle name="Обычный 3 5 3 3 2 10" xfId="8314"/>
    <cellStyle name="Обычный 3 5 3 3 2 11" xfId="18700"/>
    <cellStyle name="Обычный 3 5 3 3 2 12" xfId="20396"/>
    <cellStyle name="Обычный 3 5 3 3 2 13" xfId="22008"/>
    <cellStyle name="Обычный 3 5 3 3 2 2" xfId="8315"/>
    <cellStyle name="Обычный 3 5 3 3 2 2 2" xfId="8316"/>
    <cellStyle name="Обычный 3 5 3 3 2 3" xfId="8317"/>
    <cellStyle name="Обычный 3 5 3 3 2 4" xfId="8318"/>
    <cellStyle name="Обычный 3 5 3 3 2 5" xfId="8319"/>
    <cellStyle name="Обычный 3 5 3 3 2 6" xfId="8320"/>
    <cellStyle name="Обычный 3 5 3 3 2 7" xfId="8321"/>
    <cellStyle name="Обычный 3 5 3 3 2 8" xfId="8322"/>
    <cellStyle name="Обычный 3 5 3 3 2 9" xfId="8323"/>
    <cellStyle name="Обычный 3 5 3 3 3" xfId="8324"/>
    <cellStyle name="Обычный 3 5 3 3 3 2" xfId="8325"/>
    <cellStyle name="Обычный 3 5 3 3 4" xfId="8326"/>
    <cellStyle name="Обычный 3 5 3 3 5" xfId="8327"/>
    <cellStyle name="Обычный 3 5 3 3 6" xfId="8328"/>
    <cellStyle name="Обычный 3 5 3 3 7" xfId="8329"/>
    <cellStyle name="Обычный 3 5 3 3 8" xfId="8330"/>
    <cellStyle name="Обычный 3 5 3 3 9" xfId="8331"/>
    <cellStyle name="Обычный 3 5 3 4" xfId="8332"/>
    <cellStyle name="Обычный 3 5 3 4 10" xfId="8333"/>
    <cellStyle name="Обычный 3 5 3 4 11" xfId="8334"/>
    <cellStyle name="Обычный 3 5 3 4 12" xfId="18701"/>
    <cellStyle name="Обычный 3 5 3 4 13" xfId="20397"/>
    <cellStyle name="Обычный 3 5 3 4 14" xfId="22009"/>
    <cellStyle name="Обычный 3 5 3 4 2" xfId="8335"/>
    <cellStyle name="Обычный 3 5 3 4 2 10" xfId="8336"/>
    <cellStyle name="Обычный 3 5 3 4 2 11" xfId="18702"/>
    <cellStyle name="Обычный 3 5 3 4 2 12" xfId="20398"/>
    <cellStyle name="Обычный 3 5 3 4 2 13" xfId="22010"/>
    <cellStyle name="Обычный 3 5 3 4 2 2" xfId="8337"/>
    <cellStyle name="Обычный 3 5 3 4 2 2 2" xfId="8338"/>
    <cellStyle name="Обычный 3 5 3 4 2 3" xfId="8339"/>
    <cellStyle name="Обычный 3 5 3 4 2 4" xfId="8340"/>
    <cellStyle name="Обычный 3 5 3 4 2 5" xfId="8341"/>
    <cellStyle name="Обычный 3 5 3 4 2 6" xfId="8342"/>
    <cellStyle name="Обычный 3 5 3 4 2 7" xfId="8343"/>
    <cellStyle name="Обычный 3 5 3 4 2 8" xfId="8344"/>
    <cellStyle name="Обычный 3 5 3 4 2 9" xfId="8345"/>
    <cellStyle name="Обычный 3 5 3 4 3" xfId="8346"/>
    <cellStyle name="Обычный 3 5 3 4 3 2" xfId="8347"/>
    <cellStyle name="Обычный 3 5 3 4 4" xfId="8348"/>
    <cellStyle name="Обычный 3 5 3 4 5" xfId="8349"/>
    <cellStyle name="Обычный 3 5 3 4 6" xfId="8350"/>
    <cellStyle name="Обычный 3 5 3 4 7" xfId="8351"/>
    <cellStyle name="Обычный 3 5 3 4 8" xfId="8352"/>
    <cellStyle name="Обычный 3 5 3 4 9" xfId="8353"/>
    <cellStyle name="Обычный 3 5 3 5" xfId="8354"/>
    <cellStyle name="Обычный 3 5 3 5 10" xfId="8355"/>
    <cellStyle name="Обычный 3 5 3 5 11" xfId="8356"/>
    <cellStyle name="Обычный 3 5 3 5 12" xfId="18703"/>
    <cellStyle name="Обычный 3 5 3 5 13" xfId="20399"/>
    <cellStyle name="Обычный 3 5 3 5 14" xfId="22011"/>
    <cellStyle name="Обычный 3 5 3 5 2" xfId="8357"/>
    <cellStyle name="Обычный 3 5 3 5 2 10" xfId="8358"/>
    <cellStyle name="Обычный 3 5 3 5 2 11" xfId="18704"/>
    <cellStyle name="Обычный 3 5 3 5 2 12" xfId="20400"/>
    <cellStyle name="Обычный 3 5 3 5 2 13" xfId="22012"/>
    <cellStyle name="Обычный 3 5 3 5 2 2" xfId="8359"/>
    <cellStyle name="Обычный 3 5 3 5 2 2 2" xfId="8360"/>
    <cellStyle name="Обычный 3 5 3 5 2 3" xfId="8361"/>
    <cellStyle name="Обычный 3 5 3 5 2 4" xfId="8362"/>
    <cellStyle name="Обычный 3 5 3 5 2 5" xfId="8363"/>
    <cellStyle name="Обычный 3 5 3 5 2 6" xfId="8364"/>
    <cellStyle name="Обычный 3 5 3 5 2 7" xfId="8365"/>
    <cellStyle name="Обычный 3 5 3 5 2 8" xfId="8366"/>
    <cellStyle name="Обычный 3 5 3 5 2 9" xfId="8367"/>
    <cellStyle name="Обычный 3 5 3 5 3" xfId="8368"/>
    <cellStyle name="Обычный 3 5 3 5 3 2" xfId="8369"/>
    <cellStyle name="Обычный 3 5 3 5 4" xfId="8370"/>
    <cellStyle name="Обычный 3 5 3 5 5" xfId="8371"/>
    <cellStyle name="Обычный 3 5 3 5 6" xfId="8372"/>
    <cellStyle name="Обычный 3 5 3 5 7" xfId="8373"/>
    <cellStyle name="Обычный 3 5 3 5 8" xfId="8374"/>
    <cellStyle name="Обычный 3 5 3 5 9" xfId="8375"/>
    <cellStyle name="Обычный 3 5 3 6" xfId="8376"/>
    <cellStyle name="Обычный 3 5 3 6 10" xfId="8377"/>
    <cellStyle name="Обычный 3 5 3 6 11" xfId="18705"/>
    <cellStyle name="Обычный 3 5 3 6 12" xfId="20401"/>
    <cellStyle name="Обычный 3 5 3 6 13" xfId="22013"/>
    <cellStyle name="Обычный 3 5 3 6 2" xfId="8378"/>
    <cellStyle name="Обычный 3 5 3 6 2 2" xfId="8379"/>
    <cellStyle name="Обычный 3 5 3 6 3" xfId="8380"/>
    <cellStyle name="Обычный 3 5 3 6 4" xfId="8381"/>
    <cellStyle name="Обычный 3 5 3 6 5" xfId="8382"/>
    <cellStyle name="Обычный 3 5 3 6 6" xfId="8383"/>
    <cellStyle name="Обычный 3 5 3 6 7" xfId="8384"/>
    <cellStyle name="Обычный 3 5 3 6 8" xfId="8385"/>
    <cellStyle name="Обычный 3 5 3 6 9" xfId="8386"/>
    <cellStyle name="Обычный 3 5 3 7" xfId="8387"/>
    <cellStyle name="Обычный 3 5 3 7 10" xfId="20402"/>
    <cellStyle name="Обычный 3 5 3 7 11" xfId="22014"/>
    <cellStyle name="Обычный 3 5 3 7 2" xfId="8388"/>
    <cellStyle name="Обычный 3 5 3 7 2 2" xfId="8389"/>
    <cellStyle name="Обычный 3 5 3 7 3" xfId="8390"/>
    <cellStyle name="Обычный 3 5 3 7 4" xfId="8391"/>
    <cellStyle name="Обычный 3 5 3 7 5" xfId="8392"/>
    <cellStyle name="Обычный 3 5 3 7 6" xfId="8393"/>
    <cellStyle name="Обычный 3 5 3 7 7" xfId="8394"/>
    <cellStyle name="Обычный 3 5 3 7 8" xfId="8395"/>
    <cellStyle name="Обычный 3 5 3 7 9" xfId="18706"/>
    <cellStyle name="Обычный 3 5 3 8" xfId="8396"/>
    <cellStyle name="Обычный 3 5 3 8 2" xfId="8397"/>
    <cellStyle name="Обычный 3 5 3 9" xfId="8398"/>
    <cellStyle name="Обычный 3 5 4" xfId="8399"/>
    <cellStyle name="Обычный 3 5 4 10" xfId="8400"/>
    <cellStyle name="Обычный 3 5 4 11" xfId="8401"/>
    <cellStyle name="Обычный 3 5 4 12" xfId="8402"/>
    <cellStyle name="Обычный 3 5 4 13" xfId="8403"/>
    <cellStyle name="Обычный 3 5 4 14" xfId="8404"/>
    <cellStyle name="Обычный 3 5 4 15" xfId="8405"/>
    <cellStyle name="Обычный 3 5 4 16" xfId="8406"/>
    <cellStyle name="Обычный 3 5 4 17" xfId="8407"/>
    <cellStyle name="Обычный 3 5 4 18" xfId="18707"/>
    <cellStyle name="Обычный 3 5 4 19" xfId="20403"/>
    <cellStyle name="Обычный 3 5 4 2" xfId="8408"/>
    <cellStyle name="Обычный 3 5 4 2 10" xfId="8409"/>
    <cellStyle name="Обычный 3 5 4 2 11" xfId="8410"/>
    <cellStyle name="Обычный 3 5 4 2 12" xfId="18708"/>
    <cellStyle name="Обычный 3 5 4 2 13" xfId="20404"/>
    <cellStyle name="Обычный 3 5 4 2 14" xfId="22016"/>
    <cellStyle name="Обычный 3 5 4 2 2" xfId="8411"/>
    <cellStyle name="Обычный 3 5 4 2 2 10" xfId="8412"/>
    <cellStyle name="Обычный 3 5 4 2 2 11" xfId="18709"/>
    <cellStyle name="Обычный 3 5 4 2 2 12" xfId="20405"/>
    <cellStyle name="Обычный 3 5 4 2 2 13" xfId="22017"/>
    <cellStyle name="Обычный 3 5 4 2 2 2" xfId="8413"/>
    <cellStyle name="Обычный 3 5 4 2 2 2 2" xfId="8414"/>
    <cellStyle name="Обычный 3 5 4 2 2 3" xfId="8415"/>
    <cellStyle name="Обычный 3 5 4 2 2 4" xfId="8416"/>
    <cellStyle name="Обычный 3 5 4 2 2 5" xfId="8417"/>
    <cellStyle name="Обычный 3 5 4 2 2 6" xfId="8418"/>
    <cellStyle name="Обычный 3 5 4 2 2 7" xfId="8419"/>
    <cellStyle name="Обычный 3 5 4 2 2 8" xfId="8420"/>
    <cellStyle name="Обычный 3 5 4 2 2 9" xfId="8421"/>
    <cellStyle name="Обычный 3 5 4 2 3" xfId="8422"/>
    <cellStyle name="Обычный 3 5 4 2 3 2" xfId="8423"/>
    <cellStyle name="Обычный 3 5 4 2 4" xfId="8424"/>
    <cellStyle name="Обычный 3 5 4 2 5" xfId="8425"/>
    <cellStyle name="Обычный 3 5 4 2 6" xfId="8426"/>
    <cellStyle name="Обычный 3 5 4 2 7" xfId="8427"/>
    <cellStyle name="Обычный 3 5 4 2 8" xfId="8428"/>
    <cellStyle name="Обычный 3 5 4 2 9" xfId="8429"/>
    <cellStyle name="Обычный 3 5 4 20" xfId="22015"/>
    <cellStyle name="Обычный 3 5 4 3" xfId="8430"/>
    <cellStyle name="Обычный 3 5 4 3 10" xfId="8431"/>
    <cellStyle name="Обычный 3 5 4 3 11" xfId="8432"/>
    <cellStyle name="Обычный 3 5 4 3 12" xfId="18710"/>
    <cellStyle name="Обычный 3 5 4 3 13" xfId="20406"/>
    <cellStyle name="Обычный 3 5 4 3 14" xfId="22018"/>
    <cellStyle name="Обычный 3 5 4 3 2" xfId="8433"/>
    <cellStyle name="Обычный 3 5 4 3 2 10" xfId="8434"/>
    <cellStyle name="Обычный 3 5 4 3 2 11" xfId="18711"/>
    <cellStyle name="Обычный 3 5 4 3 2 12" xfId="20407"/>
    <cellStyle name="Обычный 3 5 4 3 2 13" xfId="22019"/>
    <cellStyle name="Обычный 3 5 4 3 2 2" xfId="8435"/>
    <cellStyle name="Обычный 3 5 4 3 2 2 2" xfId="8436"/>
    <cellStyle name="Обычный 3 5 4 3 2 3" xfId="8437"/>
    <cellStyle name="Обычный 3 5 4 3 2 4" xfId="8438"/>
    <cellStyle name="Обычный 3 5 4 3 2 5" xfId="8439"/>
    <cellStyle name="Обычный 3 5 4 3 2 6" xfId="8440"/>
    <cellStyle name="Обычный 3 5 4 3 2 7" xfId="8441"/>
    <cellStyle name="Обычный 3 5 4 3 2 8" xfId="8442"/>
    <cellStyle name="Обычный 3 5 4 3 2 9" xfId="8443"/>
    <cellStyle name="Обычный 3 5 4 3 3" xfId="8444"/>
    <cellStyle name="Обычный 3 5 4 3 3 2" xfId="8445"/>
    <cellStyle name="Обычный 3 5 4 3 4" xfId="8446"/>
    <cellStyle name="Обычный 3 5 4 3 5" xfId="8447"/>
    <cellStyle name="Обычный 3 5 4 3 6" xfId="8448"/>
    <cellStyle name="Обычный 3 5 4 3 7" xfId="8449"/>
    <cellStyle name="Обычный 3 5 4 3 8" xfId="8450"/>
    <cellStyle name="Обычный 3 5 4 3 9" xfId="8451"/>
    <cellStyle name="Обычный 3 5 4 4" xfId="8452"/>
    <cellStyle name="Обычный 3 5 4 4 10" xfId="8453"/>
    <cellStyle name="Обычный 3 5 4 4 11" xfId="8454"/>
    <cellStyle name="Обычный 3 5 4 4 12" xfId="18712"/>
    <cellStyle name="Обычный 3 5 4 4 13" xfId="20408"/>
    <cellStyle name="Обычный 3 5 4 4 14" xfId="22020"/>
    <cellStyle name="Обычный 3 5 4 4 2" xfId="8455"/>
    <cellStyle name="Обычный 3 5 4 4 2 10" xfId="8456"/>
    <cellStyle name="Обычный 3 5 4 4 2 11" xfId="18713"/>
    <cellStyle name="Обычный 3 5 4 4 2 12" xfId="20409"/>
    <cellStyle name="Обычный 3 5 4 4 2 13" xfId="22021"/>
    <cellStyle name="Обычный 3 5 4 4 2 2" xfId="8457"/>
    <cellStyle name="Обычный 3 5 4 4 2 2 2" xfId="8458"/>
    <cellStyle name="Обычный 3 5 4 4 2 3" xfId="8459"/>
    <cellStyle name="Обычный 3 5 4 4 2 4" xfId="8460"/>
    <cellStyle name="Обычный 3 5 4 4 2 5" xfId="8461"/>
    <cellStyle name="Обычный 3 5 4 4 2 6" xfId="8462"/>
    <cellStyle name="Обычный 3 5 4 4 2 7" xfId="8463"/>
    <cellStyle name="Обычный 3 5 4 4 2 8" xfId="8464"/>
    <cellStyle name="Обычный 3 5 4 4 2 9" xfId="8465"/>
    <cellStyle name="Обычный 3 5 4 4 3" xfId="8466"/>
    <cellStyle name="Обычный 3 5 4 4 3 2" xfId="8467"/>
    <cellStyle name="Обычный 3 5 4 4 4" xfId="8468"/>
    <cellStyle name="Обычный 3 5 4 4 5" xfId="8469"/>
    <cellStyle name="Обычный 3 5 4 4 6" xfId="8470"/>
    <cellStyle name="Обычный 3 5 4 4 7" xfId="8471"/>
    <cellStyle name="Обычный 3 5 4 4 8" xfId="8472"/>
    <cellStyle name="Обычный 3 5 4 4 9" xfId="8473"/>
    <cellStyle name="Обычный 3 5 4 5" xfId="8474"/>
    <cellStyle name="Обычный 3 5 4 5 10" xfId="8475"/>
    <cellStyle name="Обычный 3 5 4 5 11" xfId="8476"/>
    <cellStyle name="Обычный 3 5 4 5 12" xfId="18714"/>
    <cellStyle name="Обычный 3 5 4 5 13" xfId="20410"/>
    <cellStyle name="Обычный 3 5 4 5 14" xfId="22022"/>
    <cellStyle name="Обычный 3 5 4 5 2" xfId="8477"/>
    <cellStyle name="Обычный 3 5 4 5 2 10" xfId="8478"/>
    <cellStyle name="Обычный 3 5 4 5 2 11" xfId="18715"/>
    <cellStyle name="Обычный 3 5 4 5 2 12" xfId="20411"/>
    <cellStyle name="Обычный 3 5 4 5 2 13" xfId="22023"/>
    <cellStyle name="Обычный 3 5 4 5 2 2" xfId="8479"/>
    <cellStyle name="Обычный 3 5 4 5 2 2 2" xfId="8480"/>
    <cellStyle name="Обычный 3 5 4 5 2 3" xfId="8481"/>
    <cellStyle name="Обычный 3 5 4 5 2 4" xfId="8482"/>
    <cellStyle name="Обычный 3 5 4 5 2 5" xfId="8483"/>
    <cellStyle name="Обычный 3 5 4 5 2 6" xfId="8484"/>
    <cellStyle name="Обычный 3 5 4 5 2 7" xfId="8485"/>
    <cellStyle name="Обычный 3 5 4 5 2 8" xfId="8486"/>
    <cellStyle name="Обычный 3 5 4 5 2 9" xfId="8487"/>
    <cellStyle name="Обычный 3 5 4 5 3" xfId="8488"/>
    <cellStyle name="Обычный 3 5 4 5 3 2" xfId="8489"/>
    <cellStyle name="Обычный 3 5 4 5 4" xfId="8490"/>
    <cellStyle name="Обычный 3 5 4 5 5" xfId="8491"/>
    <cellStyle name="Обычный 3 5 4 5 6" xfId="8492"/>
    <cellStyle name="Обычный 3 5 4 5 7" xfId="8493"/>
    <cellStyle name="Обычный 3 5 4 5 8" xfId="8494"/>
    <cellStyle name="Обычный 3 5 4 5 9" xfId="8495"/>
    <cellStyle name="Обычный 3 5 4 6" xfId="8496"/>
    <cellStyle name="Обычный 3 5 4 6 10" xfId="8497"/>
    <cellStyle name="Обычный 3 5 4 6 11" xfId="18716"/>
    <cellStyle name="Обычный 3 5 4 6 12" xfId="20412"/>
    <cellStyle name="Обычный 3 5 4 6 13" xfId="22024"/>
    <cellStyle name="Обычный 3 5 4 6 2" xfId="8498"/>
    <cellStyle name="Обычный 3 5 4 6 2 2" xfId="8499"/>
    <cellStyle name="Обычный 3 5 4 6 3" xfId="8500"/>
    <cellStyle name="Обычный 3 5 4 6 4" xfId="8501"/>
    <cellStyle name="Обычный 3 5 4 6 5" xfId="8502"/>
    <cellStyle name="Обычный 3 5 4 6 6" xfId="8503"/>
    <cellStyle name="Обычный 3 5 4 6 7" xfId="8504"/>
    <cellStyle name="Обычный 3 5 4 6 8" xfId="8505"/>
    <cellStyle name="Обычный 3 5 4 6 9" xfId="8506"/>
    <cellStyle name="Обычный 3 5 4 7" xfId="8507"/>
    <cellStyle name="Обычный 3 5 4 7 10" xfId="20413"/>
    <cellStyle name="Обычный 3 5 4 7 11" xfId="22025"/>
    <cellStyle name="Обычный 3 5 4 7 2" xfId="8508"/>
    <cellStyle name="Обычный 3 5 4 7 2 2" xfId="8509"/>
    <cellStyle name="Обычный 3 5 4 7 3" xfId="8510"/>
    <cellStyle name="Обычный 3 5 4 7 4" xfId="8511"/>
    <cellStyle name="Обычный 3 5 4 7 5" xfId="8512"/>
    <cellStyle name="Обычный 3 5 4 7 6" xfId="8513"/>
    <cellStyle name="Обычный 3 5 4 7 7" xfId="8514"/>
    <cellStyle name="Обычный 3 5 4 7 8" xfId="8515"/>
    <cellStyle name="Обычный 3 5 4 7 9" xfId="18717"/>
    <cellStyle name="Обычный 3 5 4 8" xfId="8516"/>
    <cellStyle name="Обычный 3 5 4 8 2" xfId="8517"/>
    <cellStyle name="Обычный 3 5 4 9" xfId="8518"/>
    <cellStyle name="Обычный 3 5 5" xfId="8519"/>
    <cellStyle name="Обычный 3 5 5 10" xfId="8520"/>
    <cellStyle name="Обычный 3 5 5 11" xfId="8521"/>
    <cellStyle name="Обычный 3 5 5 12" xfId="18718"/>
    <cellStyle name="Обычный 3 5 5 13" xfId="20414"/>
    <cellStyle name="Обычный 3 5 5 14" xfId="22026"/>
    <cellStyle name="Обычный 3 5 5 2" xfId="8522"/>
    <cellStyle name="Обычный 3 5 5 2 10" xfId="8523"/>
    <cellStyle name="Обычный 3 5 5 2 11" xfId="18719"/>
    <cellStyle name="Обычный 3 5 5 2 12" xfId="20415"/>
    <cellStyle name="Обычный 3 5 5 2 13" xfId="22027"/>
    <cellStyle name="Обычный 3 5 5 2 2" xfId="8524"/>
    <cellStyle name="Обычный 3 5 5 2 2 2" xfId="8525"/>
    <cellStyle name="Обычный 3 5 5 2 3" xfId="8526"/>
    <cellStyle name="Обычный 3 5 5 2 4" xfId="8527"/>
    <cellStyle name="Обычный 3 5 5 2 5" xfId="8528"/>
    <cellStyle name="Обычный 3 5 5 2 6" xfId="8529"/>
    <cellStyle name="Обычный 3 5 5 2 7" xfId="8530"/>
    <cellStyle name="Обычный 3 5 5 2 8" xfId="8531"/>
    <cellStyle name="Обычный 3 5 5 2 9" xfId="8532"/>
    <cellStyle name="Обычный 3 5 5 3" xfId="8533"/>
    <cellStyle name="Обычный 3 5 5 3 2" xfId="8534"/>
    <cellStyle name="Обычный 3 5 5 4" xfId="8535"/>
    <cellStyle name="Обычный 3 5 5 5" xfId="8536"/>
    <cellStyle name="Обычный 3 5 5 6" xfId="8537"/>
    <cellStyle name="Обычный 3 5 5 7" xfId="8538"/>
    <cellStyle name="Обычный 3 5 5 8" xfId="8539"/>
    <cellStyle name="Обычный 3 5 5 9" xfId="8540"/>
    <cellStyle name="Обычный 3 5 6" xfId="8541"/>
    <cellStyle name="Обычный 3 5 6 10" xfId="8542"/>
    <cellStyle name="Обычный 3 5 6 11" xfId="8543"/>
    <cellStyle name="Обычный 3 5 6 12" xfId="18720"/>
    <cellStyle name="Обычный 3 5 6 13" xfId="20416"/>
    <cellStyle name="Обычный 3 5 6 14" xfId="22028"/>
    <cellStyle name="Обычный 3 5 6 2" xfId="8544"/>
    <cellStyle name="Обычный 3 5 6 2 10" xfId="8545"/>
    <cellStyle name="Обычный 3 5 6 2 11" xfId="18721"/>
    <cellStyle name="Обычный 3 5 6 2 12" xfId="20417"/>
    <cellStyle name="Обычный 3 5 6 2 13" xfId="22029"/>
    <cellStyle name="Обычный 3 5 6 2 2" xfId="8546"/>
    <cellStyle name="Обычный 3 5 6 2 2 2" xfId="8547"/>
    <cellStyle name="Обычный 3 5 6 2 3" xfId="8548"/>
    <cellStyle name="Обычный 3 5 6 2 4" xfId="8549"/>
    <cellStyle name="Обычный 3 5 6 2 5" xfId="8550"/>
    <cellStyle name="Обычный 3 5 6 2 6" xfId="8551"/>
    <cellStyle name="Обычный 3 5 6 2 7" xfId="8552"/>
    <cellStyle name="Обычный 3 5 6 2 8" xfId="8553"/>
    <cellStyle name="Обычный 3 5 6 2 9" xfId="8554"/>
    <cellStyle name="Обычный 3 5 6 3" xfId="8555"/>
    <cellStyle name="Обычный 3 5 6 3 2" xfId="8556"/>
    <cellStyle name="Обычный 3 5 6 4" xfId="8557"/>
    <cellStyle name="Обычный 3 5 6 5" xfId="8558"/>
    <cellStyle name="Обычный 3 5 6 6" xfId="8559"/>
    <cellStyle name="Обычный 3 5 6 7" xfId="8560"/>
    <cellStyle name="Обычный 3 5 6 8" xfId="8561"/>
    <cellStyle name="Обычный 3 5 6 9" xfId="8562"/>
    <cellStyle name="Обычный 3 5 7" xfId="8563"/>
    <cellStyle name="Обычный 3 5 7 10" xfId="8564"/>
    <cellStyle name="Обычный 3 5 7 11" xfId="8565"/>
    <cellStyle name="Обычный 3 5 7 12" xfId="18722"/>
    <cellStyle name="Обычный 3 5 7 13" xfId="20418"/>
    <cellStyle name="Обычный 3 5 7 14" xfId="22030"/>
    <cellStyle name="Обычный 3 5 7 2" xfId="8566"/>
    <cellStyle name="Обычный 3 5 7 2 10" xfId="8567"/>
    <cellStyle name="Обычный 3 5 7 2 11" xfId="18723"/>
    <cellStyle name="Обычный 3 5 7 2 12" xfId="20419"/>
    <cellStyle name="Обычный 3 5 7 2 13" xfId="22031"/>
    <cellStyle name="Обычный 3 5 7 2 2" xfId="8568"/>
    <cellStyle name="Обычный 3 5 7 2 2 2" xfId="8569"/>
    <cellStyle name="Обычный 3 5 7 2 3" xfId="8570"/>
    <cellStyle name="Обычный 3 5 7 2 4" xfId="8571"/>
    <cellStyle name="Обычный 3 5 7 2 5" xfId="8572"/>
    <cellStyle name="Обычный 3 5 7 2 6" xfId="8573"/>
    <cellStyle name="Обычный 3 5 7 2 7" xfId="8574"/>
    <cellStyle name="Обычный 3 5 7 2 8" xfId="8575"/>
    <cellStyle name="Обычный 3 5 7 2 9" xfId="8576"/>
    <cellStyle name="Обычный 3 5 7 3" xfId="8577"/>
    <cellStyle name="Обычный 3 5 7 3 2" xfId="8578"/>
    <cellStyle name="Обычный 3 5 7 4" xfId="8579"/>
    <cellStyle name="Обычный 3 5 7 5" xfId="8580"/>
    <cellStyle name="Обычный 3 5 7 6" xfId="8581"/>
    <cellStyle name="Обычный 3 5 7 7" xfId="8582"/>
    <cellStyle name="Обычный 3 5 7 8" xfId="8583"/>
    <cellStyle name="Обычный 3 5 7 9" xfId="8584"/>
    <cellStyle name="Обычный 3 5 8" xfId="8585"/>
    <cellStyle name="Обычный 3 5 8 10" xfId="8586"/>
    <cellStyle name="Обычный 3 5 8 11" xfId="8587"/>
    <cellStyle name="Обычный 3 5 8 12" xfId="18724"/>
    <cellStyle name="Обычный 3 5 8 13" xfId="20420"/>
    <cellStyle name="Обычный 3 5 8 14" xfId="22032"/>
    <cellStyle name="Обычный 3 5 8 2" xfId="8588"/>
    <cellStyle name="Обычный 3 5 8 2 10" xfId="8589"/>
    <cellStyle name="Обычный 3 5 8 2 11" xfId="18725"/>
    <cellStyle name="Обычный 3 5 8 2 12" xfId="20421"/>
    <cellStyle name="Обычный 3 5 8 2 13" xfId="22033"/>
    <cellStyle name="Обычный 3 5 8 2 2" xfId="8590"/>
    <cellStyle name="Обычный 3 5 8 2 2 2" xfId="8591"/>
    <cellStyle name="Обычный 3 5 8 2 3" xfId="8592"/>
    <cellStyle name="Обычный 3 5 8 2 4" xfId="8593"/>
    <cellStyle name="Обычный 3 5 8 2 5" xfId="8594"/>
    <cellStyle name="Обычный 3 5 8 2 6" xfId="8595"/>
    <cellStyle name="Обычный 3 5 8 2 7" xfId="8596"/>
    <cellStyle name="Обычный 3 5 8 2 8" xfId="8597"/>
    <cellStyle name="Обычный 3 5 8 2 9" xfId="8598"/>
    <cellStyle name="Обычный 3 5 8 3" xfId="8599"/>
    <cellStyle name="Обычный 3 5 8 3 2" xfId="8600"/>
    <cellStyle name="Обычный 3 5 8 4" xfId="8601"/>
    <cellStyle name="Обычный 3 5 8 5" xfId="8602"/>
    <cellStyle name="Обычный 3 5 8 6" xfId="8603"/>
    <cellStyle name="Обычный 3 5 8 7" xfId="8604"/>
    <cellStyle name="Обычный 3 5 8 8" xfId="8605"/>
    <cellStyle name="Обычный 3 5 8 9" xfId="8606"/>
    <cellStyle name="Обычный 3 5 9" xfId="8607"/>
    <cellStyle name="Обычный 3 5 9 10" xfId="8608"/>
    <cellStyle name="Обычный 3 5 9 11" xfId="8609"/>
    <cellStyle name="Обычный 3 5 9 12" xfId="18726"/>
    <cellStyle name="Обычный 3 5 9 13" xfId="20422"/>
    <cellStyle name="Обычный 3 5 9 14" xfId="22034"/>
    <cellStyle name="Обычный 3 5 9 2" xfId="8610"/>
    <cellStyle name="Обычный 3 5 9 2 10" xfId="8611"/>
    <cellStyle name="Обычный 3 5 9 2 11" xfId="18727"/>
    <cellStyle name="Обычный 3 5 9 2 12" xfId="20423"/>
    <cellStyle name="Обычный 3 5 9 2 13" xfId="22035"/>
    <cellStyle name="Обычный 3 5 9 2 2" xfId="8612"/>
    <cellStyle name="Обычный 3 5 9 2 2 2" xfId="8613"/>
    <cellStyle name="Обычный 3 5 9 2 3" xfId="8614"/>
    <cellStyle name="Обычный 3 5 9 2 4" xfId="8615"/>
    <cellStyle name="Обычный 3 5 9 2 5" xfId="8616"/>
    <cellStyle name="Обычный 3 5 9 2 6" xfId="8617"/>
    <cellStyle name="Обычный 3 5 9 2 7" xfId="8618"/>
    <cellStyle name="Обычный 3 5 9 2 8" xfId="8619"/>
    <cellStyle name="Обычный 3 5 9 2 9" xfId="8620"/>
    <cellStyle name="Обычный 3 5 9 3" xfId="8621"/>
    <cellStyle name="Обычный 3 5 9 3 2" xfId="8622"/>
    <cellStyle name="Обычный 3 5 9 4" xfId="8623"/>
    <cellStyle name="Обычный 3 5 9 5" xfId="8624"/>
    <cellStyle name="Обычный 3 5 9 6" xfId="8625"/>
    <cellStyle name="Обычный 3 5 9 7" xfId="8626"/>
    <cellStyle name="Обычный 3 5 9 8" xfId="8627"/>
    <cellStyle name="Обычный 3 5 9 9" xfId="8628"/>
    <cellStyle name="Обычный 3 6" xfId="8629"/>
    <cellStyle name="Обычный 3 6 2" xfId="18728"/>
    <cellStyle name="Обычный 3 7" xfId="8630"/>
    <cellStyle name="Обычный 3 8" xfId="8631"/>
    <cellStyle name="Обычный 3 8 10" xfId="8632"/>
    <cellStyle name="Обычный 3 8 10 2" xfId="8633"/>
    <cellStyle name="Обычный 3 8 11" xfId="8634"/>
    <cellStyle name="Обычный 3 8 12" xfId="8635"/>
    <cellStyle name="Обычный 3 8 13" xfId="8636"/>
    <cellStyle name="Обычный 3 8 14" xfId="8637"/>
    <cellStyle name="Обычный 3 8 15" xfId="8638"/>
    <cellStyle name="Обычный 3 8 16" xfId="8639"/>
    <cellStyle name="Обычный 3 8 17" xfId="8640"/>
    <cellStyle name="Обычный 3 8 18" xfId="8641"/>
    <cellStyle name="Обычный 3 8 19" xfId="8642"/>
    <cellStyle name="Обычный 3 8 2" xfId="8643"/>
    <cellStyle name="Обычный 3 8 2 10" xfId="8644"/>
    <cellStyle name="Обычный 3 8 2 11" xfId="8645"/>
    <cellStyle name="Обычный 3 8 2 12" xfId="8646"/>
    <cellStyle name="Обычный 3 8 2 13" xfId="8647"/>
    <cellStyle name="Обычный 3 8 2 14" xfId="8648"/>
    <cellStyle name="Обычный 3 8 2 15" xfId="8649"/>
    <cellStyle name="Обычный 3 8 2 16" xfId="8650"/>
    <cellStyle name="Обычный 3 8 2 17" xfId="8651"/>
    <cellStyle name="Обычный 3 8 2 18" xfId="18730"/>
    <cellStyle name="Обычный 3 8 2 19" xfId="20425"/>
    <cellStyle name="Обычный 3 8 2 2" xfId="8652"/>
    <cellStyle name="Обычный 3 8 2 2 10" xfId="8653"/>
    <cellStyle name="Обычный 3 8 2 2 11" xfId="8654"/>
    <cellStyle name="Обычный 3 8 2 2 12" xfId="18731"/>
    <cellStyle name="Обычный 3 8 2 2 13" xfId="20426"/>
    <cellStyle name="Обычный 3 8 2 2 14" xfId="22038"/>
    <cellStyle name="Обычный 3 8 2 2 2" xfId="8655"/>
    <cellStyle name="Обычный 3 8 2 2 2 10" xfId="8656"/>
    <cellStyle name="Обычный 3 8 2 2 2 11" xfId="18732"/>
    <cellStyle name="Обычный 3 8 2 2 2 12" xfId="20427"/>
    <cellStyle name="Обычный 3 8 2 2 2 13" xfId="22039"/>
    <cellStyle name="Обычный 3 8 2 2 2 2" xfId="8657"/>
    <cellStyle name="Обычный 3 8 2 2 2 2 2" xfId="8658"/>
    <cellStyle name="Обычный 3 8 2 2 2 3" xfId="8659"/>
    <cellStyle name="Обычный 3 8 2 2 2 4" xfId="8660"/>
    <cellStyle name="Обычный 3 8 2 2 2 5" xfId="8661"/>
    <cellStyle name="Обычный 3 8 2 2 2 6" xfId="8662"/>
    <cellStyle name="Обычный 3 8 2 2 2 7" xfId="8663"/>
    <cellStyle name="Обычный 3 8 2 2 2 8" xfId="8664"/>
    <cellStyle name="Обычный 3 8 2 2 2 9" xfId="8665"/>
    <cellStyle name="Обычный 3 8 2 2 3" xfId="8666"/>
    <cellStyle name="Обычный 3 8 2 2 3 2" xfId="8667"/>
    <cellStyle name="Обычный 3 8 2 2 4" xfId="8668"/>
    <cellStyle name="Обычный 3 8 2 2 5" xfId="8669"/>
    <cellStyle name="Обычный 3 8 2 2 6" xfId="8670"/>
    <cellStyle name="Обычный 3 8 2 2 7" xfId="8671"/>
    <cellStyle name="Обычный 3 8 2 2 8" xfId="8672"/>
    <cellStyle name="Обычный 3 8 2 2 9" xfId="8673"/>
    <cellStyle name="Обычный 3 8 2 20" xfId="22037"/>
    <cellStyle name="Обычный 3 8 2 3" xfId="8674"/>
    <cellStyle name="Обычный 3 8 2 3 10" xfId="8675"/>
    <cellStyle name="Обычный 3 8 2 3 11" xfId="8676"/>
    <cellStyle name="Обычный 3 8 2 3 12" xfId="18733"/>
    <cellStyle name="Обычный 3 8 2 3 13" xfId="20428"/>
    <cellStyle name="Обычный 3 8 2 3 14" xfId="22040"/>
    <cellStyle name="Обычный 3 8 2 3 2" xfId="8677"/>
    <cellStyle name="Обычный 3 8 2 3 2 10" xfId="8678"/>
    <cellStyle name="Обычный 3 8 2 3 2 11" xfId="18734"/>
    <cellStyle name="Обычный 3 8 2 3 2 12" xfId="20429"/>
    <cellStyle name="Обычный 3 8 2 3 2 13" xfId="22041"/>
    <cellStyle name="Обычный 3 8 2 3 2 2" xfId="8679"/>
    <cellStyle name="Обычный 3 8 2 3 2 2 2" xfId="8680"/>
    <cellStyle name="Обычный 3 8 2 3 2 3" xfId="8681"/>
    <cellStyle name="Обычный 3 8 2 3 2 4" xfId="8682"/>
    <cellStyle name="Обычный 3 8 2 3 2 5" xfId="8683"/>
    <cellStyle name="Обычный 3 8 2 3 2 6" xfId="8684"/>
    <cellStyle name="Обычный 3 8 2 3 2 7" xfId="8685"/>
    <cellStyle name="Обычный 3 8 2 3 2 8" xfId="8686"/>
    <cellStyle name="Обычный 3 8 2 3 2 9" xfId="8687"/>
    <cellStyle name="Обычный 3 8 2 3 3" xfId="8688"/>
    <cellStyle name="Обычный 3 8 2 3 3 2" xfId="8689"/>
    <cellStyle name="Обычный 3 8 2 3 4" xfId="8690"/>
    <cellStyle name="Обычный 3 8 2 3 5" xfId="8691"/>
    <cellStyle name="Обычный 3 8 2 3 6" xfId="8692"/>
    <cellStyle name="Обычный 3 8 2 3 7" xfId="8693"/>
    <cellStyle name="Обычный 3 8 2 3 8" xfId="8694"/>
    <cellStyle name="Обычный 3 8 2 3 9" xfId="8695"/>
    <cellStyle name="Обычный 3 8 2 4" xfId="8696"/>
    <cellStyle name="Обычный 3 8 2 4 10" xfId="8697"/>
    <cellStyle name="Обычный 3 8 2 4 11" xfId="8698"/>
    <cellStyle name="Обычный 3 8 2 4 12" xfId="18735"/>
    <cellStyle name="Обычный 3 8 2 4 13" xfId="20430"/>
    <cellStyle name="Обычный 3 8 2 4 14" xfId="22042"/>
    <cellStyle name="Обычный 3 8 2 4 2" xfId="8699"/>
    <cellStyle name="Обычный 3 8 2 4 2 10" xfId="8700"/>
    <cellStyle name="Обычный 3 8 2 4 2 11" xfId="18736"/>
    <cellStyle name="Обычный 3 8 2 4 2 12" xfId="20431"/>
    <cellStyle name="Обычный 3 8 2 4 2 13" xfId="22043"/>
    <cellStyle name="Обычный 3 8 2 4 2 2" xfId="8701"/>
    <cellStyle name="Обычный 3 8 2 4 2 2 2" xfId="8702"/>
    <cellStyle name="Обычный 3 8 2 4 2 3" xfId="8703"/>
    <cellStyle name="Обычный 3 8 2 4 2 4" xfId="8704"/>
    <cellStyle name="Обычный 3 8 2 4 2 5" xfId="8705"/>
    <cellStyle name="Обычный 3 8 2 4 2 6" xfId="8706"/>
    <cellStyle name="Обычный 3 8 2 4 2 7" xfId="8707"/>
    <cellStyle name="Обычный 3 8 2 4 2 8" xfId="8708"/>
    <cellStyle name="Обычный 3 8 2 4 2 9" xfId="8709"/>
    <cellStyle name="Обычный 3 8 2 4 3" xfId="8710"/>
    <cellStyle name="Обычный 3 8 2 4 3 2" xfId="8711"/>
    <cellStyle name="Обычный 3 8 2 4 4" xfId="8712"/>
    <cellStyle name="Обычный 3 8 2 4 5" xfId="8713"/>
    <cellStyle name="Обычный 3 8 2 4 6" xfId="8714"/>
    <cellStyle name="Обычный 3 8 2 4 7" xfId="8715"/>
    <cellStyle name="Обычный 3 8 2 4 8" xfId="8716"/>
    <cellStyle name="Обычный 3 8 2 4 9" xfId="8717"/>
    <cellStyle name="Обычный 3 8 2 5" xfId="8718"/>
    <cellStyle name="Обычный 3 8 2 5 10" xfId="8719"/>
    <cellStyle name="Обычный 3 8 2 5 11" xfId="8720"/>
    <cellStyle name="Обычный 3 8 2 5 12" xfId="18737"/>
    <cellStyle name="Обычный 3 8 2 5 13" xfId="20432"/>
    <cellStyle name="Обычный 3 8 2 5 14" xfId="22044"/>
    <cellStyle name="Обычный 3 8 2 5 2" xfId="8721"/>
    <cellStyle name="Обычный 3 8 2 5 2 10" xfId="8722"/>
    <cellStyle name="Обычный 3 8 2 5 2 11" xfId="18738"/>
    <cellStyle name="Обычный 3 8 2 5 2 12" xfId="20433"/>
    <cellStyle name="Обычный 3 8 2 5 2 13" xfId="22045"/>
    <cellStyle name="Обычный 3 8 2 5 2 2" xfId="8723"/>
    <cellStyle name="Обычный 3 8 2 5 2 2 2" xfId="8724"/>
    <cellStyle name="Обычный 3 8 2 5 2 3" xfId="8725"/>
    <cellStyle name="Обычный 3 8 2 5 2 4" xfId="8726"/>
    <cellStyle name="Обычный 3 8 2 5 2 5" xfId="8727"/>
    <cellStyle name="Обычный 3 8 2 5 2 6" xfId="8728"/>
    <cellStyle name="Обычный 3 8 2 5 2 7" xfId="8729"/>
    <cellStyle name="Обычный 3 8 2 5 2 8" xfId="8730"/>
    <cellStyle name="Обычный 3 8 2 5 2 9" xfId="8731"/>
    <cellStyle name="Обычный 3 8 2 5 3" xfId="8732"/>
    <cellStyle name="Обычный 3 8 2 5 3 2" xfId="8733"/>
    <cellStyle name="Обычный 3 8 2 5 4" xfId="8734"/>
    <cellStyle name="Обычный 3 8 2 5 5" xfId="8735"/>
    <cellStyle name="Обычный 3 8 2 5 6" xfId="8736"/>
    <cellStyle name="Обычный 3 8 2 5 7" xfId="8737"/>
    <cellStyle name="Обычный 3 8 2 5 8" xfId="8738"/>
    <cellStyle name="Обычный 3 8 2 5 9" xfId="8739"/>
    <cellStyle name="Обычный 3 8 2 6" xfId="8740"/>
    <cellStyle name="Обычный 3 8 2 6 10" xfId="8741"/>
    <cellStyle name="Обычный 3 8 2 6 11" xfId="18739"/>
    <cellStyle name="Обычный 3 8 2 6 12" xfId="20434"/>
    <cellStyle name="Обычный 3 8 2 6 13" xfId="22046"/>
    <cellStyle name="Обычный 3 8 2 6 2" xfId="8742"/>
    <cellStyle name="Обычный 3 8 2 6 2 2" xfId="8743"/>
    <cellStyle name="Обычный 3 8 2 6 3" xfId="8744"/>
    <cellStyle name="Обычный 3 8 2 6 4" xfId="8745"/>
    <cellStyle name="Обычный 3 8 2 6 5" xfId="8746"/>
    <cellStyle name="Обычный 3 8 2 6 6" xfId="8747"/>
    <cellStyle name="Обычный 3 8 2 6 7" xfId="8748"/>
    <cellStyle name="Обычный 3 8 2 6 8" xfId="8749"/>
    <cellStyle name="Обычный 3 8 2 6 9" xfId="8750"/>
    <cellStyle name="Обычный 3 8 2 7" xfId="8751"/>
    <cellStyle name="Обычный 3 8 2 7 10" xfId="20435"/>
    <cellStyle name="Обычный 3 8 2 7 11" xfId="22047"/>
    <cellStyle name="Обычный 3 8 2 7 2" xfId="8752"/>
    <cellStyle name="Обычный 3 8 2 7 2 2" xfId="8753"/>
    <cellStyle name="Обычный 3 8 2 7 3" xfId="8754"/>
    <cellStyle name="Обычный 3 8 2 7 4" xfId="8755"/>
    <cellStyle name="Обычный 3 8 2 7 5" xfId="8756"/>
    <cellStyle name="Обычный 3 8 2 7 6" xfId="8757"/>
    <cellStyle name="Обычный 3 8 2 7 7" xfId="8758"/>
    <cellStyle name="Обычный 3 8 2 7 8" xfId="8759"/>
    <cellStyle name="Обычный 3 8 2 7 9" xfId="18740"/>
    <cellStyle name="Обычный 3 8 2 8" xfId="8760"/>
    <cellStyle name="Обычный 3 8 2 8 2" xfId="8761"/>
    <cellStyle name="Обычный 3 8 2 9" xfId="8762"/>
    <cellStyle name="Обычный 3 8 20" xfId="18729"/>
    <cellStyle name="Обычный 3 8 21" xfId="20424"/>
    <cellStyle name="Обычный 3 8 22" xfId="22036"/>
    <cellStyle name="Обычный 3 8 3" xfId="8763"/>
    <cellStyle name="Обычный 3 8 3 10" xfId="8764"/>
    <cellStyle name="Обычный 3 8 3 11" xfId="8765"/>
    <cellStyle name="Обычный 3 8 3 12" xfId="8766"/>
    <cellStyle name="Обычный 3 8 3 13" xfId="8767"/>
    <cellStyle name="Обычный 3 8 3 14" xfId="8768"/>
    <cellStyle name="Обычный 3 8 3 15" xfId="8769"/>
    <cellStyle name="Обычный 3 8 3 16" xfId="8770"/>
    <cellStyle name="Обычный 3 8 3 17" xfId="8771"/>
    <cellStyle name="Обычный 3 8 3 18" xfId="18741"/>
    <cellStyle name="Обычный 3 8 3 19" xfId="20436"/>
    <cellStyle name="Обычный 3 8 3 2" xfId="8772"/>
    <cellStyle name="Обычный 3 8 3 2 10" xfId="8773"/>
    <cellStyle name="Обычный 3 8 3 2 11" xfId="8774"/>
    <cellStyle name="Обычный 3 8 3 2 12" xfId="18742"/>
    <cellStyle name="Обычный 3 8 3 2 13" xfId="20437"/>
    <cellStyle name="Обычный 3 8 3 2 14" xfId="22049"/>
    <cellStyle name="Обычный 3 8 3 2 2" xfId="8775"/>
    <cellStyle name="Обычный 3 8 3 2 2 10" xfId="8776"/>
    <cellStyle name="Обычный 3 8 3 2 2 11" xfId="18743"/>
    <cellStyle name="Обычный 3 8 3 2 2 12" xfId="20438"/>
    <cellStyle name="Обычный 3 8 3 2 2 13" xfId="22050"/>
    <cellStyle name="Обычный 3 8 3 2 2 2" xfId="8777"/>
    <cellStyle name="Обычный 3 8 3 2 2 2 2" xfId="8778"/>
    <cellStyle name="Обычный 3 8 3 2 2 3" xfId="8779"/>
    <cellStyle name="Обычный 3 8 3 2 2 4" xfId="8780"/>
    <cellStyle name="Обычный 3 8 3 2 2 5" xfId="8781"/>
    <cellStyle name="Обычный 3 8 3 2 2 6" xfId="8782"/>
    <cellStyle name="Обычный 3 8 3 2 2 7" xfId="8783"/>
    <cellStyle name="Обычный 3 8 3 2 2 8" xfId="8784"/>
    <cellStyle name="Обычный 3 8 3 2 2 9" xfId="8785"/>
    <cellStyle name="Обычный 3 8 3 2 3" xfId="8786"/>
    <cellStyle name="Обычный 3 8 3 2 3 2" xfId="8787"/>
    <cellStyle name="Обычный 3 8 3 2 4" xfId="8788"/>
    <cellStyle name="Обычный 3 8 3 2 5" xfId="8789"/>
    <cellStyle name="Обычный 3 8 3 2 6" xfId="8790"/>
    <cellStyle name="Обычный 3 8 3 2 7" xfId="8791"/>
    <cellStyle name="Обычный 3 8 3 2 8" xfId="8792"/>
    <cellStyle name="Обычный 3 8 3 2 9" xfId="8793"/>
    <cellStyle name="Обычный 3 8 3 20" xfId="22048"/>
    <cellStyle name="Обычный 3 8 3 3" xfId="8794"/>
    <cellStyle name="Обычный 3 8 3 3 10" xfId="8795"/>
    <cellStyle name="Обычный 3 8 3 3 11" xfId="8796"/>
    <cellStyle name="Обычный 3 8 3 3 12" xfId="18744"/>
    <cellStyle name="Обычный 3 8 3 3 13" xfId="20439"/>
    <cellStyle name="Обычный 3 8 3 3 14" xfId="22051"/>
    <cellStyle name="Обычный 3 8 3 3 2" xfId="8797"/>
    <cellStyle name="Обычный 3 8 3 3 2 10" xfId="8798"/>
    <cellStyle name="Обычный 3 8 3 3 2 11" xfId="18745"/>
    <cellStyle name="Обычный 3 8 3 3 2 12" xfId="20440"/>
    <cellStyle name="Обычный 3 8 3 3 2 13" xfId="22052"/>
    <cellStyle name="Обычный 3 8 3 3 2 2" xfId="8799"/>
    <cellStyle name="Обычный 3 8 3 3 2 2 2" xfId="8800"/>
    <cellStyle name="Обычный 3 8 3 3 2 3" xfId="8801"/>
    <cellStyle name="Обычный 3 8 3 3 2 4" xfId="8802"/>
    <cellStyle name="Обычный 3 8 3 3 2 5" xfId="8803"/>
    <cellStyle name="Обычный 3 8 3 3 2 6" xfId="8804"/>
    <cellStyle name="Обычный 3 8 3 3 2 7" xfId="8805"/>
    <cellStyle name="Обычный 3 8 3 3 2 8" xfId="8806"/>
    <cellStyle name="Обычный 3 8 3 3 2 9" xfId="8807"/>
    <cellStyle name="Обычный 3 8 3 3 3" xfId="8808"/>
    <cellStyle name="Обычный 3 8 3 3 3 2" xfId="8809"/>
    <cellStyle name="Обычный 3 8 3 3 4" xfId="8810"/>
    <cellStyle name="Обычный 3 8 3 3 5" xfId="8811"/>
    <cellStyle name="Обычный 3 8 3 3 6" xfId="8812"/>
    <cellStyle name="Обычный 3 8 3 3 7" xfId="8813"/>
    <cellStyle name="Обычный 3 8 3 3 8" xfId="8814"/>
    <cellStyle name="Обычный 3 8 3 3 9" xfId="8815"/>
    <cellStyle name="Обычный 3 8 3 4" xfId="8816"/>
    <cellStyle name="Обычный 3 8 3 4 10" xfId="8817"/>
    <cellStyle name="Обычный 3 8 3 4 11" xfId="8818"/>
    <cellStyle name="Обычный 3 8 3 4 12" xfId="18746"/>
    <cellStyle name="Обычный 3 8 3 4 13" xfId="20441"/>
    <cellStyle name="Обычный 3 8 3 4 14" xfId="22053"/>
    <cellStyle name="Обычный 3 8 3 4 2" xfId="8819"/>
    <cellStyle name="Обычный 3 8 3 4 2 10" xfId="8820"/>
    <cellStyle name="Обычный 3 8 3 4 2 11" xfId="18747"/>
    <cellStyle name="Обычный 3 8 3 4 2 12" xfId="20442"/>
    <cellStyle name="Обычный 3 8 3 4 2 13" xfId="22054"/>
    <cellStyle name="Обычный 3 8 3 4 2 2" xfId="8821"/>
    <cellStyle name="Обычный 3 8 3 4 2 2 2" xfId="8822"/>
    <cellStyle name="Обычный 3 8 3 4 2 3" xfId="8823"/>
    <cellStyle name="Обычный 3 8 3 4 2 4" xfId="8824"/>
    <cellStyle name="Обычный 3 8 3 4 2 5" xfId="8825"/>
    <cellStyle name="Обычный 3 8 3 4 2 6" xfId="8826"/>
    <cellStyle name="Обычный 3 8 3 4 2 7" xfId="8827"/>
    <cellStyle name="Обычный 3 8 3 4 2 8" xfId="8828"/>
    <cellStyle name="Обычный 3 8 3 4 2 9" xfId="8829"/>
    <cellStyle name="Обычный 3 8 3 4 3" xfId="8830"/>
    <cellStyle name="Обычный 3 8 3 4 3 2" xfId="8831"/>
    <cellStyle name="Обычный 3 8 3 4 4" xfId="8832"/>
    <cellStyle name="Обычный 3 8 3 4 5" xfId="8833"/>
    <cellStyle name="Обычный 3 8 3 4 6" xfId="8834"/>
    <cellStyle name="Обычный 3 8 3 4 7" xfId="8835"/>
    <cellStyle name="Обычный 3 8 3 4 8" xfId="8836"/>
    <cellStyle name="Обычный 3 8 3 4 9" xfId="8837"/>
    <cellStyle name="Обычный 3 8 3 5" xfId="8838"/>
    <cellStyle name="Обычный 3 8 3 5 10" xfId="8839"/>
    <cellStyle name="Обычный 3 8 3 5 11" xfId="8840"/>
    <cellStyle name="Обычный 3 8 3 5 12" xfId="18748"/>
    <cellStyle name="Обычный 3 8 3 5 13" xfId="20443"/>
    <cellStyle name="Обычный 3 8 3 5 14" xfId="22055"/>
    <cellStyle name="Обычный 3 8 3 5 2" xfId="8841"/>
    <cellStyle name="Обычный 3 8 3 5 2 10" xfId="8842"/>
    <cellStyle name="Обычный 3 8 3 5 2 11" xfId="18749"/>
    <cellStyle name="Обычный 3 8 3 5 2 12" xfId="20444"/>
    <cellStyle name="Обычный 3 8 3 5 2 13" xfId="22056"/>
    <cellStyle name="Обычный 3 8 3 5 2 2" xfId="8843"/>
    <cellStyle name="Обычный 3 8 3 5 2 2 2" xfId="8844"/>
    <cellStyle name="Обычный 3 8 3 5 2 3" xfId="8845"/>
    <cellStyle name="Обычный 3 8 3 5 2 4" xfId="8846"/>
    <cellStyle name="Обычный 3 8 3 5 2 5" xfId="8847"/>
    <cellStyle name="Обычный 3 8 3 5 2 6" xfId="8848"/>
    <cellStyle name="Обычный 3 8 3 5 2 7" xfId="8849"/>
    <cellStyle name="Обычный 3 8 3 5 2 8" xfId="8850"/>
    <cellStyle name="Обычный 3 8 3 5 2 9" xfId="8851"/>
    <cellStyle name="Обычный 3 8 3 5 3" xfId="8852"/>
    <cellStyle name="Обычный 3 8 3 5 3 2" xfId="8853"/>
    <cellStyle name="Обычный 3 8 3 5 4" xfId="8854"/>
    <cellStyle name="Обычный 3 8 3 5 5" xfId="8855"/>
    <cellStyle name="Обычный 3 8 3 5 6" xfId="8856"/>
    <cellStyle name="Обычный 3 8 3 5 7" xfId="8857"/>
    <cellStyle name="Обычный 3 8 3 5 8" xfId="8858"/>
    <cellStyle name="Обычный 3 8 3 5 9" xfId="8859"/>
    <cellStyle name="Обычный 3 8 3 6" xfId="8860"/>
    <cellStyle name="Обычный 3 8 3 6 10" xfId="8861"/>
    <cellStyle name="Обычный 3 8 3 6 11" xfId="18750"/>
    <cellStyle name="Обычный 3 8 3 6 12" xfId="20445"/>
    <cellStyle name="Обычный 3 8 3 6 13" xfId="22057"/>
    <cellStyle name="Обычный 3 8 3 6 2" xfId="8862"/>
    <cellStyle name="Обычный 3 8 3 6 2 2" xfId="8863"/>
    <cellStyle name="Обычный 3 8 3 6 3" xfId="8864"/>
    <cellStyle name="Обычный 3 8 3 6 4" xfId="8865"/>
    <cellStyle name="Обычный 3 8 3 6 5" xfId="8866"/>
    <cellStyle name="Обычный 3 8 3 6 6" xfId="8867"/>
    <cellStyle name="Обычный 3 8 3 6 7" xfId="8868"/>
    <cellStyle name="Обычный 3 8 3 6 8" xfId="8869"/>
    <cellStyle name="Обычный 3 8 3 6 9" xfId="8870"/>
    <cellStyle name="Обычный 3 8 3 7" xfId="8871"/>
    <cellStyle name="Обычный 3 8 3 7 10" xfId="20446"/>
    <cellStyle name="Обычный 3 8 3 7 11" xfId="22058"/>
    <cellStyle name="Обычный 3 8 3 7 2" xfId="8872"/>
    <cellStyle name="Обычный 3 8 3 7 2 2" xfId="8873"/>
    <cellStyle name="Обычный 3 8 3 7 3" xfId="8874"/>
    <cellStyle name="Обычный 3 8 3 7 4" xfId="8875"/>
    <cellStyle name="Обычный 3 8 3 7 5" xfId="8876"/>
    <cellStyle name="Обычный 3 8 3 7 6" xfId="8877"/>
    <cellStyle name="Обычный 3 8 3 7 7" xfId="8878"/>
    <cellStyle name="Обычный 3 8 3 7 8" xfId="8879"/>
    <cellStyle name="Обычный 3 8 3 7 9" xfId="18751"/>
    <cellStyle name="Обычный 3 8 3 8" xfId="8880"/>
    <cellStyle name="Обычный 3 8 3 8 2" xfId="8881"/>
    <cellStyle name="Обычный 3 8 3 9" xfId="8882"/>
    <cellStyle name="Обычный 3 8 4" xfId="8883"/>
    <cellStyle name="Обычный 3 8 4 10" xfId="8884"/>
    <cellStyle name="Обычный 3 8 4 11" xfId="8885"/>
    <cellStyle name="Обычный 3 8 4 12" xfId="18752"/>
    <cellStyle name="Обычный 3 8 4 13" xfId="20447"/>
    <cellStyle name="Обычный 3 8 4 14" xfId="22059"/>
    <cellStyle name="Обычный 3 8 4 2" xfId="8886"/>
    <cellStyle name="Обычный 3 8 4 2 10" xfId="8887"/>
    <cellStyle name="Обычный 3 8 4 2 11" xfId="18753"/>
    <cellStyle name="Обычный 3 8 4 2 12" xfId="20448"/>
    <cellStyle name="Обычный 3 8 4 2 13" xfId="22060"/>
    <cellStyle name="Обычный 3 8 4 2 2" xfId="8888"/>
    <cellStyle name="Обычный 3 8 4 2 2 2" xfId="8889"/>
    <cellStyle name="Обычный 3 8 4 2 3" xfId="8890"/>
    <cellStyle name="Обычный 3 8 4 2 4" xfId="8891"/>
    <cellStyle name="Обычный 3 8 4 2 5" xfId="8892"/>
    <cellStyle name="Обычный 3 8 4 2 6" xfId="8893"/>
    <cellStyle name="Обычный 3 8 4 2 7" xfId="8894"/>
    <cellStyle name="Обычный 3 8 4 2 8" xfId="8895"/>
    <cellStyle name="Обычный 3 8 4 2 9" xfId="8896"/>
    <cellStyle name="Обычный 3 8 4 3" xfId="8897"/>
    <cellStyle name="Обычный 3 8 4 3 2" xfId="8898"/>
    <cellStyle name="Обычный 3 8 4 4" xfId="8899"/>
    <cellStyle name="Обычный 3 8 4 5" xfId="8900"/>
    <cellStyle name="Обычный 3 8 4 6" xfId="8901"/>
    <cellStyle name="Обычный 3 8 4 7" xfId="8902"/>
    <cellStyle name="Обычный 3 8 4 8" xfId="8903"/>
    <cellStyle name="Обычный 3 8 4 9" xfId="8904"/>
    <cellStyle name="Обычный 3 8 5" xfId="8905"/>
    <cellStyle name="Обычный 3 8 5 10" xfId="8906"/>
    <cellStyle name="Обычный 3 8 5 11" xfId="8907"/>
    <cellStyle name="Обычный 3 8 5 12" xfId="18754"/>
    <cellStyle name="Обычный 3 8 5 13" xfId="20449"/>
    <cellStyle name="Обычный 3 8 5 14" xfId="22061"/>
    <cellStyle name="Обычный 3 8 5 2" xfId="8908"/>
    <cellStyle name="Обычный 3 8 5 2 10" xfId="8909"/>
    <cellStyle name="Обычный 3 8 5 2 11" xfId="18755"/>
    <cellStyle name="Обычный 3 8 5 2 12" xfId="20450"/>
    <cellStyle name="Обычный 3 8 5 2 13" xfId="22062"/>
    <cellStyle name="Обычный 3 8 5 2 2" xfId="8910"/>
    <cellStyle name="Обычный 3 8 5 2 2 2" xfId="8911"/>
    <cellStyle name="Обычный 3 8 5 2 3" xfId="8912"/>
    <cellStyle name="Обычный 3 8 5 2 4" xfId="8913"/>
    <cellStyle name="Обычный 3 8 5 2 5" xfId="8914"/>
    <cellStyle name="Обычный 3 8 5 2 6" xfId="8915"/>
    <cellStyle name="Обычный 3 8 5 2 7" xfId="8916"/>
    <cellStyle name="Обычный 3 8 5 2 8" xfId="8917"/>
    <cellStyle name="Обычный 3 8 5 2 9" xfId="8918"/>
    <cellStyle name="Обычный 3 8 5 3" xfId="8919"/>
    <cellStyle name="Обычный 3 8 5 3 2" xfId="8920"/>
    <cellStyle name="Обычный 3 8 5 4" xfId="8921"/>
    <cellStyle name="Обычный 3 8 5 5" xfId="8922"/>
    <cellStyle name="Обычный 3 8 5 6" xfId="8923"/>
    <cellStyle name="Обычный 3 8 5 7" xfId="8924"/>
    <cellStyle name="Обычный 3 8 5 8" xfId="8925"/>
    <cellStyle name="Обычный 3 8 5 9" xfId="8926"/>
    <cellStyle name="Обычный 3 8 6" xfId="8927"/>
    <cellStyle name="Обычный 3 8 6 10" xfId="8928"/>
    <cellStyle name="Обычный 3 8 6 11" xfId="8929"/>
    <cellStyle name="Обычный 3 8 6 12" xfId="18756"/>
    <cellStyle name="Обычный 3 8 6 13" xfId="20451"/>
    <cellStyle name="Обычный 3 8 6 14" xfId="22063"/>
    <cellStyle name="Обычный 3 8 6 2" xfId="8930"/>
    <cellStyle name="Обычный 3 8 6 2 10" xfId="8931"/>
    <cellStyle name="Обычный 3 8 6 2 11" xfId="18757"/>
    <cellStyle name="Обычный 3 8 6 2 12" xfId="20452"/>
    <cellStyle name="Обычный 3 8 6 2 13" xfId="22064"/>
    <cellStyle name="Обычный 3 8 6 2 2" xfId="8932"/>
    <cellStyle name="Обычный 3 8 6 2 2 2" xfId="8933"/>
    <cellStyle name="Обычный 3 8 6 2 3" xfId="8934"/>
    <cellStyle name="Обычный 3 8 6 2 4" xfId="8935"/>
    <cellStyle name="Обычный 3 8 6 2 5" xfId="8936"/>
    <cellStyle name="Обычный 3 8 6 2 6" xfId="8937"/>
    <cellStyle name="Обычный 3 8 6 2 7" xfId="8938"/>
    <cellStyle name="Обычный 3 8 6 2 8" xfId="8939"/>
    <cellStyle name="Обычный 3 8 6 2 9" xfId="8940"/>
    <cellStyle name="Обычный 3 8 6 3" xfId="8941"/>
    <cellStyle name="Обычный 3 8 6 3 2" xfId="8942"/>
    <cellStyle name="Обычный 3 8 6 4" xfId="8943"/>
    <cellStyle name="Обычный 3 8 6 5" xfId="8944"/>
    <cellStyle name="Обычный 3 8 6 6" xfId="8945"/>
    <cellStyle name="Обычный 3 8 6 7" xfId="8946"/>
    <cellStyle name="Обычный 3 8 6 8" xfId="8947"/>
    <cellStyle name="Обычный 3 8 6 9" xfId="8948"/>
    <cellStyle name="Обычный 3 8 7" xfId="8949"/>
    <cellStyle name="Обычный 3 8 7 10" xfId="8950"/>
    <cellStyle name="Обычный 3 8 7 11" xfId="8951"/>
    <cellStyle name="Обычный 3 8 7 12" xfId="18758"/>
    <cellStyle name="Обычный 3 8 7 13" xfId="20453"/>
    <cellStyle name="Обычный 3 8 7 14" xfId="22065"/>
    <cellStyle name="Обычный 3 8 7 2" xfId="8952"/>
    <cellStyle name="Обычный 3 8 7 2 10" xfId="8953"/>
    <cellStyle name="Обычный 3 8 7 2 11" xfId="18759"/>
    <cellStyle name="Обычный 3 8 7 2 12" xfId="20454"/>
    <cellStyle name="Обычный 3 8 7 2 13" xfId="22066"/>
    <cellStyle name="Обычный 3 8 7 2 2" xfId="8954"/>
    <cellStyle name="Обычный 3 8 7 2 2 2" xfId="8955"/>
    <cellStyle name="Обычный 3 8 7 2 3" xfId="8956"/>
    <cellStyle name="Обычный 3 8 7 2 4" xfId="8957"/>
    <cellStyle name="Обычный 3 8 7 2 5" xfId="8958"/>
    <cellStyle name="Обычный 3 8 7 2 6" xfId="8959"/>
    <cellStyle name="Обычный 3 8 7 2 7" xfId="8960"/>
    <cellStyle name="Обычный 3 8 7 2 8" xfId="8961"/>
    <cellStyle name="Обычный 3 8 7 2 9" xfId="8962"/>
    <cellStyle name="Обычный 3 8 7 3" xfId="8963"/>
    <cellStyle name="Обычный 3 8 7 3 2" xfId="8964"/>
    <cellStyle name="Обычный 3 8 7 4" xfId="8965"/>
    <cellStyle name="Обычный 3 8 7 5" xfId="8966"/>
    <cellStyle name="Обычный 3 8 7 6" xfId="8967"/>
    <cellStyle name="Обычный 3 8 7 7" xfId="8968"/>
    <cellStyle name="Обычный 3 8 7 8" xfId="8969"/>
    <cellStyle name="Обычный 3 8 7 9" xfId="8970"/>
    <cellStyle name="Обычный 3 8 8" xfId="8971"/>
    <cellStyle name="Обычный 3 8 8 10" xfId="8972"/>
    <cellStyle name="Обычный 3 8 8 11" xfId="18760"/>
    <cellStyle name="Обычный 3 8 8 12" xfId="20455"/>
    <cellStyle name="Обычный 3 8 8 13" xfId="22067"/>
    <cellStyle name="Обычный 3 8 8 2" xfId="8973"/>
    <cellStyle name="Обычный 3 8 8 2 2" xfId="8974"/>
    <cellStyle name="Обычный 3 8 8 3" xfId="8975"/>
    <cellStyle name="Обычный 3 8 8 4" xfId="8976"/>
    <cellStyle name="Обычный 3 8 8 5" xfId="8977"/>
    <cellStyle name="Обычный 3 8 8 6" xfId="8978"/>
    <cellStyle name="Обычный 3 8 8 7" xfId="8979"/>
    <cellStyle name="Обычный 3 8 8 8" xfId="8980"/>
    <cellStyle name="Обычный 3 8 8 9" xfId="8981"/>
    <cellStyle name="Обычный 3 8 9" xfId="8982"/>
    <cellStyle name="Обычный 3 8 9 10" xfId="20456"/>
    <cellStyle name="Обычный 3 8 9 11" xfId="22068"/>
    <cellStyle name="Обычный 3 8 9 2" xfId="8983"/>
    <cellStyle name="Обычный 3 8 9 2 2" xfId="8984"/>
    <cellStyle name="Обычный 3 8 9 3" xfId="8985"/>
    <cellStyle name="Обычный 3 8 9 4" xfId="8986"/>
    <cellStyle name="Обычный 3 8 9 5" xfId="8987"/>
    <cellStyle name="Обычный 3 8 9 6" xfId="8988"/>
    <cellStyle name="Обычный 3 8 9 7" xfId="8989"/>
    <cellStyle name="Обычный 3 8 9 8" xfId="8990"/>
    <cellStyle name="Обычный 3 8 9 9" xfId="18761"/>
    <cellStyle name="Обычный 3 9" xfId="8991"/>
    <cellStyle name="Обычный 3 9 10" xfId="8992"/>
    <cellStyle name="Обычный 3 9 11" xfId="8993"/>
    <cellStyle name="Обычный 3 9 12" xfId="8994"/>
    <cellStyle name="Обычный 3 9 13" xfId="8995"/>
    <cellStyle name="Обычный 3 9 14" xfId="8996"/>
    <cellStyle name="Обычный 3 9 15" xfId="8997"/>
    <cellStyle name="Обычный 3 9 16" xfId="8998"/>
    <cellStyle name="Обычный 3 9 17" xfId="8999"/>
    <cellStyle name="Обычный 3 9 18" xfId="18762"/>
    <cellStyle name="Обычный 3 9 19" xfId="20457"/>
    <cellStyle name="Обычный 3 9 2" xfId="9000"/>
    <cellStyle name="Обычный 3 9 2 10" xfId="9001"/>
    <cellStyle name="Обычный 3 9 2 11" xfId="9002"/>
    <cellStyle name="Обычный 3 9 2 12" xfId="18763"/>
    <cellStyle name="Обычный 3 9 2 13" xfId="20458"/>
    <cellStyle name="Обычный 3 9 2 14" xfId="22070"/>
    <cellStyle name="Обычный 3 9 2 2" xfId="9003"/>
    <cellStyle name="Обычный 3 9 2 2 10" xfId="9004"/>
    <cellStyle name="Обычный 3 9 2 2 11" xfId="18764"/>
    <cellStyle name="Обычный 3 9 2 2 12" xfId="20459"/>
    <cellStyle name="Обычный 3 9 2 2 13" xfId="22071"/>
    <cellStyle name="Обычный 3 9 2 2 2" xfId="9005"/>
    <cellStyle name="Обычный 3 9 2 2 2 2" xfId="9006"/>
    <cellStyle name="Обычный 3 9 2 2 3" xfId="9007"/>
    <cellStyle name="Обычный 3 9 2 2 4" xfId="9008"/>
    <cellStyle name="Обычный 3 9 2 2 5" xfId="9009"/>
    <cellStyle name="Обычный 3 9 2 2 6" xfId="9010"/>
    <cellStyle name="Обычный 3 9 2 2 7" xfId="9011"/>
    <cellStyle name="Обычный 3 9 2 2 8" xfId="9012"/>
    <cellStyle name="Обычный 3 9 2 2 9" xfId="9013"/>
    <cellStyle name="Обычный 3 9 2 3" xfId="9014"/>
    <cellStyle name="Обычный 3 9 2 3 2" xfId="9015"/>
    <cellStyle name="Обычный 3 9 2 4" xfId="9016"/>
    <cellStyle name="Обычный 3 9 2 5" xfId="9017"/>
    <cellStyle name="Обычный 3 9 2 6" xfId="9018"/>
    <cellStyle name="Обычный 3 9 2 7" xfId="9019"/>
    <cellStyle name="Обычный 3 9 2 8" xfId="9020"/>
    <cellStyle name="Обычный 3 9 2 9" xfId="9021"/>
    <cellStyle name="Обычный 3 9 20" xfId="22069"/>
    <cellStyle name="Обычный 3 9 3" xfId="9022"/>
    <cellStyle name="Обычный 3 9 3 10" xfId="9023"/>
    <cellStyle name="Обычный 3 9 3 11" xfId="9024"/>
    <cellStyle name="Обычный 3 9 3 12" xfId="18765"/>
    <cellStyle name="Обычный 3 9 3 13" xfId="20460"/>
    <cellStyle name="Обычный 3 9 3 14" xfId="22072"/>
    <cellStyle name="Обычный 3 9 3 2" xfId="9025"/>
    <cellStyle name="Обычный 3 9 3 2 10" xfId="9026"/>
    <cellStyle name="Обычный 3 9 3 2 11" xfId="18766"/>
    <cellStyle name="Обычный 3 9 3 2 12" xfId="20461"/>
    <cellStyle name="Обычный 3 9 3 2 13" xfId="22073"/>
    <cellStyle name="Обычный 3 9 3 2 2" xfId="9027"/>
    <cellStyle name="Обычный 3 9 3 2 2 2" xfId="9028"/>
    <cellStyle name="Обычный 3 9 3 2 3" xfId="9029"/>
    <cellStyle name="Обычный 3 9 3 2 4" xfId="9030"/>
    <cellStyle name="Обычный 3 9 3 2 5" xfId="9031"/>
    <cellStyle name="Обычный 3 9 3 2 6" xfId="9032"/>
    <cellStyle name="Обычный 3 9 3 2 7" xfId="9033"/>
    <cellStyle name="Обычный 3 9 3 2 8" xfId="9034"/>
    <cellStyle name="Обычный 3 9 3 2 9" xfId="9035"/>
    <cellStyle name="Обычный 3 9 3 3" xfId="9036"/>
    <cellStyle name="Обычный 3 9 3 3 2" xfId="9037"/>
    <cellStyle name="Обычный 3 9 3 4" xfId="9038"/>
    <cellStyle name="Обычный 3 9 3 5" xfId="9039"/>
    <cellStyle name="Обычный 3 9 3 6" xfId="9040"/>
    <cellStyle name="Обычный 3 9 3 7" xfId="9041"/>
    <cellStyle name="Обычный 3 9 3 8" xfId="9042"/>
    <cellStyle name="Обычный 3 9 3 9" xfId="9043"/>
    <cellStyle name="Обычный 3 9 4" xfId="9044"/>
    <cellStyle name="Обычный 3 9 4 10" xfId="9045"/>
    <cellStyle name="Обычный 3 9 4 11" xfId="9046"/>
    <cellStyle name="Обычный 3 9 4 12" xfId="18767"/>
    <cellStyle name="Обычный 3 9 4 13" xfId="20462"/>
    <cellStyle name="Обычный 3 9 4 14" xfId="22074"/>
    <cellStyle name="Обычный 3 9 4 2" xfId="9047"/>
    <cellStyle name="Обычный 3 9 4 2 10" xfId="9048"/>
    <cellStyle name="Обычный 3 9 4 2 11" xfId="18768"/>
    <cellStyle name="Обычный 3 9 4 2 12" xfId="20463"/>
    <cellStyle name="Обычный 3 9 4 2 13" xfId="22075"/>
    <cellStyle name="Обычный 3 9 4 2 2" xfId="9049"/>
    <cellStyle name="Обычный 3 9 4 2 2 2" xfId="9050"/>
    <cellStyle name="Обычный 3 9 4 2 3" xfId="9051"/>
    <cellStyle name="Обычный 3 9 4 2 4" xfId="9052"/>
    <cellStyle name="Обычный 3 9 4 2 5" xfId="9053"/>
    <cellStyle name="Обычный 3 9 4 2 6" xfId="9054"/>
    <cellStyle name="Обычный 3 9 4 2 7" xfId="9055"/>
    <cellStyle name="Обычный 3 9 4 2 8" xfId="9056"/>
    <cellStyle name="Обычный 3 9 4 2 9" xfId="9057"/>
    <cellStyle name="Обычный 3 9 4 3" xfId="9058"/>
    <cellStyle name="Обычный 3 9 4 3 2" xfId="9059"/>
    <cellStyle name="Обычный 3 9 4 4" xfId="9060"/>
    <cellStyle name="Обычный 3 9 4 5" xfId="9061"/>
    <cellStyle name="Обычный 3 9 4 6" xfId="9062"/>
    <cellStyle name="Обычный 3 9 4 7" xfId="9063"/>
    <cellStyle name="Обычный 3 9 4 8" xfId="9064"/>
    <cellStyle name="Обычный 3 9 4 9" xfId="9065"/>
    <cellStyle name="Обычный 3 9 5" xfId="9066"/>
    <cellStyle name="Обычный 3 9 5 10" xfId="9067"/>
    <cellStyle name="Обычный 3 9 5 11" xfId="9068"/>
    <cellStyle name="Обычный 3 9 5 12" xfId="18769"/>
    <cellStyle name="Обычный 3 9 5 13" xfId="20464"/>
    <cellStyle name="Обычный 3 9 5 14" xfId="22076"/>
    <cellStyle name="Обычный 3 9 5 2" xfId="9069"/>
    <cellStyle name="Обычный 3 9 5 2 10" xfId="9070"/>
    <cellStyle name="Обычный 3 9 5 2 11" xfId="18770"/>
    <cellStyle name="Обычный 3 9 5 2 12" xfId="20465"/>
    <cellStyle name="Обычный 3 9 5 2 13" xfId="22077"/>
    <cellStyle name="Обычный 3 9 5 2 2" xfId="9071"/>
    <cellStyle name="Обычный 3 9 5 2 2 2" xfId="9072"/>
    <cellStyle name="Обычный 3 9 5 2 3" xfId="9073"/>
    <cellStyle name="Обычный 3 9 5 2 4" xfId="9074"/>
    <cellStyle name="Обычный 3 9 5 2 5" xfId="9075"/>
    <cellStyle name="Обычный 3 9 5 2 6" xfId="9076"/>
    <cellStyle name="Обычный 3 9 5 2 7" xfId="9077"/>
    <cellStyle name="Обычный 3 9 5 2 8" xfId="9078"/>
    <cellStyle name="Обычный 3 9 5 2 9" xfId="9079"/>
    <cellStyle name="Обычный 3 9 5 3" xfId="9080"/>
    <cellStyle name="Обычный 3 9 5 3 2" xfId="9081"/>
    <cellStyle name="Обычный 3 9 5 4" xfId="9082"/>
    <cellStyle name="Обычный 3 9 5 5" xfId="9083"/>
    <cellStyle name="Обычный 3 9 5 6" xfId="9084"/>
    <cellStyle name="Обычный 3 9 5 7" xfId="9085"/>
    <cellStyle name="Обычный 3 9 5 8" xfId="9086"/>
    <cellStyle name="Обычный 3 9 5 9" xfId="9087"/>
    <cellStyle name="Обычный 3 9 6" xfId="9088"/>
    <cellStyle name="Обычный 3 9 6 10" xfId="9089"/>
    <cellStyle name="Обычный 3 9 6 11" xfId="18771"/>
    <cellStyle name="Обычный 3 9 6 12" xfId="20466"/>
    <cellStyle name="Обычный 3 9 6 13" xfId="22078"/>
    <cellStyle name="Обычный 3 9 6 2" xfId="9090"/>
    <cellStyle name="Обычный 3 9 6 2 2" xfId="9091"/>
    <cellStyle name="Обычный 3 9 6 3" xfId="9092"/>
    <cellStyle name="Обычный 3 9 6 4" xfId="9093"/>
    <cellStyle name="Обычный 3 9 6 5" xfId="9094"/>
    <cellStyle name="Обычный 3 9 6 6" xfId="9095"/>
    <cellStyle name="Обычный 3 9 6 7" xfId="9096"/>
    <cellStyle name="Обычный 3 9 6 8" xfId="9097"/>
    <cellStyle name="Обычный 3 9 6 9" xfId="9098"/>
    <cellStyle name="Обычный 3 9 7" xfId="9099"/>
    <cellStyle name="Обычный 3 9 7 10" xfId="20467"/>
    <cellStyle name="Обычный 3 9 7 11" xfId="22079"/>
    <cellStyle name="Обычный 3 9 7 2" xfId="9100"/>
    <cellStyle name="Обычный 3 9 7 2 2" xfId="9101"/>
    <cellStyle name="Обычный 3 9 7 3" xfId="9102"/>
    <cellStyle name="Обычный 3 9 7 4" xfId="9103"/>
    <cellStyle name="Обычный 3 9 7 5" xfId="9104"/>
    <cellStyle name="Обычный 3 9 7 6" xfId="9105"/>
    <cellStyle name="Обычный 3 9 7 7" xfId="9106"/>
    <cellStyle name="Обычный 3 9 7 8" xfId="9107"/>
    <cellStyle name="Обычный 3 9 7 9" xfId="18772"/>
    <cellStyle name="Обычный 3 9 8" xfId="9108"/>
    <cellStyle name="Обычный 3 9 8 2" xfId="9109"/>
    <cellStyle name="Обычный 3 9 9" xfId="9110"/>
    <cellStyle name="Обычный 3_5. общ.V" xfId="9111"/>
    <cellStyle name="Обычный 30" xfId="21270"/>
    <cellStyle name="Обычный 31" xfId="21271"/>
    <cellStyle name="Обычный 32" xfId="21272"/>
    <cellStyle name="Обычный 33" xfId="22873"/>
    <cellStyle name="Обычный 34" xfId="22874"/>
    <cellStyle name="Обычный 4" xfId="9112"/>
    <cellStyle name="Обычный 4 10" xfId="9113"/>
    <cellStyle name="Обычный 4 10 10" xfId="9114"/>
    <cellStyle name="Обычный 4 10 11" xfId="9115"/>
    <cellStyle name="Обычный 4 10 12" xfId="18774"/>
    <cellStyle name="Обычный 4 10 13" xfId="20469"/>
    <cellStyle name="Обычный 4 10 14" xfId="22081"/>
    <cellStyle name="Обычный 4 10 2" xfId="9116"/>
    <cellStyle name="Обычный 4 10 2 10" xfId="9117"/>
    <cellStyle name="Обычный 4 10 2 11" xfId="18775"/>
    <cellStyle name="Обычный 4 10 2 12" xfId="20470"/>
    <cellStyle name="Обычный 4 10 2 13" xfId="22082"/>
    <cellStyle name="Обычный 4 10 2 2" xfId="9118"/>
    <cellStyle name="Обычный 4 10 2 2 2" xfId="9119"/>
    <cellStyle name="Обычный 4 10 2 3" xfId="9120"/>
    <cellStyle name="Обычный 4 10 2 4" xfId="9121"/>
    <cellStyle name="Обычный 4 10 2 5" xfId="9122"/>
    <cellStyle name="Обычный 4 10 2 6" xfId="9123"/>
    <cellStyle name="Обычный 4 10 2 7" xfId="9124"/>
    <cellStyle name="Обычный 4 10 2 8" xfId="9125"/>
    <cellStyle name="Обычный 4 10 2 9" xfId="9126"/>
    <cellStyle name="Обычный 4 10 3" xfId="9127"/>
    <cellStyle name="Обычный 4 10 3 2" xfId="9128"/>
    <cellStyle name="Обычный 4 10 4" xfId="9129"/>
    <cellStyle name="Обычный 4 10 5" xfId="9130"/>
    <cellStyle name="Обычный 4 10 6" xfId="9131"/>
    <cellStyle name="Обычный 4 10 7" xfId="9132"/>
    <cellStyle name="Обычный 4 10 8" xfId="9133"/>
    <cellStyle name="Обычный 4 10 9" xfId="9134"/>
    <cellStyle name="Обычный 4 11" xfId="9135"/>
    <cellStyle name="Обычный 4 11 10" xfId="9136"/>
    <cellStyle name="Обычный 4 11 11" xfId="9137"/>
    <cellStyle name="Обычный 4 11 12" xfId="18776"/>
    <cellStyle name="Обычный 4 11 13" xfId="20471"/>
    <cellStyle name="Обычный 4 11 14" xfId="22083"/>
    <cellStyle name="Обычный 4 11 2" xfId="9138"/>
    <cellStyle name="Обычный 4 11 2 10" xfId="9139"/>
    <cellStyle name="Обычный 4 11 2 11" xfId="18777"/>
    <cellStyle name="Обычный 4 11 2 12" xfId="20472"/>
    <cellStyle name="Обычный 4 11 2 13" xfId="22084"/>
    <cellStyle name="Обычный 4 11 2 2" xfId="9140"/>
    <cellStyle name="Обычный 4 11 2 2 2" xfId="9141"/>
    <cellStyle name="Обычный 4 11 2 3" xfId="9142"/>
    <cellStyle name="Обычный 4 11 2 4" xfId="9143"/>
    <cellStyle name="Обычный 4 11 2 5" xfId="9144"/>
    <cellStyle name="Обычный 4 11 2 6" xfId="9145"/>
    <cellStyle name="Обычный 4 11 2 7" xfId="9146"/>
    <cellStyle name="Обычный 4 11 2 8" xfId="9147"/>
    <cellStyle name="Обычный 4 11 2 9" xfId="9148"/>
    <cellStyle name="Обычный 4 11 3" xfId="9149"/>
    <cellStyle name="Обычный 4 11 3 2" xfId="9150"/>
    <cellStyle name="Обычный 4 11 4" xfId="9151"/>
    <cellStyle name="Обычный 4 11 5" xfId="9152"/>
    <cellStyle name="Обычный 4 11 6" xfId="9153"/>
    <cellStyle name="Обычный 4 11 7" xfId="9154"/>
    <cellStyle name="Обычный 4 11 8" xfId="9155"/>
    <cellStyle name="Обычный 4 11 9" xfId="9156"/>
    <cellStyle name="Обычный 4 12" xfId="9157"/>
    <cellStyle name="Обычный 4 12 10" xfId="9158"/>
    <cellStyle name="Обычный 4 12 11" xfId="9159"/>
    <cellStyle name="Обычный 4 12 12" xfId="18778"/>
    <cellStyle name="Обычный 4 12 13" xfId="20473"/>
    <cellStyle name="Обычный 4 12 14" xfId="22085"/>
    <cellStyle name="Обычный 4 12 2" xfId="9160"/>
    <cellStyle name="Обычный 4 12 2 10" xfId="9161"/>
    <cellStyle name="Обычный 4 12 2 11" xfId="18779"/>
    <cellStyle name="Обычный 4 12 2 12" xfId="20474"/>
    <cellStyle name="Обычный 4 12 2 13" xfId="22086"/>
    <cellStyle name="Обычный 4 12 2 2" xfId="9162"/>
    <cellStyle name="Обычный 4 12 2 2 2" xfId="9163"/>
    <cellStyle name="Обычный 4 12 2 3" xfId="9164"/>
    <cellStyle name="Обычный 4 12 2 4" xfId="9165"/>
    <cellStyle name="Обычный 4 12 2 5" xfId="9166"/>
    <cellStyle name="Обычный 4 12 2 6" xfId="9167"/>
    <cellStyle name="Обычный 4 12 2 7" xfId="9168"/>
    <cellStyle name="Обычный 4 12 2 8" xfId="9169"/>
    <cellStyle name="Обычный 4 12 2 9" xfId="9170"/>
    <cellStyle name="Обычный 4 12 3" xfId="9171"/>
    <cellStyle name="Обычный 4 12 3 2" xfId="9172"/>
    <cellStyle name="Обычный 4 12 4" xfId="9173"/>
    <cellStyle name="Обычный 4 12 5" xfId="9174"/>
    <cellStyle name="Обычный 4 12 6" xfId="9175"/>
    <cellStyle name="Обычный 4 12 7" xfId="9176"/>
    <cellStyle name="Обычный 4 12 8" xfId="9177"/>
    <cellStyle name="Обычный 4 12 9" xfId="9178"/>
    <cellStyle name="Обычный 4 13" xfId="9179"/>
    <cellStyle name="Обычный 4 13 10" xfId="9180"/>
    <cellStyle name="Обычный 4 13 11" xfId="9181"/>
    <cellStyle name="Обычный 4 13 12" xfId="18780"/>
    <cellStyle name="Обычный 4 13 13" xfId="20475"/>
    <cellStyle name="Обычный 4 13 14" xfId="22087"/>
    <cellStyle name="Обычный 4 13 2" xfId="9182"/>
    <cellStyle name="Обычный 4 13 2 10" xfId="9183"/>
    <cellStyle name="Обычный 4 13 2 11" xfId="18781"/>
    <cellStyle name="Обычный 4 13 2 12" xfId="20476"/>
    <cellStyle name="Обычный 4 13 2 13" xfId="22088"/>
    <cellStyle name="Обычный 4 13 2 2" xfId="9184"/>
    <cellStyle name="Обычный 4 13 2 2 2" xfId="9185"/>
    <cellStyle name="Обычный 4 13 2 3" xfId="9186"/>
    <cellStyle name="Обычный 4 13 2 4" xfId="9187"/>
    <cellStyle name="Обычный 4 13 2 5" xfId="9188"/>
    <cellStyle name="Обычный 4 13 2 6" xfId="9189"/>
    <cellStyle name="Обычный 4 13 2 7" xfId="9190"/>
    <cellStyle name="Обычный 4 13 2 8" xfId="9191"/>
    <cellStyle name="Обычный 4 13 2 9" xfId="9192"/>
    <cellStyle name="Обычный 4 13 3" xfId="9193"/>
    <cellStyle name="Обычный 4 13 3 2" xfId="9194"/>
    <cellStyle name="Обычный 4 13 4" xfId="9195"/>
    <cellStyle name="Обычный 4 13 5" xfId="9196"/>
    <cellStyle name="Обычный 4 13 6" xfId="9197"/>
    <cellStyle name="Обычный 4 13 7" xfId="9198"/>
    <cellStyle name="Обычный 4 13 8" xfId="9199"/>
    <cellStyle name="Обычный 4 13 9" xfId="9200"/>
    <cellStyle name="Обычный 4 14" xfId="9201"/>
    <cellStyle name="Обычный 4 14 10" xfId="9202"/>
    <cellStyle name="Обычный 4 14 11" xfId="9203"/>
    <cellStyle name="Обычный 4 14 12" xfId="18782"/>
    <cellStyle name="Обычный 4 14 13" xfId="20477"/>
    <cellStyle name="Обычный 4 14 14" xfId="22089"/>
    <cellStyle name="Обычный 4 14 2" xfId="9204"/>
    <cellStyle name="Обычный 4 14 2 10" xfId="9205"/>
    <cellStyle name="Обычный 4 14 2 11" xfId="18783"/>
    <cellStyle name="Обычный 4 14 2 12" xfId="20478"/>
    <cellStyle name="Обычный 4 14 2 13" xfId="22090"/>
    <cellStyle name="Обычный 4 14 2 2" xfId="9206"/>
    <cellStyle name="Обычный 4 14 2 2 2" xfId="9207"/>
    <cellStyle name="Обычный 4 14 2 3" xfId="9208"/>
    <cellStyle name="Обычный 4 14 2 4" xfId="9209"/>
    <cellStyle name="Обычный 4 14 2 5" xfId="9210"/>
    <cellStyle name="Обычный 4 14 2 6" xfId="9211"/>
    <cellStyle name="Обычный 4 14 2 7" xfId="9212"/>
    <cellStyle name="Обычный 4 14 2 8" xfId="9213"/>
    <cellStyle name="Обычный 4 14 2 9" xfId="9214"/>
    <cellStyle name="Обычный 4 14 3" xfId="9215"/>
    <cellStyle name="Обычный 4 14 3 2" xfId="9216"/>
    <cellStyle name="Обычный 4 14 4" xfId="9217"/>
    <cellStyle name="Обычный 4 14 5" xfId="9218"/>
    <cellStyle name="Обычный 4 14 6" xfId="9219"/>
    <cellStyle name="Обычный 4 14 7" xfId="9220"/>
    <cellStyle name="Обычный 4 14 8" xfId="9221"/>
    <cellStyle name="Обычный 4 14 9" xfId="9222"/>
    <cellStyle name="Обычный 4 15" xfId="9223"/>
    <cellStyle name="Обычный 4 15 10" xfId="9224"/>
    <cellStyle name="Обычный 4 15 11" xfId="9225"/>
    <cellStyle name="Обычный 4 15 12" xfId="18784"/>
    <cellStyle name="Обычный 4 15 13" xfId="20479"/>
    <cellStyle name="Обычный 4 15 14" xfId="22091"/>
    <cellStyle name="Обычный 4 15 2" xfId="9226"/>
    <cellStyle name="Обычный 4 15 2 10" xfId="9227"/>
    <cellStyle name="Обычный 4 15 2 11" xfId="18785"/>
    <cellStyle name="Обычный 4 15 2 12" xfId="20480"/>
    <cellStyle name="Обычный 4 15 2 13" xfId="22092"/>
    <cellStyle name="Обычный 4 15 2 2" xfId="9228"/>
    <cellStyle name="Обычный 4 15 2 2 2" xfId="9229"/>
    <cellStyle name="Обычный 4 15 2 3" xfId="9230"/>
    <cellStyle name="Обычный 4 15 2 4" xfId="9231"/>
    <cellStyle name="Обычный 4 15 2 5" xfId="9232"/>
    <cellStyle name="Обычный 4 15 2 6" xfId="9233"/>
    <cellStyle name="Обычный 4 15 2 7" xfId="9234"/>
    <cellStyle name="Обычный 4 15 2 8" xfId="9235"/>
    <cellStyle name="Обычный 4 15 2 9" xfId="9236"/>
    <cellStyle name="Обычный 4 15 3" xfId="9237"/>
    <cellStyle name="Обычный 4 15 3 2" xfId="9238"/>
    <cellStyle name="Обычный 4 15 4" xfId="9239"/>
    <cellStyle name="Обычный 4 15 5" xfId="9240"/>
    <cellStyle name="Обычный 4 15 6" xfId="9241"/>
    <cellStyle name="Обычный 4 15 7" xfId="9242"/>
    <cellStyle name="Обычный 4 15 8" xfId="9243"/>
    <cellStyle name="Обычный 4 15 9" xfId="9244"/>
    <cellStyle name="Обычный 4 16" xfId="9245"/>
    <cellStyle name="Обычный 4 16 10" xfId="9246"/>
    <cellStyle name="Обычный 4 16 11" xfId="18786"/>
    <cellStyle name="Обычный 4 16 12" xfId="20481"/>
    <cellStyle name="Обычный 4 16 13" xfId="22093"/>
    <cellStyle name="Обычный 4 16 2" xfId="9247"/>
    <cellStyle name="Обычный 4 16 2 2" xfId="9248"/>
    <cellStyle name="Обычный 4 16 3" xfId="9249"/>
    <cellStyle name="Обычный 4 16 4" xfId="9250"/>
    <cellStyle name="Обычный 4 16 5" xfId="9251"/>
    <cellStyle name="Обычный 4 16 6" xfId="9252"/>
    <cellStyle name="Обычный 4 16 7" xfId="9253"/>
    <cellStyle name="Обычный 4 16 8" xfId="9254"/>
    <cellStyle name="Обычный 4 16 9" xfId="9255"/>
    <cellStyle name="Обычный 4 17" xfId="9256"/>
    <cellStyle name="Обычный 4 17 10" xfId="20482"/>
    <cellStyle name="Обычный 4 17 11" xfId="22094"/>
    <cellStyle name="Обычный 4 17 2" xfId="9257"/>
    <cellStyle name="Обычный 4 17 2 2" xfId="9258"/>
    <cellStyle name="Обычный 4 17 3" xfId="9259"/>
    <cellStyle name="Обычный 4 17 4" xfId="9260"/>
    <cellStyle name="Обычный 4 17 5" xfId="9261"/>
    <cellStyle name="Обычный 4 17 6" xfId="9262"/>
    <cellStyle name="Обычный 4 17 7" xfId="9263"/>
    <cellStyle name="Обычный 4 17 8" xfId="9264"/>
    <cellStyle name="Обычный 4 17 9" xfId="18787"/>
    <cellStyle name="Обычный 4 18" xfId="9265"/>
    <cellStyle name="Обычный 4 18 10" xfId="20483"/>
    <cellStyle name="Обычный 4 18 11" xfId="22095"/>
    <cellStyle name="Обычный 4 18 2" xfId="9266"/>
    <cellStyle name="Обычный 4 18 2 2" xfId="9267"/>
    <cellStyle name="Обычный 4 18 3" xfId="9268"/>
    <cellStyle name="Обычный 4 18 4" xfId="9269"/>
    <cellStyle name="Обычный 4 18 5" xfId="9270"/>
    <cellStyle name="Обычный 4 18 6" xfId="9271"/>
    <cellStyle name="Обычный 4 18 7" xfId="9272"/>
    <cellStyle name="Обычный 4 18 8" xfId="9273"/>
    <cellStyle name="Обычный 4 18 9" xfId="18788"/>
    <cellStyle name="Обычный 4 19" xfId="9274"/>
    <cellStyle name="Обычный 4 19 2" xfId="9275"/>
    <cellStyle name="Обычный 4 2" xfId="9276"/>
    <cellStyle name="Обычный 4 2 10" xfId="9277"/>
    <cellStyle name="Обычный 4 2 10 10" xfId="9278"/>
    <cellStyle name="Обычный 4 2 10 11" xfId="9279"/>
    <cellStyle name="Обычный 4 2 10 12" xfId="18790"/>
    <cellStyle name="Обычный 4 2 10 13" xfId="20485"/>
    <cellStyle name="Обычный 4 2 10 14" xfId="22097"/>
    <cellStyle name="Обычный 4 2 10 2" xfId="9280"/>
    <cellStyle name="Обычный 4 2 10 2 10" xfId="9281"/>
    <cellStyle name="Обычный 4 2 10 2 11" xfId="18791"/>
    <cellStyle name="Обычный 4 2 10 2 12" xfId="20486"/>
    <cellStyle name="Обычный 4 2 10 2 13" xfId="22098"/>
    <cellStyle name="Обычный 4 2 10 2 2" xfId="9282"/>
    <cellStyle name="Обычный 4 2 10 2 2 2" xfId="9283"/>
    <cellStyle name="Обычный 4 2 10 2 3" xfId="9284"/>
    <cellStyle name="Обычный 4 2 10 2 4" xfId="9285"/>
    <cellStyle name="Обычный 4 2 10 2 5" xfId="9286"/>
    <cellStyle name="Обычный 4 2 10 2 6" xfId="9287"/>
    <cellStyle name="Обычный 4 2 10 2 7" xfId="9288"/>
    <cellStyle name="Обычный 4 2 10 2 8" xfId="9289"/>
    <cellStyle name="Обычный 4 2 10 2 9" xfId="9290"/>
    <cellStyle name="Обычный 4 2 10 3" xfId="9291"/>
    <cellStyle name="Обычный 4 2 10 3 2" xfId="9292"/>
    <cellStyle name="Обычный 4 2 10 4" xfId="9293"/>
    <cellStyle name="Обычный 4 2 10 5" xfId="9294"/>
    <cellStyle name="Обычный 4 2 10 6" xfId="9295"/>
    <cellStyle name="Обычный 4 2 10 7" xfId="9296"/>
    <cellStyle name="Обычный 4 2 10 8" xfId="9297"/>
    <cellStyle name="Обычный 4 2 10 9" xfId="9298"/>
    <cellStyle name="Обычный 4 2 11" xfId="9299"/>
    <cellStyle name="Обычный 4 2 11 10" xfId="9300"/>
    <cellStyle name="Обычный 4 2 11 11" xfId="18792"/>
    <cellStyle name="Обычный 4 2 11 12" xfId="20487"/>
    <cellStyle name="Обычный 4 2 11 13" xfId="22099"/>
    <cellStyle name="Обычный 4 2 11 2" xfId="9301"/>
    <cellStyle name="Обычный 4 2 11 2 2" xfId="9302"/>
    <cellStyle name="Обычный 4 2 11 3" xfId="9303"/>
    <cellStyle name="Обычный 4 2 11 4" xfId="9304"/>
    <cellStyle name="Обычный 4 2 11 5" xfId="9305"/>
    <cellStyle name="Обычный 4 2 11 6" xfId="9306"/>
    <cellStyle name="Обычный 4 2 11 7" xfId="9307"/>
    <cellStyle name="Обычный 4 2 11 8" xfId="9308"/>
    <cellStyle name="Обычный 4 2 11 9" xfId="9309"/>
    <cellStyle name="Обычный 4 2 12" xfId="9310"/>
    <cellStyle name="Обычный 4 2 12 10" xfId="20488"/>
    <cellStyle name="Обычный 4 2 12 11" xfId="22100"/>
    <cellStyle name="Обычный 4 2 12 2" xfId="9311"/>
    <cellStyle name="Обычный 4 2 12 2 2" xfId="9312"/>
    <cellStyle name="Обычный 4 2 12 3" xfId="9313"/>
    <cellStyle name="Обычный 4 2 12 4" xfId="9314"/>
    <cellStyle name="Обычный 4 2 12 5" xfId="9315"/>
    <cellStyle name="Обычный 4 2 12 6" xfId="9316"/>
    <cellStyle name="Обычный 4 2 12 7" xfId="9317"/>
    <cellStyle name="Обычный 4 2 12 8" xfId="9318"/>
    <cellStyle name="Обычный 4 2 12 9" xfId="18793"/>
    <cellStyle name="Обычный 4 2 13" xfId="9319"/>
    <cellStyle name="Обычный 4 2 13 10" xfId="20489"/>
    <cellStyle name="Обычный 4 2 13 11" xfId="22101"/>
    <cellStyle name="Обычный 4 2 13 2" xfId="9320"/>
    <cellStyle name="Обычный 4 2 13 2 2" xfId="9321"/>
    <cellStyle name="Обычный 4 2 13 3" xfId="9322"/>
    <cellStyle name="Обычный 4 2 13 4" xfId="9323"/>
    <cellStyle name="Обычный 4 2 13 5" xfId="9324"/>
    <cellStyle name="Обычный 4 2 13 6" xfId="9325"/>
    <cellStyle name="Обычный 4 2 13 7" xfId="9326"/>
    <cellStyle name="Обычный 4 2 13 8" xfId="9327"/>
    <cellStyle name="Обычный 4 2 13 9" xfId="18794"/>
    <cellStyle name="Обычный 4 2 14" xfId="9328"/>
    <cellStyle name="Обычный 4 2 14 2" xfId="9329"/>
    <cellStyle name="Обычный 4 2 15" xfId="9330"/>
    <cellStyle name="Обычный 4 2 16" xfId="9331"/>
    <cellStyle name="Обычный 4 2 17" xfId="9332"/>
    <cellStyle name="Обычный 4 2 18" xfId="9333"/>
    <cellStyle name="Обычный 4 2 19" xfId="9334"/>
    <cellStyle name="Обычный 4 2 2" xfId="9335"/>
    <cellStyle name="Обычный 4 2 2 10" xfId="9336"/>
    <cellStyle name="Обычный 4 2 2 10 2" xfId="9337"/>
    <cellStyle name="Обычный 4 2 2 11" xfId="9338"/>
    <cellStyle name="Обычный 4 2 2 12" xfId="9339"/>
    <cellStyle name="Обычный 4 2 2 13" xfId="9340"/>
    <cellStyle name="Обычный 4 2 2 14" xfId="9341"/>
    <cellStyle name="Обычный 4 2 2 15" xfId="9342"/>
    <cellStyle name="Обычный 4 2 2 16" xfId="9343"/>
    <cellStyle name="Обычный 4 2 2 17" xfId="9344"/>
    <cellStyle name="Обычный 4 2 2 18" xfId="9345"/>
    <cellStyle name="Обычный 4 2 2 19" xfId="9346"/>
    <cellStyle name="Обычный 4 2 2 2" xfId="9347"/>
    <cellStyle name="Обычный 4 2 2 2 10" xfId="9348"/>
    <cellStyle name="Обычный 4 2 2 2 11" xfId="9349"/>
    <cellStyle name="Обычный 4 2 2 2 12" xfId="9350"/>
    <cellStyle name="Обычный 4 2 2 2 13" xfId="9351"/>
    <cellStyle name="Обычный 4 2 2 2 14" xfId="9352"/>
    <cellStyle name="Обычный 4 2 2 2 15" xfId="9353"/>
    <cellStyle name="Обычный 4 2 2 2 16" xfId="9354"/>
    <cellStyle name="Обычный 4 2 2 2 17" xfId="9355"/>
    <cellStyle name="Обычный 4 2 2 2 18" xfId="18796"/>
    <cellStyle name="Обычный 4 2 2 2 19" xfId="20491"/>
    <cellStyle name="Обычный 4 2 2 2 2" xfId="9356"/>
    <cellStyle name="Обычный 4 2 2 2 2 10" xfId="9357"/>
    <cellStyle name="Обычный 4 2 2 2 2 11" xfId="9358"/>
    <cellStyle name="Обычный 4 2 2 2 2 12" xfId="18797"/>
    <cellStyle name="Обычный 4 2 2 2 2 13" xfId="20492"/>
    <cellStyle name="Обычный 4 2 2 2 2 14" xfId="22104"/>
    <cellStyle name="Обычный 4 2 2 2 2 2" xfId="9359"/>
    <cellStyle name="Обычный 4 2 2 2 2 2 10" xfId="9360"/>
    <cellStyle name="Обычный 4 2 2 2 2 2 11" xfId="18798"/>
    <cellStyle name="Обычный 4 2 2 2 2 2 12" xfId="20493"/>
    <cellStyle name="Обычный 4 2 2 2 2 2 13" xfId="22105"/>
    <cellStyle name="Обычный 4 2 2 2 2 2 2" xfId="9361"/>
    <cellStyle name="Обычный 4 2 2 2 2 2 2 2" xfId="9362"/>
    <cellStyle name="Обычный 4 2 2 2 2 2 3" xfId="9363"/>
    <cellStyle name="Обычный 4 2 2 2 2 2 4" xfId="9364"/>
    <cellStyle name="Обычный 4 2 2 2 2 2 5" xfId="9365"/>
    <cellStyle name="Обычный 4 2 2 2 2 2 6" xfId="9366"/>
    <cellStyle name="Обычный 4 2 2 2 2 2 7" xfId="9367"/>
    <cellStyle name="Обычный 4 2 2 2 2 2 8" xfId="9368"/>
    <cellStyle name="Обычный 4 2 2 2 2 2 9" xfId="9369"/>
    <cellStyle name="Обычный 4 2 2 2 2 3" xfId="9370"/>
    <cellStyle name="Обычный 4 2 2 2 2 3 2" xfId="9371"/>
    <cellStyle name="Обычный 4 2 2 2 2 4" xfId="9372"/>
    <cellStyle name="Обычный 4 2 2 2 2 5" xfId="9373"/>
    <cellStyle name="Обычный 4 2 2 2 2 6" xfId="9374"/>
    <cellStyle name="Обычный 4 2 2 2 2 7" xfId="9375"/>
    <cellStyle name="Обычный 4 2 2 2 2 8" xfId="9376"/>
    <cellStyle name="Обычный 4 2 2 2 2 9" xfId="9377"/>
    <cellStyle name="Обычный 4 2 2 2 20" xfId="22103"/>
    <cellStyle name="Обычный 4 2 2 2 3" xfId="9378"/>
    <cellStyle name="Обычный 4 2 2 2 3 10" xfId="9379"/>
    <cellStyle name="Обычный 4 2 2 2 3 11" xfId="9380"/>
    <cellStyle name="Обычный 4 2 2 2 3 12" xfId="18799"/>
    <cellStyle name="Обычный 4 2 2 2 3 13" xfId="20494"/>
    <cellStyle name="Обычный 4 2 2 2 3 14" xfId="22106"/>
    <cellStyle name="Обычный 4 2 2 2 3 2" xfId="9381"/>
    <cellStyle name="Обычный 4 2 2 2 3 2 10" xfId="9382"/>
    <cellStyle name="Обычный 4 2 2 2 3 2 11" xfId="18800"/>
    <cellStyle name="Обычный 4 2 2 2 3 2 12" xfId="20495"/>
    <cellStyle name="Обычный 4 2 2 2 3 2 13" xfId="22107"/>
    <cellStyle name="Обычный 4 2 2 2 3 2 2" xfId="9383"/>
    <cellStyle name="Обычный 4 2 2 2 3 2 2 2" xfId="9384"/>
    <cellStyle name="Обычный 4 2 2 2 3 2 3" xfId="9385"/>
    <cellStyle name="Обычный 4 2 2 2 3 2 4" xfId="9386"/>
    <cellStyle name="Обычный 4 2 2 2 3 2 5" xfId="9387"/>
    <cellStyle name="Обычный 4 2 2 2 3 2 6" xfId="9388"/>
    <cellStyle name="Обычный 4 2 2 2 3 2 7" xfId="9389"/>
    <cellStyle name="Обычный 4 2 2 2 3 2 8" xfId="9390"/>
    <cellStyle name="Обычный 4 2 2 2 3 2 9" xfId="9391"/>
    <cellStyle name="Обычный 4 2 2 2 3 3" xfId="9392"/>
    <cellStyle name="Обычный 4 2 2 2 3 3 2" xfId="9393"/>
    <cellStyle name="Обычный 4 2 2 2 3 4" xfId="9394"/>
    <cellStyle name="Обычный 4 2 2 2 3 5" xfId="9395"/>
    <cellStyle name="Обычный 4 2 2 2 3 6" xfId="9396"/>
    <cellStyle name="Обычный 4 2 2 2 3 7" xfId="9397"/>
    <cellStyle name="Обычный 4 2 2 2 3 8" xfId="9398"/>
    <cellStyle name="Обычный 4 2 2 2 3 9" xfId="9399"/>
    <cellStyle name="Обычный 4 2 2 2 4" xfId="9400"/>
    <cellStyle name="Обычный 4 2 2 2 4 10" xfId="9401"/>
    <cellStyle name="Обычный 4 2 2 2 4 11" xfId="9402"/>
    <cellStyle name="Обычный 4 2 2 2 4 12" xfId="18801"/>
    <cellStyle name="Обычный 4 2 2 2 4 13" xfId="20496"/>
    <cellStyle name="Обычный 4 2 2 2 4 14" xfId="22108"/>
    <cellStyle name="Обычный 4 2 2 2 4 2" xfId="9403"/>
    <cellStyle name="Обычный 4 2 2 2 4 2 10" xfId="9404"/>
    <cellStyle name="Обычный 4 2 2 2 4 2 11" xfId="18802"/>
    <cellStyle name="Обычный 4 2 2 2 4 2 12" xfId="20497"/>
    <cellStyle name="Обычный 4 2 2 2 4 2 13" xfId="22109"/>
    <cellStyle name="Обычный 4 2 2 2 4 2 2" xfId="9405"/>
    <cellStyle name="Обычный 4 2 2 2 4 2 2 2" xfId="9406"/>
    <cellStyle name="Обычный 4 2 2 2 4 2 3" xfId="9407"/>
    <cellStyle name="Обычный 4 2 2 2 4 2 4" xfId="9408"/>
    <cellStyle name="Обычный 4 2 2 2 4 2 5" xfId="9409"/>
    <cellStyle name="Обычный 4 2 2 2 4 2 6" xfId="9410"/>
    <cellStyle name="Обычный 4 2 2 2 4 2 7" xfId="9411"/>
    <cellStyle name="Обычный 4 2 2 2 4 2 8" xfId="9412"/>
    <cellStyle name="Обычный 4 2 2 2 4 2 9" xfId="9413"/>
    <cellStyle name="Обычный 4 2 2 2 4 3" xfId="9414"/>
    <cellStyle name="Обычный 4 2 2 2 4 3 2" xfId="9415"/>
    <cellStyle name="Обычный 4 2 2 2 4 4" xfId="9416"/>
    <cellStyle name="Обычный 4 2 2 2 4 5" xfId="9417"/>
    <cellStyle name="Обычный 4 2 2 2 4 6" xfId="9418"/>
    <cellStyle name="Обычный 4 2 2 2 4 7" xfId="9419"/>
    <cellStyle name="Обычный 4 2 2 2 4 8" xfId="9420"/>
    <cellStyle name="Обычный 4 2 2 2 4 9" xfId="9421"/>
    <cellStyle name="Обычный 4 2 2 2 5" xfId="9422"/>
    <cellStyle name="Обычный 4 2 2 2 5 10" xfId="9423"/>
    <cellStyle name="Обычный 4 2 2 2 5 11" xfId="9424"/>
    <cellStyle name="Обычный 4 2 2 2 5 12" xfId="18803"/>
    <cellStyle name="Обычный 4 2 2 2 5 13" xfId="20498"/>
    <cellStyle name="Обычный 4 2 2 2 5 14" xfId="22110"/>
    <cellStyle name="Обычный 4 2 2 2 5 2" xfId="9425"/>
    <cellStyle name="Обычный 4 2 2 2 5 2 10" xfId="9426"/>
    <cellStyle name="Обычный 4 2 2 2 5 2 11" xfId="18804"/>
    <cellStyle name="Обычный 4 2 2 2 5 2 12" xfId="20499"/>
    <cellStyle name="Обычный 4 2 2 2 5 2 13" xfId="22111"/>
    <cellStyle name="Обычный 4 2 2 2 5 2 2" xfId="9427"/>
    <cellStyle name="Обычный 4 2 2 2 5 2 2 2" xfId="9428"/>
    <cellStyle name="Обычный 4 2 2 2 5 2 3" xfId="9429"/>
    <cellStyle name="Обычный 4 2 2 2 5 2 4" xfId="9430"/>
    <cellStyle name="Обычный 4 2 2 2 5 2 5" xfId="9431"/>
    <cellStyle name="Обычный 4 2 2 2 5 2 6" xfId="9432"/>
    <cellStyle name="Обычный 4 2 2 2 5 2 7" xfId="9433"/>
    <cellStyle name="Обычный 4 2 2 2 5 2 8" xfId="9434"/>
    <cellStyle name="Обычный 4 2 2 2 5 2 9" xfId="9435"/>
    <cellStyle name="Обычный 4 2 2 2 5 3" xfId="9436"/>
    <cellStyle name="Обычный 4 2 2 2 5 3 2" xfId="9437"/>
    <cellStyle name="Обычный 4 2 2 2 5 4" xfId="9438"/>
    <cellStyle name="Обычный 4 2 2 2 5 5" xfId="9439"/>
    <cellStyle name="Обычный 4 2 2 2 5 6" xfId="9440"/>
    <cellStyle name="Обычный 4 2 2 2 5 7" xfId="9441"/>
    <cellStyle name="Обычный 4 2 2 2 5 8" xfId="9442"/>
    <cellStyle name="Обычный 4 2 2 2 5 9" xfId="9443"/>
    <cellStyle name="Обычный 4 2 2 2 6" xfId="9444"/>
    <cellStyle name="Обычный 4 2 2 2 6 10" xfId="9445"/>
    <cellStyle name="Обычный 4 2 2 2 6 11" xfId="18805"/>
    <cellStyle name="Обычный 4 2 2 2 6 12" xfId="20500"/>
    <cellStyle name="Обычный 4 2 2 2 6 13" xfId="22112"/>
    <cellStyle name="Обычный 4 2 2 2 6 2" xfId="9446"/>
    <cellStyle name="Обычный 4 2 2 2 6 2 2" xfId="9447"/>
    <cellStyle name="Обычный 4 2 2 2 6 3" xfId="9448"/>
    <cellStyle name="Обычный 4 2 2 2 6 4" xfId="9449"/>
    <cellStyle name="Обычный 4 2 2 2 6 5" xfId="9450"/>
    <cellStyle name="Обычный 4 2 2 2 6 6" xfId="9451"/>
    <cellStyle name="Обычный 4 2 2 2 6 7" xfId="9452"/>
    <cellStyle name="Обычный 4 2 2 2 6 8" xfId="9453"/>
    <cellStyle name="Обычный 4 2 2 2 6 9" xfId="9454"/>
    <cellStyle name="Обычный 4 2 2 2 7" xfId="9455"/>
    <cellStyle name="Обычный 4 2 2 2 7 10" xfId="20501"/>
    <cellStyle name="Обычный 4 2 2 2 7 11" xfId="22113"/>
    <cellStyle name="Обычный 4 2 2 2 7 2" xfId="9456"/>
    <cellStyle name="Обычный 4 2 2 2 7 2 2" xfId="9457"/>
    <cellStyle name="Обычный 4 2 2 2 7 3" xfId="9458"/>
    <cellStyle name="Обычный 4 2 2 2 7 4" xfId="9459"/>
    <cellStyle name="Обычный 4 2 2 2 7 5" xfId="9460"/>
    <cellStyle name="Обычный 4 2 2 2 7 6" xfId="9461"/>
    <cellStyle name="Обычный 4 2 2 2 7 7" xfId="9462"/>
    <cellStyle name="Обычный 4 2 2 2 7 8" xfId="9463"/>
    <cellStyle name="Обычный 4 2 2 2 7 9" xfId="18806"/>
    <cellStyle name="Обычный 4 2 2 2 8" xfId="9464"/>
    <cellStyle name="Обычный 4 2 2 2 8 2" xfId="9465"/>
    <cellStyle name="Обычный 4 2 2 2 9" xfId="9466"/>
    <cellStyle name="Обычный 4 2 2 20" xfId="18795"/>
    <cellStyle name="Обычный 4 2 2 21" xfId="20490"/>
    <cellStyle name="Обычный 4 2 2 22" xfId="22102"/>
    <cellStyle name="Обычный 4 2 2 3" xfId="9467"/>
    <cellStyle name="Обычный 4 2 2 3 10" xfId="9468"/>
    <cellStyle name="Обычный 4 2 2 3 11" xfId="9469"/>
    <cellStyle name="Обычный 4 2 2 3 12" xfId="9470"/>
    <cellStyle name="Обычный 4 2 2 3 13" xfId="9471"/>
    <cellStyle name="Обычный 4 2 2 3 14" xfId="9472"/>
    <cellStyle name="Обычный 4 2 2 3 15" xfId="9473"/>
    <cellStyle name="Обычный 4 2 2 3 16" xfId="9474"/>
    <cellStyle name="Обычный 4 2 2 3 17" xfId="9475"/>
    <cellStyle name="Обычный 4 2 2 3 18" xfId="18807"/>
    <cellStyle name="Обычный 4 2 2 3 19" xfId="20502"/>
    <cellStyle name="Обычный 4 2 2 3 2" xfId="9476"/>
    <cellStyle name="Обычный 4 2 2 3 2 10" xfId="9477"/>
    <cellStyle name="Обычный 4 2 2 3 2 11" xfId="9478"/>
    <cellStyle name="Обычный 4 2 2 3 2 12" xfId="18808"/>
    <cellStyle name="Обычный 4 2 2 3 2 13" xfId="20503"/>
    <cellStyle name="Обычный 4 2 2 3 2 14" xfId="22115"/>
    <cellStyle name="Обычный 4 2 2 3 2 2" xfId="9479"/>
    <cellStyle name="Обычный 4 2 2 3 2 2 10" xfId="9480"/>
    <cellStyle name="Обычный 4 2 2 3 2 2 11" xfId="18809"/>
    <cellStyle name="Обычный 4 2 2 3 2 2 12" xfId="20504"/>
    <cellStyle name="Обычный 4 2 2 3 2 2 13" xfId="22116"/>
    <cellStyle name="Обычный 4 2 2 3 2 2 2" xfId="9481"/>
    <cellStyle name="Обычный 4 2 2 3 2 2 2 2" xfId="9482"/>
    <cellStyle name="Обычный 4 2 2 3 2 2 3" xfId="9483"/>
    <cellStyle name="Обычный 4 2 2 3 2 2 4" xfId="9484"/>
    <cellStyle name="Обычный 4 2 2 3 2 2 5" xfId="9485"/>
    <cellStyle name="Обычный 4 2 2 3 2 2 6" xfId="9486"/>
    <cellStyle name="Обычный 4 2 2 3 2 2 7" xfId="9487"/>
    <cellStyle name="Обычный 4 2 2 3 2 2 8" xfId="9488"/>
    <cellStyle name="Обычный 4 2 2 3 2 2 9" xfId="9489"/>
    <cellStyle name="Обычный 4 2 2 3 2 3" xfId="9490"/>
    <cellStyle name="Обычный 4 2 2 3 2 3 2" xfId="9491"/>
    <cellStyle name="Обычный 4 2 2 3 2 4" xfId="9492"/>
    <cellStyle name="Обычный 4 2 2 3 2 5" xfId="9493"/>
    <cellStyle name="Обычный 4 2 2 3 2 6" xfId="9494"/>
    <cellStyle name="Обычный 4 2 2 3 2 7" xfId="9495"/>
    <cellStyle name="Обычный 4 2 2 3 2 8" xfId="9496"/>
    <cellStyle name="Обычный 4 2 2 3 2 9" xfId="9497"/>
    <cellStyle name="Обычный 4 2 2 3 20" xfId="22114"/>
    <cellStyle name="Обычный 4 2 2 3 3" xfId="9498"/>
    <cellStyle name="Обычный 4 2 2 3 3 10" xfId="9499"/>
    <cellStyle name="Обычный 4 2 2 3 3 11" xfId="9500"/>
    <cellStyle name="Обычный 4 2 2 3 3 12" xfId="18810"/>
    <cellStyle name="Обычный 4 2 2 3 3 13" xfId="20505"/>
    <cellStyle name="Обычный 4 2 2 3 3 14" xfId="22117"/>
    <cellStyle name="Обычный 4 2 2 3 3 2" xfId="9501"/>
    <cellStyle name="Обычный 4 2 2 3 3 2 10" xfId="9502"/>
    <cellStyle name="Обычный 4 2 2 3 3 2 11" xfId="18811"/>
    <cellStyle name="Обычный 4 2 2 3 3 2 12" xfId="20506"/>
    <cellStyle name="Обычный 4 2 2 3 3 2 13" xfId="22118"/>
    <cellStyle name="Обычный 4 2 2 3 3 2 2" xfId="9503"/>
    <cellStyle name="Обычный 4 2 2 3 3 2 2 2" xfId="9504"/>
    <cellStyle name="Обычный 4 2 2 3 3 2 3" xfId="9505"/>
    <cellStyle name="Обычный 4 2 2 3 3 2 4" xfId="9506"/>
    <cellStyle name="Обычный 4 2 2 3 3 2 5" xfId="9507"/>
    <cellStyle name="Обычный 4 2 2 3 3 2 6" xfId="9508"/>
    <cellStyle name="Обычный 4 2 2 3 3 2 7" xfId="9509"/>
    <cellStyle name="Обычный 4 2 2 3 3 2 8" xfId="9510"/>
    <cellStyle name="Обычный 4 2 2 3 3 2 9" xfId="9511"/>
    <cellStyle name="Обычный 4 2 2 3 3 3" xfId="9512"/>
    <cellStyle name="Обычный 4 2 2 3 3 3 2" xfId="9513"/>
    <cellStyle name="Обычный 4 2 2 3 3 4" xfId="9514"/>
    <cellStyle name="Обычный 4 2 2 3 3 5" xfId="9515"/>
    <cellStyle name="Обычный 4 2 2 3 3 6" xfId="9516"/>
    <cellStyle name="Обычный 4 2 2 3 3 7" xfId="9517"/>
    <cellStyle name="Обычный 4 2 2 3 3 8" xfId="9518"/>
    <cellStyle name="Обычный 4 2 2 3 3 9" xfId="9519"/>
    <cellStyle name="Обычный 4 2 2 3 4" xfId="9520"/>
    <cellStyle name="Обычный 4 2 2 3 4 10" xfId="9521"/>
    <cellStyle name="Обычный 4 2 2 3 4 11" xfId="9522"/>
    <cellStyle name="Обычный 4 2 2 3 4 12" xfId="18812"/>
    <cellStyle name="Обычный 4 2 2 3 4 13" xfId="20507"/>
    <cellStyle name="Обычный 4 2 2 3 4 14" xfId="22119"/>
    <cellStyle name="Обычный 4 2 2 3 4 2" xfId="9523"/>
    <cellStyle name="Обычный 4 2 2 3 4 2 10" xfId="9524"/>
    <cellStyle name="Обычный 4 2 2 3 4 2 11" xfId="18813"/>
    <cellStyle name="Обычный 4 2 2 3 4 2 12" xfId="20508"/>
    <cellStyle name="Обычный 4 2 2 3 4 2 13" xfId="22120"/>
    <cellStyle name="Обычный 4 2 2 3 4 2 2" xfId="9525"/>
    <cellStyle name="Обычный 4 2 2 3 4 2 2 2" xfId="9526"/>
    <cellStyle name="Обычный 4 2 2 3 4 2 3" xfId="9527"/>
    <cellStyle name="Обычный 4 2 2 3 4 2 4" xfId="9528"/>
    <cellStyle name="Обычный 4 2 2 3 4 2 5" xfId="9529"/>
    <cellStyle name="Обычный 4 2 2 3 4 2 6" xfId="9530"/>
    <cellStyle name="Обычный 4 2 2 3 4 2 7" xfId="9531"/>
    <cellStyle name="Обычный 4 2 2 3 4 2 8" xfId="9532"/>
    <cellStyle name="Обычный 4 2 2 3 4 2 9" xfId="9533"/>
    <cellStyle name="Обычный 4 2 2 3 4 3" xfId="9534"/>
    <cellStyle name="Обычный 4 2 2 3 4 3 2" xfId="9535"/>
    <cellStyle name="Обычный 4 2 2 3 4 4" xfId="9536"/>
    <cellStyle name="Обычный 4 2 2 3 4 5" xfId="9537"/>
    <cellStyle name="Обычный 4 2 2 3 4 6" xfId="9538"/>
    <cellStyle name="Обычный 4 2 2 3 4 7" xfId="9539"/>
    <cellStyle name="Обычный 4 2 2 3 4 8" xfId="9540"/>
    <cellStyle name="Обычный 4 2 2 3 4 9" xfId="9541"/>
    <cellStyle name="Обычный 4 2 2 3 5" xfId="9542"/>
    <cellStyle name="Обычный 4 2 2 3 5 10" xfId="9543"/>
    <cellStyle name="Обычный 4 2 2 3 5 11" xfId="9544"/>
    <cellStyle name="Обычный 4 2 2 3 5 12" xfId="18814"/>
    <cellStyle name="Обычный 4 2 2 3 5 13" xfId="20509"/>
    <cellStyle name="Обычный 4 2 2 3 5 14" xfId="22121"/>
    <cellStyle name="Обычный 4 2 2 3 5 2" xfId="9545"/>
    <cellStyle name="Обычный 4 2 2 3 5 2 10" xfId="9546"/>
    <cellStyle name="Обычный 4 2 2 3 5 2 11" xfId="18815"/>
    <cellStyle name="Обычный 4 2 2 3 5 2 12" xfId="20510"/>
    <cellStyle name="Обычный 4 2 2 3 5 2 13" xfId="22122"/>
    <cellStyle name="Обычный 4 2 2 3 5 2 2" xfId="9547"/>
    <cellStyle name="Обычный 4 2 2 3 5 2 2 2" xfId="9548"/>
    <cellStyle name="Обычный 4 2 2 3 5 2 3" xfId="9549"/>
    <cellStyle name="Обычный 4 2 2 3 5 2 4" xfId="9550"/>
    <cellStyle name="Обычный 4 2 2 3 5 2 5" xfId="9551"/>
    <cellStyle name="Обычный 4 2 2 3 5 2 6" xfId="9552"/>
    <cellStyle name="Обычный 4 2 2 3 5 2 7" xfId="9553"/>
    <cellStyle name="Обычный 4 2 2 3 5 2 8" xfId="9554"/>
    <cellStyle name="Обычный 4 2 2 3 5 2 9" xfId="9555"/>
    <cellStyle name="Обычный 4 2 2 3 5 3" xfId="9556"/>
    <cellStyle name="Обычный 4 2 2 3 5 3 2" xfId="9557"/>
    <cellStyle name="Обычный 4 2 2 3 5 4" xfId="9558"/>
    <cellStyle name="Обычный 4 2 2 3 5 5" xfId="9559"/>
    <cellStyle name="Обычный 4 2 2 3 5 6" xfId="9560"/>
    <cellStyle name="Обычный 4 2 2 3 5 7" xfId="9561"/>
    <cellStyle name="Обычный 4 2 2 3 5 8" xfId="9562"/>
    <cellStyle name="Обычный 4 2 2 3 5 9" xfId="9563"/>
    <cellStyle name="Обычный 4 2 2 3 6" xfId="9564"/>
    <cellStyle name="Обычный 4 2 2 3 6 10" xfId="9565"/>
    <cellStyle name="Обычный 4 2 2 3 6 11" xfId="18816"/>
    <cellStyle name="Обычный 4 2 2 3 6 12" xfId="20511"/>
    <cellStyle name="Обычный 4 2 2 3 6 13" xfId="22123"/>
    <cellStyle name="Обычный 4 2 2 3 6 2" xfId="9566"/>
    <cellStyle name="Обычный 4 2 2 3 6 2 2" xfId="9567"/>
    <cellStyle name="Обычный 4 2 2 3 6 3" xfId="9568"/>
    <cellStyle name="Обычный 4 2 2 3 6 4" xfId="9569"/>
    <cellStyle name="Обычный 4 2 2 3 6 5" xfId="9570"/>
    <cellStyle name="Обычный 4 2 2 3 6 6" xfId="9571"/>
    <cellStyle name="Обычный 4 2 2 3 6 7" xfId="9572"/>
    <cellStyle name="Обычный 4 2 2 3 6 8" xfId="9573"/>
    <cellStyle name="Обычный 4 2 2 3 6 9" xfId="9574"/>
    <cellStyle name="Обычный 4 2 2 3 7" xfId="9575"/>
    <cellStyle name="Обычный 4 2 2 3 7 10" xfId="20512"/>
    <cellStyle name="Обычный 4 2 2 3 7 11" xfId="22124"/>
    <cellStyle name="Обычный 4 2 2 3 7 2" xfId="9576"/>
    <cellStyle name="Обычный 4 2 2 3 7 2 2" xfId="9577"/>
    <cellStyle name="Обычный 4 2 2 3 7 3" xfId="9578"/>
    <cellStyle name="Обычный 4 2 2 3 7 4" xfId="9579"/>
    <cellStyle name="Обычный 4 2 2 3 7 5" xfId="9580"/>
    <cellStyle name="Обычный 4 2 2 3 7 6" xfId="9581"/>
    <cellStyle name="Обычный 4 2 2 3 7 7" xfId="9582"/>
    <cellStyle name="Обычный 4 2 2 3 7 8" xfId="9583"/>
    <cellStyle name="Обычный 4 2 2 3 7 9" xfId="18817"/>
    <cellStyle name="Обычный 4 2 2 3 8" xfId="9584"/>
    <cellStyle name="Обычный 4 2 2 3 8 2" xfId="9585"/>
    <cellStyle name="Обычный 4 2 2 3 9" xfId="9586"/>
    <cellStyle name="Обычный 4 2 2 4" xfId="9587"/>
    <cellStyle name="Обычный 4 2 2 4 10" xfId="9588"/>
    <cellStyle name="Обычный 4 2 2 4 11" xfId="9589"/>
    <cellStyle name="Обычный 4 2 2 4 12" xfId="18818"/>
    <cellStyle name="Обычный 4 2 2 4 13" xfId="20513"/>
    <cellStyle name="Обычный 4 2 2 4 14" xfId="22125"/>
    <cellStyle name="Обычный 4 2 2 4 2" xfId="9590"/>
    <cellStyle name="Обычный 4 2 2 4 2 10" xfId="9591"/>
    <cellStyle name="Обычный 4 2 2 4 2 11" xfId="18819"/>
    <cellStyle name="Обычный 4 2 2 4 2 12" xfId="20514"/>
    <cellStyle name="Обычный 4 2 2 4 2 13" xfId="22126"/>
    <cellStyle name="Обычный 4 2 2 4 2 2" xfId="9592"/>
    <cellStyle name="Обычный 4 2 2 4 2 2 2" xfId="9593"/>
    <cellStyle name="Обычный 4 2 2 4 2 3" xfId="9594"/>
    <cellStyle name="Обычный 4 2 2 4 2 4" xfId="9595"/>
    <cellStyle name="Обычный 4 2 2 4 2 5" xfId="9596"/>
    <cellStyle name="Обычный 4 2 2 4 2 6" xfId="9597"/>
    <cellStyle name="Обычный 4 2 2 4 2 7" xfId="9598"/>
    <cellStyle name="Обычный 4 2 2 4 2 8" xfId="9599"/>
    <cellStyle name="Обычный 4 2 2 4 2 9" xfId="9600"/>
    <cellStyle name="Обычный 4 2 2 4 3" xfId="9601"/>
    <cellStyle name="Обычный 4 2 2 4 3 2" xfId="9602"/>
    <cellStyle name="Обычный 4 2 2 4 4" xfId="9603"/>
    <cellStyle name="Обычный 4 2 2 4 5" xfId="9604"/>
    <cellStyle name="Обычный 4 2 2 4 6" xfId="9605"/>
    <cellStyle name="Обычный 4 2 2 4 7" xfId="9606"/>
    <cellStyle name="Обычный 4 2 2 4 8" xfId="9607"/>
    <cellStyle name="Обычный 4 2 2 4 9" xfId="9608"/>
    <cellStyle name="Обычный 4 2 2 5" xfId="9609"/>
    <cellStyle name="Обычный 4 2 2 5 10" xfId="9610"/>
    <cellStyle name="Обычный 4 2 2 5 11" xfId="9611"/>
    <cellStyle name="Обычный 4 2 2 5 12" xfId="18820"/>
    <cellStyle name="Обычный 4 2 2 5 13" xfId="20515"/>
    <cellStyle name="Обычный 4 2 2 5 14" xfId="22127"/>
    <cellStyle name="Обычный 4 2 2 5 2" xfId="9612"/>
    <cellStyle name="Обычный 4 2 2 5 2 10" xfId="9613"/>
    <cellStyle name="Обычный 4 2 2 5 2 11" xfId="18821"/>
    <cellStyle name="Обычный 4 2 2 5 2 12" xfId="20516"/>
    <cellStyle name="Обычный 4 2 2 5 2 13" xfId="22128"/>
    <cellStyle name="Обычный 4 2 2 5 2 2" xfId="9614"/>
    <cellStyle name="Обычный 4 2 2 5 2 2 2" xfId="9615"/>
    <cellStyle name="Обычный 4 2 2 5 2 3" xfId="9616"/>
    <cellStyle name="Обычный 4 2 2 5 2 4" xfId="9617"/>
    <cellStyle name="Обычный 4 2 2 5 2 5" xfId="9618"/>
    <cellStyle name="Обычный 4 2 2 5 2 6" xfId="9619"/>
    <cellStyle name="Обычный 4 2 2 5 2 7" xfId="9620"/>
    <cellStyle name="Обычный 4 2 2 5 2 8" xfId="9621"/>
    <cellStyle name="Обычный 4 2 2 5 2 9" xfId="9622"/>
    <cellStyle name="Обычный 4 2 2 5 3" xfId="9623"/>
    <cellStyle name="Обычный 4 2 2 5 3 2" xfId="9624"/>
    <cellStyle name="Обычный 4 2 2 5 4" xfId="9625"/>
    <cellStyle name="Обычный 4 2 2 5 5" xfId="9626"/>
    <cellStyle name="Обычный 4 2 2 5 6" xfId="9627"/>
    <cellStyle name="Обычный 4 2 2 5 7" xfId="9628"/>
    <cellStyle name="Обычный 4 2 2 5 8" xfId="9629"/>
    <cellStyle name="Обычный 4 2 2 5 9" xfId="9630"/>
    <cellStyle name="Обычный 4 2 2 6" xfId="9631"/>
    <cellStyle name="Обычный 4 2 2 6 10" xfId="9632"/>
    <cellStyle name="Обычный 4 2 2 6 11" xfId="9633"/>
    <cellStyle name="Обычный 4 2 2 6 12" xfId="18822"/>
    <cellStyle name="Обычный 4 2 2 6 13" xfId="20517"/>
    <cellStyle name="Обычный 4 2 2 6 14" xfId="22129"/>
    <cellStyle name="Обычный 4 2 2 6 2" xfId="9634"/>
    <cellStyle name="Обычный 4 2 2 6 2 10" xfId="9635"/>
    <cellStyle name="Обычный 4 2 2 6 2 11" xfId="18823"/>
    <cellStyle name="Обычный 4 2 2 6 2 12" xfId="20518"/>
    <cellStyle name="Обычный 4 2 2 6 2 13" xfId="22130"/>
    <cellStyle name="Обычный 4 2 2 6 2 2" xfId="9636"/>
    <cellStyle name="Обычный 4 2 2 6 2 2 2" xfId="9637"/>
    <cellStyle name="Обычный 4 2 2 6 2 3" xfId="9638"/>
    <cellStyle name="Обычный 4 2 2 6 2 4" xfId="9639"/>
    <cellStyle name="Обычный 4 2 2 6 2 5" xfId="9640"/>
    <cellStyle name="Обычный 4 2 2 6 2 6" xfId="9641"/>
    <cellStyle name="Обычный 4 2 2 6 2 7" xfId="9642"/>
    <cellStyle name="Обычный 4 2 2 6 2 8" xfId="9643"/>
    <cellStyle name="Обычный 4 2 2 6 2 9" xfId="9644"/>
    <cellStyle name="Обычный 4 2 2 6 3" xfId="9645"/>
    <cellStyle name="Обычный 4 2 2 6 3 2" xfId="9646"/>
    <cellStyle name="Обычный 4 2 2 6 4" xfId="9647"/>
    <cellStyle name="Обычный 4 2 2 6 5" xfId="9648"/>
    <cellStyle name="Обычный 4 2 2 6 6" xfId="9649"/>
    <cellStyle name="Обычный 4 2 2 6 7" xfId="9650"/>
    <cellStyle name="Обычный 4 2 2 6 8" xfId="9651"/>
    <cellStyle name="Обычный 4 2 2 6 9" xfId="9652"/>
    <cellStyle name="Обычный 4 2 2 7" xfId="9653"/>
    <cellStyle name="Обычный 4 2 2 7 10" xfId="9654"/>
    <cellStyle name="Обычный 4 2 2 7 11" xfId="9655"/>
    <cellStyle name="Обычный 4 2 2 7 12" xfId="18824"/>
    <cellStyle name="Обычный 4 2 2 7 13" xfId="20519"/>
    <cellStyle name="Обычный 4 2 2 7 14" xfId="22131"/>
    <cellStyle name="Обычный 4 2 2 7 2" xfId="9656"/>
    <cellStyle name="Обычный 4 2 2 7 2 10" xfId="9657"/>
    <cellStyle name="Обычный 4 2 2 7 2 11" xfId="18825"/>
    <cellStyle name="Обычный 4 2 2 7 2 12" xfId="20520"/>
    <cellStyle name="Обычный 4 2 2 7 2 13" xfId="22132"/>
    <cellStyle name="Обычный 4 2 2 7 2 2" xfId="9658"/>
    <cellStyle name="Обычный 4 2 2 7 2 2 2" xfId="9659"/>
    <cellStyle name="Обычный 4 2 2 7 2 3" xfId="9660"/>
    <cellStyle name="Обычный 4 2 2 7 2 4" xfId="9661"/>
    <cellStyle name="Обычный 4 2 2 7 2 5" xfId="9662"/>
    <cellStyle name="Обычный 4 2 2 7 2 6" xfId="9663"/>
    <cellStyle name="Обычный 4 2 2 7 2 7" xfId="9664"/>
    <cellStyle name="Обычный 4 2 2 7 2 8" xfId="9665"/>
    <cellStyle name="Обычный 4 2 2 7 2 9" xfId="9666"/>
    <cellStyle name="Обычный 4 2 2 7 3" xfId="9667"/>
    <cellStyle name="Обычный 4 2 2 7 3 2" xfId="9668"/>
    <cellStyle name="Обычный 4 2 2 7 4" xfId="9669"/>
    <cellStyle name="Обычный 4 2 2 7 5" xfId="9670"/>
    <cellStyle name="Обычный 4 2 2 7 6" xfId="9671"/>
    <cellStyle name="Обычный 4 2 2 7 7" xfId="9672"/>
    <cellStyle name="Обычный 4 2 2 7 8" xfId="9673"/>
    <cellStyle name="Обычный 4 2 2 7 9" xfId="9674"/>
    <cellStyle name="Обычный 4 2 2 8" xfId="9675"/>
    <cellStyle name="Обычный 4 2 2 8 10" xfId="9676"/>
    <cellStyle name="Обычный 4 2 2 8 11" xfId="18826"/>
    <cellStyle name="Обычный 4 2 2 8 12" xfId="20521"/>
    <cellStyle name="Обычный 4 2 2 8 13" xfId="22133"/>
    <cellStyle name="Обычный 4 2 2 8 2" xfId="9677"/>
    <cellStyle name="Обычный 4 2 2 8 2 2" xfId="9678"/>
    <cellStyle name="Обычный 4 2 2 8 3" xfId="9679"/>
    <cellStyle name="Обычный 4 2 2 8 4" xfId="9680"/>
    <cellStyle name="Обычный 4 2 2 8 5" xfId="9681"/>
    <cellStyle name="Обычный 4 2 2 8 6" xfId="9682"/>
    <cellStyle name="Обычный 4 2 2 8 7" xfId="9683"/>
    <cellStyle name="Обычный 4 2 2 8 8" xfId="9684"/>
    <cellStyle name="Обычный 4 2 2 8 9" xfId="9685"/>
    <cellStyle name="Обычный 4 2 2 9" xfId="9686"/>
    <cellStyle name="Обычный 4 2 2 9 10" xfId="20522"/>
    <cellStyle name="Обычный 4 2 2 9 11" xfId="22134"/>
    <cellStyle name="Обычный 4 2 2 9 2" xfId="9687"/>
    <cellStyle name="Обычный 4 2 2 9 2 2" xfId="9688"/>
    <cellStyle name="Обычный 4 2 2 9 3" xfId="9689"/>
    <cellStyle name="Обычный 4 2 2 9 4" xfId="9690"/>
    <cellStyle name="Обычный 4 2 2 9 5" xfId="9691"/>
    <cellStyle name="Обычный 4 2 2 9 6" xfId="9692"/>
    <cellStyle name="Обычный 4 2 2 9 7" xfId="9693"/>
    <cellStyle name="Обычный 4 2 2 9 8" xfId="9694"/>
    <cellStyle name="Обычный 4 2 2 9 9" xfId="18827"/>
    <cellStyle name="Обычный 4 2 20" xfId="9695"/>
    <cellStyle name="Обычный 4 2 21" xfId="9696"/>
    <cellStyle name="Обычный 4 2 22" xfId="9697"/>
    <cellStyle name="Обычный 4 2 23" xfId="9698"/>
    <cellStyle name="Обычный 4 2 24" xfId="18789"/>
    <cellStyle name="Обычный 4 2 25" xfId="19636"/>
    <cellStyle name="Обычный 4 2 26" xfId="20484"/>
    <cellStyle name="Обычный 4 2 27" xfId="22096"/>
    <cellStyle name="Обычный 4 2 3" xfId="9699"/>
    <cellStyle name="Обычный 4 2 3 10" xfId="9700"/>
    <cellStyle name="Обычный 4 2 3 11" xfId="9701"/>
    <cellStyle name="Обычный 4 2 3 12" xfId="9702"/>
    <cellStyle name="Обычный 4 2 3 13" xfId="9703"/>
    <cellStyle name="Обычный 4 2 3 14" xfId="9704"/>
    <cellStyle name="Обычный 4 2 3 15" xfId="9705"/>
    <cellStyle name="Обычный 4 2 3 16" xfId="9706"/>
    <cellStyle name="Обычный 4 2 3 17" xfId="9707"/>
    <cellStyle name="Обычный 4 2 3 18" xfId="18828"/>
    <cellStyle name="Обычный 4 2 3 19" xfId="20523"/>
    <cellStyle name="Обычный 4 2 3 2" xfId="9708"/>
    <cellStyle name="Обычный 4 2 3 2 10" xfId="9709"/>
    <cellStyle name="Обычный 4 2 3 2 11" xfId="9710"/>
    <cellStyle name="Обычный 4 2 3 2 12" xfId="18829"/>
    <cellStyle name="Обычный 4 2 3 2 13" xfId="20524"/>
    <cellStyle name="Обычный 4 2 3 2 14" xfId="22136"/>
    <cellStyle name="Обычный 4 2 3 2 2" xfId="9711"/>
    <cellStyle name="Обычный 4 2 3 2 2 10" xfId="9712"/>
    <cellStyle name="Обычный 4 2 3 2 2 11" xfId="18830"/>
    <cellStyle name="Обычный 4 2 3 2 2 12" xfId="20525"/>
    <cellStyle name="Обычный 4 2 3 2 2 13" xfId="22137"/>
    <cellStyle name="Обычный 4 2 3 2 2 2" xfId="9713"/>
    <cellStyle name="Обычный 4 2 3 2 2 2 2" xfId="9714"/>
    <cellStyle name="Обычный 4 2 3 2 2 3" xfId="9715"/>
    <cellStyle name="Обычный 4 2 3 2 2 4" xfId="9716"/>
    <cellStyle name="Обычный 4 2 3 2 2 5" xfId="9717"/>
    <cellStyle name="Обычный 4 2 3 2 2 6" xfId="9718"/>
    <cellStyle name="Обычный 4 2 3 2 2 7" xfId="9719"/>
    <cellStyle name="Обычный 4 2 3 2 2 8" xfId="9720"/>
    <cellStyle name="Обычный 4 2 3 2 2 9" xfId="9721"/>
    <cellStyle name="Обычный 4 2 3 2 3" xfId="9722"/>
    <cellStyle name="Обычный 4 2 3 2 3 2" xfId="9723"/>
    <cellStyle name="Обычный 4 2 3 2 4" xfId="9724"/>
    <cellStyle name="Обычный 4 2 3 2 5" xfId="9725"/>
    <cellStyle name="Обычный 4 2 3 2 6" xfId="9726"/>
    <cellStyle name="Обычный 4 2 3 2 7" xfId="9727"/>
    <cellStyle name="Обычный 4 2 3 2 8" xfId="9728"/>
    <cellStyle name="Обычный 4 2 3 2 9" xfId="9729"/>
    <cellStyle name="Обычный 4 2 3 20" xfId="22135"/>
    <cellStyle name="Обычный 4 2 3 3" xfId="9730"/>
    <cellStyle name="Обычный 4 2 3 3 10" xfId="9731"/>
    <cellStyle name="Обычный 4 2 3 3 11" xfId="9732"/>
    <cellStyle name="Обычный 4 2 3 3 12" xfId="18831"/>
    <cellStyle name="Обычный 4 2 3 3 13" xfId="20526"/>
    <cellStyle name="Обычный 4 2 3 3 14" xfId="22138"/>
    <cellStyle name="Обычный 4 2 3 3 2" xfId="9733"/>
    <cellStyle name="Обычный 4 2 3 3 2 10" xfId="9734"/>
    <cellStyle name="Обычный 4 2 3 3 2 11" xfId="18832"/>
    <cellStyle name="Обычный 4 2 3 3 2 12" xfId="20527"/>
    <cellStyle name="Обычный 4 2 3 3 2 13" xfId="22139"/>
    <cellStyle name="Обычный 4 2 3 3 2 2" xfId="9735"/>
    <cellStyle name="Обычный 4 2 3 3 2 2 2" xfId="9736"/>
    <cellStyle name="Обычный 4 2 3 3 2 3" xfId="9737"/>
    <cellStyle name="Обычный 4 2 3 3 2 4" xfId="9738"/>
    <cellStyle name="Обычный 4 2 3 3 2 5" xfId="9739"/>
    <cellStyle name="Обычный 4 2 3 3 2 6" xfId="9740"/>
    <cellStyle name="Обычный 4 2 3 3 2 7" xfId="9741"/>
    <cellStyle name="Обычный 4 2 3 3 2 8" xfId="9742"/>
    <cellStyle name="Обычный 4 2 3 3 2 9" xfId="9743"/>
    <cellStyle name="Обычный 4 2 3 3 3" xfId="9744"/>
    <cellStyle name="Обычный 4 2 3 3 3 2" xfId="9745"/>
    <cellStyle name="Обычный 4 2 3 3 4" xfId="9746"/>
    <cellStyle name="Обычный 4 2 3 3 5" xfId="9747"/>
    <cellStyle name="Обычный 4 2 3 3 6" xfId="9748"/>
    <cellStyle name="Обычный 4 2 3 3 7" xfId="9749"/>
    <cellStyle name="Обычный 4 2 3 3 8" xfId="9750"/>
    <cellStyle name="Обычный 4 2 3 3 9" xfId="9751"/>
    <cellStyle name="Обычный 4 2 3 4" xfId="9752"/>
    <cellStyle name="Обычный 4 2 3 4 10" xfId="9753"/>
    <cellStyle name="Обычный 4 2 3 4 11" xfId="9754"/>
    <cellStyle name="Обычный 4 2 3 4 12" xfId="18833"/>
    <cellStyle name="Обычный 4 2 3 4 13" xfId="20528"/>
    <cellStyle name="Обычный 4 2 3 4 14" xfId="22140"/>
    <cellStyle name="Обычный 4 2 3 4 2" xfId="9755"/>
    <cellStyle name="Обычный 4 2 3 4 2 10" xfId="9756"/>
    <cellStyle name="Обычный 4 2 3 4 2 11" xfId="18834"/>
    <cellStyle name="Обычный 4 2 3 4 2 12" xfId="20529"/>
    <cellStyle name="Обычный 4 2 3 4 2 13" xfId="22141"/>
    <cellStyle name="Обычный 4 2 3 4 2 2" xfId="9757"/>
    <cellStyle name="Обычный 4 2 3 4 2 2 2" xfId="9758"/>
    <cellStyle name="Обычный 4 2 3 4 2 3" xfId="9759"/>
    <cellStyle name="Обычный 4 2 3 4 2 4" xfId="9760"/>
    <cellStyle name="Обычный 4 2 3 4 2 5" xfId="9761"/>
    <cellStyle name="Обычный 4 2 3 4 2 6" xfId="9762"/>
    <cellStyle name="Обычный 4 2 3 4 2 7" xfId="9763"/>
    <cellStyle name="Обычный 4 2 3 4 2 8" xfId="9764"/>
    <cellStyle name="Обычный 4 2 3 4 2 9" xfId="9765"/>
    <cellStyle name="Обычный 4 2 3 4 3" xfId="9766"/>
    <cellStyle name="Обычный 4 2 3 4 3 2" xfId="9767"/>
    <cellStyle name="Обычный 4 2 3 4 4" xfId="9768"/>
    <cellStyle name="Обычный 4 2 3 4 5" xfId="9769"/>
    <cellStyle name="Обычный 4 2 3 4 6" xfId="9770"/>
    <cellStyle name="Обычный 4 2 3 4 7" xfId="9771"/>
    <cellStyle name="Обычный 4 2 3 4 8" xfId="9772"/>
    <cellStyle name="Обычный 4 2 3 4 9" xfId="9773"/>
    <cellStyle name="Обычный 4 2 3 5" xfId="9774"/>
    <cellStyle name="Обычный 4 2 3 5 10" xfId="9775"/>
    <cellStyle name="Обычный 4 2 3 5 11" xfId="9776"/>
    <cellStyle name="Обычный 4 2 3 5 12" xfId="18835"/>
    <cellStyle name="Обычный 4 2 3 5 13" xfId="20530"/>
    <cellStyle name="Обычный 4 2 3 5 14" xfId="22142"/>
    <cellStyle name="Обычный 4 2 3 5 2" xfId="9777"/>
    <cellStyle name="Обычный 4 2 3 5 2 10" xfId="9778"/>
    <cellStyle name="Обычный 4 2 3 5 2 11" xfId="18836"/>
    <cellStyle name="Обычный 4 2 3 5 2 12" xfId="20531"/>
    <cellStyle name="Обычный 4 2 3 5 2 13" xfId="22143"/>
    <cellStyle name="Обычный 4 2 3 5 2 2" xfId="9779"/>
    <cellStyle name="Обычный 4 2 3 5 2 2 2" xfId="9780"/>
    <cellStyle name="Обычный 4 2 3 5 2 3" xfId="9781"/>
    <cellStyle name="Обычный 4 2 3 5 2 4" xfId="9782"/>
    <cellStyle name="Обычный 4 2 3 5 2 5" xfId="9783"/>
    <cellStyle name="Обычный 4 2 3 5 2 6" xfId="9784"/>
    <cellStyle name="Обычный 4 2 3 5 2 7" xfId="9785"/>
    <cellStyle name="Обычный 4 2 3 5 2 8" xfId="9786"/>
    <cellStyle name="Обычный 4 2 3 5 2 9" xfId="9787"/>
    <cellStyle name="Обычный 4 2 3 5 3" xfId="9788"/>
    <cellStyle name="Обычный 4 2 3 5 3 2" xfId="9789"/>
    <cellStyle name="Обычный 4 2 3 5 4" xfId="9790"/>
    <cellStyle name="Обычный 4 2 3 5 5" xfId="9791"/>
    <cellStyle name="Обычный 4 2 3 5 6" xfId="9792"/>
    <cellStyle name="Обычный 4 2 3 5 7" xfId="9793"/>
    <cellStyle name="Обычный 4 2 3 5 8" xfId="9794"/>
    <cellStyle name="Обычный 4 2 3 5 9" xfId="9795"/>
    <cellStyle name="Обычный 4 2 3 6" xfId="9796"/>
    <cellStyle name="Обычный 4 2 3 6 10" xfId="9797"/>
    <cellStyle name="Обычный 4 2 3 6 11" xfId="18837"/>
    <cellStyle name="Обычный 4 2 3 6 12" xfId="20532"/>
    <cellStyle name="Обычный 4 2 3 6 13" xfId="22144"/>
    <cellStyle name="Обычный 4 2 3 6 2" xfId="9798"/>
    <cellStyle name="Обычный 4 2 3 6 2 2" xfId="9799"/>
    <cellStyle name="Обычный 4 2 3 6 3" xfId="9800"/>
    <cellStyle name="Обычный 4 2 3 6 4" xfId="9801"/>
    <cellStyle name="Обычный 4 2 3 6 5" xfId="9802"/>
    <cellStyle name="Обычный 4 2 3 6 6" xfId="9803"/>
    <cellStyle name="Обычный 4 2 3 6 7" xfId="9804"/>
    <cellStyle name="Обычный 4 2 3 6 8" xfId="9805"/>
    <cellStyle name="Обычный 4 2 3 6 9" xfId="9806"/>
    <cellStyle name="Обычный 4 2 3 7" xfId="9807"/>
    <cellStyle name="Обычный 4 2 3 7 10" xfId="20533"/>
    <cellStyle name="Обычный 4 2 3 7 11" xfId="22145"/>
    <cellStyle name="Обычный 4 2 3 7 2" xfId="9808"/>
    <cellStyle name="Обычный 4 2 3 7 2 2" xfId="9809"/>
    <cellStyle name="Обычный 4 2 3 7 3" xfId="9810"/>
    <cellStyle name="Обычный 4 2 3 7 4" xfId="9811"/>
    <cellStyle name="Обычный 4 2 3 7 5" xfId="9812"/>
    <cellStyle name="Обычный 4 2 3 7 6" xfId="9813"/>
    <cellStyle name="Обычный 4 2 3 7 7" xfId="9814"/>
    <cellStyle name="Обычный 4 2 3 7 8" xfId="9815"/>
    <cellStyle name="Обычный 4 2 3 7 9" xfId="18838"/>
    <cellStyle name="Обычный 4 2 3 8" xfId="9816"/>
    <cellStyle name="Обычный 4 2 3 8 2" xfId="9817"/>
    <cellStyle name="Обычный 4 2 3 9" xfId="9818"/>
    <cellStyle name="Обычный 4 2 4" xfId="9819"/>
    <cellStyle name="Обычный 4 2 4 10" xfId="9820"/>
    <cellStyle name="Обычный 4 2 4 11" xfId="9821"/>
    <cellStyle name="Обычный 4 2 4 12" xfId="9822"/>
    <cellStyle name="Обычный 4 2 4 13" xfId="9823"/>
    <cellStyle name="Обычный 4 2 4 14" xfId="9824"/>
    <cellStyle name="Обычный 4 2 4 15" xfId="9825"/>
    <cellStyle name="Обычный 4 2 4 16" xfId="9826"/>
    <cellStyle name="Обычный 4 2 4 17" xfId="9827"/>
    <cellStyle name="Обычный 4 2 4 18" xfId="18839"/>
    <cellStyle name="Обычный 4 2 4 19" xfId="20534"/>
    <cellStyle name="Обычный 4 2 4 2" xfId="9828"/>
    <cellStyle name="Обычный 4 2 4 2 10" xfId="9829"/>
    <cellStyle name="Обычный 4 2 4 2 11" xfId="9830"/>
    <cellStyle name="Обычный 4 2 4 2 12" xfId="18840"/>
    <cellStyle name="Обычный 4 2 4 2 13" xfId="20535"/>
    <cellStyle name="Обычный 4 2 4 2 14" xfId="22147"/>
    <cellStyle name="Обычный 4 2 4 2 2" xfId="9831"/>
    <cellStyle name="Обычный 4 2 4 2 2 10" xfId="9832"/>
    <cellStyle name="Обычный 4 2 4 2 2 11" xfId="18841"/>
    <cellStyle name="Обычный 4 2 4 2 2 12" xfId="20536"/>
    <cellStyle name="Обычный 4 2 4 2 2 13" xfId="22148"/>
    <cellStyle name="Обычный 4 2 4 2 2 2" xfId="9833"/>
    <cellStyle name="Обычный 4 2 4 2 2 2 2" xfId="9834"/>
    <cellStyle name="Обычный 4 2 4 2 2 3" xfId="9835"/>
    <cellStyle name="Обычный 4 2 4 2 2 4" xfId="9836"/>
    <cellStyle name="Обычный 4 2 4 2 2 5" xfId="9837"/>
    <cellStyle name="Обычный 4 2 4 2 2 6" xfId="9838"/>
    <cellStyle name="Обычный 4 2 4 2 2 7" xfId="9839"/>
    <cellStyle name="Обычный 4 2 4 2 2 8" xfId="9840"/>
    <cellStyle name="Обычный 4 2 4 2 2 9" xfId="9841"/>
    <cellStyle name="Обычный 4 2 4 2 3" xfId="9842"/>
    <cellStyle name="Обычный 4 2 4 2 3 2" xfId="9843"/>
    <cellStyle name="Обычный 4 2 4 2 4" xfId="9844"/>
    <cellStyle name="Обычный 4 2 4 2 5" xfId="9845"/>
    <cellStyle name="Обычный 4 2 4 2 6" xfId="9846"/>
    <cellStyle name="Обычный 4 2 4 2 7" xfId="9847"/>
    <cellStyle name="Обычный 4 2 4 2 8" xfId="9848"/>
    <cellStyle name="Обычный 4 2 4 2 9" xfId="9849"/>
    <cellStyle name="Обычный 4 2 4 20" xfId="22146"/>
    <cellStyle name="Обычный 4 2 4 3" xfId="9850"/>
    <cellStyle name="Обычный 4 2 4 3 10" xfId="9851"/>
    <cellStyle name="Обычный 4 2 4 3 11" xfId="9852"/>
    <cellStyle name="Обычный 4 2 4 3 12" xfId="18842"/>
    <cellStyle name="Обычный 4 2 4 3 13" xfId="20537"/>
    <cellStyle name="Обычный 4 2 4 3 14" xfId="22149"/>
    <cellStyle name="Обычный 4 2 4 3 2" xfId="9853"/>
    <cellStyle name="Обычный 4 2 4 3 2 10" xfId="9854"/>
    <cellStyle name="Обычный 4 2 4 3 2 11" xfId="18843"/>
    <cellStyle name="Обычный 4 2 4 3 2 12" xfId="20538"/>
    <cellStyle name="Обычный 4 2 4 3 2 13" xfId="22150"/>
    <cellStyle name="Обычный 4 2 4 3 2 2" xfId="9855"/>
    <cellStyle name="Обычный 4 2 4 3 2 2 2" xfId="9856"/>
    <cellStyle name="Обычный 4 2 4 3 2 3" xfId="9857"/>
    <cellStyle name="Обычный 4 2 4 3 2 4" xfId="9858"/>
    <cellStyle name="Обычный 4 2 4 3 2 5" xfId="9859"/>
    <cellStyle name="Обычный 4 2 4 3 2 6" xfId="9860"/>
    <cellStyle name="Обычный 4 2 4 3 2 7" xfId="9861"/>
    <cellStyle name="Обычный 4 2 4 3 2 8" xfId="9862"/>
    <cellStyle name="Обычный 4 2 4 3 2 9" xfId="9863"/>
    <cellStyle name="Обычный 4 2 4 3 3" xfId="9864"/>
    <cellStyle name="Обычный 4 2 4 3 3 2" xfId="9865"/>
    <cellStyle name="Обычный 4 2 4 3 4" xfId="9866"/>
    <cellStyle name="Обычный 4 2 4 3 5" xfId="9867"/>
    <cellStyle name="Обычный 4 2 4 3 6" xfId="9868"/>
    <cellStyle name="Обычный 4 2 4 3 7" xfId="9869"/>
    <cellStyle name="Обычный 4 2 4 3 8" xfId="9870"/>
    <cellStyle name="Обычный 4 2 4 3 9" xfId="9871"/>
    <cellStyle name="Обычный 4 2 4 4" xfId="9872"/>
    <cellStyle name="Обычный 4 2 4 4 10" xfId="9873"/>
    <cellStyle name="Обычный 4 2 4 4 11" xfId="9874"/>
    <cellStyle name="Обычный 4 2 4 4 12" xfId="18844"/>
    <cellStyle name="Обычный 4 2 4 4 13" xfId="20539"/>
    <cellStyle name="Обычный 4 2 4 4 14" xfId="22151"/>
    <cellStyle name="Обычный 4 2 4 4 2" xfId="9875"/>
    <cellStyle name="Обычный 4 2 4 4 2 10" xfId="9876"/>
    <cellStyle name="Обычный 4 2 4 4 2 11" xfId="18845"/>
    <cellStyle name="Обычный 4 2 4 4 2 12" xfId="20540"/>
    <cellStyle name="Обычный 4 2 4 4 2 13" xfId="22152"/>
    <cellStyle name="Обычный 4 2 4 4 2 2" xfId="9877"/>
    <cellStyle name="Обычный 4 2 4 4 2 2 2" xfId="9878"/>
    <cellStyle name="Обычный 4 2 4 4 2 3" xfId="9879"/>
    <cellStyle name="Обычный 4 2 4 4 2 4" xfId="9880"/>
    <cellStyle name="Обычный 4 2 4 4 2 5" xfId="9881"/>
    <cellStyle name="Обычный 4 2 4 4 2 6" xfId="9882"/>
    <cellStyle name="Обычный 4 2 4 4 2 7" xfId="9883"/>
    <cellStyle name="Обычный 4 2 4 4 2 8" xfId="9884"/>
    <cellStyle name="Обычный 4 2 4 4 2 9" xfId="9885"/>
    <cellStyle name="Обычный 4 2 4 4 3" xfId="9886"/>
    <cellStyle name="Обычный 4 2 4 4 3 2" xfId="9887"/>
    <cellStyle name="Обычный 4 2 4 4 4" xfId="9888"/>
    <cellStyle name="Обычный 4 2 4 4 5" xfId="9889"/>
    <cellStyle name="Обычный 4 2 4 4 6" xfId="9890"/>
    <cellStyle name="Обычный 4 2 4 4 7" xfId="9891"/>
    <cellStyle name="Обычный 4 2 4 4 8" xfId="9892"/>
    <cellStyle name="Обычный 4 2 4 4 9" xfId="9893"/>
    <cellStyle name="Обычный 4 2 4 5" xfId="9894"/>
    <cellStyle name="Обычный 4 2 4 5 10" xfId="9895"/>
    <cellStyle name="Обычный 4 2 4 5 11" xfId="9896"/>
    <cellStyle name="Обычный 4 2 4 5 12" xfId="18846"/>
    <cellStyle name="Обычный 4 2 4 5 13" xfId="20541"/>
    <cellStyle name="Обычный 4 2 4 5 14" xfId="22153"/>
    <cellStyle name="Обычный 4 2 4 5 2" xfId="9897"/>
    <cellStyle name="Обычный 4 2 4 5 2 10" xfId="9898"/>
    <cellStyle name="Обычный 4 2 4 5 2 11" xfId="18847"/>
    <cellStyle name="Обычный 4 2 4 5 2 12" xfId="20542"/>
    <cellStyle name="Обычный 4 2 4 5 2 13" xfId="22154"/>
    <cellStyle name="Обычный 4 2 4 5 2 2" xfId="9899"/>
    <cellStyle name="Обычный 4 2 4 5 2 2 2" xfId="9900"/>
    <cellStyle name="Обычный 4 2 4 5 2 3" xfId="9901"/>
    <cellStyle name="Обычный 4 2 4 5 2 4" xfId="9902"/>
    <cellStyle name="Обычный 4 2 4 5 2 5" xfId="9903"/>
    <cellStyle name="Обычный 4 2 4 5 2 6" xfId="9904"/>
    <cellStyle name="Обычный 4 2 4 5 2 7" xfId="9905"/>
    <cellStyle name="Обычный 4 2 4 5 2 8" xfId="9906"/>
    <cellStyle name="Обычный 4 2 4 5 2 9" xfId="9907"/>
    <cellStyle name="Обычный 4 2 4 5 3" xfId="9908"/>
    <cellStyle name="Обычный 4 2 4 5 3 2" xfId="9909"/>
    <cellStyle name="Обычный 4 2 4 5 4" xfId="9910"/>
    <cellStyle name="Обычный 4 2 4 5 5" xfId="9911"/>
    <cellStyle name="Обычный 4 2 4 5 6" xfId="9912"/>
    <cellStyle name="Обычный 4 2 4 5 7" xfId="9913"/>
    <cellStyle name="Обычный 4 2 4 5 8" xfId="9914"/>
    <cellStyle name="Обычный 4 2 4 5 9" xfId="9915"/>
    <cellStyle name="Обычный 4 2 4 6" xfId="9916"/>
    <cellStyle name="Обычный 4 2 4 6 10" xfId="9917"/>
    <cellStyle name="Обычный 4 2 4 6 11" xfId="18848"/>
    <cellStyle name="Обычный 4 2 4 6 12" xfId="20543"/>
    <cellStyle name="Обычный 4 2 4 6 13" xfId="22155"/>
    <cellStyle name="Обычный 4 2 4 6 2" xfId="9918"/>
    <cellStyle name="Обычный 4 2 4 6 2 2" xfId="9919"/>
    <cellStyle name="Обычный 4 2 4 6 3" xfId="9920"/>
    <cellStyle name="Обычный 4 2 4 6 4" xfId="9921"/>
    <cellStyle name="Обычный 4 2 4 6 5" xfId="9922"/>
    <cellStyle name="Обычный 4 2 4 6 6" xfId="9923"/>
    <cellStyle name="Обычный 4 2 4 6 7" xfId="9924"/>
    <cellStyle name="Обычный 4 2 4 6 8" xfId="9925"/>
    <cellStyle name="Обычный 4 2 4 6 9" xfId="9926"/>
    <cellStyle name="Обычный 4 2 4 7" xfId="9927"/>
    <cellStyle name="Обычный 4 2 4 7 10" xfId="20544"/>
    <cellStyle name="Обычный 4 2 4 7 11" xfId="22156"/>
    <cellStyle name="Обычный 4 2 4 7 2" xfId="9928"/>
    <cellStyle name="Обычный 4 2 4 7 2 2" xfId="9929"/>
    <cellStyle name="Обычный 4 2 4 7 3" xfId="9930"/>
    <cellStyle name="Обычный 4 2 4 7 4" xfId="9931"/>
    <cellStyle name="Обычный 4 2 4 7 5" xfId="9932"/>
    <cellStyle name="Обычный 4 2 4 7 6" xfId="9933"/>
    <cellStyle name="Обычный 4 2 4 7 7" xfId="9934"/>
    <cellStyle name="Обычный 4 2 4 7 8" xfId="9935"/>
    <cellStyle name="Обычный 4 2 4 7 9" xfId="18849"/>
    <cellStyle name="Обычный 4 2 4 8" xfId="9936"/>
    <cellStyle name="Обычный 4 2 4 8 2" xfId="9937"/>
    <cellStyle name="Обычный 4 2 4 9" xfId="9938"/>
    <cellStyle name="Обычный 4 2 5" xfId="9939"/>
    <cellStyle name="Обычный 4 2 5 10" xfId="9940"/>
    <cellStyle name="Обычный 4 2 5 11" xfId="9941"/>
    <cellStyle name="Обычный 4 2 5 12" xfId="18850"/>
    <cellStyle name="Обычный 4 2 5 13" xfId="20545"/>
    <cellStyle name="Обычный 4 2 5 14" xfId="22157"/>
    <cellStyle name="Обычный 4 2 5 2" xfId="9942"/>
    <cellStyle name="Обычный 4 2 5 2 10" xfId="9943"/>
    <cellStyle name="Обычный 4 2 5 2 11" xfId="18851"/>
    <cellStyle name="Обычный 4 2 5 2 12" xfId="20546"/>
    <cellStyle name="Обычный 4 2 5 2 13" xfId="22158"/>
    <cellStyle name="Обычный 4 2 5 2 2" xfId="9944"/>
    <cellStyle name="Обычный 4 2 5 2 2 2" xfId="9945"/>
    <cellStyle name="Обычный 4 2 5 2 3" xfId="9946"/>
    <cellStyle name="Обычный 4 2 5 2 4" xfId="9947"/>
    <cellStyle name="Обычный 4 2 5 2 5" xfId="9948"/>
    <cellStyle name="Обычный 4 2 5 2 6" xfId="9949"/>
    <cellStyle name="Обычный 4 2 5 2 7" xfId="9950"/>
    <cellStyle name="Обычный 4 2 5 2 8" xfId="9951"/>
    <cellStyle name="Обычный 4 2 5 2 9" xfId="9952"/>
    <cellStyle name="Обычный 4 2 5 3" xfId="9953"/>
    <cellStyle name="Обычный 4 2 5 3 2" xfId="9954"/>
    <cellStyle name="Обычный 4 2 5 4" xfId="9955"/>
    <cellStyle name="Обычный 4 2 5 5" xfId="9956"/>
    <cellStyle name="Обычный 4 2 5 6" xfId="9957"/>
    <cellStyle name="Обычный 4 2 5 7" xfId="9958"/>
    <cellStyle name="Обычный 4 2 5 8" xfId="9959"/>
    <cellStyle name="Обычный 4 2 5 9" xfId="9960"/>
    <cellStyle name="Обычный 4 2 6" xfId="9961"/>
    <cellStyle name="Обычный 4 2 6 10" xfId="9962"/>
    <cellStyle name="Обычный 4 2 6 11" xfId="9963"/>
    <cellStyle name="Обычный 4 2 6 12" xfId="18852"/>
    <cellStyle name="Обычный 4 2 6 13" xfId="20547"/>
    <cellStyle name="Обычный 4 2 6 14" xfId="22159"/>
    <cellStyle name="Обычный 4 2 6 2" xfId="9964"/>
    <cellStyle name="Обычный 4 2 6 2 10" xfId="9965"/>
    <cellStyle name="Обычный 4 2 6 2 11" xfId="18853"/>
    <cellStyle name="Обычный 4 2 6 2 12" xfId="20548"/>
    <cellStyle name="Обычный 4 2 6 2 13" xfId="22160"/>
    <cellStyle name="Обычный 4 2 6 2 2" xfId="9966"/>
    <cellStyle name="Обычный 4 2 6 2 2 2" xfId="9967"/>
    <cellStyle name="Обычный 4 2 6 2 3" xfId="9968"/>
    <cellStyle name="Обычный 4 2 6 2 4" xfId="9969"/>
    <cellStyle name="Обычный 4 2 6 2 5" xfId="9970"/>
    <cellStyle name="Обычный 4 2 6 2 6" xfId="9971"/>
    <cellStyle name="Обычный 4 2 6 2 7" xfId="9972"/>
    <cellStyle name="Обычный 4 2 6 2 8" xfId="9973"/>
    <cellStyle name="Обычный 4 2 6 2 9" xfId="9974"/>
    <cellStyle name="Обычный 4 2 6 3" xfId="9975"/>
    <cellStyle name="Обычный 4 2 6 3 2" xfId="9976"/>
    <cellStyle name="Обычный 4 2 6 4" xfId="9977"/>
    <cellStyle name="Обычный 4 2 6 5" xfId="9978"/>
    <cellStyle name="Обычный 4 2 6 6" xfId="9979"/>
    <cellStyle name="Обычный 4 2 6 7" xfId="9980"/>
    <cellStyle name="Обычный 4 2 6 8" xfId="9981"/>
    <cellStyle name="Обычный 4 2 6 9" xfId="9982"/>
    <cellStyle name="Обычный 4 2 7" xfId="9983"/>
    <cellStyle name="Обычный 4 2 7 10" xfId="9984"/>
    <cellStyle name="Обычный 4 2 7 11" xfId="9985"/>
    <cellStyle name="Обычный 4 2 7 12" xfId="18854"/>
    <cellStyle name="Обычный 4 2 7 13" xfId="20549"/>
    <cellStyle name="Обычный 4 2 7 14" xfId="22161"/>
    <cellStyle name="Обычный 4 2 7 2" xfId="9986"/>
    <cellStyle name="Обычный 4 2 7 2 10" xfId="9987"/>
    <cellStyle name="Обычный 4 2 7 2 11" xfId="18855"/>
    <cellStyle name="Обычный 4 2 7 2 12" xfId="20550"/>
    <cellStyle name="Обычный 4 2 7 2 13" xfId="22162"/>
    <cellStyle name="Обычный 4 2 7 2 2" xfId="9988"/>
    <cellStyle name="Обычный 4 2 7 2 2 2" xfId="9989"/>
    <cellStyle name="Обычный 4 2 7 2 3" xfId="9990"/>
    <cellStyle name="Обычный 4 2 7 2 4" xfId="9991"/>
    <cellStyle name="Обычный 4 2 7 2 5" xfId="9992"/>
    <cellStyle name="Обычный 4 2 7 2 6" xfId="9993"/>
    <cellStyle name="Обычный 4 2 7 2 7" xfId="9994"/>
    <cellStyle name="Обычный 4 2 7 2 8" xfId="9995"/>
    <cellStyle name="Обычный 4 2 7 2 9" xfId="9996"/>
    <cellStyle name="Обычный 4 2 7 3" xfId="9997"/>
    <cellStyle name="Обычный 4 2 7 3 2" xfId="9998"/>
    <cellStyle name="Обычный 4 2 7 4" xfId="9999"/>
    <cellStyle name="Обычный 4 2 7 5" xfId="10000"/>
    <cellStyle name="Обычный 4 2 7 6" xfId="10001"/>
    <cellStyle name="Обычный 4 2 7 7" xfId="10002"/>
    <cellStyle name="Обычный 4 2 7 8" xfId="10003"/>
    <cellStyle name="Обычный 4 2 7 9" xfId="10004"/>
    <cellStyle name="Обычный 4 2 8" xfId="10005"/>
    <cellStyle name="Обычный 4 2 8 10" xfId="10006"/>
    <cellStyle name="Обычный 4 2 8 11" xfId="10007"/>
    <cellStyle name="Обычный 4 2 8 12" xfId="18856"/>
    <cellStyle name="Обычный 4 2 8 13" xfId="20551"/>
    <cellStyle name="Обычный 4 2 8 14" xfId="22163"/>
    <cellStyle name="Обычный 4 2 8 2" xfId="10008"/>
    <cellStyle name="Обычный 4 2 8 2 10" xfId="10009"/>
    <cellStyle name="Обычный 4 2 8 2 11" xfId="18857"/>
    <cellStyle name="Обычный 4 2 8 2 12" xfId="20552"/>
    <cellStyle name="Обычный 4 2 8 2 13" xfId="22164"/>
    <cellStyle name="Обычный 4 2 8 2 2" xfId="10010"/>
    <cellStyle name="Обычный 4 2 8 2 2 2" xfId="10011"/>
    <cellStyle name="Обычный 4 2 8 2 3" xfId="10012"/>
    <cellStyle name="Обычный 4 2 8 2 4" xfId="10013"/>
    <cellStyle name="Обычный 4 2 8 2 5" xfId="10014"/>
    <cellStyle name="Обычный 4 2 8 2 6" xfId="10015"/>
    <cellStyle name="Обычный 4 2 8 2 7" xfId="10016"/>
    <cellStyle name="Обычный 4 2 8 2 8" xfId="10017"/>
    <cellStyle name="Обычный 4 2 8 2 9" xfId="10018"/>
    <cellStyle name="Обычный 4 2 8 3" xfId="10019"/>
    <cellStyle name="Обычный 4 2 8 3 2" xfId="10020"/>
    <cellStyle name="Обычный 4 2 8 4" xfId="10021"/>
    <cellStyle name="Обычный 4 2 8 5" xfId="10022"/>
    <cellStyle name="Обычный 4 2 8 6" xfId="10023"/>
    <cellStyle name="Обычный 4 2 8 7" xfId="10024"/>
    <cellStyle name="Обычный 4 2 8 8" xfId="10025"/>
    <cellStyle name="Обычный 4 2 8 9" xfId="10026"/>
    <cellStyle name="Обычный 4 2 9" xfId="10027"/>
    <cellStyle name="Обычный 4 2 9 10" xfId="10028"/>
    <cellStyle name="Обычный 4 2 9 11" xfId="10029"/>
    <cellStyle name="Обычный 4 2 9 12" xfId="18858"/>
    <cellStyle name="Обычный 4 2 9 13" xfId="20553"/>
    <cellStyle name="Обычный 4 2 9 14" xfId="22165"/>
    <cellStyle name="Обычный 4 2 9 2" xfId="10030"/>
    <cellStyle name="Обычный 4 2 9 2 10" xfId="10031"/>
    <cellStyle name="Обычный 4 2 9 2 11" xfId="18859"/>
    <cellStyle name="Обычный 4 2 9 2 12" xfId="20554"/>
    <cellStyle name="Обычный 4 2 9 2 13" xfId="22166"/>
    <cellStyle name="Обычный 4 2 9 2 2" xfId="10032"/>
    <cellStyle name="Обычный 4 2 9 2 2 2" xfId="10033"/>
    <cellStyle name="Обычный 4 2 9 2 3" xfId="10034"/>
    <cellStyle name="Обычный 4 2 9 2 4" xfId="10035"/>
    <cellStyle name="Обычный 4 2 9 2 5" xfId="10036"/>
    <cellStyle name="Обычный 4 2 9 2 6" xfId="10037"/>
    <cellStyle name="Обычный 4 2 9 2 7" xfId="10038"/>
    <cellStyle name="Обычный 4 2 9 2 8" xfId="10039"/>
    <cellStyle name="Обычный 4 2 9 2 9" xfId="10040"/>
    <cellStyle name="Обычный 4 2 9 3" xfId="10041"/>
    <cellStyle name="Обычный 4 2 9 3 2" xfId="10042"/>
    <cellStyle name="Обычный 4 2 9 4" xfId="10043"/>
    <cellStyle name="Обычный 4 2 9 5" xfId="10044"/>
    <cellStyle name="Обычный 4 2 9 6" xfId="10045"/>
    <cellStyle name="Обычный 4 2 9 7" xfId="10046"/>
    <cellStyle name="Обычный 4 2 9 8" xfId="10047"/>
    <cellStyle name="Обычный 4 2 9 9" xfId="10048"/>
    <cellStyle name="Обычный 4 20" xfId="10049"/>
    <cellStyle name="Обычный 4 21" xfId="10050"/>
    <cellStyle name="Обычный 4 22" xfId="10051"/>
    <cellStyle name="Обычный 4 23" xfId="10052"/>
    <cellStyle name="Обычный 4 24" xfId="10053"/>
    <cellStyle name="Обычный 4 25" xfId="10054"/>
    <cellStyle name="Обычный 4 26" xfId="10055"/>
    <cellStyle name="Обычный 4 27" xfId="10056"/>
    <cellStyle name="Обычный 4 28" xfId="10057"/>
    <cellStyle name="Обычный 4 29" xfId="18773"/>
    <cellStyle name="Обычный 4 3" xfId="10058"/>
    <cellStyle name="Обычный 4 3 10" xfId="10059"/>
    <cellStyle name="Обычный 4 3 10 10" xfId="10060"/>
    <cellStyle name="Обычный 4 3 10 11" xfId="10061"/>
    <cellStyle name="Обычный 4 3 10 12" xfId="18861"/>
    <cellStyle name="Обычный 4 3 10 13" xfId="20556"/>
    <cellStyle name="Обычный 4 3 10 14" xfId="22168"/>
    <cellStyle name="Обычный 4 3 10 2" xfId="10062"/>
    <cellStyle name="Обычный 4 3 10 2 10" xfId="10063"/>
    <cellStyle name="Обычный 4 3 10 2 11" xfId="18862"/>
    <cellStyle name="Обычный 4 3 10 2 12" xfId="20557"/>
    <cellStyle name="Обычный 4 3 10 2 13" xfId="22169"/>
    <cellStyle name="Обычный 4 3 10 2 2" xfId="10064"/>
    <cellStyle name="Обычный 4 3 10 2 2 2" xfId="10065"/>
    <cellStyle name="Обычный 4 3 10 2 3" xfId="10066"/>
    <cellStyle name="Обычный 4 3 10 2 4" xfId="10067"/>
    <cellStyle name="Обычный 4 3 10 2 5" xfId="10068"/>
    <cellStyle name="Обычный 4 3 10 2 6" xfId="10069"/>
    <cellStyle name="Обычный 4 3 10 2 7" xfId="10070"/>
    <cellStyle name="Обычный 4 3 10 2 8" xfId="10071"/>
    <cellStyle name="Обычный 4 3 10 2 9" xfId="10072"/>
    <cellStyle name="Обычный 4 3 10 3" xfId="10073"/>
    <cellStyle name="Обычный 4 3 10 3 2" xfId="10074"/>
    <cellStyle name="Обычный 4 3 10 4" xfId="10075"/>
    <cellStyle name="Обычный 4 3 10 5" xfId="10076"/>
    <cellStyle name="Обычный 4 3 10 6" xfId="10077"/>
    <cellStyle name="Обычный 4 3 10 7" xfId="10078"/>
    <cellStyle name="Обычный 4 3 10 8" xfId="10079"/>
    <cellStyle name="Обычный 4 3 10 9" xfId="10080"/>
    <cellStyle name="Обычный 4 3 11" xfId="10081"/>
    <cellStyle name="Обычный 4 3 11 10" xfId="10082"/>
    <cellStyle name="Обычный 4 3 11 11" xfId="18863"/>
    <cellStyle name="Обычный 4 3 11 12" xfId="20558"/>
    <cellStyle name="Обычный 4 3 11 13" xfId="22170"/>
    <cellStyle name="Обычный 4 3 11 2" xfId="10083"/>
    <cellStyle name="Обычный 4 3 11 2 2" xfId="10084"/>
    <cellStyle name="Обычный 4 3 11 3" xfId="10085"/>
    <cellStyle name="Обычный 4 3 11 4" xfId="10086"/>
    <cellStyle name="Обычный 4 3 11 5" xfId="10087"/>
    <cellStyle name="Обычный 4 3 11 6" xfId="10088"/>
    <cellStyle name="Обычный 4 3 11 7" xfId="10089"/>
    <cellStyle name="Обычный 4 3 11 8" xfId="10090"/>
    <cellStyle name="Обычный 4 3 11 9" xfId="10091"/>
    <cellStyle name="Обычный 4 3 12" xfId="10092"/>
    <cellStyle name="Обычный 4 3 12 10" xfId="20559"/>
    <cellStyle name="Обычный 4 3 12 11" xfId="22171"/>
    <cellStyle name="Обычный 4 3 12 2" xfId="10093"/>
    <cellStyle name="Обычный 4 3 12 2 2" xfId="10094"/>
    <cellStyle name="Обычный 4 3 12 3" xfId="10095"/>
    <cellStyle name="Обычный 4 3 12 4" xfId="10096"/>
    <cellStyle name="Обычный 4 3 12 5" xfId="10097"/>
    <cellStyle name="Обычный 4 3 12 6" xfId="10098"/>
    <cellStyle name="Обычный 4 3 12 7" xfId="10099"/>
    <cellStyle name="Обычный 4 3 12 8" xfId="10100"/>
    <cellStyle name="Обычный 4 3 12 9" xfId="18864"/>
    <cellStyle name="Обычный 4 3 13" xfId="10101"/>
    <cellStyle name="Обычный 4 3 13 10" xfId="20560"/>
    <cellStyle name="Обычный 4 3 13 11" xfId="22172"/>
    <cellStyle name="Обычный 4 3 13 2" xfId="10102"/>
    <cellStyle name="Обычный 4 3 13 2 2" xfId="10103"/>
    <cellStyle name="Обычный 4 3 13 3" xfId="10104"/>
    <cellStyle name="Обычный 4 3 13 4" xfId="10105"/>
    <cellStyle name="Обычный 4 3 13 5" xfId="10106"/>
    <cellStyle name="Обычный 4 3 13 6" xfId="10107"/>
    <cellStyle name="Обычный 4 3 13 7" xfId="10108"/>
    <cellStyle name="Обычный 4 3 13 8" xfId="10109"/>
    <cellStyle name="Обычный 4 3 13 9" xfId="18865"/>
    <cellStyle name="Обычный 4 3 14" xfId="10110"/>
    <cellStyle name="Обычный 4 3 14 2" xfId="10111"/>
    <cellStyle name="Обычный 4 3 15" xfId="10112"/>
    <cellStyle name="Обычный 4 3 16" xfId="10113"/>
    <cellStyle name="Обычный 4 3 17" xfId="10114"/>
    <cellStyle name="Обычный 4 3 18" xfId="10115"/>
    <cellStyle name="Обычный 4 3 19" xfId="10116"/>
    <cellStyle name="Обычный 4 3 2" xfId="10117"/>
    <cellStyle name="Обычный 4 3 2 10" xfId="10118"/>
    <cellStyle name="Обычный 4 3 2 10 2" xfId="10119"/>
    <cellStyle name="Обычный 4 3 2 11" xfId="10120"/>
    <cellStyle name="Обычный 4 3 2 12" xfId="10121"/>
    <cellStyle name="Обычный 4 3 2 13" xfId="10122"/>
    <cellStyle name="Обычный 4 3 2 14" xfId="10123"/>
    <cellStyle name="Обычный 4 3 2 15" xfId="10124"/>
    <cellStyle name="Обычный 4 3 2 16" xfId="10125"/>
    <cellStyle name="Обычный 4 3 2 17" xfId="10126"/>
    <cellStyle name="Обычный 4 3 2 18" xfId="10127"/>
    <cellStyle name="Обычный 4 3 2 19" xfId="10128"/>
    <cellStyle name="Обычный 4 3 2 2" xfId="10129"/>
    <cellStyle name="Обычный 4 3 2 2 10" xfId="10130"/>
    <cellStyle name="Обычный 4 3 2 2 11" xfId="10131"/>
    <cellStyle name="Обычный 4 3 2 2 12" xfId="10132"/>
    <cellStyle name="Обычный 4 3 2 2 13" xfId="10133"/>
    <cellStyle name="Обычный 4 3 2 2 14" xfId="10134"/>
    <cellStyle name="Обычный 4 3 2 2 15" xfId="10135"/>
    <cellStyle name="Обычный 4 3 2 2 16" xfId="10136"/>
    <cellStyle name="Обычный 4 3 2 2 17" xfId="10137"/>
    <cellStyle name="Обычный 4 3 2 2 18" xfId="18867"/>
    <cellStyle name="Обычный 4 3 2 2 19" xfId="20562"/>
    <cellStyle name="Обычный 4 3 2 2 2" xfId="10138"/>
    <cellStyle name="Обычный 4 3 2 2 2 10" xfId="10139"/>
    <cellStyle name="Обычный 4 3 2 2 2 11" xfId="10140"/>
    <cellStyle name="Обычный 4 3 2 2 2 12" xfId="18868"/>
    <cellStyle name="Обычный 4 3 2 2 2 13" xfId="20563"/>
    <cellStyle name="Обычный 4 3 2 2 2 14" xfId="22175"/>
    <cellStyle name="Обычный 4 3 2 2 2 2" xfId="10141"/>
    <cellStyle name="Обычный 4 3 2 2 2 2 10" xfId="10142"/>
    <cellStyle name="Обычный 4 3 2 2 2 2 11" xfId="18869"/>
    <cellStyle name="Обычный 4 3 2 2 2 2 12" xfId="20564"/>
    <cellStyle name="Обычный 4 3 2 2 2 2 13" xfId="22176"/>
    <cellStyle name="Обычный 4 3 2 2 2 2 2" xfId="10143"/>
    <cellStyle name="Обычный 4 3 2 2 2 2 2 2" xfId="10144"/>
    <cellStyle name="Обычный 4 3 2 2 2 2 3" xfId="10145"/>
    <cellStyle name="Обычный 4 3 2 2 2 2 4" xfId="10146"/>
    <cellStyle name="Обычный 4 3 2 2 2 2 5" xfId="10147"/>
    <cellStyle name="Обычный 4 3 2 2 2 2 6" xfId="10148"/>
    <cellStyle name="Обычный 4 3 2 2 2 2 7" xfId="10149"/>
    <cellStyle name="Обычный 4 3 2 2 2 2 8" xfId="10150"/>
    <cellStyle name="Обычный 4 3 2 2 2 2 9" xfId="10151"/>
    <cellStyle name="Обычный 4 3 2 2 2 3" xfId="10152"/>
    <cellStyle name="Обычный 4 3 2 2 2 3 2" xfId="10153"/>
    <cellStyle name="Обычный 4 3 2 2 2 4" xfId="10154"/>
    <cellStyle name="Обычный 4 3 2 2 2 5" xfId="10155"/>
    <cellStyle name="Обычный 4 3 2 2 2 6" xfId="10156"/>
    <cellStyle name="Обычный 4 3 2 2 2 7" xfId="10157"/>
    <cellStyle name="Обычный 4 3 2 2 2 8" xfId="10158"/>
    <cellStyle name="Обычный 4 3 2 2 2 9" xfId="10159"/>
    <cellStyle name="Обычный 4 3 2 2 20" xfId="22174"/>
    <cellStyle name="Обычный 4 3 2 2 3" xfId="10160"/>
    <cellStyle name="Обычный 4 3 2 2 3 10" xfId="10161"/>
    <cellStyle name="Обычный 4 3 2 2 3 11" xfId="10162"/>
    <cellStyle name="Обычный 4 3 2 2 3 12" xfId="18870"/>
    <cellStyle name="Обычный 4 3 2 2 3 13" xfId="20565"/>
    <cellStyle name="Обычный 4 3 2 2 3 14" xfId="22177"/>
    <cellStyle name="Обычный 4 3 2 2 3 2" xfId="10163"/>
    <cellStyle name="Обычный 4 3 2 2 3 2 10" xfId="10164"/>
    <cellStyle name="Обычный 4 3 2 2 3 2 11" xfId="18871"/>
    <cellStyle name="Обычный 4 3 2 2 3 2 12" xfId="20566"/>
    <cellStyle name="Обычный 4 3 2 2 3 2 13" xfId="22178"/>
    <cellStyle name="Обычный 4 3 2 2 3 2 2" xfId="10165"/>
    <cellStyle name="Обычный 4 3 2 2 3 2 2 2" xfId="10166"/>
    <cellStyle name="Обычный 4 3 2 2 3 2 3" xfId="10167"/>
    <cellStyle name="Обычный 4 3 2 2 3 2 4" xfId="10168"/>
    <cellStyle name="Обычный 4 3 2 2 3 2 5" xfId="10169"/>
    <cellStyle name="Обычный 4 3 2 2 3 2 6" xfId="10170"/>
    <cellStyle name="Обычный 4 3 2 2 3 2 7" xfId="10171"/>
    <cellStyle name="Обычный 4 3 2 2 3 2 8" xfId="10172"/>
    <cellStyle name="Обычный 4 3 2 2 3 2 9" xfId="10173"/>
    <cellStyle name="Обычный 4 3 2 2 3 3" xfId="10174"/>
    <cellStyle name="Обычный 4 3 2 2 3 3 2" xfId="10175"/>
    <cellStyle name="Обычный 4 3 2 2 3 4" xfId="10176"/>
    <cellStyle name="Обычный 4 3 2 2 3 5" xfId="10177"/>
    <cellStyle name="Обычный 4 3 2 2 3 6" xfId="10178"/>
    <cellStyle name="Обычный 4 3 2 2 3 7" xfId="10179"/>
    <cellStyle name="Обычный 4 3 2 2 3 8" xfId="10180"/>
    <cellStyle name="Обычный 4 3 2 2 3 9" xfId="10181"/>
    <cellStyle name="Обычный 4 3 2 2 4" xfId="10182"/>
    <cellStyle name="Обычный 4 3 2 2 4 10" xfId="10183"/>
    <cellStyle name="Обычный 4 3 2 2 4 11" xfId="10184"/>
    <cellStyle name="Обычный 4 3 2 2 4 12" xfId="18872"/>
    <cellStyle name="Обычный 4 3 2 2 4 13" xfId="20567"/>
    <cellStyle name="Обычный 4 3 2 2 4 14" xfId="22179"/>
    <cellStyle name="Обычный 4 3 2 2 4 2" xfId="10185"/>
    <cellStyle name="Обычный 4 3 2 2 4 2 10" xfId="10186"/>
    <cellStyle name="Обычный 4 3 2 2 4 2 11" xfId="18873"/>
    <cellStyle name="Обычный 4 3 2 2 4 2 12" xfId="20568"/>
    <cellStyle name="Обычный 4 3 2 2 4 2 13" xfId="22180"/>
    <cellStyle name="Обычный 4 3 2 2 4 2 2" xfId="10187"/>
    <cellStyle name="Обычный 4 3 2 2 4 2 2 2" xfId="10188"/>
    <cellStyle name="Обычный 4 3 2 2 4 2 3" xfId="10189"/>
    <cellStyle name="Обычный 4 3 2 2 4 2 4" xfId="10190"/>
    <cellStyle name="Обычный 4 3 2 2 4 2 5" xfId="10191"/>
    <cellStyle name="Обычный 4 3 2 2 4 2 6" xfId="10192"/>
    <cellStyle name="Обычный 4 3 2 2 4 2 7" xfId="10193"/>
    <cellStyle name="Обычный 4 3 2 2 4 2 8" xfId="10194"/>
    <cellStyle name="Обычный 4 3 2 2 4 2 9" xfId="10195"/>
    <cellStyle name="Обычный 4 3 2 2 4 3" xfId="10196"/>
    <cellStyle name="Обычный 4 3 2 2 4 3 2" xfId="10197"/>
    <cellStyle name="Обычный 4 3 2 2 4 4" xfId="10198"/>
    <cellStyle name="Обычный 4 3 2 2 4 5" xfId="10199"/>
    <cellStyle name="Обычный 4 3 2 2 4 6" xfId="10200"/>
    <cellStyle name="Обычный 4 3 2 2 4 7" xfId="10201"/>
    <cellStyle name="Обычный 4 3 2 2 4 8" xfId="10202"/>
    <cellStyle name="Обычный 4 3 2 2 4 9" xfId="10203"/>
    <cellStyle name="Обычный 4 3 2 2 5" xfId="10204"/>
    <cellStyle name="Обычный 4 3 2 2 5 10" xfId="10205"/>
    <cellStyle name="Обычный 4 3 2 2 5 11" xfId="10206"/>
    <cellStyle name="Обычный 4 3 2 2 5 12" xfId="18874"/>
    <cellStyle name="Обычный 4 3 2 2 5 13" xfId="20569"/>
    <cellStyle name="Обычный 4 3 2 2 5 14" xfId="22181"/>
    <cellStyle name="Обычный 4 3 2 2 5 2" xfId="10207"/>
    <cellStyle name="Обычный 4 3 2 2 5 2 10" xfId="10208"/>
    <cellStyle name="Обычный 4 3 2 2 5 2 11" xfId="18875"/>
    <cellStyle name="Обычный 4 3 2 2 5 2 12" xfId="20570"/>
    <cellStyle name="Обычный 4 3 2 2 5 2 13" xfId="22182"/>
    <cellStyle name="Обычный 4 3 2 2 5 2 2" xfId="10209"/>
    <cellStyle name="Обычный 4 3 2 2 5 2 2 2" xfId="10210"/>
    <cellStyle name="Обычный 4 3 2 2 5 2 3" xfId="10211"/>
    <cellStyle name="Обычный 4 3 2 2 5 2 4" xfId="10212"/>
    <cellStyle name="Обычный 4 3 2 2 5 2 5" xfId="10213"/>
    <cellStyle name="Обычный 4 3 2 2 5 2 6" xfId="10214"/>
    <cellStyle name="Обычный 4 3 2 2 5 2 7" xfId="10215"/>
    <cellStyle name="Обычный 4 3 2 2 5 2 8" xfId="10216"/>
    <cellStyle name="Обычный 4 3 2 2 5 2 9" xfId="10217"/>
    <cellStyle name="Обычный 4 3 2 2 5 3" xfId="10218"/>
    <cellStyle name="Обычный 4 3 2 2 5 3 2" xfId="10219"/>
    <cellStyle name="Обычный 4 3 2 2 5 4" xfId="10220"/>
    <cellStyle name="Обычный 4 3 2 2 5 5" xfId="10221"/>
    <cellStyle name="Обычный 4 3 2 2 5 6" xfId="10222"/>
    <cellStyle name="Обычный 4 3 2 2 5 7" xfId="10223"/>
    <cellStyle name="Обычный 4 3 2 2 5 8" xfId="10224"/>
    <cellStyle name="Обычный 4 3 2 2 5 9" xfId="10225"/>
    <cellStyle name="Обычный 4 3 2 2 6" xfId="10226"/>
    <cellStyle name="Обычный 4 3 2 2 6 10" xfId="10227"/>
    <cellStyle name="Обычный 4 3 2 2 6 11" xfId="18876"/>
    <cellStyle name="Обычный 4 3 2 2 6 12" xfId="20571"/>
    <cellStyle name="Обычный 4 3 2 2 6 13" xfId="22183"/>
    <cellStyle name="Обычный 4 3 2 2 6 2" xfId="10228"/>
    <cellStyle name="Обычный 4 3 2 2 6 2 2" xfId="10229"/>
    <cellStyle name="Обычный 4 3 2 2 6 3" xfId="10230"/>
    <cellStyle name="Обычный 4 3 2 2 6 4" xfId="10231"/>
    <cellStyle name="Обычный 4 3 2 2 6 5" xfId="10232"/>
    <cellStyle name="Обычный 4 3 2 2 6 6" xfId="10233"/>
    <cellStyle name="Обычный 4 3 2 2 6 7" xfId="10234"/>
    <cellStyle name="Обычный 4 3 2 2 6 8" xfId="10235"/>
    <cellStyle name="Обычный 4 3 2 2 6 9" xfId="10236"/>
    <cellStyle name="Обычный 4 3 2 2 7" xfId="10237"/>
    <cellStyle name="Обычный 4 3 2 2 7 10" xfId="20572"/>
    <cellStyle name="Обычный 4 3 2 2 7 11" xfId="22184"/>
    <cellStyle name="Обычный 4 3 2 2 7 2" xfId="10238"/>
    <cellStyle name="Обычный 4 3 2 2 7 2 2" xfId="10239"/>
    <cellStyle name="Обычный 4 3 2 2 7 3" xfId="10240"/>
    <cellStyle name="Обычный 4 3 2 2 7 4" xfId="10241"/>
    <cellStyle name="Обычный 4 3 2 2 7 5" xfId="10242"/>
    <cellStyle name="Обычный 4 3 2 2 7 6" xfId="10243"/>
    <cellStyle name="Обычный 4 3 2 2 7 7" xfId="10244"/>
    <cellStyle name="Обычный 4 3 2 2 7 8" xfId="10245"/>
    <cellStyle name="Обычный 4 3 2 2 7 9" xfId="18877"/>
    <cellStyle name="Обычный 4 3 2 2 8" xfId="10246"/>
    <cellStyle name="Обычный 4 3 2 2 8 2" xfId="10247"/>
    <cellStyle name="Обычный 4 3 2 2 9" xfId="10248"/>
    <cellStyle name="Обычный 4 3 2 20" xfId="18866"/>
    <cellStyle name="Обычный 4 3 2 21" xfId="20561"/>
    <cellStyle name="Обычный 4 3 2 22" xfId="22173"/>
    <cellStyle name="Обычный 4 3 2 3" xfId="10249"/>
    <cellStyle name="Обычный 4 3 2 3 10" xfId="10250"/>
    <cellStyle name="Обычный 4 3 2 3 11" xfId="10251"/>
    <cellStyle name="Обычный 4 3 2 3 12" xfId="10252"/>
    <cellStyle name="Обычный 4 3 2 3 13" xfId="10253"/>
    <cellStyle name="Обычный 4 3 2 3 14" xfId="10254"/>
    <cellStyle name="Обычный 4 3 2 3 15" xfId="10255"/>
    <cellStyle name="Обычный 4 3 2 3 16" xfId="10256"/>
    <cellStyle name="Обычный 4 3 2 3 17" xfId="10257"/>
    <cellStyle name="Обычный 4 3 2 3 18" xfId="18878"/>
    <cellStyle name="Обычный 4 3 2 3 19" xfId="20573"/>
    <cellStyle name="Обычный 4 3 2 3 2" xfId="10258"/>
    <cellStyle name="Обычный 4 3 2 3 2 10" xfId="10259"/>
    <cellStyle name="Обычный 4 3 2 3 2 11" xfId="10260"/>
    <cellStyle name="Обычный 4 3 2 3 2 12" xfId="18879"/>
    <cellStyle name="Обычный 4 3 2 3 2 13" xfId="20574"/>
    <cellStyle name="Обычный 4 3 2 3 2 14" xfId="22186"/>
    <cellStyle name="Обычный 4 3 2 3 2 2" xfId="10261"/>
    <cellStyle name="Обычный 4 3 2 3 2 2 10" xfId="10262"/>
    <cellStyle name="Обычный 4 3 2 3 2 2 11" xfId="18880"/>
    <cellStyle name="Обычный 4 3 2 3 2 2 12" xfId="20575"/>
    <cellStyle name="Обычный 4 3 2 3 2 2 13" xfId="22187"/>
    <cellStyle name="Обычный 4 3 2 3 2 2 2" xfId="10263"/>
    <cellStyle name="Обычный 4 3 2 3 2 2 2 2" xfId="10264"/>
    <cellStyle name="Обычный 4 3 2 3 2 2 3" xfId="10265"/>
    <cellStyle name="Обычный 4 3 2 3 2 2 4" xfId="10266"/>
    <cellStyle name="Обычный 4 3 2 3 2 2 5" xfId="10267"/>
    <cellStyle name="Обычный 4 3 2 3 2 2 6" xfId="10268"/>
    <cellStyle name="Обычный 4 3 2 3 2 2 7" xfId="10269"/>
    <cellStyle name="Обычный 4 3 2 3 2 2 8" xfId="10270"/>
    <cellStyle name="Обычный 4 3 2 3 2 2 9" xfId="10271"/>
    <cellStyle name="Обычный 4 3 2 3 2 3" xfId="10272"/>
    <cellStyle name="Обычный 4 3 2 3 2 3 2" xfId="10273"/>
    <cellStyle name="Обычный 4 3 2 3 2 4" xfId="10274"/>
    <cellStyle name="Обычный 4 3 2 3 2 5" xfId="10275"/>
    <cellStyle name="Обычный 4 3 2 3 2 6" xfId="10276"/>
    <cellStyle name="Обычный 4 3 2 3 2 7" xfId="10277"/>
    <cellStyle name="Обычный 4 3 2 3 2 8" xfId="10278"/>
    <cellStyle name="Обычный 4 3 2 3 2 9" xfId="10279"/>
    <cellStyle name="Обычный 4 3 2 3 20" xfId="22185"/>
    <cellStyle name="Обычный 4 3 2 3 3" xfId="10280"/>
    <cellStyle name="Обычный 4 3 2 3 3 10" xfId="10281"/>
    <cellStyle name="Обычный 4 3 2 3 3 11" xfId="10282"/>
    <cellStyle name="Обычный 4 3 2 3 3 12" xfId="18881"/>
    <cellStyle name="Обычный 4 3 2 3 3 13" xfId="20576"/>
    <cellStyle name="Обычный 4 3 2 3 3 14" xfId="22188"/>
    <cellStyle name="Обычный 4 3 2 3 3 2" xfId="10283"/>
    <cellStyle name="Обычный 4 3 2 3 3 2 10" xfId="10284"/>
    <cellStyle name="Обычный 4 3 2 3 3 2 11" xfId="18882"/>
    <cellStyle name="Обычный 4 3 2 3 3 2 12" xfId="20577"/>
    <cellStyle name="Обычный 4 3 2 3 3 2 13" xfId="22189"/>
    <cellStyle name="Обычный 4 3 2 3 3 2 2" xfId="10285"/>
    <cellStyle name="Обычный 4 3 2 3 3 2 2 2" xfId="10286"/>
    <cellStyle name="Обычный 4 3 2 3 3 2 3" xfId="10287"/>
    <cellStyle name="Обычный 4 3 2 3 3 2 4" xfId="10288"/>
    <cellStyle name="Обычный 4 3 2 3 3 2 5" xfId="10289"/>
    <cellStyle name="Обычный 4 3 2 3 3 2 6" xfId="10290"/>
    <cellStyle name="Обычный 4 3 2 3 3 2 7" xfId="10291"/>
    <cellStyle name="Обычный 4 3 2 3 3 2 8" xfId="10292"/>
    <cellStyle name="Обычный 4 3 2 3 3 2 9" xfId="10293"/>
    <cellStyle name="Обычный 4 3 2 3 3 3" xfId="10294"/>
    <cellStyle name="Обычный 4 3 2 3 3 3 2" xfId="10295"/>
    <cellStyle name="Обычный 4 3 2 3 3 4" xfId="10296"/>
    <cellStyle name="Обычный 4 3 2 3 3 5" xfId="10297"/>
    <cellStyle name="Обычный 4 3 2 3 3 6" xfId="10298"/>
    <cellStyle name="Обычный 4 3 2 3 3 7" xfId="10299"/>
    <cellStyle name="Обычный 4 3 2 3 3 8" xfId="10300"/>
    <cellStyle name="Обычный 4 3 2 3 3 9" xfId="10301"/>
    <cellStyle name="Обычный 4 3 2 3 4" xfId="10302"/>
    <cellStyle name="Обычный 4 3 2 3 4 10" xfId="10303"/>
    <cellStyle name="Обычный 4 3 2 3 4 11" xfId="10304"/>
    <cellStyle name="Обычный 4 3 2 3 4 12" xfId="18883"/>
    <cellStyle name="Обычный 4 3 2 3 4 13" xfId="20578"/>
    <cellStyle name="Обычный 4 3 2 3 4 14" xfId="22190"/>
    <cellStyle name="Обычный 4 3 2 3 4 2" xfId="10305"/>
    <cellStyle name="Обычный 4 3 2 3 4 2 10" xfId="10306"/>
    <cellStyle name="Обычный 4 3 2 3 4 2 11" xfId="18884"/>
    <cellStyle name="Обычный 4 3 2 3 4 2 12" xfId="20579"/>
    <cellStyle name="Обычный 4 3 2 3 4 2 13" xfId="22191"/>
    <cellStyle name="Обычный 4 3 2 3 4 2 2" xfId="10307"/>
    <cellStyle name="Обычный 4 3 2 3 4 2 2 2" xfId="10308"/>
    <cellStyle name="Обычный 4 3 2 3 4 2 3" xfId="10309"/>
    <cellStyle name="Обычный 4 3 2 3 4 2 4" xfId="10310"/>
    <cellStyle name="Обычный 4 3 2 3 4 2 5" xfId="10311"/>
    <cellStyle name="Обычный 4 3 2 3 4 2 6" xfId="10312"/>
    <cellStyle name="Обычный 4 3 2 3 4 2 7" xfId="10313"/>
    <cellStyle name="Обычный 4 3 2 3 4 2 8" xfId="10314"/>
    <cellStyle name="Обычный 4 3 2 3 4 2 9" xfId="10315"/>
    <cellStyle name="Обычный 4 3 2 3 4 3" xfId="10316"/>
    <cellStyle name="Обычный 4 3 2 3 4 3 2" xfId="10317"/>
    <cellStyle name="Обычный 4 3 2 3 4 4" xfId="10318"/>
    <cellStyle name="Обычный 4 3 2 3 4 5" xfId="10319"/>
    <cellStyle name="Обычный 4 3 2 3 4 6" xfId="10320"/>
    <cellStyle name="Обычный 4 3 2 3 4 7" xfId="10321"/>
    <cellStyle name="Обычный 4 3 2 3 4 8" xfId="10322"/>
    <cellStyle name="Обычный 4 3 2 3 4 9" xfId="10323"/>
    <cellStyle name="Обычный 4 3 2 3 5" xfId="10324"/>
    <cellStyle name="Обычный 4 3 2 3 5 10" xfId="10325"/>
    <cellStyle name="Обычный 4 3 2 3 5 11" xfId="10326"/>
    <cellStyle name="Обычный 4 3 2 3 5 12" xfId="18885"/>
    <cellStyle name="Обычный 4 3 2 3 5 13" xfId="20580"/>
    <cellStyle name="Обычный 4 3 2 3 5 14" xfId="22192"/>
    <cellStyle name="Обычный 4 3 2 3 5 2" xfId="10327"/>
    <cellStyle name="Обычный 4 3 2 3 5 2 10" xfId="10328"/>
    <cellStyle name="Обычный 4 3 2 3 5 2 11" xfId="18886"/>
    <cellStyle name="Обычный 4 3 2 3 5 2 12" xfId="20581"/>
    <cellStyle name="Обычный 4 3 2 3 5 2 13" xfId="22193"/>
    <cellStyle name="Обычный 4 3 2 3 5 2 2" xfId="10329"/>
    <cellStyle name="Обычный 4 3 2 3 5 2 2 2" xfId="10330"/>
    <cellStyle name="Обычный 4 3 2 3 5 2 3" xfId="10331"/>
    <cellStyle name="Обычный 4 3 2 3 5 2 4" xfId="10332"/>
    <cellStyle name="Обычный 4 3 2 3 5 2 5" xfId="10333"/>
    <cellStyle name="Обычный 4 3 2 3 5 2 6" xfId="10334"/>
    <cellStyle name="Обычный 4 3 2 3 5 2 7" xfId="10335"/>
    <cellStyle name="Обычный 4 3 2 3 5 2 8" xfId="10336"/>
    <cellStyle name="Обычный 4 3 2 3 5 2 9" xfId="10337"/>
    <cellStyle name="Обычный 4 3 2 3 5 3" xfId="10338"/>
    <cellStyle name="Обычный 4 3 2 3 5 3 2" xfId="10339"/>
    <cellStyle name="Обычный 4 3 2 3 5 4" xfId="10340"/>
    <cellStyle name="Обычный 4 3 2 3 5 5" xfId="10341"/>
    <cellStyle name="Обычный 4 3 2 3 5 6" xfId="10342"/>
    <cellStyle name="Обычный 4 3 2 3 5 7" xfId="10343"/>
    <cellStyle name="Обычный 4 3 2 3 5 8" xfId="10344"/>
    <cellStyle name="Обычный 4 3 2 3 5 9" xfId="10345"/>
    <cellStyle name="Обычный 4 3 2 3 6" xfId="10346"/>
    <cellStyle name="Обычный 4 3 2 3 6 10" xfId="10347"/>
    <cellStyle name="Обычный 4 3 2 3 6 11" xfId="18887"/>
    <cellStyle name="Обычный 4 3 2 3 6 12" xfId="20582"/>
    <cellStyle name="Обычный 4 3 2 3 6 13" xfId="22194"/>
    <cellStyle name="Обычный 4 3 2 3 6 2" xfId="10348"/>
    <cellStyle name="Обычный 4 3 2 3 6 2 2" xfId="10349"/>
    <cellStyle name="Обычный 4 3 2 3 6 3" xfId="10350"/>
    <cellStyle name="Обычный 4 3 2 3 6 4" xfId="10351"/>
    <cellStyle name="Обычный 4 3 2 3 6 5" xfId="10352"/>
    <cellStyle name="Обычный 4 3 2 3 6 6" xfId="10353"/>
    <cellStyle name="Обычный 4 3 2 3 6 7" xfId="10354"/>
    <cellStyle name="Обычный 4 3 2 3 6 8" xfId="10355"/>
    <cellStyle name="Обычный 4 3 2 3 6 9" xfId="10356"/>
    <cellStyle name="Обычный 4 3 2 3 7" xfId="10357"/>
    <cellStyle name="Обычный 4 3 2 3 7 10" xfId="20583"/>
    <cellStyle name="Обычный 4 3 2 3 7 11" xfId="22195"/>
    <cellStyle name="Обычный 4 3 2 3 7 2" xfId="10358"/>
    <cellStyle name="Обычный 4 3 2 3 7 2 2" xfId="10359"/>
    <cellStyle name="Обычный 4 3 2 3 7 3" xfId="10360"/>
    <cellStyle name="Обычный 4 3 2 3 7 4" xfId="10361"/>
    <cellStyle name="Обычный 4 3 2 3 7 5" xfId="10362"/>
    <cellStyle name="Обычный 4 3 2 3 7 6" xfId="10363"/>
    <cellStyle name="Обычный 4 3 2 3 7 7" xfId="10364"/>
    <cellStyle name="Обычный 4 3 2 3 7 8" xfId="10365"/>
    <cellStyle name="Обычный 4 3 2 3 7 9" xfId="18888"/>
    <cellStyle name="Обычный 4 3 2 3 8" xfId="10366"/>
    <cellStyle name="Обычный 4 3 2 3 8 2" xfId="10367"/>
    <cellStyle name="Обычный 4 3 2 3 9" xfId="10368"/>
    <cellStyle name="Обычный 4 3 2 4" xfId="10369"/>
    <cellStyle name="Обычный 4 3 2 4 10" xfId="10370"/>
    <cellStyle name="Обычный 4 3 2 4 11" xfId="10371"/>
    <cellStyle name="Обычный 4 3 2 4 12" xfId="18889"/>
    <cellStyle name="Обычный 4 3 2 4 13" xfId="20584"/>
    <cellStyle name="Обычный 4 3 2 4 14" xfId="22196"/>
    <cellStyle name="Обычный 4 3 2 4 2" xfId="10372"/>
    <cellStyle name="Обычный 4 3 2 4 2 10" xfId="10373"/>
    <cellStyle name="Обычный 4 3 2 4 2 11" xfId="18890"/>
    <cellStyle name="Обычный 4 3 2 4 2 12" xfId="20585"/>
    <cellStyle name="Обычный 4 3 2 4 2 13" xfId="22197"/>
    <cellStyle name="Обычный 4 3 2 4 2 2" xfId="10374"/>
    <cellStyle name="Обычный 4 3 2 4 2 2 2" xfId="10375"/>
    <cellStyle name="Обычный 4 3 2 4 2 3" xfId="10376"/>
    <cellStyle name="Обычный 4 3 2 4 2 4" xfId="10377"/>
    <cellStyle name="Обычный 4 3 2 4 2 5" xfId="10378"/>
    <cellStyle name="Обычный 4 3 2 4 2 6" xfId="10379"/>
    <cellStyle name="Обычный 4 3 2 4 2 7" xfId="10380"/>
    <cellStyle name="Обычный 4 3 2 4 2 8" xfId="10381"/>
    <cellStyle name="Обычный 4 3 2 4 2 9" xfId="10382"/>
    <cellStyle name="Обычный 4 3 2 4 3" xfId="10383"/>
    <cellStyle name="Обычный 4 3 2 4 3 2" xfId="10384"/>
    <cellStyle name="Обычный 4 3 2 4 4" xfId="10385"/>
    <cellStyle name="Обычный 4 3 2 4 5" xfId="10386"/>
    <cellStyle name="Обычный 4 3 2 4 6" xfId="10387"/>
    <cellStyle name="Обычный 4 3 2 4 7" xfId="10388"/>
    <cellStyle name="Обычный 4 3 2 4 8" xfId="10389"/>
    <cellStyle name="Обычный 4 3 2 4 9" xfId="10390"/>
    <cellStyle name="Обычный 4 3 2 5" xfId="10391"/>
    <cellStyle name="Обычный 4 3 2 5 10" xfId="10392"/>
    <cellStyle name="Обычный 4 3 2 5 11" xfId="10393"/>
    <cellStyle name="Обычный 4 3 2 5 12" xfId="18891"/>
    <cellStyle name="Обычный 4 3 2 5 13" xfId="20586"/>
    <cellStyle name="Обычный 4 3 2 5 14" xfId="22198"/>
    <cellStyle name="Обычный 4 3 2 5 2" xfId="10394"/>
    <cellStyle name="Обычный 4 3 2 5 2 10" xfId="10395"/>
    <cellStyle name="Обычный 4 3 2 5 2 11" xfId="18892"/>
    <cellStyle name="Обычный 4 3 2 5 2 12" xfId="20587"/>
    <cellStyle name="Обычный 4 3 2 5 2 13" xfId="22199"/>
    <cellStyle name="Обычный 4 3 2 5 2 2" xfId="10396"/>
    <cellStyle name="Обычный 4 3 2 5 2 2 2" xfId="10397"/>
    <cellStyle name="Обычный 4 3 2 5 2 3" xfId="10398"/>
    <cellStyle name="Обычный 4 3 2 5 2 4" xfId="10399"/>
    <cellStyle name="Обычный 4 3 2 5 2 5" xfId="10400"/>
    <cellStyle name="Обычный 4 3 2 5 2 6" xfId="10401"/>
    <cellStyle name="Обычный 4 3 2 5 2 7" xfId="10402"/>
    <cellStyle name="Обычный 4 3 2 5 2 8" xfId="10403"/>
    <cellStyle name="Обычный 4 3 2 5 2 9" xfId="10404"/>
    <cellStyle name="Обычный 4 3 2 5 3" xfId="10405"/>
    <cellStyle name="Обычный 4 3 2 5 3 2" xfId="10406"/>
    <cellStyle name="Обычный 4 3 2 5 4" xfId="10407"/>
    <cellStyle name="Обычный 4 3 2 5 5" xfId="10408"/>
    <cellStyle name="Обычный 4 3 2 5 6" xfId="10409"/>
    <cellStyle name="Обычный 4 3 2 5 7" xfId="10410"/>
    <cellStyle name="Обычный 4 3 2 5 8" xfId="10411"/>
    <cellStyle name="Обычный 4 3 2 5 9" xfId="10412"/>
    <cellStyle name="Обычный 4 3 2 6" xfId="10413"/>
    <cellStyle name="Обычный 4 3 2 6 10" xfId="10414"/>
    <cellStyle name="Обычный 4 3 2 6 11" xfId="10415"/>
    <cellStyle name="Обычный 4 3 2 6 12" xfId="18893"/>
    <cellStyle name="Обычный 4 3 2 6 13" xfId="20588"/>
    <cellStyle name="Обычный 4 3 2 6 14" xfId="22200"/>
    <cellStyle name="Обычный 4 3 2 6 2" xfId="10416"/>
    <cellStyle name="Обычный 4 3 2 6 2 10" xfId="10417"/>
    <cellStyle name="Обычный 4 3 2 6 2 11" xfId="18894"/>
    <cellStyle name="Обычный 4 3 2 6 2 12" xfId="20589"/>
    <cellStyle name="Обычный 4 3 2 6 2 13" xfId="22201"/>
    <cellStyle name="Обычный 4 3 2 6 2 2" xfId="10418"/>
    <cellStyle name="Обычный 4 3 2 6 2 2 2" xfId="10419"/>
    <cellStyle name="Обычный 4 3 2 6 2 3" xfId="10420"/>
    <cellStyle name="Обычный 4 3 2 6 2 4" xfId="10421"/>
    <cellStyle name="Обычный 4 3 2 6 2 5" xfId="10422"/>
    <cellStyle name="Обычный 4 3 2 6 2 6" xfId="10423"/>
    <cellStyle name="Обычный 4 3 2 6 2 7" xfId="10424"/>
    <cellStyle name="Обычный 4 3 2 6 2 8" xfId="10425"/>
    <cellStyle name="Обычный 4 3 2 6 2 9" xfId="10426"/>
    <cellStyle name="Обычный 4 3 2 6 3" xfId="10427"/>
    <cellStyle name="Обычный 4 3 2 6 3 2" xfId="10428"/>
    <cellStyle name="Обычный 4 3 2 6 4" xfId="10429"/>
    <cellStyle name="Обычный 4 3 2 6 5" xfId="10430"/>
    <cellStyle name="Обычный 4 3 2 6 6" xfId="10431"/>
    <cellStyle name="Обычный 4 3 2 6 7" xfId="10432"/>
    <cellStyle name="Обычный 4 3 2 6 8" xfId="10433"/>
    <cellStyle name="Обычный 4 3 2 6 9" xfId="10434"/>
    <cellStyle name="Обычный 4 3 2 7" xfId="10435"/>
    <cellStyle name="Обычный 4 3 2 7 10" xfId="10436"/>
    <cellStyle name="Обычный 4 3 2 7 11" xfId="10437"/>
    <cellStyle name="Обычный 4 3 2 7 12" xfId="18895"/>
    <cellStyle name="Обычный 4 3 2 7 13" xfId="20590"/>
    <cellStyle name="Обычный 4 3 2 7 14" xfId="22202"/>
    <cellStyle name="Обычный 4 3 2 7 2" xfId="10438"/>
    <cellStyle name="Обычный 4 3 2 7 2 10" xfId="10439"/>
    <cellStyle name="Обычный 4 3 2 7 2 11" xfId="18896"/>
    <cellStyle name="Обычный 4 3 2 7 2 12" xfId="20591"/>
    <cellStyle name="Обычный 4 3 2 7 2 13" xfId="22203"/>
    <cellStyle name="Обычный 4 3 2 7 2 2" xfId="10440"/>
    <cellStyle name="Обычный 4 3 2 7 2 2 2" xfId="10441"/>
    <cellStyle name="Обычный 4 3 2 7 2 3" xfId="10442"/>
    <cellStyle name="Обычный 4 3 2 7 2 4" xfId="10443"/>
    <cellStyle name="Обычный 4 3 2 7 2 5" xfId="10444"/>
    <cellStyle name="Обычный 4 3 2 7 2 6" xfId="10445"/>
    <cellStyle name="Обычный 4 3 2 7 2 7" xfId="10446"/>
    <cellStyle name="Обычный 4 3 2 7 2 8" xfId="10447"/>
    <cellStyle name="Обычный 4 3 2 7 2 9" xfId="10448"/>
    <cellStyle name="Обычный 4 3 2 7 3" xfId="10449"/>
    <cellStyle name="Обычный 4 3 2 7 3 2" xfId="10450"/>
    <cellStyle name="Обычный 4 3 2 7 4" xfId="10451"/>
    <cellStyle name="Обычный 4 3 2 7 5" xfId="10452"/>
    <cellStyle name="Обычный 4 3 2 7 6" xfId="10453"/>
    <cellStyle name="Обычный 4 3 2 7 7" xfId="10454"/>
    <cellStyle name="Обычный 4 3 2 7 8" xfId="10455"/>
    <cellStyle name="Обычный 4 3 2 7 9" xfId="10456"/>
    <cellStyle name="Обычный 4 3 2 8" xfId="10457"/>
    <cellStyle name="Обычный 4 3 2 8 10" xfId="10458"/>
    <cellStyle name="Обычный 4 3 2 8 11" xfId="18897"/>
    <cellStyle name="Обычный 4 3 2 8 12" xfId="20592"/>
    <cellStyle name="Обычный 4 3 2 8 13" xfId="22204"/>
    <cellStyle name="Обычный 4 3 2 8 2" xfId="10459"/>
    <cellStyle name="Обычный 4 3 2 8 2 2" xfId="10460"/>
    <cellStyle name="Обычный 4 3 2 8 3" xfId="10461"/>
    <cellStyle name="Обычный 4 3 2 8 4" xfId="10462"/>
    <cellStyle name="Обычный 4 3 2 8 5" xfId="10463"/>
    <cellStyle name="Обычный 4 3 2 8 6" xfId="10464"/>
    <cellStyle name="Обычный 4 3 2 8 7" xfId="10465"/>
    <cellStyle name="Обычный 4 3 2 8 8" xfId="10466"/>
    <cellStyle name="Обычный 4 3 2 8 9" xfId="10467"/>
    <cellStyle name="Обычный 4 3 2 9" xfId="10468"/>
    <cellStyle name="Обычный 4 3 2 9 10" xfId="20593"/>
    <cellStyle name="Обычный 4 3 2 9 11" xfId="22205"/>
    <cellStyle name="Обычный 4 3 2 9 2" xfId="10469"/>
    <cellStyle name="Обычный 4 3 2 9 2 2" xfId="10470"/>
    <cellStyle name="Обычный 4 3 2 9 3" xfId="10471"/>
    <cellStyle name="Обычный 4 3 2 9 4" xfId="10472"/>
    <cellStyle name="Обычный 4 3 2 9 5" xfId="10473"/>
    <cellStyle name="Обычный 4 3 2 9 6" xfId="10474"/>
    <cellStyle name="Обычный 4 3 2 9 7" xfId="10475"/>
    <cellStyle name="Обычный 4 3 2 9 8" xfId="10476"/>
    <cellStyle name="Обычный 4 3 2 9 9" xfId="18898"/>
    <cellStyle name="Обычный 4 3 20" xfId="10477"/>
    <cellStyle name="Обычный 4 3 21" xfId="10478"/>
    <cellStyle name="Обычный 4 3 22" xfId="10479"/>
    <cellStyle name="Обычный 4 3 23" xfId="10480"/>
    <cellStyle name="Обычный 4 3 24" xfId="18860"/>
    <cellStyle name="Обычный 4 3 25" xfId="19637"/>
    <cellStyle name="Обычный 4 3 26" xfId="20555"/>
    <cellStyle name="Обычный 4 3 27" xfId="22167"/>
    <cellStyle name="Обычный 4 3 3" xfId="10481"/>
    <cellStyle name="Обычный 4 3 3 10" xfId="10482"/>
    <cellStyle name="Обычный 4 3 3 11" xfId="10483"/>
    <cellStyle name="Обычный 4 3 3 12" xfId="10484"/>
    <cellStyle name="Обычный 4 3 3 13" xfId="10485"/>
    <cellStyle name="Обычный 4 3 3 14" xfId="10486"/>
    <cellStyle name="Обычный 4 3 3 15" xfId="10487"/>
    <cellStyle name="Обычный 4 3 3 16" xfId="10488"/>
    <cellStyle name="Обычный 4 3 3 17" xfId="10489"/>
    <cellStyle name="Обычный 4 3 3 18" xfId="18899"/>
    <cellStyle name="Обычный 4 3 3 19" xfId="20594"/>
    <cellStyle name="Обычный 4 3 3 2" xfId="10490"/>
    <cellStyle name="Обычный 4 3 3 2 10" xfId="10491"/>
    <cellStyle name="Обычный 4 3 3 2 11" xfId="10492"/>
    <cellStyle name="Обычный 4 3 3 2 12" xfId="18900"/>
    <cellStyle name="Обычный 4 3 3 2 13" xfId="20595"/>
    <cellStyle name="Обычный 4 3 3 2 14" xfId="22207"/>
    <cellStyle name="Обычный 4 3 3 2 2" xfId="10493"/>
    <cellStyle name="Обычный 4 3 3 2 2 10" xfId="10494"/>
    <cellStyle name="Обычный 4 3 3 2 2 11" xfId="18901"/>
    <cellStyle name="Обычный 4 3 3 2 2 12" xfId="20596"/>
    <cellStyle name="Обычный 4 3 3 2 2 13" xfId="22208"/>
    <cellStyle name="Обычный 4 3 3 2 2 2" xfId="10495"/>
    <cellStyle name="Обычный 4 3 3 2 2 2 2" xfId="10496"/>
    <cellStyle name="Обычный 4 3 3 2 2 3" xfId="10497"/>
    <cellStyle name="Обычный 4 3 3 2 2 4" xfId="10498"/>
    <cellStyle name="Обычный 4 3 3 2 2 5" xfId="10499"/>
    <cellStyle name="Обычный 4 3 3 2 2 6" xfId="10500"/>
    <cellStyle name="Обычный 4 3 3 2 2 7" xfId="10501"/>
    <cellStyle name="Обычный 4 3 3 2 2 8" xfId="10502"/>
    <cellStyle name="Обычный 4 3 3 2 2 9" xfId="10503"/>
    <cellStyle name="Обычный 4 3 3 2 3" xfId="10504"/>
    <cellStyle name="Обычный 4 3 3 2 3 2" xfId="10505"/>
    <cellStyle name="Обычный 4 3 3 2 4" xfId="10506"/>
    <cellStyle name="Обычный 4 3 3 2 5" xfId="10507"/>
    <cellStyle name="Обычный 4 3 3 2 6" xfId="10508"/>
    <cellStyle name="Обычный 4 3 3 2 7" xfId="10509"/>
    <cellStyle name="Обычный 4 3 3 2 8" xfId="10510"/>
    <cellStyle name="Обычный 4 3 3 2 9" xfId="10511"/>
    <cellStyle name="Обычный 4 3 3 20" xfId="22206"/>
    <cellStyle name="Обычный 4 3 3 3" xfId="10512"/>
    <cellStyle name="Обычный 4 3 3 3 10" xfId="10513"/>
    <cellStyle name="Обычный 4 3 3 3 11" xfId="10514"/>
    <cellStyle name="Обычный 4 3 3 3 12" xfId="18902"/>
    <cellStyle name="Обычный 4 3 3 3 13" xfId="20597"/>
    <cellStyle name="Обычный 4 3 3 3 14" xfId="22209"/>
    <cellStyle name="Обычный 4 3 3 3 2" xfId="10515"/>
    <cellStyle name="Обычный 4 3 3 3 2 10" xfId="10516"/>
    <cellStyle name="Обычный 4 3 3 3 2 11" xfId="18903"/>
    <cellStyle name="Обычный 4 3 3 3 2 12" xfId="20598"/>
    <cellStyle name="Обычный 4 3 3 3 2 13" xfId="22210"/>
    <cellStyle name="Обычный 4 3 3 3 2 2" xfId="10517"/>
    <cellStyle name="Обычный 4 3 3 3 2 2 2" xfId="10518"/>
    <cellStyle name="Обычный 4 3 3 3 2 3" xfId="10519"/>
    <cellStyle name="Обычный 4 3 3 3 2 4" xfId="10520"/>
    <cellStyle name="Обычный 4 3 3 3 2 5" xfId="10521"/>
    <cellStyle name="Обычный 4 3 3 3 2 6" xfId="10522"/>
    <cellStyle name="Обычный 4 3 3 3 2 7" xfId="10523"/>
    <cellStyle name="Обычный 4 3 3 3 2 8" xfId="10524"/>
    <cellStyle name="Обычный 4 3 3 3 2 9" xfId="10525"/>
    <cellStyle name="Обычный 4 3 3 3 3" xfId="10526"/>
    <cellStyle name="Обычный 4 3 3 3 3 2" xfId="10527"/>
    <cellStyle name="Обычный 4 3 3 3 4" xfId="10528"/>
    <cellStyle name="Обычный 4 3 3 3 5" xfId="10529"/>
    <cellStyle name="Обычный 4 3 3 3 6" xfId="10530"/>
    <cellStyle name="Обычный 4 3 3 3 7" xfId="10531"/>
    <cellStyle name="Обычный 4 3 3 3 8" xfId="10532"/>
    <cellStyle name="Обычный 4 3 3 3 9" xfId="10533"/>
    <cellStyle name="Обычный 4 3 3 4" xfId="10534"/>
    <cellStyle name="Обычный 4 3 3 4 10" xfId="10535"/>
    <cellStyle name="Обычный 4 3 3 4 11" xfId="10536"/>
    <cellStyle name="Обычный 4 3 3 4 12" xfId="18904"/>
    <cellStyle name="Обычный 4 3 3 4 13" xfId="20599"/>
    <cellStyle name="Обычный 4 3 3 4 14" xfId="22211"/>
    <cellStyle name="Обычный 4 3 3 4 2" xfId="10537"/>
    <cellStyle name="Обычный 4 3 3 4 2 10" xfId="10538"/>
    <cellStyle name="Обычный 4 3 3 4 2 11" xfId="18905"/>
    <cellStyle name="Обычный 4 3 3 4 2 12" xfId="20600"/>
    <cellStyle name="Обычный 4 3 3 4 2 13" xfId="22212"/>
    <cellStyle name="Обычный 4 3 3 4 2 2" xfId="10539"/>
    <cellStyle name="Обычный 4 3 3 4 2 2 2" xfId="10540"/>
    <cellStyle name="Обычный 4 3 3 4 2 3" xfId="10541"/>
    <cellStyle name="Обычный 4 3 3 4 2 4" xfId="10542"/>
    <cellStyle name="Обычный 4 3 3 4 2 5" xfId="10543"/>
    <cellStyle name="Обычный 4 3 3 4 2 6" xfId="10544"/>
    <cellStyle name="Обычный 4 3 3 4 2 7" xfId="10545"/>
    <cellStyle name="Обычный 4 3 3 4 2 8" xfId="10546"/>
    <cellStyle name="Обычный 4 3 3 4 2 9" xfId="10547"/>
    <cellStyle name="Обычный 4 3 3 4 3" xfId="10548"/>
    <cellStyle name="Обычный 4 3 3 4 3 2" xfId="10549"/>
    <cellStyle name="Обычный 4 3 3 4 4" xfId="10550"/>
    <cellStyle name="Обычный 4 3 3 4 5" xfId="10551"/>
    <cellStyle name="Обычный 4 3 3 4 6" xfId="10552"/>
    <cellStyle name="Обычный 4 3 3 4 7" xfId="10553"/>
    <cellStyle name="Обычный 4 3 3 4 8" xfId="10554"/>
    <cellStyle name="Обычный 4 3 3 4 9" xfId="10555"/>
    <cellStyle name="Обычный 4 3 3 5" xfId="10556"/>
    <cellStyle name="Обычный 4 3 3 5 10" xfId="10557"/>
    <cellStyle name="Обычный 4 3 3 5 11" xfId="10558"/>
    <cellStyle name="Обычный 4 3 3 5 12" xfId="18906"/>
    <cellStyle name="Обычный 4 3 3 5 13" xfId="20601"/>
    <cellStyle name="Обычный 4 3 3 5 14" xfId="22213"/>
    <cellStyle name="Обычный 4 3 3 5 2" xfId="10559"/>
    <cellStyle name="Обычный 4 3 3 5 2 10" xfId="10560"/>
    <cellStyle name="Обычный 4 3 3 5 2 11" xfId="18907"/>
    <cellStyle name="Обычный 4 3 3 5 2 12" xfId="20602"/>
    <cellStyle name="Обычный 4 3 3 5 2 13" xfId="22214"/>
    <cellStyle name="Обычный 4 3 3 5 2 2" xfId="10561"/>
    <cellStyle name="Обычный 4 3 3 5 2 2 2" xfId="10562"/>
    <cellStyle name="Обычный 4 3 3 5 2 3" xfId="10563"/>
    <cellStyle name="Обычный 4 3 3 5 2 4" xfId="10564"/>
    <cellStyle name="Обычный 4 3 3 5 2 5" xfId="10565"/>
    <cellStyle name="Обычный 4 3 3 5 2 6" xfId="10566"/>
    <cellStyle name="Обычный 4 3 3 5 2 7" xfId="10567"/>
    <cellStyle name="Обычный 4 3 3 5 2 8" xfId="10568"/>
    <cellStyle name="Обычный 4 3 3 5 2 9" xfId="10569"/>
    <cellStyle name="Обычный 4 3 3 5 3" xfId="10570"/>
    <cellStyle name="Обычный 4 3 3 5 3 2" xfId="10571"/>
    <cellStyle name="Обычный 4 3 3 5 4" xfId="10572"/>
    <cellStyle name="Обычный 4 3 3 5 5" xfId="10573"/>
    <cellStyle name="Обычный 4 3 3 5 6" xfId="10574"/>
    <cellStyle name="Обычный 4 3 3 5 7" xfId="10575"/>
    <cellStyle name="Обычный 4 3 3 5 8" xfId="10576"/>
    <cellStyle name="Обычный 4 3 3 5 9" xfId="10577"/>
    <cellStyle name="Обычный 4 3 3 6" xfId="10578"/>
    <cellStyle name="Обычный 4 3 3 6 10" xfId="10579"/>
    <cellStyle name="Обычный 4 3 3 6 11" xfId="18908"/>
    <cellStyle name="Обычный 4 3 3 6 12" xfId="20603"/>
    <cellStyle name="Обычный 4 3 3 6 13" xfId="22215"/>
    <cellStyle name="Обычный 4 3 3 6 2" xfId="10580"/>
    <cellStyle name="Обычный 4 3 3 6 2 2" xfId="10581"/>
    <cellStyle name="Обычный 4 3 3 6 3" xfId="10582"/>
    <cellStyle name="Обычный 4 3 3 6 4" xfId="10583"/>
    <cellStyle name="Обычный 4 3 3 6 5" xfId="10584"/>
    <cellStyle name="Обычный 4 3 3 6 6" xfId="10585"/>
    <cellStyle name="Обычный 4 3 3 6 7" xfId="10586"/>
    <cellStyle name="Обычный 4 3 3 6 8" xfId="10587"/>
    <cellStyle name="Обычный 4 3 3 6 9" xfId="10588"/>
    <cellStyle name="Обычный 4 3 3 7" xfId="10589"/>
    <cellStyle name="Обычный 4 3 3 7 10" xfId="20604"/>
    <cellStyle name="Обычный 4 3 3 7 11" xfId="22216"/>
    <cellStyle name="Обычный 4 3 3 7 2" xfId="10590"/>
    <cellStyle name="Обычный 4 3 3 7 2 2" xfId="10591"/>
    <cellStyle name="Обычный 4 3 3 7 3" xfId="10592"/>
    <cellStyle name="Обычный 4 3 3 7 4" xfId="10593"/>
    <cellStyle name="Обычный 4 3 3 7 5" xfId="10594"/>
    <cellStyle name="Обычный 4 3 3 7 6" xfId="10595"/>
    <cellStyle name="Обычный 4 3 3 7 7" xfId="10596"/>
    <cellStyle name="Обычный 4 3 3 7 8" xfId="10597"/>
    <cellStyle name="Обычный 4 3 3 7 9" xfId="18909"/>
    <cellStyle name="Обычный 4 3 3 8" xfId="10598"/>
    <cellStyle name="Обычный 4 3 3 8 2" xfId="10599"/>
    <cellStyle name="Обычный 4 3 3 9" xfId="10600"/>
    <cellStyle name="Обычный 4 3 4" xfId="10601"/>
    <cellStyle name="Обычный 4 3 4 10" xfId="10602"/>
    <cellStyle name="Обычный 4 3 4 11" xfId="10603"/>
    <cellStyle name="Обычный 4 3 4 12" xfId="10604"/>
    <cellStyle name="Обычный 4 3 4 13" xfId="10605"/>
    <cellStyle name="Обычный 4 3 4 14" xfId="10606"/>
    <cellStyle name="Обычный 4 3 4 15" xfId="10607"/>
    <cellStyle name="Обычный 4 3 4 16" xfId="10608"/>
    <cellStyle name="Обычный 4 3 4 17" xfId="10609"/>
    <cellStyle name="Обычный 4 3 4 18" xfId="18910"/>
    <cellStyle name="Обычный 4 3 4 19" xfId="20605"/>
    <cellStyle name="Обычный 4 3 4 2" xfId="10610"/>
    <cellStyle name="Обычный 4 3 4 2 10" xfId="10611"/>
    <cellStyle name="Обычный 4 3 4 2 11" xfId="10612"/>
    <cellStyle name="Обычный 4 3 4 2 12" xfId="18911"/>
    <cellStyle name="Обычный 4 3 4 2 13" xfId="20606"/>
    <cellStyle name="Обычный 4 3 4 2 14" xfId="22218"/>
    <cellStyle name="Обычный 4 3 4 2 2" xfId="10613"/>
    <cellStyle name="Обычный 4 3 4 2 2 10" xfId="10614"/>
    <cellStyle name="Обычный 4 3 4 2 2 11" xfId="18912"/>
    <cellStyle name="Обычный 4 3 4 2 2 12" xfId="20607"/>
    <cellStyle name="Обычный 4 3 4 2 2 13" xfId="22219"/>
    <cellStyle name="Обычный 4 3 4 2 2 2" xfId="10615"/>
    <cellStyle name="Обычный 4 3 4 2 2 2 2" xfId="10616"/>
    <cellStyle name="Обычный 4 3 4 2 2 3" xfId="10617"/>
    <cellStyle name="Обычный 4 3 4 2 2 4" xfId="10618"/>
    <cellStyle name="Обычный 4 3 4 2 2 5" xfId="10619"/>
    <cellStyle name="Обычный 4 3 4 2 2 6" xfId="10620"/>
    <cellStyle name="Обычный 4 3 4 2 2 7" xfId="10621"/>
    <cellStyle name="Обычный 4 3 4 2 2 8" xfId="10622"/>
    <cellStyle name="Обычный 4 3 4 2 2 9" xfId="10623"/>
    <cellStyle name="Обычный 4 3 4 2 3" xfId="10624"/>
    <cellStyle name="Обычный 4 3 4 2 3 2" xfId="10625"/>
    <cellStyle name="Обычный 4 3 4 2 4" xfId="10626"/>
    <cellStyle name="Обычный 4 3 4 2 5" xfId="10627"/>
    <cellStyle name="Обычный 4 3 4 2 6" xfId="10628"/>
    <cellStyle name="Обычный 4 3 4 2 7" xfId="10629"/>
    <cellStyle name="Обычный 4 3 4 2 8" xfId="10630"/>
    <cellStyle name="Обычный 4 3 4 2 9" xfId="10631"/>
    <cellStyle name="Обычный 4 3 4 20" xfId="22217"/>
    <cellStyle name="Обычный 4 3 4 3" xfId="10632"/>
    <cellStyle name="Обычный 4 3 4 3 10" xfId="10633"/>
    <cellStyle name="Обычный 4 3 4 3 11" xfId="10634"/>
    <cellStyle name="Обычный 4 3 4 3 12" xfId="18913"/>
    <cellStyle name="Обычный 4 3 4 3 13" xfId="20608"/>
    <cellStyle name="Обычный 4 3 4 3 14" xfId="22220"/>
    <cellStyle name="Обычный 4 3 4 3 2" xfId="10635"/>
    <cellStyle name="Обычный 4 3 4 3 2 10" xfId="10636"/>
    <cellStyle name="Обычный 4 3 4 3 2 11" xfId="18914"/>
    <cellStyle name="Обычный 4 3 4 3 2 12" xfId="20609"/>
    <cellStyle name="Обычный 4 3 4 3 2 13" xfId="22221"/>
    <cellStyle name="Обычный 4 3 4 3 2 2" xfId="10637"/>
    <cellStyle name="Обычный 4 3 4 3 2 2 2" xfId="10638"/>
    <cellStyle name="Обычный 4 3 4 3 2 3" xfId="10639"/>
    <cellStyle name="Обычный 4 3 4 3 2 4" xfId="10640"/>
    <cellStyle name="Обычный 4 3 4 3 2 5" xfId="10641"/>
    <cellStyle name="Обычный 4 3 4 3 2 6" xfId="10642"/>
    <cellStyle name="Обычный 4 3 4 3 2 7" xfId="10643"/>
    <cellStyle name="Обычный 4 3 4 3 2 8" xfId="10644"/>
    <cellStyle name="Обычный 4 3 4 3 2 9" xfId="10645"/>
    <cellStyle name="Обычный 4 3 4 3 3" xfId="10646"/>
    <cellStyle name="Обычный 4 3 4 3 3 2" xfId="10647"/>
    <cellStyle name="Обычный 4 3 4 3 4" xfId="10648"/>
    <cellStyle name="Обычный 4 3 4 3 5" xfId="10649"/>
    <cellStyle name="Обычный 4 3 4 3 6" xfId="10650"/>
    <cellStyle name="Обычный 4 3 4 3 7" xfId="10651"/>
    <cellStyle name="Обычный 4 3 4 3 8" xfId="10652"/>
    <cellStyle name="Обычный 4 3 4 3 9" xfId="10653"/>
    <cellStyle name="Обычный 4 3 4 4" xfId="10654"/>
    <cellStyle name="Обычный 4 3 4 4 10" xfId="10655"/>
    <cellStyle name="Обычный 4 3 4 4 11" xfId="10656"/>
    <cellStyle name="Обычный 4 3 4 4 12" xfId="18915"/>
    <cellStyle name="Обычный 4 3 4 4 13" xfId="20610"/>
    <cellStyle name="Обычный 4 3 4 4 14" xfId="22222"/>
    <cellStyle name="Обычный 4 3 4 4 2" xfId="10657"/>
    <cellStyle name="Обычный 4 3 4 4 2 10" xfId="10658"/>
    <cellStyle name="Обычный 4 3 4 4 2 11" xfId="18916"/>
    <cellStyle name="Обычный 4 3 4 4 2 12" xfId="20611"/>
    <cellStyle name="Обычный 4 3 4 4 2 13" xfId="22223"/>
    <cellStyle name="Обычный 4 3 4 4 2 2" xfId="10659"/>
    <cellStyle name="Обычный 4 3 4 4 2 2 2" xfId="10660"/>
    <cellStyle name="Обычный 4 3 4 4 2 3" xfId="10661"/>
    <cellStyle name="Обычный 4 3 4 4 2 4" xfId="10662"/>
    <cellStyle name="Обычный 4 3 4 4 2 5" xfId="10663"/>
    <cellStyle name="Обычный 4 3 4 4 2 6" xfId="10664"/>
    <cellStyle name="Обычный 4 3 4 4 2 7" xfId="10665"/>
    <cellStyle name="Обычный 4 3 4 4 2 8" xfId="10666"/>
    <cellStyle name="Обычный 4 3 4 4 2 9" xfId="10667"/>
    <cellStyle name="Обычный 4 3 4 4 3" xfId="10668"/>
    <cellStyle name="Обычный 4 3 4 4 3 2" xfId="10669"/>
    <cellStyle name="Обычный 4 3 4 4 4" xfId="10670"/>
    <cellStyle name="Обычный 4 3 4 4 5" xfId="10671"/>
    <cellStyle name="Обычный 4 3 4 4 6" xfId="10672"/>
    <cellStyle name="Обычный 4 3 4 4 7" xfId="10673"/>
    <cellStyle name="Обычный 4 3 4 4 8" xfId="10674"/>
    <cellStyle name="Обычный 4 3 4 4 9" xfId="10675"/>
    <cellStyle name="Обычный 4 3 4 5" xfId="10676"/>
    <cellStyle name="Обычный 4 3 4 5 10" xfId="10677"/>
    <cellStyle name="Обычный 4 3 4 5 11" xfId="10678"/>
    <cellStyle name="Обычный 4 3 4 5 12" xfId="18917"/>
    <cellStyle name="Обычный 4 3 4 5 13" xfId="20612"/>
    <cellStyle name="Обычный 4 3 4 5 14" xfId="22224"/>
    <cellStyle name="Обычный 4 3 4 5 2" xfId="10679"/>
    <cellStyle name="Обычный 4 3 4 5 2 10" xfId="10680"/>
    <cellStyle name="Обычный 4 3 4 5 2 11" xfId="18918"/>
    <cellStyle name="Обычный 4 3 4 5 2 12" xfId="20613"/>
    <cellStyle name="Обычный 4 3 4 5 2 13" xfId="22225"/>
    <cellStyle name="Обычный 4 3 4 5 2 2" xfId="10681"/>
    <cellStyle name="Обычный 4 3 4 5 2 2 2" xfId="10682"/>
    <cellStyle name="Обычный 4 3 4 5 2 3" xfId="10683"/>
    <cellStyle name="Обычный 4 3 4 5 2 4" xfId="10684"/>
    <cellStyle name="Обычный 4 3 4 5 2 5" xfId="10685"/>
    <cellStyle name="Обычный 4 3 4 5 2 6" xfId="10686"/>
    <cellStyle name="Обычный 4 3 4 5 2 7" xfId="10687"/>
    <cellStyle name="Обычный 4 3 4 5 2 8" xfId="10688"/>
    <cellStyle name="Обычный 4 3 4 5 2 9" xfId="10689"/>
    <cellStyle name="Обычный 4 3 4 5 3" xfId="10690"/>
    <cellStyle name="Обычный 4 3 4 5 3 2" xfId="10691"/>
    <cellStyle name="Обычный 4 3 4 5 4" xfId="10692"/>
    <cellStyle name="Обычный 4 3 4 5 5" xfId="10693"/>
    <cellStyle name="Обычный 4 3 4 5 6" xfId="10694"/>
    <cellStyle name="Обычный 4 3 4 5 7" xfId="10695"/>
    <cellStyle name="Обычный 4 3 4 5 8" xfId="10696"/>
    <cellStyle name="Обычный 4 3 4 5 9" xfId="10697"/>
    <cellStyle name="Обычный 4 3 4 6" xfId="10698"/>
    <cellStyle name="Обычный 4 3 4 6 10" xfId="10699"/>
    <cellStyle name="Обычный 4 3 4 6 11" xfId="18919"/>
    <cellStyle name="Обычный 4 3 4 6 12" xfId="20614"/>
    <cellStyle name="Обычный 4 3 4 6 13" xfId="22226"/>
    <cellStyle name="Обычный 4 3 4 6 2" xfId="10700"/>
    <cellStyle name="Обычный 4 3 4 6 2 2" xfId="10701"/>
    <cellStyle name="Обычный 4 3 4 6 3" xfId="10702"/>
    <cellStyle name="Обычный 4 3 4 6 4" xfId="10703"/>
    <cellStyle name="Обычный 4 3 4 6 5" xfId="10704"/>
    <cellStyle name="Обычный 4 3 4 6 6" xfId="10705"/>
    <cellStyle name="Обычный 4 3 4 6 7" xfId="10706"/>
    <cellStyle name="Обычный 4 3 4 6 8" xfId="10707"/>
    <cellStyle name="Обычный 4 3 4 6 9" xfId="10708"/>
    <cellStyle name="Обычный 4 3 4 7" xfId="10709"/>
    <cellStyle name="Обычный 4 3 4 7 10" xfId="20615"/>
    <cellStyle name="Обычный 4 3 4 7 11" xfId="22227"/>
    <cellStyle name="Обычный 4 3 4 7 2" xfId="10710"/>
    <cellStyle name="Обычный 4 3 4 7 2 2" xfId="10711"/>
    <cellStyle name="Обычный 4 3 4 7 3" xfId="10712"/>
    <cellStyle name="Обычный 4 3 4 7 4" xfId="10713"/>
    <cellStyle name="Обычный 4 3 4 7 5" xfId="10714"/>
    <cellStyle name="Обычный 4 3 4 7 6" xfId="10715"/>
    <cellStyle name="Обычный 4 3 4 7 7" xfId="10716"/>
    <cellStyle name="Обычный 4 3 4 7 8" xfId="10717"/>
    <cellStyle name="Обычный 4 3 4 7 9" xfId="18920"/>
    <cellStyle name="Обычный 4 3 4 8" xfId="10718"/>
    <cellStyle name="Обычный 4 3 4 8 2" xfId="10719"/>
    <cellStyle name="Обычный 4 3 4 9" xfId="10720"/>
    <cellStyle name="Обычный 4 3 5" xfId="10721"/>
    <cellStyle name="Обычный 4 3 5 10" xfId="10722"/>
    <cellStyle name="Обычный 4 3 5 11" xfId="10723"/>
    <cellStyle name="Обычный 4 3 5 12" xfId="18921"/>
    <cellStyle name="Обычный 4 3 5 13" xfId="20616"/>
    <cellStyle name="Обычный 4 3 5 14" xfId="22228"/>
    <cellStyle name="Обычный 4 3 5 2" xfId="10724"/>
    <cellStyle name="Обычный 4 3 5 2 10" xfId="10725"/>
    <cellStyle name="Обычный 4 3 5 2 11" xfId="18922"/>
    <cellStyle name="Обычный 4 3 5 2 12" xfId="20617"/>
    <cellStyle name="Обычный 4 3 5 2 13" xfId="22229"/>
    <cellStyle name="Обычный 4 3 5 2 2" xfId="10726"/>
    <cellStyle name="Обычный 4 3 5 2 2 2" xfId="10727"/>
    <cellStyle name="Обычный 4 3 5 2 3" xfId="10728"/>
    <cellStyle name="Обычный 4 3 5 2 4" xfId="10729"/>
    <cellStyle name="Обычный 4 3 5 2 5" xfId="10730"/>
    <cellStyle name="Обычный 4 3 5 2 6" xfId="10731"/>
    <cellStyle name="Обычный 4 3 5 2 7" xfId="10732"/>
    <cellStyle name="Обычный 4 3 5 2 8" xfId="10733"/>
    <cellStyle name="Обычный 4 3 5 2 9" xfId="10734"/>
    <cellStyle name="Обычный 4 3 5 3" xfId="10735"/>
    <cellStyle name="Обычный 4 3 5 3 2" xfId="10736"/>
    <cellStyle name="Обычный 4 3 5 4" xfId="10737"/>
    <cellStyle name="Обычный 4 3 5 5" xfId="10738"/>
    <cellStyle name="Обычный 4 3 5 6" xfId="10739"/>
    <cellStyle name="Обычный 4 3 5 7" xfId="10740"/>
    <cellStyle name="Обычный 4 3 5 8" xfId="10741"/>
    <cellStyle name="Обычный 4 3 5 9" xfId="10742"/>
    <cellStyle name="Обычный 4 3 6" xfId="10743"/>
    <cellStyle name="Обычный 4 3 6 10" xfId="10744"/>
    <cellStyle name="Обычный 4 3 6 11" xfId="10745"/>
    <cellStyle name="Обычный 4 3 6 12" xfId="18923"/>
    <cellStyle name="Обычный 4 3 6 13" xfId="20618"/>
    <cellStyle name="Обычный 4 3 6 14" xfId="22230"/>
    <cellStyle name="Обычный 4 3 6 2" xfId="10746"/>
    <cellStyle name="Обычный 4 3 6 2 10" xfId="10747"/>
    <cellStyle name="Обычный 4 3 6 2 11" xfId="18924"/>
    <cellStyle name="Обычный 4 3 6 2 12" xfId="20619"/>
    <cellStyle name="Обычный 4 3 6 2 13" xfId="22231"/>
    <cellStyle name="Обычный 4 3 6 2 2" xfId="10748"/>
    <cellStyle name="Обычный 4 3 6 2 2 2" xfId="10749"/>
    <cellStyle name="Обычный 4 3 6 2 3" xfId="10750"/>
    <cellStyle name="Обычный 4 3 6 2 4" xfId="10751"/>
    <cellStyle name="Обычный 4 3 6 2 5" xfId="10752"/>
    <cellStyle name="Обычный 4 3 6 2 6" xfId="10753"/>
    <cellStyle name="Обычный 4 3 6 2 7" xfId="10754"/>
    <cellStyle name="Обычный 4 3 6 2 8" xfId="10755"/>
    <cellStyle name="Обычный 4 3 6 2 9" xfId="10756"/>
    <cellStyle name="Обычный 4 3 6 3" xfId="10757"/>
    <cellStyle name="Обычный 4 3 6 3 2" xfId="10758"/>
    <cellStyle name="Обычный 4 3 6 4" xfId="10759"/>
    <cellStyle name="Обычный 4 3 6 5" xfId="10760"/>
    <cellStyle name="Обычный 4 3 6 6" xfId="10761"/>
    <cellStyle name="Обычный 4 3 6 7" xfId="10762"/>
    <cellStyle name="Обычный 4 3 6 8" xfId="10763"/>
    <cellStyle name="Обычный 4 3 6 9" xfId="10764"/>
    <cellStyle name="Обычный 4 3 7" xfId="10765"/>
    <cellStyle name="Обычный 4 3 7 10" xfId="10766"/>
    <cellStyle name="Обычный 4 3 7 11" xfId="10767"/>
    <cellStyle name="Обычный 4 3 7 12" xfId="18925"/>
    <cellStyle name="Обычный 4 3 7 13" xfId="20620"/>
    <cellStyle name="Обычный 4 3 7 14" xfId="22232"/>
    <cellStyle name="Обычный 4 3 7 2" xfId="10768"/>
    <cellStyle name="Обычный 4 3 7 2 10" xfId="10769"/>
    <cellStyle name="Обычный 4 3 7 2 11" xfId="18926"/>
    <cellStyle name="Обычный 4 3 7 2 12" xfId="20621"/>
    <cellStyle name="Обычный 4 3 7 2 13" xfId="22233"/>
    <cellStyle name="Обычный 4 3 7 2 2" xfId="10770"/>
    <cellStyle name="Обычный 4 3 7 2 2 2" xfId="10771"/>
    <cellStyle name="Обычный 4 3 7 2 3" xfId="10772"/>
    <cellStyle name="Обычный 4 3 7 2 4" xfId="10773"/>
    <cellStyle name="Обычный 4 3 7 2 5" xfId="10774"/>
    <cellStyle name="Обычный 4 3 7 2 6" xfId="10775"/>
    <cellStyle name="Обычный 4 3 7 2 7" xfId="10776"/>
    <cellStyle name="Обычный 4 3 7 2 8" xfId="10777"/>
    <cellStyle name="Обычный 4 3 7 2 9" xfId="10778"/>
    <cellStyle name="Обычный 4 3 7 3" xfId="10779"/>
    <cellStyle name="Обычный 4 3 7 3 2" xfId="10780"/>
    <cellStyle name="Обычный 4 3 7 4" xfId="10781"/>
    <cellStyle name="Обычный 4 3 7 5" xfId="10782"/>
    <cellStyle name="Обычный 4 3 7 6" xfId="10783"/>
    <cellStyle name="Обычный 4 3 7 7" xfId="10784"/>
    <cellStyle name="Обычный 4 3 7 8" xfId="10785"/>
    <cellStyle name="Обычный 4 3 7 9" xfId="10786"/>
    <cellStyle name="Обычный 4 3 8" xfId="10787"/>
    <cellStyle name="Обычный 4 3 8 10" xfId="10788"/>
    <cellStyle name="Обычный 4 3 8 11" xfId="10789"/>
    <cellStyle name="Обычный 4 3 8 12" xfId="18927"/>
    <cellStyle name="Обычный 4 3 8 13" xfId="20622"/>
    <cellStyle name="Обычный 4 3 8 14" xfId="22234"/>
    <cellStyle name="Обычный 4 3 8 2" xfId="10790"/>
    <cellStyle name="Обычный 4 3 8 2 10" xfId="10791"/>
    <cellStyle name="Обычный 4 3 8 2 11" xfId="18928"/>
    <cellStyle name="Обычный 4 3 8 2 12" xfId="20623"/>
    <cellStyle name="Обычный 4 3 8 2 13" xfId="22235"/>
    <cellStyle name="Обычный 4 3 8 2 2" xfId="10792"/>
    <cellStyle name="Обычный 4 3 8 2 2 2" xfId="10793"/>
    <cellStyle name="Обычный 4 3 8 2 3" xfId="10794"/>
    <cellStyle name="Обычный 4 3 8 2 4" xfId="10795"/>
    <cellStyle name="Обычный 4 3 8 2 5" xfId="10796"/>
    <cellStyle name="Обычный 4 3 8 2 6" xfId="10797"/>
    <cellStyle name="Обычный 4 3 8 2 7" xfId="10798"/>
    <cellStyle name="Обычный 4 3 8 2 8" xfId="10799"/>
    <cellStyle name="Обычный 4 3 8 2 9" xfId="10800"/>
    <cellStyle name="Обычный 4 3 8 3" xfId="10801"/>
    <cellStyle name="Обычный 4 3 8 3 2" xfId="10802"/>
    <cellStyle name="Обычный 4 3 8 4" xfId="10803"/>
    <cellStyle name="Обычный 4 3 8 5" xfId="10804"/>
    <cellStyle name="Обычный 4 3 8 6" xfId="10805"/>
    <cellStyle name="Обычный 4 3 8 7" xfId="10806"/>
    <cellStyle name="Обычный 4 3 8 8" xfId="10807"/>
    <cellStyle name="Обычный 4 3 8 9" xfId="10808"/>
    <cellStyle name="Обычный 4 3 9" xfId="10809"/>
    <cellStyle name="Обычный 4 3 9 10" xfId="10810"/>
    <cellStyle name="Обычный 4 3 9 11" xfId="10811"/>
    <cellStyle name="Обычный 4 3 9 12" xfId="18929"/>
    <cellStyle name="Обычный 4 3 9 13" xfId="20624"/>
    <cellStyle name="Обычный 4 3 9 14" xfId="22236"/>
    <cellStyle name="Обычный 4 3 9 2" xfId="10812"/>
    <cellStyle name="Обычный 4 3 9 2 10" xfId="10813"/>
    <cellStyle name="Обычный 4 3 9 2 11" xfId="18930"/>
    <cellStyle name="Обычный 4 3 9 2 12" xfId="20625"/>
    <cellStyle name="Обычный 4 3 9 2 13" xfId="22237"/>
    <cellStyle name="Обычный 4 3 9 2 2" xfId="10814"/>
    <cellStyle name="Обычный 4 3 9 2 2 2" xfId="10815"/>
    <cellStyle name="Обычный 4 3 9 2 3" xfId="10816"/>
    <cellStyle name="Обычный 4 3 9 2 4" xfId="10817"/>
    <cellStyle name="Обычный 4 3 9 2 5" xfId="10818"/>
    <cellStyle name="Обычный 4 3 9 2 6" xfId="10819"/>
    <cellStyle name="Обычный 4 3 9 2 7" xfId="10820"/>
    <cellStyle name="Обычный 4 3 9 2 8" xfId="10821"/>
    <cellStyle name="Обычный 4 3 9 2 9" xfId="10822"/>
    <cellStyle name="Обычный 4 3 9 3" xfId="10823"/>
    <cellStyle name="Обычный 4 3 9 3 2" xfId="10824"/>
    <cellStyle name="Обычный 4 3 9 4" xfId="10825"/>
    <cellStyle name="Обычный 4 3 9 5" xfId="10826"/>
    <cellStyle name="Обычный 4 3 9 6" xfId="10827"/>
    <cellStyle name="Обычный 4 3 9 7" xfId="10828"/>
    <cellStyle name="Обычный 4 3 9 8" xfId="10829"/>
    <cellStyle name="Обычный 4 3 9 9" xfId="10830"/>
    <cellStyle name="Обычный 4 30" xfId="19635"/>
    <cellStyle name="Обычный 4 31" xfId="20468"/>
    <cellStyle name="Обычный 4 32" xfId="22080"/>
    <cellStyle name="Обычный 4 4" xfId="10831"/>
    <cellStyle name="Обычный 4 4 10" xfId="10832"/>
    <cellStyle name="Обычный 4 4 10 10" xfId="10833"/>
    <cellStyle name="Обычный 4 4 10 11" xfId="10834"/>
    <cellStyle name="Обычный 4 4 10 12" xfId="18932"/>
    <cellStyle name="Обычный 4 4 10 13" xfId="20627"/>
    <cellStyle name="Обычный 4 4 10 14" xfId="22239"/>
    <cellStyle name="Обычный 4 4 10 2" xfId="10835"/>
    <cellStyle name="Обычный 4 4 10 2 10" xfId="10836"/>
    <cellStyle name="Обычный 4 4 10 2 11" xfId="18933"/>
    <cellStyle name="Обычный 4 4 10 2 12" xfId="20628"/>
    <cellStyle name="Обычный 4 4 10 2 13" xfId="22240"/>
    <cellStyle name="Обычный 4 4 10 2 2" xfId="10837"/>
    <cellStyle name="Обычный 4 4 10 2 2 2" xfId="10838"/>
    <cellStyle name="Обычный 4 4 10 2 3" xfId="10839"/>
    <cellStyle name="Обычный 4 4 10 2 4" xfId="10840"/>
    <cellStyle name="Обычный 4 4 10 2 5" xfId="10841"/>
    <cellStyle name="Обычный 4 4 10 2 6" xfId="10842"/>
    <cellStyle name="Обычный 4 4 10 2 7" xfId="10843"/>
    <cellStyle name="Обычный 4 4 10 2 8" xfId="10844"/>
    <cellStyle name="Обычный 4 4 10 2 9" xfId="10845"/>
    <cellStyle name="Обычный 4 4 10 3" xfId="10846"/>
    <cellStyle name="Обычный 4 4 10 3 2" xfId="10847"/>
    <cellStyle name="Обычный 4 4 10 4" xfId="10848"/>
    <cellStyle name="Обычный 4 4 10 5" xfId="10849"/>
    <cellStyle name="Обычный 4 4 10 6" xfId="10850"/>
    <cellStyle name="Обычный 4 4 10 7" xfId="10851"/>
    <cellStyle name="Обычный 4 4 10 8" xfId="10852"/>
    <cellStyle name="Обычный 4 4 10 9" xfId="10853"/>
    <cellStyle name="Обычный 4 4 11" xfId="10854"/>
    <cellStyle name="Обычный 4 4 11 10" xfId="10855"/>
    <cellStyle name="Обычный 4 4 11 11" xfId="18934"/>
    <cellStyle name="Обычный 4 4 11 12" xfId="20629"/>
    <cellStyle name="Обычный 4 4 11 13" xfId="22241"/>
    <cellStyle name="Обычный 4 4 11 2" xfId="10856"/>
    <cellStyle name="Обычный 4 4 11 2 2" xfId="10857"/>
    <cellStyle name="Обычный 4 4 11 3" xfId="10858"/>
    <cellStyle name="Обычный 4 4 11 4" xfId="10859"/>
    <cellStyle name="Обычный 4 4 11 5" xfId="10860"/>
    <cellStyle name="Обычный 4 4 11 6" xfId="10861"/>
    <cellStyle name="Обычный 4 4 11 7" xfId="10862"/>
    <cellStyle name="Обычный 4 4 11 8" xfId="10863"/>
    <cellStyle name="Обычный 4 4 11 9" xfId="10864"/>
    <cellStyle name="Обычный 4 4 12" xfId="10865"/>
    <cellStyle name="Обычный 4 4 12 10" xfId="20630"/>
    <cellStyle name="Обычный 4 4 12 11" xfId="22242"/>
    <cellStyle name="Обычный 4 4 12 2" xfId="10866"/>
    <cellStyle name="Обычный 4 4 12 2 2" xfId="10867"/>
    <cellStyle name="Обычный 4 4 12 3" xfId="10868"/>
    <cellStyle name="Обычный 4 4 12 4" xfId="10869"/>
    <cellStyle name="Обычный 4 4 12 5" xfId="10870"/>
    <cellStyle name="Обычный 4 4 12 6" xfId="10871"/>
    <cellStyle name="Обычный 4 4 12 7" xfId="10872"/>
    <cellStyle name="Обычный 4 4 12 8" xfId="10873"/>
    <cellStyle name="Обычный 4 4 12 9" xfId="18935"/>
    <cellStyle name="Обычный 4 4 13" xfId="10874"/>
    <cellStyle name="Обычный 4 4 13 10" xfId="20631"/>
    <cellStyle name="Обычный 4 4 13 11" xfId="22243"/>
    <cellStyle name="Обычный 4 4 13 2" xfId="10875"/>
    <cellStyle name="Обычный 4 4 13 2 2" xfId="10876"/>
    <cellStyle name="Обычный 4 4 13 3" xfId="10877"/>
    <cellStyle name="Обычный 4 4 13 4" xfId="10878"/>
    <cellStyle name="Обычный 4 4 13 5" xfId="10879"/>
    <cellStyle name="Обычный 4 4 13 6" xfId="10880"/>
    <cellStyle name="Обычный 4 4 13 7" xfId="10881"/>
    <cellStyle name="Обычный 4 4 13 8" xfId="10882"/>
    <cellStyle name="Обычный 4 4 13 9" xfId="18936"/>
    <cellStyle name="Обычный 4 4 14" xfId="10883"/>
    <cellStyle name="Обычный 4 4 14 2" xfId="10884"/>
    <cellStyle name="Обычный 4 4 15" xfId="10885"/>
    <cellStyle name="Обычный 4 4 16" xfId="10886"/>
    <cellStyle name="Обычный 4 4 17" xfId="10887"/>
    <cellStyle name="Обычный 4 4 18" xfId="10888"/>
    <cellStyle name="Обычный 4 4 19" xfId="10889"/>
    <cellStyle name="Обычный 4 4 2" xfId="10890"/>
    <cellStyle name="Обычный 4 4 2 10" xfId="10891"/>
    <cellStyle name="Обычный 4 4 2 10 2" xfId="10892"/>
    <cellStyle name="Обычный 4 4 2 11" xfId="10893"/>
    <cellStyle name="Обычный 4 4 2 12" xfId="10894"/>
    <cellStyle name="Обычный 4 4 2 13" xfId="10895"/>
    <cellStyle name="Обычный 4 4 2 14" xfId="10896"/>
    <cellStyle name="Обычный 4 4 2 15" xfId="10897"/>
    <cellStyle name="Обычный 4 4 2 16" xfId="10898"/>
    <cellStyle name="Обычный 4 4 2 17" xfId="10899"/>
    <cellStyle name="Обычный 4 4 2 18" xfId="10900"/>
    <cellStyle name="Обычный 4 4 2 19" xfId="10901"/>
    <cellStyle name="Обычный 4 4 2 2" xfId="10902"/>
    <cellStyle name="Обычный 4 4 2 2 10" xfId="10903"/>
    <cellStyle name="Обычный 4 4 2 2 11" xfId="10904"/>
    <cellStyle name="Обычный 4 4 2 2 12" xfId="10905"/>
    <cellStyle name="Обычный 4 4 2 2 13" xfId="10906"/>
    <cellStyle name="Обычный 4 4 2 2 14" xfId="10907"/>
    <cellStyle name="Обычный 4 4 2 2 15" xfId="10908"/>
    <cellStyle name="Обычный 4 4 2 2 16" xfId="10909"/>
    <cellStyle name="Обычный 4 4 2 2 17" xfId="10910"/>
    <cellStyle name="Обычный 4 4 2 2 18" xfId="18938"/>
    <cellStyle name="Обычный 4 4 2 2 19" xfId="20633"/>
    <cellStyle name="Обычный 4 4 2 2 2" xfId="10911"/>
    <cellStyle name="Обычный 4 4 2 2 2 10" xfId="10912"/>
    <cellStyle name="Обычный 4 4 2 2 2 11" xfId="10913"/>
    <cellStyle name="Обычный 4 4 2 2 2 12" xfId="18939"/>
    <cellStyle name="Обычный 4 4 2 2 2 13" xfId="20634"/>
    <cellStyle name="Обычный 4 4 2 2 2 14" xfId="22246"/>
    <cellStyle name="Обычный 4 4 2 2 2 2" xfId="10914"/>
    <cellStyle name="Обычный 4 4 2 2 2 2 10" xfId="10915"/>
    <cellStyle name="Обычный 4 4 2 2 2 2 11" xfId="18940"/>
    <cellStyle name="Обычный 4 4 2 2 2 2 12" xfId="20635"/>
    <cellStyle name="Обычный 4 4 2 2 2 2 13" xfId="22247"/>
    <cellStyle name="Обычный 4 4 2 2 2 2 2" xfId="10916"/>
    <cellStyle name="Обычный 4 4 2 2 2 2 2 2" xfId="10917"/>
    <cellStyle name="Обычный 4 4 2 2 2 2 3" xfId="10918"/>
    <cellStyle name="Обычный 4 4 2 2 2 2 4" xfId="10919"/>
    <cellStyle name="Обычный 4 4 2 2 2 2 5" xfId="10920"/>
    <cellStyle name="Обычный 4 4 2 2 2 2 6" xfId="10921"/>
    <cellStyle name="Обычный 4 4 2 2 2 2 7" xfId="10922"/>
    <cellStyle name="Обычный 4 4 2 2 2 2 8" xfId="10923"/>
    <cellStyle name="Обычный 4 4 2 2 2 2 9" xfId="10924"/>
    <cellStyle name="Обычный 4 4 2 2 2 3" xfId="10925"/>
    <cellStyle name="Обычный 4 4 2 2 2 3 2" xfId="10926"/>
    <cellStyle name="Обычный 4 4 2 2 2 4" xfId="10927"/>
    <cellStyle name="Обычный 4 4 2 2 2 5" xfId="10928"/>
    <cellStyle name="Обычный 4 4 2 2 2 6" xfId="10929"/>
    <cellStyle name="Обычный 4 4 2 2 2 7" xfId="10930"/>
    <cellStyle name="Обычный 4 4 2 2 2 8" xfId="10931"/>
    <cellStyle name="Обычный 4 4 2 2 2 9" xfId="10932"/>
    <cellStyle name="Обычный 4 4 2 2 20" xfId="22245"/>
    <cellStyle name="Обычный 4 4 2 2 3" xfId="10933"/>
    <cellStyle name="Обычный 4 4 2 2 3 10" xfId="10934"/>
    <cellStyle name="Обычный 4 4 2 2 3 11" xfId="10935"/>
    <cellStyle name="Обычный 4 4 2 2 3 12" xfId="18941"/>
    <cellStyle name="Обычный 4 4 2 2 3 13" xfId="20636"/>
    <cellStyle name="Обычный 4 4 2 2 3 14" xfId="22248"/>
    <cellStyle name="Обычный 4 4 2 2 3 2" xfId="10936"/>
    <cellStyle name="Обычный 4 4 2 2 3 2 10" xfId="10937"/>
    <cellStyle name="Обычный 4 4 2 2 3 2 11" xfId="18942"/>
    <cellStyle name="Обычный 4 4 2 2 3 2 12" xfId="20637"/>
    <cellStyle name="Обычный 4 4 2 2 3 2 13" xfId="22249"/>
    <cellStyle name="Обычный 4 4 2 2 3 2 2" xfId="10938"/>
    <cellStyle name="Обычный 4 4 2 2 3 2 2 2" xfId="10939"/>
    <cellStyle name="Обычный 4 4 2 2 3 2 3" xfId="10940"/>
    <cellStyle name="Обычный 4 4 2 2 3 2 4" xfId="10941"/>
    <cellStyle name="Обычный 4 4 2 2 3 2 5" xfId="10942"/>
    <cellStyle name="Обычный 4 4 2 2 3 2 6" xfId="10943"/>
    <cellStyle name="Обычный 4 4 2 2 3 2 7" xfId="10944"/>
    <cellStyle name="Обычный 4 4 2 2 3 2 8" xfId="10945"/>
    <cellStyle name="Обычный 4 4 2 2 3 2 9" xfId="10946"/>
    <cellStyle name="Обычный 4 4 2 2 3 3" xfId="10947"/>
    <cellStyle name="Обычный 4 4 2 2 3 3 2" xfId="10948"/>
    <cellStyle name="Обычный 4 4 2 2 3 4" xfId="10949"/>
    <cellStyle name="Обычный 4 4 2 2 3 5" xfId="10950"/>
    <cellStyle name="Обычный 4 4 2 2 3 6" xfId="10951"/>
    <cellStyle name="Обычный 4 4 2 2 3 7" xfId="10952"/>
    <cellStyle name="Обычный 4 4 2 2 3 8" xfId="10953"/>
    <cellStyle name="Обычный 4 4 2 2 3 9" xfId="10954"/>
    <cellStyle name="Обычный 4 4 2 2 4" xfId="10955"/>
    <cellStyle name="Обычный 4 4 2 2 4 10" xfId="10956"/>
    <cellStyle name="Обычный 4 4 2 2 4 11" xfId="10957"/>
    <cellStyle name="Обычный 4 4 2 2 4 12" xfId="18943"/>
    <cellStyle name="Обычный 4 4 2 2 4 13" xfId="20638"/>
    <cellStyle name="Обычный 4 4 2 2 4 14" xfId="22250"/>
    <cellStyle name="Обычный 4 4 2 2 4 2" xfId="10958"/>
    <cellStyle name="Обычный 4 4 2 2 4 2 10" xfId="10959"/>
    <cellStyle name="Обычный 4 4 2 2 4 2 11" xfId="18944"/>
    <cellStyle name="Обычный 4 4 2 2 4 2 12" xfId="20639"/>
    <cellStyle name="Обычный 4 4 2 2 4 2 13" xfId="22251"/>
    <cellStyle name="Обычный 4 4 2 2 4 2 2" xfId="10960"/>
    <cellStyle name="Обычный 4 4 2 2 4 2 2 2" xfId="10961"/>
    <cellStyle name="Обычный 4 4 2 2 4 2 3" xfId="10962"/>
    <cellStyle name="Обычный 4 4 2 2 4 2 4" xfId="10963"/>
    <cellStyle name="Обычный 4 4 2 2 4 2 5" xfId="10964"/>
    <cellStyle name="Обычный 4 4 2 2 4 2 6" xfId="10965"/>
    <cellStyle name="Обычный 4 4 2 2 4 2 7" xfId="10966"/>
    <cellStyle name="Обычный 4 4 2 2 4 2 8" xfId="10967"/>
    <cellStyle name="Обычный 4 4 2 2 4 2 9" xfId="10968"/>
    <cellStyle name="Обычный 4 4 2 2 4 3" xfId="10969"/>
    <cellStyle name="Обычный 4 4 2 2 4 3 2" xfId="10970"/>
    <cellStyle name="Обычный 4 4 2 2 4 4" xfId="10971"/>
    <cellStyle name="Обычный 4 4 2 2 4 5" xfId="10972"/>
    <cellStyle name="Обычный 4 4 2 2 4 6" xfId="10973"/>
    <cellStyle name="Обычный 4 4 2 2 4 7" xfId="10974"/>
    <cellStyle name="Обычный 4 4 2 2 4 8" xfId="10975"/>
    <cellStyle name="Обычный 4 4 2 2 4 9" xfId="10976"/>
    <cellStyle name="Обычный 4 4 2 2 5" xfId="10977"/>
    <cellStyle name="Обычный 4 4 2 2 5 10" xfId="10978"/>
    <cellStyle name="Обычный 4 4 2 2 5 11" xfId="10979"/>
    <cellStyle name="Обычный 4 4 2 2 5 12" xfId="18945"/>
    <cellStyle name="Обычный 4 4 2 2 5 13" xfId="20640"/>
    <cellStyle name="Обычный 4 4 2 2 5 14" xfId="22252"/>
    <cellStyle name="Обычный 4 4 2 2 5 2" xfId="10980"/>
    <cellStyle name="Обычный 4 4 2 2 5 2 10" xfId="10981"/>
    <cellStyle name="Обычный 4 4 2 2 5 2 11" xfId="18946"/>
    <cellStyle name="Обычный 4 4 2 2 5 2 12" xfId="20641"/>
    <cellStyle name="Обычный 4 4 2 2 5 2 13" xfId="22253"/>
    <cellStyle name="Обычный 4 4 2 2 5 2 2" xfId="10982"/>
    <cellStyle name="Обычный 4 4 2 2 5 2 2 2" xfId="10983"/>
    <cellStyle name="Обычный 4 4 2 2 5 2 3" xfId="10984"/>
    <cellStyle name="Обычный 4 4 2 2 5 2 4" xfId="10985"/>
    <cellStyle name="Обычный 4 4 2 2 5 2 5" xfId="10986"/>
    <cellStyle name="Обычный 4 4 2 2 5 2 6" xfId="10987"/>
    <cellStyle name="Обычный 4 4 2 2 5 2 7" xfId="10988"/>
    <cellStyle name="Обычный 4 4 2 2 5 2 8" xfId="10989"/>
    <cellStyle name="Обычный 4 4 2 2 5 2 9" xfId="10990"/>
    <cellStyle name="Обычный 4 4 2 2 5 3" xfId="10991"/>
    <cellStyle name="Обычный 4 4 2 2 5 3 2" xfId="10992"/>
    <cellStyle name="Обычный 4 4 2 2 5 4" xfId="10993"/>
    <cellStyle name="Обычный 4 4 2 2 5 5" xfId="10994"/>
    <cellStyle name="Обычный 4 4 2 2 5 6" xfId="10995"/>
    <cellStyle name="Обычный 4 4 2 2 5 7" xfId="10996"/>
    <cellStyle name="Обычный 4 4 2 2 5 8" xfId="10997"/>
    <cellStyle name="Обычный 4 4 2 2 5 9" xfId="10998"/>
    <cellStyle name="Обычный 4 4 2 2 6" xfId="10999"/>
    <cellStyle name="Обычный 4 4 2 2 6 10" xfId="11000"/>
    <cellStyle name="Обычный 4 4 2 2 6 11" xfId="18947"/>
    <cellStyle name="Обычный 4 4 2 2 6 12" xfId="20642"/>
    <cellStyle name="Обычный 4 4 2 2 6 13" xfId="22254"/>
    <cellStyle name="Обычный 4 4 2 2 6 2" xfId="11001"/>
    <cellStyle name="Обычный 4 4 2 2 6 2 2" xfId="11002"/>
    <cellStyle name="Обычный 4 4 2 2 6 3" xfId="11003"/>
    <cellStyle name="Обычный 4 4 2 2 6 4" xfId="11004"/>
    <cellStyle name="Обычный 4 4 2 2 6 5" xfId="11005"/>
    <cellStyle name="Обычный 4 4 2 2 6 6" xfId="11006"/>
    <cellStyle name="Обычный 4 4 2 2 6 7" xfId="11007"/>
    <cellStyle name="Обычный 4 4 2 2 6 8" xfId="11008"/>
    <cellStyle name="Обычный 4 4 2 2 6 9" xfId="11009"/>
    <cellStyle name="Обычный 4 4 2 2 7" xfId="11010"/>
    <cellStyle name="Обычный 4 4 2 2 7 10" xfId="20643"/>
    <cellStyle name="Обычный 4 4 2 2 7 11" xfId="22255"/>
    <cellStyle name="Обычный 4 4 2 2 7 2" xfId="11011"/>
    <cellStyle name="Обычный 4 4 2 2 7 2 2" xfId="11012"/>
    <cellStyle name="Обычный 4 4 2 2 7 3" xfId="11013"/>
    <cellStyle name="Обычный 4 4 2 2 7 4" xfId="11014"/>
    <cellStyle name="Обычный 4 4 2 2 7 5" xfId="11015"/>
    <cellStyle name="Обычный 4 4 2 2 7 6" xfId="11016"/>
    <cellStyle name="Обычный 4 4 2 2 7 7" xfId="11017"/>
    <cellStyle name="Обычный 4 4 2 2 7 8" xfId="11018"/>
    <cellStyle name="Обычный 4 4 2 2 7 9" xfId="18948"/>
    <cellStyle name="Обычный 4 4 2 2 8" xfId="11019"/>
    <cellStyle name="Обычный 4 4 2 2 8 2" xfId="11020"/>
    <cellStyle name="Обычный 4 4 2 2 9" xfId="11021"/>
    <cellStyle name="Обычный 4 4 2 20" xfId="18937"/>
    <cellStyle name="Обычный 4 4 2 21" xfId="20632"/>
    <cellStyle name="Обычный 4 4 2 22" xfId="22244"/>
    <cellStyle name="Обычный 4 4 2 3" xfId="11022"/>
    <cellStyle name="Обычный 4 4 2 3 10" xfId="11023"/>
    <cellStyle name="Обычный 4 4 2 3 11" xfId="11024"/>
    <cellStyle name="Обычный 4 4 2 3 12" xfId="11025"/>
    <cellStyle name="Обычный 4 4 2 3 13" xfId="11026"/>
    <cellStyle name="Обычный 4 4 2 3 14" xfId="11027"/>
    <cellStyle name="Обычный 4 4 2 3 15" xfId="11028"/>
    <cellStyle name="Обычный 4 4 2 3 16" xfId="11029"/>
    <cellStyle name="Обычный 4 4 2 3 17" xfId="11030"/>
    <cellStyle name="Обычный 4 4 2 3 18" xfId="18949"/>
    <cellStyle name="Обычный 4 4 2 3 19" xfId="20644"/>
    <cellStyle name="Обычный 4 4 2 3 2" xfId="11031"/>
    <cellStyle name="Обычный 4 4 2 3 2 10" xfId="11032"/>
    <cellStyle name="Обычный 4 4 2 3 2 11" xfId="11033"/>
    <cellStyle name="Обычный 4 4 2 3 2 12" xfId="18950"/>
    <cellStyle name="Обычный 4 4 2 3 2 13" xfId="20645"/>
    <cellStyle name="Обычный 4 4 2 3 2 14" xfId="22257"/>
    <cellStyle name="Обычный 4 4 2 3 2 2" xfId="11034"/>
    <cellStyle name="Обычный 4 4 2 3 2 2 10" xfId="11035"/>
    <cellStyle name="Обычный 4 4 2 3 2 2 11" xfId="18951"/>
    <cellStyle name="Обычный 4 4 2 3 2 2 12" xfId="20646"/>
    <cellStyle name="Обычный 4 4 2 3 2 2 13" xfId="22258"/>
    <cellStyle name="Обычный 4 4 2 3 2 2 2" xfId="11036"/>
    <cellStyle name="Обычный 4 4 2 3 2 2 2 2" xfId="11037"/>
    <cellStyle name="Обычный 4 4 2 3 2 2 3" xfId="11038"/>
    <cellStyle name="Обычный 4 4 2 3 2 2 4" xfId="11039"/>
    <cellStyle name="Обычный 4 4 2 3 2 2 5" xfId="11040"/>
    <cellStyle name="Обычный 4 4 2 3 2 2 6" xfId="11041"/>
    <cellStyle name="Обычный 4 4 2 3 2 2 7" xfId="11042"/>
    <cellStyle name="Обычный 4 4 2 3 2 2 8" xfId="11043"/>
    <cellStyle name="Обычный 4 4 2 3 2 2 9" xfId="11044"/>
    <cellStyle name="Обычный 4 4 2 3 2 3" xfId="11045"/>
    <cellStyle name="Обычный 4 4 2 3 2 3 2" xfId="11046"/>
    <cellStyle name="Обычный 4 4 2 3 2 4" xfId="11047"/>
    <cellStyle name="Обычный 4 4 2 3 2 5" xfId="11048"/>
    <cellStyle name="Обычный 4 4 2 3 2 6" xfId="11049"/>
    <cellStyle name="Обычный 4 4 2 3 2 7" xfId="11050"/>
    <cellStyle name="Обычный 4 4 2 3 2 8" xfId="11051"/>
    <cellStyle name="Обычный 4 4 2 3 2 9" xfId="11052"/>
    <cellStyle name="Обычный 4 4 2 3 20" xfId="22256"/>
    <cellStyle name="Обычный 4 4 2 3 3" xfId="11053"/>
    <cellStyle name="Обычный 4 4 2 3 3 10" xfId="11054"/>
    <cellStyle name="Обычный 4 4 2 3 3 11" xfId="11055"/>
    <cellStyle name="Обычный 4 4 2 3 3 12" xfId="18952"/>
    <cellStyle name="Обычный 4 4 2 3 3 13" xfId="20647"/>
    <cellStyle name="Обычный 4 4 2 3 3 14" xfId="22259"/>
    <cellStyle name="Обычный 4 4 2 3 3 2" xfId="11056"/>
    <cellStyle name="Обычный 4 4 2 3 3 2 10" xfId="11057"/>
    <cellStyle name="Обычный 4 4 2 3 3 2 11" xfId="18953"/>
    <cellStyle name="Обычный 4 4 2 3 3 2 12" xfId="20648"/>
    <cellStyle name="Обычный 4 4 2 3 3 2 13" xfId="22260"/>
    <cellStyle name="Обычный 4 4 2 3 3 2 2" xfId="11058"/>
    <cellStyle name="Обычный 4 4 2 3 3 2 2 2" xfId="11059"/>
    <cellStyle name="Обычный 4 4 2 3 3 2 3" xfId="11060"/>
    <cellStyle name="Обычный 4 4 2 3 3 2 4" xfId="11061"/>
    <cellStyle name="Обычный 4 4 2 3 3 2 5" xfId="11062"/>
    <cellStyle name="Обычный 4 4 2 3 3 2 6" xfId="11063"/>
    <cellStyle name="Обычный 4 4 2 3 3 2 7" xfId="11064"/>
    <cellStyle name="Обычный 4 4 2 3 3 2 8" xfId="11065"/>
    <cellStyle name="Обычный 4 4 2 3 3 2 9" xfId="11066"/>
    <cellStyle name="Обычный 4 4 2 3 3 3" xfId="11067"/>
    <cellStyle name="Обычный 4 4 2 3 3 3 2" xfId="11068"/>
    <cellStyle name="Обычный 4 4 2 3 3 4" xfId="11069"/>
    <cellStyle name="Обычный 4 4 2 3 3 5" xfId="11070"/>
    <cellStyle name="Обычный 4 4 2 3 3 6" xfId="11071"/>
    <cellStyle name="Обычный 4 4 2 3 3 7" xfId="11072"/>
    <cellStyle name="Обычный 4 4 2 3 3 8" xfId="11073"/>
    <cellStyle name="Обычный 4 4 2 3 3 9" xfId="11074"/>
    <cellStyle name="Обычный 4 4 2 3 4" xfId="11075"/>
    <cellStyle name="Обычный 4 4 2 3 4 10" xfId="11076"/>
    <cellStyle name="Обычный 4 4 2 3 4 11" xfId="11077"/>
    <cellStyle name="Обычный 4 4 2 3 4 12" xfId="18954"/>
    <cellStyle name="Обычный 4 4 2 3 4 13" xfId="20649"/>
    <cellStyle name="Обычный 4 4 2 3 4 14" xfId="22261"/>
    <cellStyle name="Обычный 4 4 2 3 4 2" xfId="11078"/>
    <cellStyle name="Обычный 4 4 2 3 4 2 10" xfId="11079"/>
    <cellStyle name="Обычный 4 4 2 3 4 2 11" xfId="18955"/>
    <cellStyle name="Обычный 4 4 2 3 4 2 12" xfId="20650"/>
    <cellStyle name="Обычный 4 4 2 3 4 2 13" xfId="22262"/>
    <cellStyle name="Обычный 4 4 2 3 4 2 2" xfId="11080"/>
    <cellStyle name="Обычный 4 4 2 3 4 2 2 2" xfId="11081"/>
    <cellStyle name="Обычный 4 4 2 3 4 2 3" xfId="11082"/>
    <cellStyle name="Обычный 4 4 2 3 4 2 4" xfId="11083"/>
    <cellStyle name="Обычный 4 4 2 3 4 2 5" xfId="11084"/>
    <cellStyle name="Обычный 4 4 2 3 4 2 6" xfId="11085"/>
    <cellStyle name="Обычный 4 4 2 3 4 2 7" xfId="11086"/>
    <cellStyle name="Обычный 4 4 2 3 4 2 8" xfId="11087"/>
    <cellStyle name="Обычный 4 4 2 3 4 2 9" xfId="11088"/>
    <cellStyle name="Обычный 4 4 2 3 4 3" xfId="11089"/>
    <cellStyle name="Обычный 4 4 2 3 4 3 2" xfId="11090"/>
    <cellStyle name="Обычный 4 4 2 3 4 4" xfId="11091"/>
    <cellStyle name="Обычный 4 4 2 3 4 5" xfId="11092"/>
    <cellStyle name="Обычный 4 4 2 3 4 6" xfId="11093"/>
    <cellStyle name="Обычный 4 4 2 3 4 7" xfId="11094"/>
    <cellStyle name="Обычный 4 4 2 3 4 8" xfId="11095"/>
    <cellStyle name="Обычный 4 4 2 3 4 9" xfId="11096"/>
    <cellStyle name="Обычный 4 4 2 3 5" xfId="11097"/>
    <cellStyle name="Обычный 4 4 2 3 5 10" xfId="11098"/>
    <cellStyle name="Обычный 4 4 2 3 5 11" xfId="11099"/>
    <cellStyle name="Обычный 4 4 2 3 5 12" xfId="18956"/>
    <cellStyle name="Обычный 4 4 2 3 5 13" xfId="20651"/>
    <cellStyle name="Обычный 4 4 2 3 5 14" xfId="22263"/>
    <cellStyle name="Обычный 4 4 2 3 5 2" xfId="11100"/>
    <cellStyle name="Обычный 4 4 2 3 5 2 10" xfId="11101"/>
    <cellStyle name="Обычный 4 4 2 3 5 2 11" xfId="18957"/>
    <cellStyle name="Обычный 4 4 2 3 5 2 12" xfId="20652"/>
    <cellStyle name="Обычный 4 4 2 3 5 2 13" xfId="22264"/>
    <cellStyle name="Обычный 4 4 2 3 5 2 2" xfId="11102"/>
    <cellStyle name="Обычный 4 4 2 3 5 2 2 2" xfId="11103"/>
    <cellStyle name="Обычный 4 4 2 3 5 2 3" xfId="11104"/>
    <cellStyle name="Обычный 4 4 2 3 5 2 4" xfId="11105"/>
    <cellStyle name="Обычный 4 4 2 3 5 2 5" xfId="11106"/>
    <cellStyle name="Обычный 4 4 2 3 5 2 6" xfId="11107"/>
    <cellStyle name="Обычный 4 4 2 3 5 2 7" xfId="11108"/>
    <cellStyle name="Обычный 4 4 2 3 5 2 8" xfId="11109"/>
    <cellStyle name="Обычный 4 4 2 3 5 2 9" xfId="11110"/>
    <cellStyle name="Обычный 4 4 2 3 5 3" xfId="11111"/>
    <cellStyle name="Обычный 4 4 2 3 5 3 2" xfId="11112"/>
    <cellStyle name="Обычный 4 4 2 3 5 4" xfId="11113"/>
    <cellStyle name="Обычный 4 4 2 3 5 5" xfId="11114"/>
    <cellStyle name="Обычный 4 4 2 3 5 6" xfId="11115"/>
    <cellStyle name="Обычный 4 4 2 3 5 7" xfId="11116"/>
    <cellStyle name="Обычный 4 4 2 3 5 8" xfId="11117"/>
    <cellStyle name="Обычный 4 4 2 3 5 9" xfId="11118"/>
    <cellStyle name="Обычный 4 4 2 3 6" xfId="11119"/>
    <cellStyle name="Обычный 4 4 2 3 6 10" xfId="11120"/>
    <cellStyle name="Обычный 4 4 2 3 6 11" xfId="18958"/>
    <cellStyle name="Обычный 4 4 2 3 6 12" xfId="20653"/>
    <cellStyle name="Обычный 4 4 2 3 6 13" xfId="22265"/>
    <cellStyle name="Обычный 4 4 2 3 6 2" xfId="11121"/>
    <cellStyle name="Обычный 4 4 2 3 6 2 2" xfId="11122"/>
    <cellStyle name="Обычный 4 4 2 3 6 3" xfId="11123"/>
    <cellStyle name="Обычный 4 4 2 3 6 4" xfId="11124"/>
    <cellStyle name="Обычный 4 4 2 3 6 5" xfId="11125"/>
    <cellStyle name="Обычный 4 4 2 3 6 6" xfId="11126"/>
    <cellStyle name="Обычный 4 4 2 3 6 7" xfId="11127"/>
    <cellStyle name="Обычный 4 4 2 3 6 8" xfId="11128"/>
    <cellStyle name="Обычный 4 4 2 3 6 9" xfId="11129"/>
    <cellStyle name="Обычный 4 4 2 3 7" xfId="11130"/>
    <cellStyle name="Обычный 4 4 2 3 7 10" xfId="20654"/>
    <cellStyle name="Обычный 4 4 2 3 7 11" xfId="22266"/>
    <cellStyle name="Обычный 4 4 2 3 7 2" xfId="11131"/>
    <cellStyle name="Обычный 4 4 2 3 7 2 2" xfId="11132"/>
    <cellStyle name="Обычный 4 4 2 3 7 3" xfId="11133"/>
    <cellStyle name="Обычный 4 4 2 3 7 4" xfId="11134"/>
    <cellStyle name="Обычный 4 4 2 3 7 5" xfId="11135"/>
    <cellStyle name="Обычный 4 4 2 3 7 6" xfId="11136"/>
    <cellStyle name="Обычный 4 4 2 3 7 7" xfId="11137"/>
    <cellStyle name="Обычный 4 4 2 3 7 8" xfId="11138"/>
    <cellStyle name="Обычный 4 4 2 3 7 9" xfId="18959"/>
    <cellStyle name="Обычный 4 4 2 3 8" xfId="11139"/>
    <cellStyle name="Обычный 4 4 2 3 8 2" xfId="11140"/>
    <cellStyle name="Обычный 4 4 2 3 9" xfId="11141"/>
    <cellStyle name="Обычный 4 4 2 4" xfId="11142"/>
    <cellStyle name="Обычный 4 4 2 4 10" xfId="11143"/>
    <cellStyle name="Обычный 4 4 2 4 11" xfId="11144"/>
    <cellStyle name="Обычный 4 4 2 4 12" xfId="18960"/>
    <cellStyle name="Обычный 4 4 2 4 13" xfId="20655"/>
    <cellStyle name="Обычный 4 4 2 4 14" xfId="22267"/>
    <cellStyle name="Обычный 4 4 2 4 2" xfId="11145"/>
    <cellStyle name="Обычный 4 4 2 4 2 10" xfId="11146"/>
    <cellStyle name="Обычный 4 4 2 4 2 11" xfId="18961"/>
    <cellStyle name="Обычный 4 4 2 4 2 12" xfId="20656"/>
    <cellStyle name="Обычный 4 4 2 4 2 13" xfId="22268"/>
    <cellStyle name="Обычный 4 4 2 4 2 2" xfId="11147"/>
    <cellStyle name="Обычный 4 4 2 4 2 2 2" xfId="11148"/>
    <cellStyle name="Обычный 4 4 2 4 2 3" xfId="11149"/>
    <cellStyle name="Обычный 4 4 2 4 2 4" xfId="11150"/>
    <cellStyle name="Обычный 4 4 2 4 2 5" xfId="11151"/>
    <cellStyle name="Обычный 4 4 2 4 2 6" xfId="11152"/>
    <cellStyle name="Обычный 4 4 2 4 2 7" xfId="11153"/>
    <cellStyle name="Обычный 4 4 2 4 2 8" xfId="11154"/>
    <cellStyle name="Обычный 4 4 2 4 2 9" xfId="11155"/>
    <cellStyle name="Обычный 4 4 2 4 3" xfId="11156"/>
    <cellStyle name="Обычный 4 4 2 4 3 2" xfId="11157"/>
    <cellStyle name="Обычный 4 4 2 4 4" xfId="11158"/>
    <cellStyle name="Обычный 4 4 2 4 5" xfId="11159"/>
    <cellStyle name="Обычный 4 4 2 4 6" xfId="11160"/>
    <cellStyle name="Обычный 4 4 2 4 7" xfId="11161"/>
    <cellStyle name="Обычный 4 4 2 4 8" xfId="11162"/>
    <cellStyle name="Обычный 4 4 2 4 9" xfId="11163"/>
    <cellStyle name="Обычный 4 4 2 5" xfId="11164"/>
    <cellStyle name="Обычный 4 4 2 5 10" xfId="11165"/>
    <cellStyle name="Обычный 4 4 2 5 11" xfId="11166"/>
    <cellStyle name="Обычный 4 4 2 5 12" xfId="18962"/>
    <cellStyle name="Обычный 4 4 2 5 13" xfId="20657"/>
    <cellStyle name="Обычный 4 4 2 5 14" xfId="22269"/>
    <cellStyle name="Обычный 4 4 2 5 2" xfId="11167"/>
    <cellStyle name="Обычный 4 4 2 5 2 10" xfId="11168"/>
    <cellStyle name="Обычный 4 4 2 5 2 11" xfId="18963"/>
    <cellStyle name="Обычный 4 4 2 5 2 12" xfId="20658"/>
    <cellStyle name="Обычный 4 4 2 5 2 13" xfId="22270"/>
    <cellStyle name="Обычный 4 4 2 5 2 2" xfId="11169"/>
    <cellStyle name="Обычный 4 4 2 5 2 2 2" xfId="11170"/>
    <cellStyle name="Обычный 4 4 2 5 2 3" xfId="11171"/>
    <cellStyle name="Обычный 4 4 2 5 2 4" xfId="11172"/>
    <cellStyle name="Обычный 4 4 2 5 2 5" xfId="11173"/>
    <cellStyle name="Обычный 4 4 2 5 2 6" xfId="11174"/>
    <cellStyle name="Обычный 4 4 2 5 2 7" xfId="11175"/>
    <cellStyle name="Обычный 4 4 2 5 2 8" xfId="11176"/>
    <cellStyle name="Обычный 4 4 2 5 2 9" xfId="11177"/>
    <cellStyle name="Обычный 4 4 2 5 3" xfId="11178"/>
    <cellStyle name="Обычный 4 4 2 5 3 2" xfId="11179"/>
    <cellStyle name="Обычный 4 4 2 5 4" xfId="11180"/>
    <cellStyle name="Обычный 4 4 2 5 5" xfId="11181"/>
    <cellStyle name="Обычный 4 4 2 5 6" xfId="11182"/>
    <cellStyle name="Обычный 4 4 2 5 7" xfId="11183"/>
    <cellStyle name="Обычный 4 4 2 5 8" xfId="11184"/>
    <cellStyle name="Обычный 4 4 2 5 9" xfId="11185"/>
    <cellStyle name="Обычный 4 4 2 6" xfId="11186"/>
    <cellStyle name="Обычный 4 4 2 6 10" xfId="11187"/>
    <cellStyle name="Обычный 4 4 2 6 11" xfId="11188"/>
    <cellStyle name="Обычный 4 4 2 6 12" xfId="18964"/>
    <cellStyle name="Обычный 4 4 2 6 13" xfId="20659"/>
    <cellStyle name="Обычный 4 4 2 6 14" xfId="22271"/>
    <cellStyle name="Обычный 4 4 2 6 2" xfId="11189"/>
    <cellStyle name="Обычный 4 4 2 6 2 10" xfId="11190"/>
    <cellStyle name="Обычный 4 4 2 6 2 11" xfId="18965"/>
    <cellStyle name="Обычный 4 4 2 6 2 12" xfId="20660"/>
    <cellStyle name="Обычный 4 4 2 6 2 13" xfId="22272"/>
    <cellStyle name="Обычный 4 4 2 6 2 2" xfId="11191"/>
    <cellStyle name="Обычный 4 4 2 6 2 2 2" xfId="11192"/>
    <cellStyle name="Обычный 4 4 2 6 2 3" xfId="11193"/>
    <cellStyle name="Обычный 4 4 2 6 2 4" xfId="11194"/>
    <cellStyle name="Обычный 4 4 2 6 2 5" xfId="11195"/>
    <cellStyle name="Обычный 4 4 2 6 2 6" xfId="11196"/>
    <cellStyle name="Обычный 4 4 2 6 2 7" xfId="11197"/>
    <cellStyle name="Обычный 4 4 2 6 2 8" xfId="11198"/>
    <cellStyle name="Обычный 4 4 2 6 2 9" xfId="11199"/>
    <cellStyle name="Обычный 4 4 2 6 3" xfId="11200"/>
    <cellStyle name="Обычный 4 4 2 6 3 2" xfId="11201"/>
    <cellStyle name="Обычный 4 4 2 6 4" xfId="11202"/>
    <cellStyle name="Обычный 4 4 2 6 5" xfId="11203"/>
    <cellStyle name="Обычный 4 4 2 6 6" xfId="11204"/>
    <cellStyle name="Обычный 4 4 2 6 7" xfId="11205"/>
    <cellStyle name="Обычный 4 4 2 6 8" xfId="11206"/>
    <cellStyle name="Обычный 4 4 2 6 9" xfId="11207"/>
    <cellStyle name="Обычный 4 4 2 7" xfId="11208"/>
    <cellStyle name="Обычный 4 4 2 7 10" xfId="11209"/>
    <cellStyle name="Обычный 4 4 2 7 11" xfId="11210"/>
    <cellStyle name="Обычный 4 4 2 7 12" xfId="18966"/>
    <cellStyle name="Обычный 4 4 2 7 13" xfId="20661"/>
    <cellStyle name="Обычный 4 4 2 7 14" xfId="22273"/>
    <cellStyle name="Обычный 4 4 2 7 2" xfId="11211"/>
    <cellStyle name="Обычный 4 4 2 7 2 10" xfId="11212"/>
    <cellStyle name="Обычный 4 4 2 7 2 11" xfId="18967"/>
    <cellStyle name="Обычный 4 4 2 7 2 12" xfId="20662"/>
    <cellStyle name="Обычный 4 4 2 7 2 13" xfId="22274"/>
    <cellStyle name="Обычный 4 4 2 7 2 2" xfId="11213"/>
    <cellStyle name="Обычный 4 4 2 7 2 2 2" xfId="11214"/>
    <cellStyle name="Обычный 4 4 2 7 2 3" xfId="11215"/>
    <cellStyle name="Обычный 4 4 2 7 2 4" xfId="11216"/>
    <cellStyle name="Обычный 4 4 2 7 2 5" xfId="11217"/>
    <cellStyle name="Обычный 4 4 2 7 2 6" xfId="11218"/>
    <cellStyle name="Обычный 4 4 2 7 2 7" xfId="11219"/>
    <cellStyle name="Обычный 4 4 2 7 2 8" xfId="11220"/>
    <cellStyle name="Обычный 4 4 2 7 2 9" xfId="11221"/>
    <cellStyle name="Обычный 4 4 2 7 3" xfId="11222"/>
    <cellStyle name="Обычный 4 4 2 7 3 2" xfId="11223"/>
    <cellStyle name="Обычный 4 4 2 7 4" xfId="11224"/>
    <cellStyle name="Обычный 4 4 2 7 5" xfId="11225"/>
    <cellStyle name="Обычный 4 4 2 7 6" xfId="11226"/>
    <cellStyle name="Обычный 4 4 2 7 7" xfId="11227"/>
    <cellStyle name="Обычный 4 4 2 7 8" xfId="11228"/>
    <cellStyle name="Обычный 4 4 2 7 9" xfId="11229"/>
    <cellStyle name="Обычный 4 4 2 8" xfId="11230"/>
    <cellStyle name="Обычный 4 4 2 8 10" xfId="11231"/>
    <cellStyle name="Обычный 4 4 2 8 11" xfId="18968"/>
    <cellStyle name="Обычный 4 4 2 8 12" xfId="20663"/>
    <cellStyle name="Обычный 4 4 2 8 13" xfId="22275"/>
    <cellStyle name="Обычный 4 4 2 8 2" xfId="11232"/>
    <cellStyle name="Обычный 4 4 2 8 2 2" xfId="11233"/>
    <cellStyle name="Обычный 4 4 2 8 3" xfId="11234"/>
    <cellStyle name="Обычный 4 4 2 8 4" xfId="11235"/>
    <cellStyle name="Обычный 4 4 2 8 5" xfId="11236"/>
    <cellStyle name="Обычный 4 4 2 8 6" xfId="11237"/>
    <cellStyle name="Обычный 4 4 2 8 7" xfId="11238"/>
    <cellStyle name="Обычный 4 4 2 8 8" xfId="11239"/>
    <cellStyle name="Обычный 4 4 2 8 9" xfId="11240"/>
    <cellStyle name="Обычный 4 4 2 9" xfId="11241"/>
    <cellStyle name="Обычный 4 4 2 9 10" xfId="20664"/>
    <cellStyle name="Обычный 4 4 2 9 11" xfId="22276"/>
    <cellStyle name="Обычный 4 4 2 9 2" xfId="11242"/>
    <cellStyle name="Обычный 4 4 2 9 2 2" xfId="11243"/>
    <cellStyle name="Обычный 4 4 2 9 3" xfId="11244"/>
    <cellStyle name="Обычный 4 4 2 9 4" xfId="11245"/>
    <cellStyle name="Обычный 4 4 2 9 5" xfId="11246"/>
    <cellStyle name="Обычный 4 4 2 9 6" xfId="11247"/>
    <cellStyle name="Обычный 4 4 2 9 7" xfId="11248"/>
    <cellStyle name="Обычный 4 4 2 9 8" xfId="11249"/>
    <cellStyle name="Обычный 4 4 2 9 9" xfId="18969"/>
    <cellStyle name="Обычный 4 4 20" xfId="11250"/>
    <cellStyle name="Обычный 4 4 21" xfId="11251"/>
    <cellStyle name="Обычный 4 4 22" xfId="11252"/>
    <cellStyle name="Обычный 4 4 23" xfId="11253"/>
    <cellStyle name="Обычный 4 4 24" xfId="18931"/>
    <cellStyle name="Обычный 4 4 25" xfId="19638"/>
    <cellStyle name="Обычный 4 4 26" xfId="20626"/>
    <cellStyle name="Обычный 4 4 27" xfId="22238"/>
    <cellStyle name="Обычный 4 4 3" xfId="11254"/>
    <cellStyle name="Обычный 4 4 3 10" xfId="11255"/>
    <cellStyle name="Обычный 4 4 3 11" xfId="11256"/>
    <cellStyle name="Обычный 4 4 3 12" xfId="11257"/>
    <cellStyle name="Обычный 4 4 3 13" xfId="11258"/>
    <cellStyle name="Обычный 4 4 3 14" xfId="11259"/>
    <cellStyle name="Обычный 4 4 3 15" xfId="11260"/>
    <cellStyle name="Обычный 4 4 3 16" xfId="11261"/>
    <cellStyle name="Обычный 4 4 3 17" xfId="11262"/>
    <cellStyle name="Обычный 4 4 3 18" xfId="18970"/>
    <cellStyle name="Обычный 4 4 3 19" xfId="20665"/>
    <cellStyle name="Обычный 4 4 3 2" xfId="11263"/>
    <cellStyle name="Обычный 4 4 3 2 10" xfId="11264"/>
    <cellStyle name="Обычный 4 4 3 2 11" xfId="11265"/>
    <cellStyle name="Обычный 4 4 3 2 12" xfId="18971"/>
    <cellStyle name="Обычный 4 4 3 2 13" xfId="20666"/>
    <cellStyle name="Обычный 4 4 3 2 14" xfId="22278"/>
    <cellStyle name="Обычный 4 4 3 2 2" xfId="11266"/>
    <cellStyle name="Обычный 4 4 3 2 2 10" xfId="11267"/>
    <cellStyle name="Обычный 4 4 3 2 2 11" xfId="18972"/>
    <cellStyle name="Обычный 4 4 3 2 2 12" xfId="20667"/>
    <cellStyle name="Обычный 4 4 3 2 2 13" xfId="22279"/>
    <cellStyle name="Обычный 4 4 3 2 2 2" xfId="11268"/>
    <cellStyle name="Обычный 4 4 3 2 2 2 2" xfId="11269"/>
    <cellStyle name="Обычный 4 4 3 2 2 3" xfId="11270"/>
    <cellStyle name="Обычный 4 4 3 2 2 4" xfId="11271"/>
    <cellStyle name="Обычный 4 4 3 2 2 5" xfId="11272"/>
    <cellStyle name="Обычный 4 4 3 2 2 6" xfId="11273"/>
    <cellStyle name="Обычный 4 4 3 2 2 7" xfId="11274"/>
    <cellStyle name="Обычный 4 4 3 2 2 8" xfId="11275"/>
    <cellStyle name="Обычный 4 4 3 2 2 9" xfId="11276"/>
    <cellStyle name="Обычный 4 4 3 2 3" xfId="11277"/>
    <cellStyle name="Обычный 4 4 3 2 3 2" xfId="11278"/>
    <cellStyle name="Обычный 4 4 3 2 4" xfId="11279"/>
    <cellStyle name="Обычный 4 4 3 2 5" xfId="11280"/>
    <cellStyle name="Обычный 4 4 3 2 6" xfId="11281"/>
    <cellStyle name="Обычный 4 4 3 2 7" xfId="11282"/>
    <cellStyle name="Обычный 4 4 3 2 8" xfId="11283"/>
    <cellStyle name="Обычный 4 4 3 2 9" xfId="11284"/>
    <cellStyle name="Обычный 4 4 3 20" xfId="22277"/>
    <cellStyle name="Обычный 4 4 3 3" xfId="11285"/>
    <cellStyle name="Обычный 4 4 3 3 10" xfId="11286"/>
    <cellStyle name="Обычный 4 4 3 3 11" xfId="11287"/>
    <cellStyle name="Обычный 4 4 3 3 12" xfId="18973"/>
    <cellStyle name="Обычный 4 4 3 3 13" xfId="20668"/>
    <cellStyle name="Обычный 4 4 3 3 14" xfId="22280"/>
    <cellStyle name="Обычный 4 4 3 3 2" xfId="11288"/>
    <cellStyle name="Обычный 4 4 3 3 2 10" xfId="11289"/>
    <cellStyle name="Обычный 4 4 3 3 2 11" xfId="18974"/>
    <cellStyle name="Обычный 4 4 3 3 2 12" xfId="20669"/>
    <cellStyle name="Обычный 4 4 3 3 2 13" xfId="22281"/>
    <cellStyle name="Обычный 4 4 3 3 2 2" xfId="11290"/>
    <cellStyle name="Обычный 4 4 3 3 2 2 2" xfId="11291"/>
    <cellStyle name="Обычный 4 4 3 3 2 3" xfId="11292"/>
    <cellStyle name="Обычный 4 4 3 3 2 4" xfId="11293"/>
    <cellStyle name="Обычный 4 4 3 3 2 5" xfId="11294"/>
    <cellStyle name="Обычный 4 4 3 3 2 6" xfId="11295"/>
    <cellStyle name="Обычный 4 4 3 3 2 7" xfId="11296"/>
    <cellStyle name="Обычный 4 4 3 3 2 8" xfId="11297"/>
    <cellStyle name="Обычный 4 4 3 3 2 9" xfId="11298"/>
    <cellStyle name="Обычный 4 4 3 3 3" xfId="11299"/>
    <cellStyle name="Обычный 4 4 3 3 3 2" xfId="11300"/>
    <cellStyle name="Обычный 4 4 3 3 4" xfId="11301"/>
    <cellStyle name="Обычный 4 4 3 3 5" xfId="11302"/>
    <cellStyle name="Обычный 4 4 3 3 6" xfId="11303"/>
    <cellStyle name="Обычный 4 4 3 3 7" xfId="11304"/>
    <cellStyle name="Обычный 4 4 3 3 8" xfId="11305"/>
    <cellStyle name="Обычный 4 4 3 3 9" xfId="11306"/>
    <cellStyle name="Обычный 4 4 3 4" xfId="11307"/>
    <cellStyle name="Обычный 4 4 3 4 10" xfId="11308"/>
    <cellStyle name="Обычный 4 4 3 4 11" xfId="11309"/>
    <cellStyle name="Обычный 4 4 3 4 12" xfId="18975"/>
    <cellStyle name="Обычный 4 4 3 4 13" xfId="20670"/>
    <cellStyle name="Обычный 4 4 3 4 14" xfId="22282"/>
    <cellStyle name="Обычный 4 4 3 4 2" xfId="11310"/>
    <cellStyle name="Обычный 4 4 3 4 2 10" xfId="11311"/>
    <cellStyle name="Обычный 4 4 3 4 2 11" xfId="18976"/>
    <cellStyle name="Обычный 4 4 3 4 2 12" xfId="20671"/>
    <cellStyle name="Обычный 4 4 3 4 2 13" xfId="22283"/>
    <cellStyle name="Обычный 4 4 3 4 2 2" xfId="11312"/>
    <cellStyle name="Обычный 4 4 3 4 2 2 2" xfId="11313"/>
    <cellStyle name="Обычный 4 4 3 4 2 3" xfId="11314"/>
    <cellStyle name="Обычный 4 4 3 4 2 4" xfId="11315"/>
    <cellStyle name="Обычный 4 4 3 4 2 5" xfId="11316"/>
    <cellStyle name="Обычный 4 4 3 4 2 6" xfId="11317"/>
    <cellStyle name="Обычный 4 4 3 4 2 7" xfId="11318"/>
    <cellStyle name="Обычный 4 4 3 4 2 8" xfId="11319"/>
    <cellStyle name="Обычный 4 4 3 4 2 9" xfId="11320"/>
    <cellStyle name="Обычный 4 4 3 4 3" xfId="11321"/>
    <cellStyle name="Обычный 4 4 3 4 3 2" xfId="11322"/>
    <cellStyle name="Обычный 4 4 3 4 4" xfId="11323"/>
    <cellStyle name="Обычный 4 4 3 4 5" xfId="11324"/>
    <cellStyle name="Обычный 4 4 3 4 6" xfId="11325"/>
    <cellStyle name="Обычный 4 4 3 4 7" xfId="11326"/>
    <cellStyle name="Обычный 4 4 3 4 8" xfId="11327"/>
    <cellStyle name="Обычный 4 4 3 4 9" xfId="11328"/>
    <cellStyle name="Обычный 4 4 3 5" xfId="11329"/>
    <cellStyle name="Обычный 4 4 3 5 10" xfId="11330"/>
    <cellStyle name="Обычный 4 4 3 5 11" xfId="11331"/>
    <cellStyle name="Обычный 4 4 3 5 12" xfId="18977"/>
    <cellStyle name="Обычный 4 4 3 5 13" xfId="20672"/>
    <cellStyle name="Обычный 4 4 3 5 14" xfId="22284"/>
    <cellStyle name="Обычный 4 4 3 5 2" xfId="11332"/>
    <cellStyle name="Обычный 4 4 3 5 2 10" xfId="11333"/>
    <cellStyle name="Обычный 4 4 3 5 2 11" xfId="18978"/>
    <cellStyle name="Обычный 4 4 3 5 2 12" xfId="20673"/>
    <cellStyle name="Обычный 4 4 3 5 2 13" xfId="22285"/>
    <cellStyle name="Обычный 4 4 3 5 2 2" xfId="11334"/>
    <cellStyle name="Обычный 4 4 3 5 2 2 2" xfId="11335"/>
    <cellStyle name="Обычный 4 4 3 5 2 3" xfId="11336"/>
    <cellStyle name="Обычный 4 4 3 5 2 4" xfId="11337"/>
    <cellStyle name="Обычный 4 4 3 5 2 5" xfId="11338"/>
    <cellStyle name="Обычный 4 4 3 5 2 6" xfId="11339"/>
    <cellStyle name="Обычный 4 4 3 5 2 7" xfId="11340"/>
    <cellStyle name="Обычный 4 4 3 5 2 8" xfId="11341"/>
    <cellStyle name="Обычный 4 4 3 5 2 9" xfId="11342"/>
    <cellStyle name="Обычный 4 4 3 5 3" xfId="11343"/>
    <cellStyle name="Обычный 4 4 3 5 3 2" xfId="11344"/>
    <cellStyle name="Обычный 4 4 3 5 4" xfId="11345"/>
    <cellStyle name="Обычный 4 4 3 5 5" xfId="11346"/>
    <cellStyle name="Обычный 4 4 3 5 6" xfId="11347"/>
    <cellStyle name="Обычный 4 4 3 5 7" xfId="11348"/>
    <cellStyle name="Обычный 4 4 3 5 8" xfId="11349"/>
    <cellStyle name="Обычный 4 4 3 5 9" xfId="11350"/>
    <cellStyle name="Обычный 4 4 3 6" xfId="11351"/>
    <cellStyle name="Обычный 4 4 3 6 10" xfId="11352"/>
    <cellStyle name="Обычный 4 4 3 6 11" xfId="18979"/>
    <cellStyle name="Обычный 4 4 3 6 12" xfId="20674"/>
    <cellStyle name="Обычный 4 4 3 6 13" xfId="22286"/>
    <cellStyle name="Обычный 4 4 3 6 2" xfId="11353"/>
    <cellStyle name="Обычный 4 4 3 6 2 2" xfId="11354"/>
    <cellStyle name="Обычный 4 4 3 6 3" xfId="11355"/>
    <cellStyle name="Обычный 4 4 3 6 4" xfId="11356"/>
    <cellStyle name="Обычный 4 4 3 6 5" xfId="11357"/>
    <cellStyle name="Обычный 4 4 3 6 6" xfId="11358"/>
    <cellStyle name="Обычный 4 4 3 6 7" xfId="11359"/>
    <cellStyle name="Обычный 4 4 3 6 8" xfId="11360"/>
    <cellStyle name="Обычный 4 4 3 6 9" xfId="11361"/>
    <cellStyle name="Обычный 4 4 3 7" xfId="11362"/>
    <cellStyle name="Обычный 4 4 3 7 10" xfId="20675"/>
    <cellStyle name="Обычный 4 4 3 7 11" xfId="22287"/>
    <cellStyle name="Обычный 4 4 3 7 2" xfId="11363"/>
    <cellStyle name="Обычный 4 4 3 7 2 2" xfId="11364"/>
    <cellStyle name="Обычный 4 4 3 7 3" xfId="11365"/>
    <cellStyle name="Обычный 4 4 3 7 4" xfId="11366"/>
    <cellStyle name="Обычный 4 4 3 7 5" xfId="11367"/>
    <cellStyle name="Обычный 4 4 3 7 6" xfId="11368"/>
    <cellStyle name="Обычный 4 4 3 7 7" xfId="11369"/>
    <cellStyle name="Обычный 4 4 3 7 8" xfId="11370"/>
    <cellStyle name="Обычный 4 4 3 7 9" xfId="18980"/>
    <cellStyle name="Обычный 4 4 3 8" xfId="11371"/>
    <cellStyle name="Обычный 4 4 3 8 2" xfId="11372"/>
    <cellStyle name="Обычный 4 4 3 9" xfId="11373"/>
    <cellStyle name="Обычный 4 4 4" xfId="11374"/>
    <cellStyle name="Обычный 4 4 4 10" xfId="11375"/>
    <cellStyle name="Обычный 4 4 4 11" xfId="11376"/>
    <cellStyle name="Обычный 4 4 4 12" xfId="11377"/>
    <cellStyle name="Обычный 4 4 4 13" xfId="11378"/>
    <cellStyle name="Обычный 4 4 4 14" xfId="11379"/>
    <cellStyle name="Обычный 4 4 4 15" xfId="11380"/>
    <cellStyle name="Обычный 4 4 4 16" xfId="11381"/>
    <cellStyle name="Обычный 4 4 4 17" xfId="11382"/>
    <cellStyle name="Обычный 4 4 4 18" xfId="18981"/>
    <cellStyle name="Обычный 4 4 4 19" xfId="20676"/>
    <cellStyle name="Обычный 4 4 4 2" xfId="11383"/>
    <cellStyle name="Обычный 4 4 4 2 10" xfId="11384"/>
    <cellStyle name="Обычный 4 4 4 2 11" xfId="11385"/>
    <cellStyle name="Обычный 4 4 4 2 12" xfId="18982"/>
    <cellStyle name="Обычный 4 4 4 2 13" xfId="20677"/>
    <cellStyle name="Обычный 4 4 4 2 14" xfId="22289"/>
    <cellStyle name="Обычный 4 4 4 2 2" xfId="11386"/>
    <cellStyle name="Обычный 4 4 4 2 2 10" xfId="11387"/>
    <cellStyle name="Обычный 4 4 4 2 2 11" xfId="18983"/>
    <cellStyle name="Обычный 4 4 4 2 2 12" xfId="20678"/>
    <cellStyle name="Обычный 4 4 4 2 2 13" xfId="22290"/>
    <cellStyle name="Обычный 4 4 4 2 2 2" xfId="11388"/>
    <cellStyle name="Обычный 4 4 4 2 2 2 2" xfId="11389"/>
    <cellStyle name="Обычный 4 4 4 2 2 3" xfId="11390"/>
    <cellStyle name="Обычный 4 4 4 2 2 4" xfId="11391"/>
    <cellStyle name="Обычный 4 4 4 2 2 5" xfId="11392"/>
    <cellStyle name="Обычный 4 4 4 2 2 6" xfId="11393"/>
    <cellStyle name="Обычный 4 4 4 2 2 7" xfId="11394"/>
    <cellStyle name="Обычный 4 4 4 2 2 8" xfId="11395"/>
    <cellStyle name="Обычный 4 4 4 2 2 9" xfId="11396"/>
    <cellStyle name="Обычный 4 4 4 2 3" xfId="11397"/>
    <cellStyle name="Обычный 4 4 4 2 3 2" xfId="11398"/>
    <cellStyle name="Обычный 4 4 4 2 4" xfId="11399"/>
    <cellStyle name="Обычный 4 4 4 2 5" xfId="11400"/>
    <cellStyle name="Обычный 4 4 4 2 6" xfId="11401"/>
    <cellStyle name="Обычный 4 4 4 2 7" xfId="11402"/>
    <cellStyle name="Обычный 4 4 4 2 8" xfId="11403"/>
    <cellStyle name="Обычный 4 4 4 2 9" xfId="11404"/>
    <cellStyle name="Обычный 4 4 4 20" xfId="22288"/>
    <cellStyle name="Обычный 4 4 4 3" xfId="11405"/>
    <cellStyle name="Обычный 4 4 4 3 10" xfId="11406"/>
    <cellStyle name="Обычный 4 4 4 3 11" xfId="11407"/>
    <cellStyle name="Обычный 4 4 4 3 12" xfId="18984"/>
    <cellStyle name="Обычный 4 4 4 3 13" xfId="20679"/>
    <cellStyle name="Обычный 4 4 4 3 14" xfId="22291"/>
    <cellStyle name="Обычный 4 4 4 3 2" xfId="11408"/>
    <cellStyle name="Обычный 4 4 4 3 2 10" xfId="11409"/>
    <cellStyle name="Обычный 4 4 4 3 2 11" xfId="18985"/>
    <cellStyle name="Обычный 4 4 4 3 2 12" xfId="20680"/>
    <cellStyle name="Обычный 4 4 4 3 2 13" xfId="22292"/>
    <cellStyle name="Обычный 4 4 4 3 2 2" xfId="11410"/>
    <cellStyle name="Обычный 4 4 4 3 2 2 2" xfId="11411"/>
    <cellStyle name="Обычный 4 4 4 3 2 3" xfId="11412"/>
    <cellStyle name="Обычный 4 4 4 3 2 4" xfId="11413"/>
    <cellStyle name="Обычный 4 4 4 3 2 5" xfId="11414"/>
    <cellStyle name="Обычный 4 4 4 3 2 6" xfId="11415"/>
    <cellStyle name="Обычный 4 4 4 3 2 7" xfId="11416"/>
    <cellStyle name="Обычный 4 4 4 3 2 8" xfId="11417"/>
    <cellStyle name="Обычный 4 4 4 3 2 9" xfId="11418"/>
    <cellStyle name="Обычный 4 4 4 3 3" xfId="11419"/>
    <cellStyle name="Обычный 4 4 4 3 3 2" xfId="11420"/>
    <cellStyle name="Обычный 4 4 4 3 4" xfId="11421"/>
    <cellStyle name="Обычный 4 4 4 3 5" xfId="11422"/>
    <cellStyle name="Обычный 4 4 4 3 6" xfId="11423"/>
    <cellStyle name="Обычный 4 4 4 3 7" xfId="11424"/>
    <cellStyle name="Обычный 4 4 4 3 8" xfId="11425"/>
    <cellStyle name="Обычный 4 4 4 3 9" xfId="11426"/>
    <cellStyle name="Обычный 4 4 4 4" xfId="11427"/>
    <cellStyle name="Обычный 4 4 4 4 10" xfId="11428"/>
    <cellStyle name="Обычный 4 4 4 4 11" xfId="11429"/>
    <cellStyle name="Обычный 4 4 4 4 12" xfId="18986"/>
    <cellStyle name="Обычный 4 4 4 4 13" xfId="20681"/>
    <cellStyle name="Обычный 4 4 4 4 14" xfId="22293"/>
    <cellStyle name="Обычный 4 4 4 4 2" xfId="11430"/>
    <cellStyle name="Обычный 4 4 4 4 2 10" xfId="11431"/>
    <cellStyle name="Обычный 4 4 4 4 2 11" xfId="18987"/>
    <cellStyle name="Обычный 4 4 4 4 2 12" xfId="20682"/>
    <cellStyle name="Обычный 4 4 4 4 2 13" xfId="22294"/>
    <cellStyle name="Обычный 4 4 4 4 2 2" xfId="11432"/>
    <cellStyle name="Обычный 4 4 4 4 2 2 2" xfId="11433"/>
    <cellStyle name="Обычный 4 4 4 4 2 3" xfId="11434"/>
    <cellStyle name="Обычный 4 4 4 4 2 4" xfId="11435"/>
    <cellStyle name="Обычный 4 4 4 4 2 5" xfId="11436"/>
    <cellStyle name="Обычный 4 4 4 4 2 6" xfId="11437"/>
    <cellStyle name="Обычный 4 4 4 4 2 7" xfId="11438"/>
    <cellStyle name="Обычный 4 4 4 4 2 8" xfId="11439"/>
    <cellStyle name="Обычный 4 4 4 4 2 9" xfId="11440"/>
    <cellStyle name="Обычный 4 4 4 4 3" xfId="11441"/>
    <cellStyle name="Обычный 4 4 4 4 3 2" xfId="11442"/>
    <cellStyle name="Обычный 4 4 4 4 4" xfId="11443"/>
    <cellStyle name="Обычный 4 4 4 4 5" xfId="11444"/>
    <cellStyle name="Обычный 4 4 4 4 6" xfId="11445"/>
    <cellStyle name="Обычный 4 4 4 4 7" xfId="11446"/>
    <cellStyle name="Обычный 4 4 4 4 8" xfId="11447"/>
    <cellStyle name="Обычный 4 4 4 4 9" xfId="11448"/>
    <cellStyle name="Обычный 4 4 4 5" xfId="11449"/>
    <cellStyle name="Обычный 4 4 4 5 10" xfId="11450"/>
    <cellStyle name="Обычный 4 4 4 5 11" xfId="11451"/>
    <cellStyle name="Обычный 4 4 4 5 12" xfId="18988"/>
    <cellStyle name="Обычный 4 4 4 5 13" xfId="20683"/>
    <cellStyle name="Обычный 4 4 4 5 14" xfId="22295"/>
    <cellStyle name="Обычный 4 4 4 5 2" xfId="11452"/>
    <cellStyle name="Обычный 4 4 4 5 2 10" xfId="11453"/>
    <cellStyle name="Обычный 4 4 4 5 2 11" xfId="18989"/>
    <cellStyle name="Обычный 4 4 4 5 2 12" xfId="20684"/>
    <cellStyle name="Обычный 4 4 4 5 2 13" xfId="22296"/>
    <cellStyle name="Обычный 4 4 4 5 2 2" xfId="11454"/>
    <cellStyle name="Обычный 4 4 4 5 2 2 2" xfId="11455"/>
    <cellStyle name="Обычный 4 4 4 5 2 3" xfId="11456"/>
    <cellStyle name="Обычный 4 4 4 5 2 4" xfId="11457"/>
    <cellStyle name="Обычный 4 4 4 5 2 5" xfId="11458"/>
    <cellStyle name="Обычный 4 4 4 5 2 6" xfId="11459"/>
    <cellStyle name="Обычный 4 4 4 5 2 7" xfId="11460"/>
    <cellStyle name="Обычный 4 4 4 5 2 8" xfId="11461"/>
    <cellStyle name="Обычный 4 4 4 5 2 9" xfId="11462"/>
    <cellStyle name="Обычный 4 4 4 5 3" xfId="11463"/>
    <cellStyle name="Обычный 4 4 4 5 3 2" xfId="11464"/>
    <cellStyle name="Обычный 4 4 4 5 4" xfId="11465"/>
    <cellStyle name="Обычный 4 4 4 5 5" xfId="11466"/>
    <cellStyle name="Обычный 4 4 4 5 6" xfId="11467"/>
    <cellStyle name="Обычный 4 4 4 5 7" xfId="11468"/>
    <cellStyle name="Обычный 4 4 4 5 8" xfId="11469"/>
    <cellStyle name="Обычный 4 4 4 5 9" xfId="11470"/>
    <cellStyle name="Обычный 4 4 4 6" xfId="11471"/>
    <cellStyle name="Обычный 4 4 4 6 10" xfId="11472"/>
    <cellStyle name="Обычный 4 4 4 6 11" xfId="18990"/>
    <cellStyle name="Обычный 4 4 4 6 12" xfId="20685"/>
    <cellStyle name="Обычный 4 4 4 6 13" xfId="22297"/>
    <cellStyle name="Обычный 4 4 4 6 2" xfId="11473"/>
    <cellStyle name="Обычный 4 4 4 6 2 2" xfId="11474"/>
    <cellStyle name="Обычный 4 4 4 6 3" xfId="11475"/>
    <cellStyle name="Обычный 4 4 4 6 4" xfId="11476"/>
    <cellStyle name="Обычный 4 4 4 6 5" xfId="11477"/>
    <cellStyle name="Обычный 4 4 4 6 6" xfId="11478"/>
    <cellStyle name="Обычный 4 4 4 6 7" xfId="11479"/>
    <cellStyle name="Обычный 4 4 4 6 8" xfId="11480"/>
    <cellStyle name="Обычный 4 4 4 6 9" xfId="11481"/>
    <cellStyle name="Обычный 4 4 4 7" xfId="11482"/>
    <cellStyle name="Обычный 4 4 4 7 10" xfId="20686"/>
    <cellStyle name="Обычный 4 4 4 7 11" xfId="22298"/>
    <cellStyle name="Обычный 4 4 4 7 2" xfId="11483"/>
    <cellStyle name="Обычный 4 4 4 7 2 2" xfId="11484"/>
    <cellStyle name="Обычный 4 4 4 7 3" xfId="11485"/>
    <cellStyle name="Обычный 4 4 4 7 4" xfId="11486"/>
    <cellStyle name="Обычный 4 4 4 7 5" xfId="11487"/>
    <cellStyle name="Обычный 4 4 4 7 6" xfId="11488"/>
    <cellStyle name="Обычный 4 4 4 7 7" xfId="11489"/>
    <cellStyle name="Обычный 4 4 4 7 8" xfId="11490"/>
    <cellStyle name="Обычный 4 4 4 7 9" xfId="18991"/>
    <cellStyle name="Обычный 4 4 4 8" xfId="11491"/>
    <cellStyle name="Обычный 4 4 4 8 2" xfId="11492"/>
    <cellStyle name="Обычный 4 4 4 9" xfId="11493"/>
    <cellStyle name="Обычный 4 4 5" xfId="11494"/>
    <cellStyle name="Обычный 4 4 5 10" xfId="11495"/>
    <cellStyle name="Обычный 4 4 5 11" xfId="11496"/>
    <cellStyle name="Обычный 4 4 5 12" xfId="18992"/>
    <cellStyle name="Обычный 4 4 5 13" xfId="20687"/>
    <cellStyle name="Обычный 4 4 5 14" xfId="22299"/>
    <cellStyle name="Обычный 4 4 5 2" xfId="11497"/>
    <cellStyle name="Обычный 4 4 5 2 10" xfId="11498"/>
    <cellStyle name="Обычный 4 4 5 2 11" xfId="18993"/>
    <cellStyle name="Обычный 4 4 5 2 12" xfId="20688"/>
    <cellStyle name="Обычный 4 4 5 2 13" xfId="22300"/>
    <cellStyle name="Обычный 4 4 5 2 2" xfId="11499"/>
    <cellStyle name="Обычный 4 4 5 2 2 2" xfId="11500"/>
    <cellStyle name="Обычный 4 4 5 2 3" xfId="11501"/>
    <cellStyle name="Обычный 4 4 5 2 4" xfId="11502"/>
    <cellStyle name="Обычный 4 4 5 2 5" xfId="11503"/>
    <cellStyle name="Обычный 4 4 5 2 6" xfId="11504"/>
    <cellStyle name="Обычный 4 4 5 2 7" xfId="11505"/>
    <cellStyle name="Обычный 4 4 5 2 8" xfId="11506"/>
    <cellStyle name="Обычный 4 4 5 2 9" xfId="11507"/>
    <cellStyle name="Обычный 4 4 5 3" xfId="11508"/>
    <cellStyle name="Обычный 4 4 5 3 2" xfId="11509"/>
    <cellStyle name="Обычный 4 4 5 4" xfId="11510"/>
    <cellStyle name="Обычный 4 4 5 5" xfId="11511"/>
    <cellStyle name="Обычный 4 4 5 6" xfId="11512"/>
    <cellStyle name="Обычный 4 4 5 7" xfId="11513"/>
    <cellStyle name="Обычный 4 4 5 8" xfId="11514"/>
    <cellStyle name="Обычный 4 4 5 9" xfId="11515"/>
    <cellStyle name="Обычный 4 4 6" xfId="11516"/>
    <cellStyle name="Обычный 4 4 6 10" xfId="11517"/>
    <cellStyle name="Обычный 4 4 6 11" xfId="11518"/>
    <cellStyle name="Обычный 4 4 6 12" xfId="18994"/>
    <cellStyle name="Обычный 4 4 6 13" xfId="20689"/>
    <cellStyle name="Обычный 4 4 6 14" xfId="22301"/>
    <cellStyle name="Обычный 4 4 6 2" xfId="11519"/>
    <cellStyle name="Обычный 4 4 6 2 10" xfId="11520"/>
    <cellStyle name="Обычный 4 4 6 2 11" xfId="18995"/>
    <cellStyle name="Обычный 4 4 6 2 12" xfId="20690"/>
    <cellStyle name="Обычный 4 4 6 2 13" xfId="22302"/>
    <cellStyle name="Обычный 4 4 6 2 2" xfId="11521"/>
    <cellStyle name="Обычный 4 4 6 2 2 2" xfId="11522"/>
    <cellStyle name="Обычный 4 4 6 2 3" xfId="11523"/>
    <cellStyle name="Обычный 4 4 6 2 4" xfId="11524"/>
    <cellStyle name="Обычный 4 4 6 2 5" xfId="11525"/>
    <cellStyle name="Обычный 4 4 6 2 6" xfId="11526"/>
    <cellStyle name="Обычный 4 4 6 2 7" xfId="11527"/>
    <cellStyle name="Обычный 4 4 6 2 8" xfId="11528"/>
    <cellStyle name="Обычный 4 4 6 2 9" xfId="11529"/>
    <cellStyle name="Обычный 4 4 6 3" xfId="11530"/>
    <cellStyle name="Обычный 4 4 6 3 2" xfId="11531"/>
    <cellStyle name="Обычный 4 4 6 4" xfId="11532"/>
    <cellStyle name="Обычный 4 4 6 5" xfId="11533"/>
    <cellStyle name="Обычный 4 4 6 6" xfId="11534"/>
    <cellStyle name="Обычный 4 4 6 7" xfId="11535"/>
    <cellStyle name="Обычный 4 4 6 8" xfId="11536"/>
    <cellStyle name="Обычный 4 4 6 9" xfId="11537"/>
    <cellStyle name="Обычный 4 4 7" xfId="11538"/>
    <cellStyle name="Обычный 4 4 7 10" xfId="11539"/>
    <cellStyle name="Обычный 4 4 7 11" xfId="11540"/>
    <cellStyle name="Обычный 4 4 7 12" xfId="18996"/>
    <cellStyle name="Обычный 4 4 7 13" xfId="20691"/>
    <cellStyle name="Обычный 4 4 7 14" xfId="22303"/>
    <cellStyle name="Обычный 4 4 7 2" xfId="11541"/>
    <cellStyle name="Обычный 4 4 7 2 10" xfId="11542"/>
    <cellStyle name="Обычный 4 4 7 2 11" xfId="18997"/>
    <cellStyle name="Обычный 4 4 7 2 12" xfId="20692"/>
    <cellStyle name="Обычный 4 4 7 2 13" xfId="22304"/>
    <cellStyle name="Обычный 4 4 7 2 2" xfId="11543"/>
    <cellStyle name="Обычный 4 4 7 2 2 2" xfId="11544"/>
    <cellStyle name="Обычный 4 4 7 2 3" xfId="11545"/>
    <cellStyle name="Обычный 4 4 7 2 4" xfId="11546"/>
    <cellStyle name="Обычный 4 4 7 2 5" xfId="11547"/>
    <cellStyle name="Обычный 4 4 7 2 6" xfId="11548"/>
    <cellStyle name="Обычный 4 4 7 2 7" xfId="11549"/>
    <cellStyle name="Обычный 4 4 7 2 8" xfId="11550"/>
    <cellStyle name="Обычный 4 4 7 2 9" xfId="11551"/>
    <cellStyle name="Обычный 4 4 7 3" xfId="11552"/>
    <cellStyle name="Обычный 4 4 7 3 2" xfId="11553"/>
    <cellStyle name="Обычный 4 4 7 4" xfId="11554"/>
    <cellStyle name="Обычный 4 4 7 5" xfId="11555"/>
    <cellStyle name="Обычный 4 4 7 6" xfId="11556"/>
    <cellStyle name="Обычный 4 4 7 7" xfId="11557"/>
    <cellStyle name="Обычный 4 4 7 8" xfId="11558"/>
    <cellStyle name="Обычный 4 4 7 9" xfId="11559"/>
    <cellStyle name="Обычный 4 4 8" xfId="11560"/>
    <cellStyle name="Обычный 4 4 8 10" xfId="11561"/>
    <cellStyle name="Обычный 4 4 8 11" xfId="11562"/>
    <cellStyle name="Обычный 4 4 8 12" xfId="18998"/>
    <cellStyle name="Обычный 4 4 8 13" xfId="20693"/>
    <cellStyle name="Обычный 4 4 8 14" xfId="22305"/>
    <cellStyle name="Обычный 4 4 8 2" xfId="11563"/>
    <cellStyle name="Обычный 4 4 8 2 10" xfId="11564"/>
    <cellStyle name="Обычный 4 4 8 2 11" xfId="18999"/>
    <cellStyle name="Обычный 4 4 8 2 12" xfId="20694"/>
    <cellStyle name="Обычный 4 4 8 2 13" xfId="22306"/>
    <cellStyle name="Обычный 4 4 8 2 2" xfId="11565"/>
    <cellStyle name="Обычный 4 4 8 2 2 2" xfId="11566"/>
    <cellStyle name="Обычный 4 4 8 2 3" xfId="11567"/>
    <cellStyle name="Обычный 4 4 8 2 4" xfId="11568"/>
    <cellStyle name="Обычный 4 4 8 2 5" xfId="11569"/>
    <cellStyle name="Обычный 4 4 8 2 6" xfId="11570"/>
    <cellStyle name="Обычный 4 4 8 2 7" xfId="11571"/>
    <cellStyle name="Обычный 4 4 8 2 8" xfId="11572"/>
    <cellStyle name="Обычный 4 4 8 2 9" xfId="11573"/>
    <cellStyle name="Обычный 4 4 8 3" xfId="11574"/>
    <cellStyle name="Обычный 4 4 8 3 2" xfId="11575"/>
    <cellStyle name="Обычный 4 4 8 4" xfId="11576"/>
    <cellStyle name="Обычный 4 4 8 5" xfId="11577"/>
    <cellStyle name="Обычный 4 4 8 6" xfId="11578"/>
    <cellStyle name="Обычный 4 4 8 7" xfId="11579"/>
    <cellStyle name="Обычный 4 4 8 8" xfId="11580"/>
    <cellStyle name="Обычный 4 4 8 9" xfId="11581"/>
    <cellStyle name="Обычный 4 4 9" xfId="11582"/>
    <cellStyle name="Обычный 4 4 9 10" xfId="11583"/>
    <cellStyle name="Обычный 4 4 9 11" xfId="11584"/>
    <cellStyle name="Обычный 4 4 9 12" xfId="19000"/>
    <cellStyle name="Обычный 4 4 9 13" xfId="20695"/>
    <cellStyle name="Обычный 4 4 9 14" xfId="22307"/>
    <cellStyle name="Обычный 4 4 9 2" xfId="11585"/>
    <cellStyle name="Обычный 4 4 9 2 10" xfId="11586"/>
    <cellStyle name="Обычный 4 4 9 2 11" xfId="19001"/>
    <cellStyle name="Обычный 4 4 9 2 12" xfId="20696"/>
    <cellStyle name="Обычный 4 4 9 2 13" xfId="22308"/>
    <cellStyle name="Обычный 4 4 9 2 2" xfId="11587"/>
    <cellStyle name="Обычный 4 4 9 2 2 2" xfId="11588"/>
    <cellStyle name="Обычный 4 4 9 2 3" xfId="11589"/>
    <cellStyle name="Обычный 4 4 9 2 4" xfId="11590"/>
    <cellStyle name="Обычный 4 4 9 2 5" xfId="11591"/>
    <cellStyle name="Обычный 4 4 9 2 6" xfId="11592"/>
    <cellStyle name="Обычный 4 4 9 2 7" xfId="11593"/>
    <cellStyle name="Обычный 4 4 9 2 8" xfId="11594"/>
    <cellStyle name="Обычный 4 4 9 2 9" xfId="11595"/>
    <cellStyle name="Обычный 4 4 9 3" xfId="11596"/>
    <cellStyle name="Обычный 4 4 9 3 2" xfId="11597"/>
    <cellStyle name="Обычный 4 4 9 4" xfId="11598"/>
    <cellStyle name="Обычный 4 4 9 5" xfId="11599"/>
    <cellStyle name="Обычный 4 4 9 6" xfId="11600"/>
    <cellStyle name="Обычный 4 4 9 7" xfId="11601"/>
    <cellStyle name="Обычный 4 4 9 8" xfId="11602"/>
    <cellStyle name="Обычный 4 4 9 9" xfId="11603"/>
    <cellStyle name="Обычный 4 5" xfId="11604"/>
    <cellStyle name="Обычный 4 5 10" xfId="11605"/>
    <cellStyle name="Обычный 4 5 10 2" xfId="11606"/>
    <cellStyle name="Обычный 4 5 11" xfId="11607"/>
    <cellStyle name="Обычный 4 5 12" xfId="11608"/>
    <cellStyle name="Обычный 4 5 13" xfId="11609"/>
    <cellStyle name="Обычный 4 5 14" xfId="11610"/>
    <cellStyle name="Обычный 4 5 15" xfId="11611"/>
    <cellStyle name="Обычный 4 5 16" xfId="11612"/>
    <cellStyle name="Обычный 4 5 17" xfId="11613"/>
    <cellStyle name="Обычный 4 5 18" xfId="11614"/>
    <cellStyle name="Обычный 4 5 19" xfId="11615"/>
    <cellStyle name="Обычный 4 5 2" xfId="11616"/>
    <cellStyle name="Обычный 4 5 2 10" xfId="11617"/>
    <cellStyle name="Обычный 4 5 2 11" xfId="11618"/>
    <cellStyle name="Обычный 4 5 2 12" xfId="11619"/>
    <cellStyle name="Обычный 4 5 2 13" xfId="11620"/>
    <cellStyle name="Обычный 4 5 2 14" xfId="11621"/>
    <cellStyle name="Обычный 4 5 2 15" xfId="11622"/>
    <cellStyle name="Обычный 4 5 2 16" xfId="11623"/>
    <cellStyle name="Обычный 4 5 2 17" xfId="11624"/>
    <cellStyle name="Обычный 4 5 2 18" xfId="19003"/>
    <cellStyle name="Обычный 4 5 2 19" xfId="20698"/>
    <cellStyle name="Обычный 4 5 2 2" xfId="11625"/>
    <cellStyle name="Обычный 4 5 2 2 10" xfId="11626"/>
    <cellStyle name="Обычный 4 5 2 2 11" xfId="11627"/>
    <cellStyle name="Обычный 4 5 2 2 12" xfId="19004"/>
    <cellStyle name="Обычный 4 5 2 2 13" xfId="20699"/>
    <cellStyle name="Обычный 4 5 2 2 14" xfId="22311"/>
    <cellStyle name="Обычный 4 5 2 2 2" xfId="11628"/>
    <cellStyle name="Обычный 4 5 2 2 2 10" xfId="11629"/>
    <cellStyle name="Обычный 4 5 2 2 2 11" xfId="19005"/>
    <cellStyle name="Обычный 4 5 2 2 2 12" xfId="20700"/>
    <cellStyle name="Обычный 4 5 2 2 2 13" xfId="22312"/>
    <cellStyle name="Обычный 4 5 2 2 2 2" xfId="11630"/>
    <cellStyle name="Обычный 4 5 2 2 2 2 2" xfId="11631"/>
    <cellStyle name="Обычный 4 5 2 2 2 3" xfId="11632"/>
    <cellStyle name="Обычный 4 5 2 2 2 4" xfId="11633"/>
    <cellStyle name="Обычный 4 5 2 2 2 5" xfId="11634"/>
    <cellStyle name="Обычный 4 5 2 2 2 6" xfId="11635"/>
    <cellStyle name="Обычный 4 5 2 2 2 7" xfId="11636"/>
    <cellStyle name="Обычный 4 5 2 2 2 8" xfId="11637"/>
    <cellStyle name="Обычный 4 5 2 2 2 9" xfId="11638"/>
    <cellStyle name="Обычный 4 5 2 2 3" xfId="11639"/>
    <cellStyle name="Обычный 4 5 2 2 3 2" xfId="11640"/>
    <cellStyle name="Обычный 4 5 2 2 4" xfId="11641"/>
    <cellStyle name="Обычный 4 5 2 2 5" xfId="11642"/>
    <cellStyle name="Обычный 4 5 2 2 6" xfId="11643"/>
    <cellStyle name="Обычный 4 5 2 2 7" xfId="11644"/>
    <cellStyle name="Обычный 4 5 2 2 8" xfId="11645"/>
    <cellStyle name="Обычный 4 5 2 2 9" xfId="11646"/>
    <cellStyle name="Обычный 4 5 2 20" xfId="22310"/>
    <cellStyle name="Обычный 4 5 2 3" xfId="11647"/>
    <cellStyle name="Обычный 4 5 2 3 10" xfId="11648"/>
    <cellStyle name="Обычный 4 5 2 3 11" xfId="11649"/>
    <cellStyle name="Обычный 4 5 2 3 12" xfId="19006"/>
    <cellStyle name="Обычный 4 5 2 3 13" xfId="20701"/>
    <cellStyle name="Обычный 4 5 2 3 14" xfId="22313"/>
    <cellStyle name="Обычный 4 5 2 3 2" xfId="11650"/>
    <cellStyle name="Обычный 4 5 2 3 2 10" xfId="11651"/>
    <cellStyle name="Обычный 4 5 2 3 2 11" xfId="19007"/>
    <cellStyle name="Обычный 4 5 2 3 2 12" xfId="20702"/>
    <cellStyle name="Обычный 4 5 2 3 2 13" xfId="22314"/>
    <cellStyle name="Обычный 4 5 2 3 2 2" xfId="11652"/>
    <cellStyle name="Обычный 4 5 2 3 2 2 2" xfId="11653"/>
    <cellStyle name="Обычный 4 5 2 3 2 3" xfId="11654"/>
    <cellStyle name="Обычный 4 5 2 3 2 4" xfId="11655"/>
    <cellStyle name="Обычный 4 5 2 3 2 5" xfId="11656"/>
    <cellStyle name="Обычный 4 5 2 3 2 6" xfId="11657"/>
    <cellStyle name="Обычный 4 5 2 3 2 7" xfId="11658"/>
    <cellStyle name="Обычный 4 5 2 3 2 8" xfId="11659"/>
    <cellStyle name="Обычный 4 5 2 3 2 9" xfId="11660"/>
    <cellStyle name="Обычный 4 5 2 3 3" xfId="11661"/>
    <cellStyle name="Обычный 4 5 2 3 3 2" xfId="11662"/>
    <cellStyle name="Обычный 4 5 2 3 4" xfId="11663"/>
    <cellStyle name="Обычный 4 5 2 3 5" xfId="11664"/>
    <cellStyle name="Обычный 4 5 2 3 6" xfId="11665"/>
    <cellStyle name="Обычный 4 5 2 3 7" xfId="11666"/>
    <cellStyle name="Обычный 4 5 2 3 8" xfId="11667"/>
    <cellStyle name="Обычный 4 5 2 3 9" xfId="11668"/>
    <cellStyle name="Обычный 4 5 2 4" xfId="11669"/>
    <cellStyle name="Обычный 4 5 2 4 10" xfId="11670"/>
    <cellStyle name="Обычный 4 5 2 4 11" xfId="11671"/>
    <cellStyle name="Обычный 4 5 2 4 12" xfId="19008"/>
    <cellStyle name="Обычный 4 5 2 4 13" xfId="20703"/>
    <cellStyle name="Обычный 4 5 2 4 14" xfId="22315"/>
    <cellStyle name="Обычный 4 5 2 4 2" xfId="11672"/>
    <cellStyle name="Обычный 4 5 2 4 2 10" xfId="11673"/>
    <cellStyle name="Обычный 4 5 2 4 2 11" xfId="19009"/>
    <cellStyle name="Обычный 4 5 2 4 2 12" xfId="20704"/>
    <cellStyle name="Обычный 4 5 2 4 2 13" xfId="22316"/>
    <cellStyle name="Обычный 4 5 2 4 2 2" xfId="11674"/>
    <cellStyle name="Обычный 4 5 2 4 2 2 2" xfId="11675"/>
    <cellStyle name="Обычный 4 5 2 4 2 3" xfId="11676"/>
    <cellStyle name="Обычный 4 5 2 4 2 4" xfId="11677"/>
    <cellStyle name="Обычный 4 5 2 4 2 5" xfId="11678"/>
    <cellStyle name="Обычный 4 5 2 4 2 6" xfId="11679"/>
    <cellStyle name="Обычный 4 5 2 4 2 7" xfId="11680"/>
    <cellStyle name="Обычный 4 5 2 4 2 8" xfId="11681"/>
    <cellStyle name="Обычный 4 5 2 4 2 9" xfId="11682"/>
    <cellStyle name="Обычный 4 5 2 4 3" xfId="11683"/>
    <cellStyle name="Обычный 4 5 2 4 3 2" xfId="11684"/>
    <cellStyle name="Обычный 4 5 2 4 4" xfId="11685"/>
    <cellStyle name="Обычный 4 5 2 4 5" xfId="11686"/>
    <cellStyle name="Обычный 4 5 2 4 6" xfId="11687"/>
    <cellStyle name="Обычный 4 5 2 4 7" xfId="11688"/>
    <cellStyle name="Обычный 4 5 2 4 8" xfId="11689"/>
    <cellStyle name="Обычный 4 5 2 4 9" xfId="11690"/>
    <cellStyle name="Обычный 4 5 2 5" xfId="11691"/>
    <cellStyle name="Обычный 4 5 2 5 10" xfId="11692"/>
    <cellStyle name="Обычный 4 5 2 5 11" xfId="11693"/>
    <cellStyle name="Обычный 4 5 2 5 12" xfId="19010"/>
    <cellStyle name="Обычный 4 5 2 5 13" xfId="20705"/>
    <cellStyle name="Обычный 4 5 2 5 14" xfId="22317"/>
    <cellStyle name="Обычный 4 5 2 5 2" xfId="11694"/>
    <cellStyle name="Обычный 4 5 2 5 2 10" xfId="11695"/>
    <cellStyle name="Обычный 4 5 2 5 2 11" xfId="19011"/>
    <cellStyle name="Обычный 4 5 2 5 2 12" xfId="20706"/>
    <cellStyle name="Обычный 4 5 2 5 2 13" xfId="22318"/>
    <cellStyle name="Обычный 4 5 2 5 2 2" xfId="11696"/>
    <cellStyle name="Обычный 4 5 2 5 2 2 2" xfId="11697"/>
    <cellStyle name="Обычный 4 5 2 5 2 3" xfId="11698"/>
    <cellStyle name="Обычный 4 5 2 5 2 4" xfId="11699"/>
    <cellStyle name="Обычный 4 5 2 5 2 5" xfId="11700"/>
    <cellStyle name="Обычный 4 5 2 5 2 6" xfId="11701"/>
    <cellStyle name="Обычный 4 5 2 5 2 7" xfId="11702"/>
    <cellStyle name="Обычный 4 5 2 5 2 8" xfId="11703"/>
    <cellStyle name="Обычный 4 5 2 5 2 9" xfId="11704"/>
    <cellStyle name="Обычный 4 5 2 5 3" xfId="11705"/>
    <cellStyle name="Обычный 4 5 2 5 3 2" xfId="11706"/>
    <cellStyle name="Обычный 4 5 2 5 4" xfId="11707"/>
    <cellStyle name="Обычный 4 5 2 5 5" xfId="11708"/>
    <cellStyle name="Обычный 4 5 2 5 6" xfId="11709"/>
    <cellStyle name="Обычный 4 5 2 5 7" xfId="11710"/>
    <cellStyle name="Обычный 4 5 2 5 8" xfId="11711"/>
    <cellStyle name="Обычный 4 5 2 5 9" xfId="11712"/>
    <cellStyle name="Обычный 4 5 2 6" xfId="11713"/>
    <cellStyle name="Обычный 4 5 2 6 10" xfId="11714"/>
    <cellStyle name="Обычный 4 5 2 6 11" xfId="19012"/>
    <cellStyle name="Обычный 4 5 2 6 12" xfId="20707"/>
    <cellStyle name="Обычный 4 5 2 6 13" xfId="22319"/>
    <cellStyle name="Обычный 4 5 2 6 2" xfId="11715"/>
    <cellStyle name="Обычный 4 5 2 6 2 2" xfId="11716"/>
    <cellStyle name="Обычный 4 5 2 6 3" xfId="11717"/>
    <cellStyle name="Обычный 4 5 2 6 4" xfId="11718"/>
    <cellStyle name="Обычный 4 5 2 6 5" xfId="11719"/>
    <cellStyle name="Обычный 4 5 2 6 6" xfId="11720"/>
    <cellStyle name="Обычный 4 5 2 6 7" xfId="11721"/>
    <cellStyle name="Обычный 4 5 2 6 8" xfId="11722"/>
    <cellStyle name="Обычный 4 5 2 6 9" xfId="11723"/>
    <cellStyle name="Обычный 4 5 2 7" xfId="11724"/>
    <cellStyle name="Обычный 4 5 2 7 10" xfId="20708"/>
    <cellStyle name="Обычный 4 5 2 7 11" xfId="22320"/>
    <cellStyle name="Обычный 4 5 2 7 2" xfId="11725"/>
    <cellStyle name="Обычный 4 5 2 7 2 2" xfId="11726"/>
    <cellStyle name="Обычный 4 5 2 7 3" xfId="11727"/>
    <cellStyle name="Обычный 4 5 2 7 4" xfId="11728"/>
    <cellStyle name="Обычный 4 5 2 7 5" xfId="11729"/>
    <cellStyle name="Обычный 4 5 2 7 6" xfId="11730"/>
    <cellStyle name="Обычный 4 5 2 7 7" xfId="11731"/>
    <cellStyle name="Обычный 4 5 2 7 8" xfId="11732"/>
    <cellStyle name="Обычный 4 5 2 7 9" xfId="19013"/>
    <cellStyle name="Обычный 4 5 2 8" xfId="11733"/>
    <cellStyle name="Обычный 4 5 2 8 2" xfId="11734"/>
    <cellStyle name="Обычный 4 5 2 9" xfId="11735"/>
    <cellStyle name="Обычный 4 5 20" xfId="19002"/>
    <cellStyle name="Обычный 4 5 21" xfId="20697"/>
    <cellStyle name="Обычный 4 5 22" xfId="22309"/>
    <cellStyle name="Обычный 4 5 3" xfId="11736"/>
    <cellStyle name="Обычный 4 5 3 10" xfId="11737"/>
    <cellStyle name="Обычный 4 5 3 11" xfId="11738"/>
    <cellStyle name="Обычный 4 5 3 12" xfId="11739"/>
    <cellStyle name="Обычный 4 5 3 13" xfId="11740"/>
    <cellStyle name="Обычный 4 5 3 14" xfId="11741"/>
    <cellStyle name="Обычный 4 5 3 15" xfId="11742"/>
    <cellStyle name="Обычный 4 5 3 16" xfId="11743"/>
    <cellStyle name="Обычный 4 5 3 17" xfId="11744"/>
    <cellStyle name="Обычный 4 5 3 18" xfId="19014"/>
    <cellStyle name="Обычный 4 5 3 19" xfId="20709"/>
    <cellStyle name="Обычный 4 5 3 2" xfId="11745"/>
    <cellStyle name="Обычный 4 5 3 2 10" xfId="11746"/>
    <cellStyle name="Обычный 4 5 3 2 11" xfId="11747"/>
    <cellStyle name="Обычный 4 5 3 2 12" xfId="19015"/>
    <cellStyle name="Обычный 4 5 3 2 13" xfId="20710"/>
    <cellStyle name="Обычный 4 5 3 2 14" xfId="22322"/>
    <cellStyle name="Обычный 4 5 3 2 2" xfId="11748"/>
    <cellStyle name="Обычный 4 5 3 2 2 10" xfId="11749"/>
    <cellStyle name="Обычный 4 5 3 2 2 11" xfId="19016"/>
    <cellStyle name="Обычный 4 5 3 2 2 12" xfId="20711"/>
    <cellStyle name="Обычный 4 5 3 2 2 13" xfId="22323"/>
    <cellStyle name="Обычный 4 5 3 2 2 2" xfId="11750"/>
    <cellStyle name="Обычный 4 5 3 2 2 2 2" xfId="11751"/>
    <cellStyle name="Обычный 4 5 3 2 2 3" xfId="11752"/>
    <cellStyle name="Обычный 4 5 3 2 2 4" xfId="11753"/>
    <cellStyle name="Обычный 4 5 3 2 2 5" xfId="11754"/>
    <cellStyle name="Обычный 4 5 3 2 2 6" xfId="11755"/>
    <cellStyle name="Обычный 4 5 3 2 2 7" xfId="11756"/>
    <cellStyle name="Обычный 4 5 3 2 2 8" xfId="11757"/>
    <cellStyle name="Обычный 4 5 3 2 2 9" xfId="11758"/>
    <cellStyle name="Обычный 4 5 3 2 3" xfId="11759"/>
    <cellStyle name="Обычный 4 5 3 2 3 2" xfId="11760"/>
    <cellStyle name="Обычный 4 5 3 2 4" xfId="11761"/>
    <cellStyle name="Обычный 4 5 3 2 5" xfId="11762"/>
    <cellStyle name="Обычный 4 5 3 2 6" xfId="11763"/>
    <cellStyle name="Обычный 4 5 3 2 7" xfId="11764"/>
    <cellStyle name="Обычный 4 5 3 2 8" xfId="11765"/>
    <cellStyle name="Обычный 4 5 3 2 9" xfId="11766"/>
    <cellStyle name="Обычный 4 5 3 20" xfId="22321"/>
    <cellStyle name="Обычный 4 5 3 3" xfId="11767"/>
    <cellStyle name="Обычный 4 5 3 3 10" xfId="11768"/>
    <cellStyle name="Обычный 4 5 3 3 11" xfId="11769"/>
    <cellStyle name="Обычный 4 5 3 3 12" xfId="19017"/>
    <cellStyle name="Обычный 4 5 3 3 13" xfId="20712"/>
    <cellStyle name="Обычный 4 5 3 3 14" xfId="22324"/>
    <cellStyle name="Обычный 4 5 3 3 2" xfId="11770"/>
    <cellStyle name="Обычный 4 5 3 3 2 10" xfId="11771"/>
    <cellStyle name="Обычный 4 5 3 3 2 11" xfId="19018"/>
    <cellStyle name="Обычный 4 5 3 3 2 12" xfId="20713"/>
    <cellStyle name="Обычный 4 5 3 3 2 13" xfId="22325"/>
    <cellStyle name="Обычный 4 5 3 3 2 2" xfId="11772"/>
    <cellStyle name="Обычный 4 5 3 3 2 2 2" xfId="11773"/>
    <cellStyle name="Обычный 4 5 3 3 2 3" xfId="11774"/>
    <cellStyle name="Обычный 4 5 3 3 2 4" xfId="11775"/>
    <cellStyle name="Обычный 4 5 3 3 2 5" xfId="11776"/>
    <cellStyle name="Обычный 4 5 3 3 2 6" xfId="11777"/>
    <cellStyle name="Обычный 4 5 3 3 2 7" xfId="11778"/>
    <cellStyle name="Обычный 4 5 3 3 2 8" xfId="11779"/>
    <cellStyle name="Обычный 4 5 3 3 2 9" xfId="11780"/>
    <cellStyle name="Обычный 4 5 3 3 3" xfId="11781"/>
    <cellStyle name="Обычный 4 5 3 3 3 2" xfId="11782"/>
    <cellStyle name="Обычный 4 5 3 3 4" xfId="11783"/>
    <cellStyle name="Обычный 4 5 3 3 5" xfId="11784"/>
    <cellStyle name="Обычный 4 5 3 3 6" xfId="11785"/>
    <cellStyle name="Обычный 4 5 3 3 7" xfId="11786"/>
    <cellStyle name="Обычный 4 5 3 3 8" xfId="11787"/>
    <cellStyle name="Обычный 4 5 3 3 9" xfId="11788"/>
    <cellStyle name="Обычный 4 5 3 4" xfId="11789"/>
    <cellStyle name="Обычный 4 5 3 4 10" xfId="11790"/>
    <cellStyle name="Обычный 4 5 3 4 11" xfId="11791"/>
    <cellStyle name="Обычный 4 5 3 4 12" xfId="19019"/>
    <cellStyle name="Обычный 4 5 3 4 13" xfId="20714"/>
    <cellStyle name="Обычный 4 5 3 4 14" xfId="22326"/>
    <cellStyle name="Обычный 4 5 3 4 2" xfId="11792"/>
    <cellStyle name="Обычный 4 5 3 4 2 10" xfId="11793"/>
    <cellStyle name="Обычный 4 5 3 4 2 11" xfId="19020"/>
    <cellStyle name="Обычный 4 5 3 4 2 12" xfId="20715"/>
    <cellStyle name="Обычный 4 5 3 4 2 13" xfId="22327"/>
    <cellStyle name="Обычный 4 5 3 4 2 2" xfId="11794"/>
    <cellStyle name="Обычный 4 5 3 4 2 2 2" xfId="11795"/>
    <cellStyle name="Обычный 4 5 3 4 2 3" xfId="11796"/>
    <cellStyle name="Обычный 4 5 3 4 2 4" xfId="11797"/>
    <cellStyle name="Обычный 4 5 3 4 2 5" xfId="11798"/>
    <cellStyle name="Обычный 4 5 3 4 2 6" xfId="11799"/>
    <cellStyle name="Обычный 4 5 3 4 2 7" xfId="11800"/>
    <cellStyle name="Обычный 4 5 3 4 2 8" xfId="11801"/>
    <cellStyle name="Обычный 4 5 3 4 2 9" xfId="11802"/>
    <cellStyle name="Обычный 4 5 3 4 3" xfId="11803"/>
    <cellStyle name="Обычный 4 5 3 4 3 2" xfId="11804"/>
    <cellStyle name="Обычный 4 5 3 4 4" xfId="11805"/>
    <cellStyle name="Обычный 4 5 3 4 5" xfId="11806"/>
    <cellStyle name="Обычный 4 5 3 4 6" xfId="11807"/>
    <cellStyle name="Обычный 4 5 3 4 7" xfId="11808"/>
    <cellStyle name="Обычный 4 5 3 4 8" xfId="11809"/>
    <cellStyle name="Обычный 4 5 3 4 9" xfId="11810"/>
    <cellStyle name="Обычный 4 5 3 5" xfId="11811"/>
    <cellStyle name="Обычный 4 5 3 5 10" xfId="11812"/>
    <cellStyle name="Обычный 4 5 3 5 11" xfId="11813"/>
    <cellStyle name="Обычный 4 5 3 5 12" xfId="19021"/>
    <cellStyle name="Обычный 4 5 3 5 13" xfId="20716"/>
    <cellStyle name="Обычный 4 5 3 5 14" xfId="22328"/>
    <cellStyle name="Обычный 4 5 3 5 2" xfId="11814"/>
    <cellStyle name="Обычный 4 5 3 5 2 10" xfId="11815"/>
    <cellStyle name="Обычный 4 5 3 5 2 11" xfId="19022"/>
    <cellStyle name="Обычный 4 5 3 5 2 12" xfId="20717"/>
    <cellStyle name="Обычный 4 5 3 5 2 13" xfId="22329"/>
    <cellStyle name="Обычный 4 5 3 5 2 2" xfId="11816"/>
    <cellStyle name="Обычный 4 5 3 5 2 2 2" xfId="11817"/>
    <cellStyle name="Обычный 4 5 3 5 2 3" xfId="11818"/>
    <cellStyle name="Обычный 4 5 3 5 2 4" xfId="11819"/>
    <cellStyle name="Обычный 4 5 3 5 2 5" xfId="11820"/>
    <cellStyle name="Обычный 4 5 3 5 2 6" xfId="11821"/>
    <cellStyle name="Обычный 4 5 3 5 2 7" xfId="11822"/>
    <cellStyle name="Обычный 4 5 3 5 2 8" xfId="11823"/>
    <cellStyle name="Обычный 4 5 3 5 2 9" xfId="11824"/>
    <cellStyle name="Обычный 4 5 3 5 3" xfId="11825"/>
    <cellStyle name="Обычный 4 5 3 5 3 2" xfId="11826"/>
    <cellStyle name="Обычный 4 5 3 5 4" xfId="11827"/>
    <cellStyle name="Обычный 4 5 3 5 5" xfId="11828"/>
    <cellStyle name="Обычный 4 5 3 5 6" xfId="11829"/>
    <cellStyle name="Обычный 4 5 3 5 7" xfId="11830"/>
    <cellStyle name="Обычный 4 5 3 5 8" xfId="11831"/>
    <cellStyle name="Обычный 4 5 3 5 9" xfId="11832"/>
    <cellStyle name="Обычный 4 5 3 6" xfId="11833"/>
    <cellStyle name="Обычный 4 5 3 6 10" xfId="11834"/>
    <cellStyle name="Обычный 4 5 3 6 11" xfId="19023"/>
    <cellStyle name="Обычный 4 5 3 6 12" xfId="20718"/>
    <cellStyle name="Обычный 4 5 3 6 13" xfId="22330"/>
    <cellStyle name="Обычный 4 5 3 6 2" xfId="11835"/>
    <cellStyle name="Обычный 4 5 3 6 2 2" xfId="11836"/>
    <cellStyle name="Обычный 4 5 3 6 3" xfId="11837"/>
    <cellStyle name="Обычный 4 5 3 6 4" xfId="11838"/>
    <cellStyle name="Обычный 4 5 3 6 5" xfId="11839"/>
    <cellStyle name="Обычный 4 5 3 6 6" xfId="11840"/>
    <cellStyle name="Обычный 4 5 3 6 7" xfId="11841"/>
    <cellStyle name="Обычный 4 5 3 6 8" xfId="11842"/>
    <cellStyle name="Обычный 4 5 3 6 9" xfId="11843"/>
    <cellStyle name="Обычный 4 5 3 7" xfId="11844"/>
    <cellStyle name="Обычный 4 5 3 7 10" xfId="20719"/>
    <cellStyle name="Обычный 4 5 3 7 11" xfId="22331"/>
    <cellStyle name="Обычный 4 5 3 7 2" xfId="11845"/>
    <cellStyle name="Обычный 4 5 3 7 2 2" xfId="11846"/>
    <cellStyle name="Обычный 4 5 3 7 3" xfId="11847"/>
    <cellStyle name="Обычный 4 5 3 7 4" xfId="11848"/>
    <cellStyle name="Обычный 4 5 3 7 5" xfId="11849"/>
    <cellStyle name="Обычный 4 5 3 7 6" xfId="11850"/>
    <cellStyle name="Обычный 4 5 3 7 7" xfId="11851"/>
    <cellStyle name="Обычный 4 5 3 7 8" xfId="11852"/>
    <cellStyle name="Обычный 4 5 3 7 9" xfId="19024"/>
    <cellStyle name="Обычный 4 5 3 8" xfId="11853"/>
    <cellStyle name="Обычный 4 5 3 8 2" xfId="11854"/>
    <cellStyle name="Обычный 4 5 3 9" xfId="11855"/>
    <cellStyle name="Обычный 4 5 4" xfId="11856"/>
    <cellStyle name="Обычный 4 5 4 10" xfId="11857"/>
    <cellStyle name="Обычный 4 5 4 11" xfId="11858"/>
    <cellStyle name="Обычный 4 5 4 12" xfId="19025"/>
    <cellStyle name="Обычный 4 5 4 13" xfId="20720"/>
    <cellStyle name="Обычный 4 5 4 14" xfId="22332"/>
    <cellStyle name="Обычный 4 5 4 2" xfId="11859"/>
    <cellStyle name="Обычный 4 5 4 2 10" xfId="11860"/>
    <cellStyle name="Обычный 4 5 4 2 11" xfId="19026"/>
    <cellStyle name="Обычный 4 5 4 2 12" xfId="20721"/>
    <cellStyle name="Обычный 4 5 4 2 13" xfId="22333"/>
    <cellStyle name="Обычный 4 5 4 2 2" xfId="11861"/>
    <cellStyle name="Обычный 4 5 4 2 2 2" xfId="11862"/>
    <cellStyle name="Обычный 4 5 4 2 3" xfId="11863"/>
    <cellStyle name="Обычный 4 5 4 2 4" xfId="11864"/>
    <cellStyle name="Обычный 4 5 4 2 5" xfId="11865"/>
    <cellStyle name="Обычный 4 5 4 2 6" xfId="11866"/>
    <cellStyle name="Обычный 4 5 4 2 7" xfId="11867"/>
    <cellStyle name="Обычный 4 5 4 2 8" xfId="11868"/>
    <cellStyle name="Обычный 4 5 4 2 9" xfId="11869"/>
    <cellStyle name="Обычный 4 5 4 3" xfId="11870"/>
    <cellStyle name="Обычный 4 5 4 3 2" xfId="11871"/>
    <cellStyle name="Обычный 4 5 4 4" xfId="11872"/>
    <cellStyle name="Обычный 4 5 4 5" xfId="11873"/>
    <cellStyle name="Обычный 4 5 4 6" xfId="11874"/>
    <cellStyle name="Обычный 4 5 4 7" xfId="11875"/>
    <cellStyle name="Обычный 4 5 4 8" xfId="11876"/>
    <cellStyle name="Обычный 4 5 4 9" xfId="11877"/>
    <cellStyle name="Обычный 4 5 5" xfId="11878"/>
    <cellStyle name="Обычный 4 5 5 10" xfId="11879"/>
    <cellStyle name="Обычный 4 5 5 11" xfId="11880"/>
    <cellStyle name="Обычный 4 5 5 12" xfId="19027"/>
    <cellStyle name="Обычный 4 5 5 13" xfId="20722"/>
    <cellStyle name="Обычный 4 5 5 14" xfId="22334"/>
    <cellStyle name="Обычный 4 5 5 2" xfId="11881"/>
    <cellStyle name="Обычный 4 5 5 2 10" xfId="11882"/>
    <cellStyle name="Обычный 4 5 5 2 11" xfId="19028"/>
    <cellStyle name="Обычный 4 5 5 2 12" xfId="20723"/>
    <cellStyle name="Обычный 4 5 5 2 13" xfId="22335"/>
    <cellStyle name="Обычный 4 5 5 2 2" xfId="11883"/>
    <cellStyle name="Обычный 4 5 5 2 2 2" xfId="11884"/>
    <cellStyle name="Обычный 4 5 5 2 3" xfId="11885"/>
    <cellStyle name="Обычный 4 5 5 2 4" xfId="11886"/>
    <cellStyle name="Обычный 4 5 5 2 5" xfId="11887"/>
    <cellStyle name="Обычный 4 5 5 2 6" xfId="11888"/>
    <cellStyle name="Обычный 4 5 5 2 7" xfId="11889"/>
    <cellStyle name="Обычный 4 5 5 2 8" xfId="11890"/>
    <cellStyle name="Обычный 4 5 5 2 9" xfId="11891"/>
    <cellStyle name="Обычный 4 5 5 3" xfId="11892"/>
    <cellStyle name="Обычный 4 5 5 3 2" xfId="11893"/>
    <cellStyle name="Обычный 4 5 5 4" xfId="11894"/>
    <cellStyle name="Обычный 4 5 5 5" xfId="11895"/>
    <cellStyle name="Обычный 4 5 5 6" xfId="11896"/>
    <cellStyle name="Обычный 4 5 5 7" xfId="11897"/>
    <cellStyle name="Обычный 4 5 5 8" xfId="11898"/>
    <cellStyle name="Обычный 4 5 5 9" xfId="11899"/>
    <cellStyle name="Обычный 4 5 6" xfId="11900"/>
    <cellStyle name="Обычный 4 5 6 10" xfId="11901"/>
    <cellStyle name="Обычный 4 5 6 11" xfId="11902"/>
    <cellStyle name="Обычный 4 5 6 12" xfId="19029"/>
    <cellStyle name="Обычный 4 5 6 13" xfId="20724"/>
    <cellStyle name="Обычный 4 5 6 14" xfId="22336"/>
    <cellStyle name="Обычный 4 5 6 2" xfId="11903"/>
    <cellStyle name="Обычный 4 5 6 2 10" xfId="11904"/>
    <cellStyle name="Обычный 4 5 6 2 11" xfId="19030"/>
    <cellStyle name="Обычный 4 5 6 2 12" xfId="20725"/>
    <cellStyle name="Обычный 4 5 6 2 13" xfId="22337"/>
    <cellStyle name="Обычный 4 5 6 2 2" xfId="11905"/>
    <cellStyle name="Обычный 4 5 6 2 2 2" xfId="11906"/>
    <cellStyle name="Обычный 4 5 6 2 3" xfId="11907"/>
    <cellStyle name="Обычный 4 5 6 2 4" xfId="11908"/>
    <cellStyle name="Обычный 4 5 6 2 5" xfId="11909"/>
    <cellStyle name="Обычный 4 5 6 2 6" xfId="11910"/>
    <cellStyle name="Обычный 4 5 6 2 7" xfId="11911"/>
    <cellStyle name="Обычный 4 5 6 2 8" xfId="11912"/>
    <cellStyle name="Обычный 4 5 6 2 9" xfId="11913"/>
    <cellStyle name="Обычный 4 5 6 3" xfId="11914"/>
    <cellStyle name="Обычный 4 5 6 3 2" xfId="11915"/>
    <cellStyle name="Обычный 4 5 6 4" xfId="11916"/>
    <cellStyle name="Обычный 4 5 6 5" xfId="11917"/>
    <cellStyle name="Обычный 4 5 6 6" xfId="11918"/>
    <cellStyle name="Обычный 4 5 6 7" xfId="11919"/>
    <cellStyle name="Обычный 4 5 6 8" xfId="11920"/>
    <cellStyle name="Обычный 4 5 6 9" xfId="11921"/>
    <cellStyle name="Обычный 4 5 7" xfId="11922"/>
    <cellStyle name="Обычный 4 5 7 10" xfId="11923"/>
    <cellStyle name="Обычный 4 5 7 11" xfId="11924"/>
    <cellStyle name="Обычный 4 5 7 12" xfId="19031"/>
    <cellStyle name="Обычный 4 5 7 13" xfId="20726"/>
    <cellStyle name="Обычный 4 5 7 14" xfId="22338"/>
    <cellStyle name="Обычный 4 5 7 2" xfId="11925"/>
    <cellStyle name="Обычный 4 5 7 2 10" xfId="11926"/>
    <cellStyle name="Обычный 4 5 7 2 11" xfId="19032"/>
    <cellStyle name="Обычный 4 5 7 2 12" xfId="20727"/>
    <cellStyle name="Обычный 4 5 7 2 13" xfId="22339"/>
    <cellStyle name="Обычный 4 5 7 2 2" xfId="11927"/>
    <cellStyle name="Обычный 4 5 7 2 2 2" xfId="11928"/>
    <cellStyle name="Обычный 4 5 7 2 3" xfId="11929"/>
    <cellStyle name="Обычный 4 5 7 2 4" xfId="11930"/>
    <cellStyle name="Обычный 4 5 7 2 5" xfId="11931"/>
    <cellStyle name="Обычный 4 5 7 2 6" xfId="11932"/>
    <cellStyle name="Обычный 4 5 7 2 7" xfId="11933"/>
    <cellStyle name="Обычный 4 5 7 2 8" xfId="11934"/>
    <cellStyle name="Обычный 4 5 7 2 9" xfId="11935"/>
    <cellStyle name="Обычный 4 5 7 3" xfId="11936"/>
    <cellStyle name="Обычный 4 5 7 3 2" xfId="11937"/>
    <cellStyle name="Обычный 4 5 7 4" xfId="11938"/>
    <cellStyle name="Обычный 4 5 7 5" xfId="11939"/>
    <cellStyle name="Обычный 4 5 7 6" xfId="11940"/>
    <cellStyle name="Обычный 4 5 7 7" xfId="11941"/>
    <cellStyle name="Обычный 4 5 7 8" xfId="11942"/>
    <cellStyle name="Обычный 4 5 7 9" xfId="11943"/>
    <cellStyle name="Обычный 4 5 8" xfId="11944"/>
    <cellStyle name="Обычный 4 5 8 10" xfId="11945"/>
    <cellStyle name="Обычный 4 5 8 11" xfId="19033"/>
    <cellStyle name="Обычный 4 5 8 12" xfId="20728"/>
    <cellStyle name="Обычный 4 5 8 13" xfId="22340"/>
    <cellStyle name="Обычный 4 5 8 2" xfId="11946"/>
    <cellStyle name="Обычный 4 5 8 2 2" xfId="11947"/>
    <cellStyle name="Обычный 4 5 8 3" xfId="11948"/>
    <cellStyle name="Обычный 4 5 8 4" xfId="11949"/>
    <cellStyle name="Обычный 4 5 8 5" xfId="11950"/>
    <cellStyle name="Обычный 4 5 8 6" xfId="11951"/>
    <cellStyle name="Обычный 4 5 8 7" xfId="11952"/>
    <cellStyle name="Обычный 4 5 8 8" xfId="11953"/>
    <cellStyle name="Обычный 4 5 8 9" xfId="11954"/>
    <cellStyle name="Обычный 4 5 9" xfId="11955"/>
    <cellStyle name="Обычный 4 5 9 10" xfId="20729"/>
    <cellStyle name="Обычный 4 5 9 11" xfId="22341"/>
    <cellStyle name="Обычный 4 5 9 2" xfId="11956"/>
    <cellStyle name="Обычный 4 5 9 2 2" xfId="11957"/>
    <cellStyle name="Обычный 4 5 9 3" xfId="11958"/>
    <cellStyle name="Обычный 4 5 9 4" xfId="11959"/>
    <cellStyle name="Обычный 4 5 9 5" xfId="11960"/>
    <cellStyle name="Обычный 4 5 9 6" xfId="11961"/>
    <cellStyle name="Обычный 4 5 9 7" xfId="11962"/>
    <cellStyle name="Обычный 4 5 9 8" xfId="11963"/>
    <cellStyle name="Обычный 4 5 9 9" xfId="19034"/>
    <cellStyle name="Обычный 4 6" xfId="11964"/>
    <cellStyle name="Обычный 4 6 10" xfId="11965"/>
    <cellStyle name="Обычный 4 6 11" xfId="11966"/>
    <cellStyle name="Обычный 4 6 12" xfId="11967"/>
    <cellStyle name="Обычный 4 6 13" xfId="11968"/>
    <cellStyle name="Обычный 4 6 14" xfId="11969"/>
    <cellStyle name="Обычный 4 6 15" xfId="11970"/>
    <cellStyle name="Обычный 4 6 16" xfId="11971"/>
    <cellStyle name="Обычный 4 6 17" xfId="11972"/>
    <cellStyle name="Обычный 4 6 18" xfId="19035"/>
    <cellStyle name="Обычный 4 6 19" xfId="20730"/>
    <cellStyle name="Обычный 4 6 2" xfId="11973"/>
    <cellStyle name="Обычный 4 6 2 10" xfId="11974"/>
    <cellStyle name="Обычный 4 6 2 11" xfId="11975"/>
    <cellStyle name="Обычный 4 6 2 12" xfId="19036"/>
    <cellStyle name="Обычный 4 6 2 13" xfId="20731"/>
    <cellStyle name="Обычный 4 6 2 14" xfId="22343"/>
    <cellStyle name="Обычный 4 6 2 2" xfId="11976"/>
    <cellStyle name="Обычный 4 6 2 2 10" xfId="11977"/>
    <cellStyle name="Обычный 4 6 2 2 11" xfId="19037"/>
    <cellStyle name="Обычный 4 6 2 2 12" xfId="20732"/>
    <cellStyle name="Обычный 4 6 2 2 13" xfId="22344"/>
    <cellStyle name="Обычный 4 6 2 2 2" xfId="11978"/>
    <cellStyle name="Обычный 4 6 2 2 2 2" xfId="11979"/>
    <cellStyle name="Обычный 4 6 2 2 3" xfId="11980"/>
    <cellStyle name="Обычный 4 6 2 2 4" xfId="11981"/>
    <cellStyle name="Обычный 4 6 2 2 5" xfId="11982"/>
    <cellStyle name="Обычный 4 6 2 2 6" xfId="11983"/>
    <cellStyle name="Обычный 4 6 2 2 7" xfId="11984"/>
    <cellStyle name="Обычный 4 6 2 2 8" xfId="11985"/>
    <cellStyle name="Обычный 4 6 2 2 9" xfId="11986"/>
    <cellStyle name="Обычный 4 6 2 3" xfId="11987"/>
    <cellStyle name="Обычный 4 6 2 3 2" xfId="11988"/>
    <cellStyle name="Обычный 4 6 2 4" xfId="11989"/>
    <cellStyle name="Обычный 4 6 2 5" xfId="11990"/>
    <cellStyle name="Обычный 4 6 2 6" xfId="11991"/>
    <cellStyle name="Обычный 4 6 2 7" xfId="11992"/>
    <cellStyle name="Обычный 4 6 2 8" xfId="11993"/>
    <cellStyle name="Обычный 4 6 2 9" xfId="11994"/>
    <cellStyle name="Обычный 4 6 20" xfId="22342"/>
    <cellStyle name="Обычный 4 6 3" xfId="11995"/>
    <cellStyle name="Обычный 4 6 3 10" xfId="11996"/>
    <cellStyle name="Обычный 4 6 3 11" xfId="11997"/>
    <cellStyle name="Обычный 4 6 3 12" xfId="19038"/>
    <cellStyle name="Обычный 4 6 3 13" xfId="20733"/>
    <cellStyle name="Обычный 4 6 3 14" xfId="22345"/>
    <cellStyle name="Обычный 4 6 3 2" xfId="11998"/>
    <cellStyle name="Обычный 4 6 3 2 10" xfId="11999"/>
    <cellStyle name="Обычный 4 6 3 2 11" xfId="19039"/>
    <cellStyle name="Обычный 4 6 3 2 12" xfId="20734"/>
    <cellStyle name="Обычный 4 6 3 2 13" xfId="22346"/>
    <cellStyle name="Обычный 4 6 3 2 2" xfId="12000"/>
    <cellStyle name="Обычный 4 6 3 2 2 2" xfId="12001"/>
    <cellStyle name="Обычный 4 6 3 2 3" xfId="12002"/>
    <cellStyle name="Обычный 4 6 3 2 4" xfId="12003"/>
    <cellStyle name="Обычный 4 6 3 2 5" xfId="12004"/>
    <cellStyle name="Обычный 4 6 3 2 6" xfId="12005"/>
    <cellStyle name="Обычный 4 6 3 2 7" xfId="12006"/>
    <cellStyle name="Обычный 4 6 3 2 8" xfId="12007"/>
    <cellStyle name="Обычный 4 6 3 2 9" xfId="12008"/>
    <cellStyle name="Обычный 4 6 3 3" xfId="12009"/>
    <cellStyle name="Обычный 4 6 3 3 2" xfId="12010"/>
    <cellStyle name="Обычный 4 6 3 4" xfId="12011"/>
    <cellStyle name="Обычный 4 6 3 5" xfId="12012"/>
    <cellStyle name="Обычный 4 6 3 6" xfId="12013"/>
    <cellStyle name="Обычный 4 6 3 7" xfId="12014"/>
    <cellStyle name="Обычный 4 6 3 8" xfId="12015"/>
    <cellStyle name="Обычный 4 6 3 9" xfId="12016"/>
    <cellStyle name="Обычный 4 6 4" xfId="12017"/>
    <cellStyle name="Обычный 4 6 4 10" xfId="12018"/>
    <cellStyle name="Обычный 4 6 4 11" xfId="12019"/>
    <cellStyle name="Обычный 4 6 4 12" xfId="19040"/>
    <cellStyle name="Обычный 4 6 4 13" xfId="20735"/>
    <cellStyle name="Обычный 4 6 4 14" xfId="22347"/>
    <cellStyle name="Обычный 4 6 4 2" xfId="12020"/>
    <cellStyle name="Обычный 4 6 4 2 10" xfId="12021"/>
    <cellStyle name="Обычный 4 6 4 2 11" xfId="19041"/>
    <cellStyle name="Обычный 4 6 4 2 12" xfId="20736"/>
    <cellStyle name="Обычный 4 6 4 2 13" xfId="22348"/>
    <cellStyle name="Обычный 4 6 4 2 2" xfId="12022"/>
    <cellStyle name="Обычный 4 6 4 2 2 2" xfId="12023"/>
    <cellStyle name="Обычный 4 6 4 2 3" xfId="12024"/>
    <cellStyle name="Обычный 4 6 4 2 4" xfId="12025"/>
    <cellStyle name="Обычный 4 6 4 2 5" xfId="12026"/>
    <cellStyle name="Обычный 4 6 4 2 6" xfId="12027"/>
    <cellStyle name="Обычный 4 6 4 2 7" xfId="12028"/>
    <cellStyle name="Обычный 4 6 4 2 8" xfId="12029"/>
    <cellStyle name="Обычный 4 6 4 2 9" xfId="12030"/>
    <cellStyle name="Обычный 4 6 4 3" xfId="12031"/>
    <cellStyle name="Обычный 4 6 4 3 2" xfId="12032"/>
    <cellStyle name="Обычный 4 6 4 4" xfId="12033"/>
    <cellStyle name="Обычный 4 6 4 5" xfId="12034"/>
    <cellStyle name="Обычный 4 6 4 6" xfId="12035"/>
    <cellStyle name="Обычный 4 6 4 7" xfId="12036"/>
    <cellStyle name="Обычный 4 6 4 8" xfId="12037"/>
    <cellStyle name="Обычный 4 6 4 9" xfId="12038"/>
    <cellStyle name="Обычный 4 6 5" xfId="12039"/>
    <cellStyle name="Обычный 4 6 5 10" xfId="12040"/>
    <cellStyle name="Обычный 4 6 5 11" xfId="12041"/>
    <cellStyle name="Обычный 4 6 5 12" xfId="19042"/>
    <cellStyle name="Обычный 4 6 5 13" xfId="20737"/>
    <cellStyle name="Обычный 4 6 5 14" xfId="22349"/>
    <cellStyle name="Обычный 4 6 5 2" xfId="12042"/>
    <cellStyle name="Обычный 4 6 5 2 10" xfId="12043"/>
    <cellStyle name="Обычный 4 6 5 2 11" xfId="19043"/>
    <cellStyle name="Обычный 4 6 5 2 12" xfId="20738"/>
    <cellStyle name="Обычный 4 6 5 2 13" xfId="22350"/>
    <cellStyle name="Обычный 4 6 5 2 2" xfId="12044"/>
    <cellStyle name="Обычный 4 6 5 2 2 2" xfId="12045"/>
    <cellStyle name="Обычный 4 6 5 2 3" xfId="12046"/>
    <cellStyle name="Обычный 4 6 5 2 4" xfId="12047"/>
    <cellStyle name="Обычный 4 6 5 2 5" xfId="12048"/>
    <cellStyle name="Обычный 4 6 5 2 6" xfId="12049"/>
    <cellStyle name="Обычный 4 6 5 2 7" xfId="12050"/>
    <cellStyle name="Обычный 4 6 5 2 8" xfId="12051"/>
    <cellStyle name="Обычный 4 6 5 2 9" xfId="12052"/>
    <cellStyle name="Обычный 4 6 5 3" xfId="12053"/>
    <cellStyle name="Обычный 4 6 5 3 2" xfId="12054"/>
    <cellStyle name="Обычный 4 6 5 4" xfId="12055"/>
    <cellStyle name="Обычный 4 6 5 5" xfId="12056"/>
    <cellStyle name="Обычный 4 6 5 6" xfId="12057"/>
    <cellStyle name="Обычный 4 6 5 7" xfId="12058"/>
    <cellStyle name="Обычный 4 6 5 8" xfId="12059"/>
    <cellStyle name="Обычный 4 6 5 9" xfId="12060"/>
    <cellStyle name="Обычный 4 6 6" xfId="12061"/>
    <cellStyle name="Обычный 4 6 6 10" xfId="12062"/>
    <cellStyle name="Обычный 4 6 6 11" xfId="19044"/>
    <cellStyle name="Обычный 4 6 6 12" xfId="20739"/>
    <cellStyle name="Обычный 4 6 6 13" xfId="22351"/>
    <cellStyle name="Обычный 4 6 6 2" xfId="12063"/>
    <cellStyle name="Обычный 4 6 6 2 2" xfId="12064"/>
    <cellStyle name="Обычный 4 6 6 3" xfId="12065"/>
    <cellStyle name="Обычный 4 6 6 4" xfId="12066"/>
    <cellStyle name="Обычный 4 6 6 5" xfId="12067"/>
    <cellStyle name="Обычный 4 6 6 6" xfId="12068"/>
    <cellStyle name="Обычный 4 6 6 7" xfId="12069"/>
    <cellStyle name="Обычный 4 6 6 8" xfId="12070"/>
    <cellStyle name="Обычный 4 6 6 9" xfId="12071"/>
    <cellStyle name="Обычный 4 6 7" xfId="12072"/>
    <cellStyle name="Обычный 4 6 7 10" xfId="20740"/>
    <cellStyle name="Обычный 4 6 7 11" xfId="22352"/>
    <cellStyle name="Обычный 4 6 7 2" xfId="12073"/>
    <cellStyle name="Обычный 4 6 7 2 2" xfId="12074"/>
    <cellStyle name="Обычный 4 6 7 3" xfId="12075"/>
    <cellStyle name="Обычный 4 6 7 4" xfId="12076"/>
    <cellStyle name="Обычный 4 6 7 5" xfId="12077"/>
    <cellStyle name="Обычный 4 6 7 6" xfId="12078"/>
    <cellStyle name="Обычный 4 6 7 7" xfId="12079"/>
    <cellStyle name="Обычный 4 6 7 8" xfId="12080"/>
    <cellStyle name="Обычный 4 6 7 9" xfId="19045"/>
    <cellStyle name="Обычный 4 6 8" xfId="12081"/>
    <cellStyle name="Обычный 4 6 8 2" xfId="12082"/>
    <cellStyle name="Обычный 4 6 9" xfId="12083"/>
    <cellStyle name="Обычный 4 7" xfId="12084"/>
    <cellStyle name="Обычный 4 7 10" xfId="12085"/>
    <cellStyle name="Обычный 4 7 11" xfId="12086"/>
    <cellStyle name="Обычный 4 7 12" xfId="12087"/>
    <cellStyle name="Обычный 4 7 13" xfId="12088"/>
    <cellStyle name="Обычный 4 7 14" xfId="12089"/>
    <cellStyle name="Обычный 4 7 15" xfId="12090"/>
    <cellStyle name="Обычный 4 7 16" xfId="12091"/>
    <cellStyle name="Обычный 4 7 17" xfId="12092"/>
    <cellStyle name="Обычный 4 7 18" xfId="19046"/>
    <cellStyle name="Обычный 4 7 19" xfId="20741"/>
    <cellStyle name="Обычный 4 7 2" xfId="12093"/>
    <cellStyle name="Обычный 4 7 2 10" xfId="12094"/>
    <cellStyle name="Обычный 4 7 2 11" xfId="12095"/>
    <cellStyle name="Обычный 4 7 2 12" xfId="19047"/>
    <cellStyle name="Обычный 4 7 2 13" xfId="20742"/>
    <cellStyle name="Обычный 4 7 2 14" xfId="22354"/>
    <cellStyle name="Обычный 4 7 2 2" xfId="12096"/>
    <cellStyle name="Обычный 4 7 2 2 10" xfId="12097"/>
    <cellStyle name="Обычный 4 7 2 2 11" xfId="19048"/>
    <cellStyle name="Обычный 4 7 2 2 12" xfId="20743"/>
    <cellStyle name="Обычный 4 7 2 2 13" xfId="22355"/>
    <cellStyle name="Обычный 4 7 2 2 2" xfId="12098"/>
    <cellStyle name="Обычный 4 7 2 2 2 2" xfId="12099"/>
    <cellStyle name="Обычный 4 7 2 2 3" xfId="12100"/>
    <cellStyle name="Обычный 4 7 2 2 4" xfId="12101"/>
    <cellStyle name="Обычный 4 7 2 2 5" xfId="12102"/>
    <cellStyle name="Обычный 4 7 2 2 6" xfId="12103"/>
    <cellStyle name="Обычный 4 7 2 2 7" xfId="12104"/>
    <cellStyle name="Обычный 4 7 2 2 8" xfId="12105"/>
    <cellStyle name="Обычный 4 7 2 2 9" xfId="12106"/>
    <cellStyle name="Обычный 4 7 2 3" xfId="12107"/>
    <cellStyle name="Обычный 4 7 2 3 2" xfId="12108"/>
    <cellStyle name="Обычный 4 7 2 4" xfId="12109"/>
    <cellStyle name="Обычный 4 7 2 5" xfId="12110"/>
    <cellStyle name="Обычный 4 7 2 6" xfId="12111"/>
    <cellStyle name="Обычный 4 7 2 7" xfId="12112"/>
    <cellStyle name="Обычный 4 7 2 8" xfId="12113"/>
    <cellStyle name="Обычный 4 7 2 9" xfId="12114"/>
    <cellStyle name="Обычный 4 7 20" xfId="22353"/>
    <cellStyle name="Обычный 4 7 3" xfId="12115"/>
    <cellStyle name="Обычный 4 7 3 10" xfId="12116"/>
    <cellStyle name="Обычный 4 7 3 11" xfId="12117"/>
    <cellStyle name="Обычный 4 7 3 12" xfId="19049"/>
    <cellStyle name="Обычный 4 7 3 13" xfId="20744"/>
    <cellStyle name="Обычный 4 7 3 14" xfId="22356"/>
    <cellStyle name="Обычный 4 7 3 2" xfId="12118"/>
    <cellStyle name="Обычный 4 7 3 2 10" xfId="12119"/>
    <cellStyle name="Обычный 4 7 3 2 11" xfId="19050"/>
    <cellStyle name="Обычный 4 7 3 2 12" xfId="20745"/>
    <cellStyle name="Обычный 4 7 3 2 13" xfId="22357"/>
    <cellStyle name="Обычный 4 7 3 2 2" xfId="12120"/>
    <cellStyle name="Обычный 4 7 3 2 2 2" xfId="12121"/>
    <cellStyle name="Обычный 4 7 3 2 3" xfId="12122"/>
    <cellStyle name="Обычный 4 7 3 2 4" xfId="12123"/>
    <cellStyle name="Обычный 4 7 3 2 5" xfId="12124"/>
    <cellStyle name="Обычный 4 7 3 2 6" xfId="12125"/>
    <cellStyle name="Обычный 4 7 3 2 7" xfId="12126"/>
    <cellStyle name="Обычный 4 7 3 2 8" xfId="12127"/>
    <cellStyle name="Обычный 4 7 3 2 9" xfId="12128"/>
    <cellStyle name="Обычный 4 7 3 3" xfId="12129"/>
    <cellStyle name="Обычный 4 7 3 3 2" xfId="12130"/>
    <cellStyle name="Обычный 4 7 3 4" xfId="12131"/>
    <cellStyle name="Обычный 4 7 3 5" xfId="12132"/>
    <cellStyle name="Обычный 4 7 3 6" xfId="12133"/>
    <cellStyle name="Обычный 4 7 3 7" xfId="12134"/>
    <cellStyle name="Обычный 4 7 3 8" xfId="12135"/>
    <cellStyle name="Обычный 4 7 3 9" xfId="12136"/>
    <cellStyle name="Обычный 4 7 4" xfId="12137"/>
    <cellStyle name="Обычный 4 7 4 10" xfId="12138"/>
    <cellStyle name="Обычный 4 7 4 11" xfId="12139"/>
    <cellStyle name="Обычный 4 7 4 12" xfId="19051"/>
    <cellStyle name="Обычный 4 7 4 13" xfId="20746"/>
    <cellStyle name="Обычный 4 7 4 14" xfId="22358"/>
    <cellStyle name="Обычный 4 7 4 2" xfId="12140"/>
    <cellStyle name="Обычный 4 7 4 2 10" xfId="12141"/>
    <cellStyle name="Обычный 4 7 4 2 11" xfId="19052"/>
    <cellStyle name="Обычный 4 7 4 2 12" xfId="20747"/>
    <cellStyle name="Обычный 4 7 4 2 13" xfId="22359"/>
    <cellStyle name="Обычный 4 7 4 2 2" xfId="12142"/>
    <cellStyle name="Обычный 4 7 4 2 2 2" xfId="12143"/>
    <cellStyle name="Обычный 4 7 4 2 3" xfId="12144"/>
    <cellStyle name="Обычный 4 7 4 2 4" xfId="12145"/>
    <cellStyle name="Обычный 4 7 4 2 5" xfId="12146"/>
    <cellStyle name="Обычный 4 7 4 2 6" xfId="12147"/>
    <cellStyle name="Обычный 4 7 4 2 7" xfId="12148"/>
    <cellStyle name="Обычный 4 7 4 2 8" xfId="12149"/>
    <cellStyle name="Обычный 4 7 4 2 9" xfId="12150"/>
    <cellStyle name="Обычный 4 7 4 3" xfId="12151"/>
    <cellStyle name="Обычный 4 7 4 3 2" xfId="12152"/>
    <cellStyle name="Обычный 4 7 4 4" xfId="12153"/>
    <cellStyle name="Обычный 4 7 4 5" xfId="12154"/>
    <cellStyle name="Обычный 4 7 4 6" xfId="12155"/>
    <cellStyle name="Обычный 4 7 4 7" xfId="12156"/>
    <cellStyle name="Обычный 4 7 4 8" xfId="12157"/>
    <cellStyle name="Обычный 4 7 4 9" xfId="12158"/>
    <cellStyle name="Обычный 4 7 5" xfId="12159"/>
    <cellStyle name="Обычный 4 7 5 10" xfId="12160"/>
    <cellStyle name="Обычный 4 7 5 11" xfId="12161"/>
    <cellStyle name="Обычный 4 7 5 12" xfId="19053"/>
    <cellStyle name="Обычный 4 7 5 13" xfId="20748"/>
    <cellStyle name="Обычный 4 7 5 14" xfId="22360"/>
    <cellStyle name="Обычный 4 7 5 2" xfId="12162"/>
    <cellStyle name="Обычный 4 7 5 2 10" xfId="12163"/>
    <cellStyle name="Обычный 4 7 5 2 11" xfId="19054"/>
    <cellStyle name="Обычный 4 7 5 2 12" xfId="20749"/>
    <cellStyle name="Обычный 4 7 5 2 13" xfId="22361"/>
    <cellStyle name="Обычный 4 7 5 2 2" xfId="12164"/>
    <cellStyle name="Обычный 4 7 5 2 2 2" xfId="12165"/>
    <cellStyle name="Обычный 4 7 5 2 3" xfId="12166"/>
    <cellStyle name="Обычный 4 7 5 2 4" xfId="12167"/>
    <cellStyle name="Обычный 4 7 5 2 5" xfId="12168"/>
    <cellStyle name="Обычный 4 7 5 2 6" xfId="12169"/>
    <cellStyle name="Обычный 4 7 5 2 7" xfId="12170"/>
    <cellStyle name="Обычный 4 7 5 2 8" xfId="12171"/>
    <cellStyle name="Обычный 4 7 5 2 9" xfId="12172"/>
    <cellStyle name="Обычный 4 7 5 3" xfId="12173"/>
    <cellStyle name="Обычный 4 7 5 3 2" xfId="12174"/>
    <cellStyle name="Обычный 4 7 5 4" xfId="12175"/>
    <cellStyle name="Обычный 4 7 5 5" xfId="12176"/>
    <cellStyle name="Обычный 4 7 5 6" xfId="12177"/>
    <cellStyle name="Обычный 4 7 5 7" xfId="12178"/>
    <cellStyle name="Обычный 4 7 5 8" xfId="12179"/>
    <cellStyle name="Обычный 4 7 5 9" xfId="12180"/>
    <cellStyle name="Обычный 4 7 6" xfId="12181"/>
    <cellStyle name="Обычный 4 7 6 10" xfId="12182"/>
    <cellStyle name="Обычный 4 7 6 11" xfId="19055"/>
    <cellStyle name="Обычный 4 7 6 12" xfId="20750"/>
    <cellStyle name="Обычный 4 7 6 13" xfId="22362"/>
    <cellStyle name="Обычный 4 7 6 2" xfId="12183"/>
    <cellStyle name="Обычный 4 7 6 2 2" xfId="12184"/>
    <cellStyle name="Обычный 4 7 6 3" xfId="12185"/>
    <cellStyle name="Обычный 4 7 6 4" xfId="12186"/>
    <cellStyle name="Обычный 4 7 6 5" xfId="12187"/>
    <cellStyle name="Обычный 4 7 6 6" xfId="12188"/>
    <cellStyle name="Обычный 4 7 6 7" xfId="12189"/>
    <cellStyle name="Обычный 4 7 6 8" xfId="12190"/>
    <cellStyle name="Обычный 4 7 6 9" xfId="12191"/>
    <cellStyle name="Обычный 4 7 7" xfId="12192"/>
    <cellStyle name="Обычный 4 7 7 10" xfId="20751"/>
    <cellStyle name="Обычный 4 7 7 11" xfId="22363"/>
    <cellStyle name="Обычный 4 7 7 2" xfId="12193"/>
    <cellStyle name="Обычный 4 7 7 2 2" xfId="12194"/>
    <cellStyle name="Обычный 4 7 7 3" xfId="12195"/>
    <cellStyle name="Обычный 4 7 7 4" xfId="12196"/>
    <cellStyle name="Обычный 4 7 7 5" xfId="12197"/>
    <cellStyle name="Обычный 4 7 7 6" xfId="12198"/>
    <cellStyle name="Обычный 4 7 7 7" xfId="12199"/>
    <cellStyle name="Обычный 4 7 7 8" xfId="12200"/>
    <cellStyle name="Обычный 4 7 7 9" xfId="19056"/>
    <cellStyle name="Обычный 4 7 8" xfId="12201"/>
    <cellStyle name="Обычный 4 7 8 2" xfId="12202"/>
    <cellStyle name="Обычный 4 7 9" xfId="12203"/>
    <cellStyle name="Обычный 4 8" xfId="12204"/>
    <cellStyle name="Обычный 4 8 10" xfId="12205"/>
    <cellStyle name="Обычный 4 8 11" xfId="12206"/>
    <cellStyle name="Обычный 4 8 12" xfId="19057"/>
    <cellStyle name="Обычный 4 8 13" xfId="20752"/>
    <cellStyle name="Обычный 4 8 14" xfId="22364"/>
    <cellStyle name="Обычный 4 8 2" xfId="12207"/>
    <cellStyle name="Обычный 4 8 2 10" xfId="12208"/>
    <cellStyle name="Обычный 4 8 2 11" xfId="19058"/>
    <cellStyle name="Обычный 4 8 2 12" xfId="20753"/>
    <cellStyle name="Обычный 4 8 2 13" xfId="22365"/>
    <cellStyle name="Обычный 4 8 2 2" xfId="12209"/>
    <cellStyle name="Обычный 4 8 2 2 2" xfId="12210"/>
    <cellStyle name="Обычный 4 8 2 3" xfId="12211"/>
    <cellStyle name="Обычный 4 8 2 4" xfId="12212"/>
    <cellStyle name="Обычный 4 8 2 5" xfId="12213"/>
    <cellStyle name="Обычный 4 8 2 6" xfId="12214"/>
    <cellStyle name="Обычный 4 8 2 7" xfId="12215"/>
    <cellStyle name="Обычный 4 8 2 8" xfId="12216"/>
    <cellStyle name="Обычный 4 8 2 9" xfId="12217"/>
    <cellStyle name="Обычный 4 8 3" xfId="12218"/>
    <cellStyle name="Обычный 4 8 3 2" xfId="12219"/>
    <cellStyle name="Обычный 4 8 4" xfId="12220"/>
    <cellStyle name="Обычный 4 8 5" xfId="12221"/>
    <cellStyle name="Обычный 4 8 6" xfId="12222"/>
    <cellStyle name="Обычный 4 8 7" xfId="12223"/>
    <cellStyle name="Обычный 4 8 8" xfId="12224"/>
    <cellStyle name="Обычный 4 8 9" xfId="12225"/>
    <cellStyle name="Обычный 4 9" xfId="12226"/>
    <cellStyle name="Обычный 4 9 10" xfId="12227"/>
    <cellStyle name="Обычный 4 9 11" xfId="12228"/>
    <cellStyle name="Обычный 4 9 12" xfId="19059"/>
    <cellStyle name="Обычный 4 9 13" xfId="20754"/>
    <cellStyle name="Обычный 4 9 14" xfId="22366"/>
    <cellStyle name="Обычный 4 9 2" xfId="12229"/>
    <cellStyle name="Обычный 4 9 2 10" xfId="12230"/>
    <cellStyle name="Обычный 4 9 2 11" xfId="19060"/>
    <cellStyle name="Обычный 4 9 2 12" xfId="20755"/>
    <cellStyle name="Обычный 4 9 2 13" xfId="22367"/>
    <cellStyle name="Обычный 4 9 2 2" xfId="12231"/>
    <cellStyle name="Обычный 4 9 2 2 2" xfId="12232"/>
    <cellStyle name="Обычный 4 9 2 3" xfId="12233"/>
    <cellStyle name="Обычный 4 9 2 4" xfId="12234"/>
    <cellStyle name="Обычный 4 9 2 5" xfId="12235"/>
    <cellStyle name="Обычный 4 9 2 6" xfId="12236"/>
    <cellStyle name="Обычный 4 9 2 7" xfId="12237"/>
    <cellStyle name="Обычный 4 9 2 8" xfId="12238"/>
    <cellStyle name="Обычный 4 9 2 9" xfId="12239"/>
    <cellStyle name="Обычный 4 9 3" xfId="12240"/>
    <cellStyle name="Обычный 4 9 3 2" xfId="12241"/>
    <cellStyle name="Обычный 4 9 4" xfId="12242"/>
    <cellStyle name="Обычный 4 9 5" xfId="12243"/>
    <cellStyle name="Обычный 4 9 6" xfId="12244"/>
    <cellStyle name="Обычный 4 9 7" xfId="12245"/>
    <cellStyle name="Обычный 4 9 8" xfId="12246"/>
    <cellStyle name="Обычный 4 9 9" xfId="12247"/>
    <cellStyle name="Обычный 4_5. общ.V" xfId="12248"/>
    <cellStyle name="Обычный 5" xfId="12249"/>
    <cellStyle name="Обычный 5 2" xfId="12250"/>
    <cellStyle name="Обычный 5 2 10" xfId="12251"/>
    <cellStyle name="Обычный 5 2 10 10" xfId="12252"/>
    <cellStyle name="Обычный 5 2 10 11" xfId="12253"/>
    <cellStyle name="Обычный 5 2 10 12" xfId="19063"/>
    <cellStyle name="Обычный 5 2 10 13" xfId="20757"/>
    <cellStyle name="Обычный 5 2 10 14" xfId="22369"/>
    <cellStyle name="Обычный 5 2 10 2" xfId="12254"/>
    <cellStyle name="Обычный 5 2 10 2 10" xfId="12255"/>
    <cellStyle name="Обычный 5 2 10 2 11" xfId="19064"/>
    <cellStyle name="Обычный 5 2 10 2 12" xfId="20758"/>
    <cellStyle name="Обычный 5 2 10 2 13" xfId="22370"/>
    <cellStyle name="Обычный 5 2 10 2 2" xfId="12256"/>
    <cellStyle name="Обычный 5 2 10 2 2 2" xfId="12257"/>
    <cellStyle name="Обычный 5 2 10 2 3" xfId="12258"/>
    <cellStyle name="Обычный 5 2 10 2 4" xfId="12259"/>
    <cellStyle name="Обычный 5 2 10 2 5" xfId="12260"/>
    <cellStyle name="Обычный 5 2 10 2 6" xfId="12261"/>
    <cellStyle name="Обычный 5 2 10 2 7" xfId="12262"/>
    <cellStyle name="Обычный 5 2 10 2 8" xfId="12263"/>
    <cellStyle name="Обычный 5 2 10 2 9" xfId="12264"/>
    <cellStyle name="Обычный 5 2 10 3" xfId="12265"/>
    <cellStyle name="Обычный 5 2 10 3 2" xfId="12266"/>
    <cellStyle name="Обычный 5 2 10 4" xfId="12267"/>
    <cellStyle name="Обычный 5 2 10 5" xfId="12268"/>
    <cellStyle name="Обычный 5 2 10 6" xfId="12269"/>
    <cellStyle name="Обычный 5 2 10 7" xfId="12270"/>
    <cellStyle name="Обычный 5 2 10 8" xfId="12271"/>
    <cellStyle name="Обычный 5 2 10 9" xfId="12272"/>
    <cellStyle name="Обычный 5 2 11" xfId="12273"/>
    <cellStyle name="Обычный 5 2 11 10" xfId="12274"/>
    <cellStyle name="Обычный 5 2 11 11" xfId="19065"/>
    <cellStyle name="Обычный 5 2 11 12" xfId="20759"/>
    <cellStyle name="Обычный 5 2 11 13" xfId="22371"/>
    <cellStyle name="Обычный 5 2 11 2" xfId="12275"/>
    <cellStyle name="Обычный 5 2 11 2 2" xfId="12276"/>
    <cellStyle name="Обычный 5 2 11 3" xfId="12277"/>
    <cellStyle name="Обычный 5 2 11 4" xfId="12278"/>
    <cellStyle name="Обычный 5 2 11 5" xfId="12279"/>
    <cellStyle name="Обычный 5 2 11 6" xfId="12280"/>
    <cellStyle name="Обычный 5 2 11 7" xfId="12281"/>
    <cellStyle name="Обычный 5 2 11 8" xfId="12282"/>
    <cellStyle name="Обычный 5 2 11 9" xfId="12283"/>
    <cellStyle name="Обычный 5 2 12" xfId="12284"/>
    <cellStyle name="Обычный 5 2 12 10" xfId="20760"/>
    <cellStyle name="Обычный 5 2 12 11" xfId="22372"/>
    <cellStyle name="Обычный 5 2 12 2" xfId="12285"/>
    <cellStyle name="Обычный 5 2 12 2 2" xfId="12286"/>
    <cellStyle name="Обычный 5 2 12 3" xfId="12287"/>
    <cellStyle name="Обычный 5 2 12 4" xfId="12288"/>
    <cellStyle name="Обычный 5 2 12 5" xfId="12289"/>
    <cellStyle name="Обычный 5 2 12 6" xfId="12290"/>
    <cellStyle name="Обычный 5 2 12 7" xfId="12291"/>
    <cellStyle name="Обычный 5 2 12 8" xfId="12292"/>
    <cellStyle name="Обычный 5 2 12 9" xfId="19066"/>
    <cellStyle name="Обычный 5 2 13" xfId="12293"/>
    <cellStyle name="Обычный 5 2 13 10" xfId="20761"/>
    <cellStyle name="Обычный 5 2 13 11" xfId="22373"/>
    <cellStyle name="Обычный 5 2 13 2" xfId="12294"/>
    <cellStyle name="Обычный 5 2 13 2 2" xfId="12295"/>
    <cellStyle name="Обычный 5 2 13 3" xfId="12296"/>
    <cellStyle name="Обычный 5 2 13 4" xfId="12297"/>
    <cellStyle name="Обычный 5 2 13 5" xfId="12298"/>
    <cellStyle name="Обычный 5 2 13 6" xfId="12299"/>
    <cellStyle name="Обычный 5 2 13 7" xfId="12300"/>
    <cellStyle name="Обычный 5 2 13 8" xfId="12301"/>
    <cellStyle name="Обычный 5 2 13 9" xfId="19067"/>
    <cellStyle name="Обычный 5 2 14" xfId="12302"/>
    <cellStyle name="Обычный 5 2 14 2" xfId="12303"/>
    <cellStyle name="Обычный 5 2 15" xfId="12304"/>
    <cellStyle name="Обычный 5 2 16" xfId="12305"/>
    <cellStyle name="Обычный 5 2 17" xfId="12306"/>
    <cellStyle name="Обычный 5 2 18" xfId="12307"/>
    <cellStyle name="Обычный 5 2 19" xfId="12308"/>
    <cellStyle name="Обычный 5 2 2" xfId="12309"/>
    <cellStyle name="Обычный 5 2 2 10" xfId="12310"/>
    <cellStyle name="Обычный 5 2 2 10 2" xfId="12311"/>
    <cellStyle name="Обычный 5 2 2 11" xfId="12312"/>
    <cellStyle name="Обычный 5 2 2 12" xfId="12313"/>
    <cellStyle name="Обычный 5 2 2 13" xfId="12314"/>
    <cellStyle name="Обычный 5 2 2 14" xfId="12315"/>
    <cellStyle name="Обычный 5 2 2 15" xfId="12316"/>
    <cellStyle name="Обычный 5 2 2 16" xfId="12317"/>
    <cellStyle name="Обычный 5 2 2 17" xfId="12318"/>
    <cellStyle name="Обычный 5 2 2 18" xfId="12319"/>
    <cellStyle name="Обычный 5 2 2 19" xfId="12320"/>
    <cellStyle name="Обычный 5 2 2 2" xfId="12321"/>
    <cellStyle name="Обычный 5 2 2 2 10" xfId="12322"/>
    <cellStyle name="Обычный 5 2 2 2 11" xfId="12323"/>
    <cellStyle name="Обычный 5 2 2 2 12" xfId="12324"/>
    <cellStyle name="Обычный 5 2 2 2 13" xfId="12325"/>
    <cellStyle name="Обычный 5 2 2 2 14" xfId="12326"/>
    <cellStyle name="Обычный 5 2 2 2 15" xfId="12327"/>
    <cellStyle name="Обычный 5 2 2 2 16" xfId="12328"/>
    <cellStyle name="Обычный 5 2 2 2 17" xfId="12329"/>
    <cellStyle name="Обычный 5 2 2 2 18" xfId="19069"/>
    <cellStyle name="Обычный 5 2 2 2 19" xfId="20763"/>
    <cellStyle name="Обычный 5 2 2 2 2" xfId="12330"/>
    <cellStyle name="Обычный 5 2 2 2 2 10" xfId="12331"/>
    <cellStyle name="Обычный 5 2 2 2 2 11" xfId="12332"/>
    <cellStyle name="Обычный 5 2 2 2 2 12" xfId="19070"/>
    <cellStyle name="Обычный 5 2 2 2 2 13" xfId="20764"/>
    <cellStyle name="Обычный 5 2 2 2 2 14" xfId="22376"/>
    <cellStyle name="Обычный 5 2 2 2 2 2" xfId="12333"/>
    <cellStyle name="Обычный 5 2 2 2 2 2 10" xfId="12334"/>
    <cellStyle name="Обычный 5 2 2 2 2 2 11" xfId="19071"/>
    <cellStyle name="Обычный 5 2 2 2 2 2 12" xfId="20765"/>
    <cellStyle name="Обычный 5 2 2 2 2 2 13" xfId="22377"/>
    <cellStyle name="Обычный 5 2 2 2 2 2 2" xfId="12335"/>
    <cellStyle name="Обычный 5 2 2 2 2 2 2 2" xfId="12336"/>
    <cellStyle name="Обычный 5 2 2 2 2 2 3" xfId="12337"/>
    <cellStyle name="Обычный 5 2 2 2 2 2 4" xfId="12338"/>
    <cellStyle name="Обычный 5 2 2 2 2 2 5" xfId="12339"/>
    <cellStyle name="Обычный 5 2 2 2 2 2 6" xfId="12340"/>
    <cellStyle name="Обычный 5 2 2 2 2 2 7" xfId="12341"/>
    <cellStyle name="Обычный 5 2 2 2 2 2 8" xfId="12342"/>
    <cellStyle name="Обычный 5 2 2 2 2 2 9" xfId="12343"/>
    <cellStyle name="Обычный 5 2 2 2 2 3" xfId="12344"/>
    <cellStyle name="Обычный 5 2 2 2 2 3 2" xfId="12345"/>
    <cellStyle name="Обычный 5 2 2 2 2 4" xfId="12346"/>
    <cellStyle name="Обычный 5 2 2 2 2 5" xfId="12347"/>
    <cellStyle name="Обычный 5 2 2 2 2 6" xfId="12348"/>
    <cellStyle name="Обычный 5 2 2 2 2 7" xfId="12349"/>
    <cellStyle name="Обычный 5 2 2 2 2 8" xfId="12350"/>
    <cellStyle name="Обычный 5 2 2 2 2 9" xfId="12351"/>
    <cellStyle name="Обычный 5 2 2 2 20" xfId="22375"/>
    <cellStyle name="Обычный 5 2 2 2 3" xfId="12352"/>
    <cellStyle name="Обычный 5 2 2 2 3 10" xfId="12353"/>
    <cellStyle name="Обычный 5 2 2 2 3 11" xfId="12354"/>
    <cellStyle name="Обычный 5 2 2 2 3 12" xfId="19072"/>
    <cellStyle name="Обычный 5 2 2 2 3 13" xfId="20766"/>
    <cellStyle name="Обычный 5 2 2 2 3 14" xfId="22378"/>
    <cellStyle name="Обычный 5 2 2 2 3 2" xfId="12355"/>
    <cellStyle name="Обычный 5 2 2 2 3 2 10" xfId="12356"/>
    <cellStyle name="Обычный 5 2 2 2 3 2 11" xfId="19073"/>
    <cellStyle name="Обычный 5 2 2 2 3 2 12" xfId="20767"/>
    <cellStyle name="Обычный 5 2 2 2 3 2 13" xfId="22379"/>
    <cellStyle name="Обычный 5 2 2 2 3 2 2" xfId="12357"/>
    <cellStyle name="Обычный 5 2 2 2 3 2 2 2" xfId="12358"/>
    <cellStyle name="Обычный 5 2 2 2 3 2 3" xfId="12359"/>
    <cellStyle name="Обычный 5 2 2 2 3 2 4" xfId="12360"/>
    <cellStyle name="Обычный 5 2 2 2 3 2 5" xfId="12361"/>
    <cellStyle name="Обычный 5 2 2 2 3 2 6" xfId="12362"/>
    <cellStyle name="Обычный 5 2 2 2 3 2 7" xfId="12363"/>
    <cellStyle name="Обычный 5 2 2 2 3 2 8" xfId="12364"/>
    <cellStyle name="Обычный 5 2 2 2 3 2 9" xfId="12365"/>
    <cellStyle name="Обычный 5 2 2 2 3 3" xfId="12366"/>
    <cellStyle name="Обычный 5 2 2 2 3 3 2" xfId="12367"/>
    <cellStyle name="Обычный 5 2 2 2 3 4" xfId="12368"/>
    <cellStyle name="Обычный 5 2 2 2 3 5" xfId="12369"/>
    <cellStyle name="Обычный 5 2 2 2 3 6" xfId="12370"/>
    <cellStyle name="Обычный 5 2 2 2 3 7" xfId="12371"/>
    <cellStyle name="Обычный 5 2 2 2 3 8" xfId="12372"/>
    <cellStyle name="Обычный 5 2 2 2 3 9" xfId="12373"/>
    <cellStyle name="Обычный 5 2 2 2 4" xfId="12374"/>
    <cellStyle name="Обычный 5 2 2 2 4 10" xfId="12375"/>
    <cellStyle name="Обычный 5 2 2 2 4 11" xfId="12376"/>
    <cellStyle name="Обычный 5 2 2 2 4 12" xfId="19074"/>
    <cellStyle name="Обычный 5 2 2 2 4 13" xfId="20768"/>
    <cellStyle name="Обычный 5 2 2 2 4 14" xfId="22380"/>
    <cellStyle name="Обычный 5 2 2 2 4 2" xfId="12377"/>
    <cellStyle name="Обычный 5 2 2 2 4 2 10" xfId="12378"/>
    <cellStyle name="Обычный 5 2 2 2 4 2 11" xfId="19075"/>
    <cellStyle name="Обычный 5 2 2 2 4 2 12" xfId="20769"/>
    <cellStyle name="Обычный 5 2 2 2 4 2 13" xfId="22381"/>
    <cellStyle name="Обычный 5 2 2 2 4 2 2" xfId="12379"/>
    <cellStyle name="Обычный 5 2 2 2 4 2 2 2" xfId="12380"/>
    <cellStyle name="Обычный 5 2 2 2 4 2 3" xfId="12381"/>
    <cellStyle name="Обычный 5 2 2 2 4 2 4" xfId="12382"/>
    <cellStyle name="Обычный 5 2 2 2 4 2 5" xfId="12383"/>
    <cellStyle name="Обычный 5 2 2 2 4 2 6" xfId="12384"/>
    <cellStyle name="Обычный 5 2 2 2 4 2 7" xfId="12385"/>
    <cellStyle name="Обычный 5 2 2 2 4 2 8" xfId="12386"/>
    <cellStyle name="Обычный 5 2 2 2 4 2 9" xfId="12387"/>
    <cellStyle name="Обычный 5 2 2 2 4 3" xfId="12388"/>
    <cellStyle name="Обычный 5 2 2 2 4 3 2" xfId="12389"/>
    <cellStyle name="Обычный 5 2 2 2 4 4" xfId="12390"/>
    <cellStyle name="Обычный 5 2 2 2 4 5" xfId="12391"/>
    <cellStyle name="Обычный 5 2 2 2 4 6" xfId="12392"/>
    <cellStyle name="Обычный 5 2 2 2 4 7" xfId="12393"/>
    <cellStyle name="Обычный 5 2 2 2 4 8" xfId="12394"/>
    <cellStyle name="Обычный 5 2 2 2 4 9" xfId="12395"/>
    <cellStyle name="Обычный 5 2 2 2 5" xfId="12396"/>
    <cellStyle name="Обычный 5 2 2 2 5 10" xfId="12397"/>
    <cellStyle name="Обычный 5 2 2 2 5 11" xfId="12398"/>
    <cellStyle name="Обычный 5 2 2 2 5 12" xfId="19076"/>
    <cellStyle name="Обычный 5 2 2 2 5 13" xfId="20770"/>
    <cellStyle name="Обычный 5 2 2 2 5 14" xfId="22382"/>
    <cellStyle name="Обычный 5 2 2 2 5 2" xfId="12399"/>
    <cellStyle name="Обычный 5 2 2 2 5 2 10" xfId="12400"/>
    <cellStyle name="Обычный 5 2 2 2 5 2 11" xfId="19077"/>
    <cellStyle name="Обычный 5 2 2 2 5 2 12" xfId="20771"/>
    <cellStyle name="Обычный 5 2 2 2 5 2 13" xfId="22383"/>
    <cellStyle name="Обычный 5 2 2 2 5 2 2" xfId="12401"/>
    <cellStyle name="Обычный 5 2 2 2 5 2 2 2" xfId="12402"/>
    <cellStyle name="Обычный 5 2 2 2 5 2 3" xfId="12403"/>
    <cellStyle name="Обычный 5 2 2 2 5 2 4" xfId="12404"/>
    <cellStyle name="Обычный 5 2 2 2 5 2 5" xfId="12405"/>
    <cellStyle name="Обычный 5 2 2 2 5 2 6" xfId="12406"/>
    <cellStyle name="Обычный 5 2 2 2 5 2 7" xfId="12407"/>
    <cellStyle name="Обычный 5 2 2 2 5 2 8" xfId="12408"/>
    <cellStyle name="Обычный 5 2 2 2 5 2 9" xfId="12409"/>
    <cellStyle name="Обычный 5 2 2 2 5 3" xfId="12410"/>
    <cellStyle name="Обычный 5 2 2 2 5 3 2" xfId="12411"/>
    <cellStyle name="Обычный 5 2 2 2 5 4" xfId="12412"/>
    <cellStyle name="Обычный 5 2 2 2 5 5" xfId="12413"/>
    <cellStyle name="Обычный 5 2 2 2 5 6" xfId="12414"/>
    <cellStyle name="Обычный 5 2 2 2 5 7" xfId="12415"/>
    <cellStyle name="Обычный 5 2 2 2 5 8" xfId="12416"/>
    <cellStyle name="Обычный 5 2 2 2 5 9" xfId="12417"/>
    <cellStyle name="Обычный 5 2 2 2 6" xfId="12418"/>
    <cellStyle name="Обычный 5 2 2 2 6 10" xfId="12419"/>
    <cellStyle name="Обычный 5 2 2 2 6 11" xfId="19078"/>
    <cellStyle name="Обычный 5 2 2 2 6 12" xfId="20772"/>
    <cellStyle name="Обычный 5 2 2 2 6 13" xfId="22384"/>
    <cellStyle name="Обычный 5 2 2 2 6 2" xfId="12420"/>
    <cellStyle name="Обычный 5 2 2 2 6 2 2" xfId="12421"/>
    <cellStyle name="Обычный 5 2 2 2 6 3" xfId="12422"/>
    <cellStyle name="Обычный 5 2 2 2 6 4" xfId="12423"/>
    <cellStyle name="Обычный 5 2 2 2 6 5" xfId="12424"/>
    <cellStyle name="Обычный 5 2 2 2 6 6" xfId="12425"/>
    <cellStyle name="Обычный 5 2 2 2 6 7" xfId="12426"/>
    <cellStyle name="Обычный 5 2 2 2 6 8" xfId="12427"/>
    <cellStyle name="Обычный 5 2 2 2 6 9" xfId="12428"/>
    <cellStyle name="Обычный 5 2 2 2 7" xfId="12429"/>
    <cellStyle name="Обычный 5 2 2 2 7 10" xfId="20773"/>
    <cellStyle name="Обычный 5 2 2 2 7 11" xfId="22385"/>
    <cellStyle name="Обычный 5 2 2 2 7 2" xfId="12430"/>
    <cellStyle name="Обычный 5 2 2 2 7 2 2" xfId="12431"/>
    <cellStyle name="Обычный 5 2 2 2 7 3" xfId="12432"/>
    <cellStyle name="Обычный 5 2 2 2 7 4" xfId="12433"/>
    <cellStyle name="Обычный 5 2 2 2 7 5" xfId="12434"/>
    <cellStyle name="Обычный 5 2 2 2 7 6" xfId="12435"/>
    <cellStyle name="Обычный 5 2 2 2 7 7" xfId="12436"/>
    <cellStyle name="Обычный 5 2 2 2 7 8" xfId="12437"/>
    <cellStyle name="Обычный 5 2 2 2 7 9" xfId="19079"/>
    <cellStyle name="Обычный 5 2 2 2 8" xfId="12438"/>
    <cellStyle name="Обычный 5 2 2 2 8 2" xfId="12439"/>
    <cellStyle name="Обычный 5 2 2 2 9" xfId="12440"/>
    <cellStyle name="Обычный 5 2 2 20" xfId="19068"/>
    <cellStyle name="Обычный 5 2 2 21" xfId="20762"/>
    <cellStyle name="Обычный 5 2 2 22" xfId="22374"/>
    <cellStyle name="Обычный 5 2 2 3" xfId="12441"/>
    <cellStyle name="Обычный 5 2 2 3 10" xfId="12442"/>
    <cellStyle name="Обычный 5 2 2 3 11" xfId="12443"/>
    <cellStyle name="Обычный 5 2 2 3 12" xfId="12444"/>
    <cellStyle name="Обычный 5 2 2 3 13" xfId="12445"/>
    <cellStyle name="Обычный 5 2 2 3 14" xfId="12446"/>
    <cellStyle name="Обычный 5 2 2 3 15" xfId="12447"/>
    <cellStyle name="Обычный 5 2 2 3 16" xfId="12448"/>
    <cellStyle name="Обычный 5 2 2 3 17" xfId="12449"/>
    <cellStyle name="Обычный 5 2 2 3 18" xfId="19080"/>
    <cellStyle name="Обычный 5 2 2 3 19" xfId="20774"/>
    <cellStyle name="Обычный 5 2 2 3 2" xfId="12450"/>
    <cellStyle name="Обычный 5 2 2 3 2 10" xfId="12451"/>
    <cellStyle name="Обычный 5 2 2 3 2 11" xfId="12452"/>
    <cellStyle name="Обычный 5 2 2 3 2 12" xfId="19081"/>
    <cellStyle name="Обычный 5 2 2 3 2 13" xfId="20775"/>
    <cellStyle name="Обычный 5 2 2 3 2 14" xfId="22387"/>
    <cellStyle name="Обычный 5 2 2 3 2 2" xfId="12453"/>
    <cellStyle name="Обычный 5 2 2 3 2 2 10" xfId="12454"/>
    <cellStyle name="Обычный 5 2 2 3 2 2 11" xfId="19082"/>
    <cellStyle name="Обычный 5 2 2 3 2 2 12" xfId="20776"/>
    <cellStyle name="Обычный 5 2 2 3 2 2 13" xfId="22388"/>
    <cellStyle name="Обычный 5 2 2 3 2 2 2" xfId="12455"/>
    <cellStyle name="Обычный 5 2 2 3 2 2 2 2" xfId="12456"/>
    <cellStyle name="Обычный 5 2 2 3 2 2 3" xfId="12457"/>
    <cellStyle name="Обычный 5 2 2 3 2 2 4" xfId="12458"/>
    <cellStyle name="Обычный 5 2 2 3 2 2 5" xfId="12459"/>
    <cellStyle name="Обычный 5 2 2 3 2 2 6" xfId="12460"/>
    <cellStyle name="Обычный 5 2 2 3 2 2 7" xfId="12461"/>
    <cellStyle name="Обычный 5 2 2 3 2 2 8" xfId="12462"/>
    <cellStyle name="Обычный 5 2 2 3 2 2 9" xfId="12463"/>
    <cellStyle name="Обычный 5 2 2 3 2 3" xfId="12464"/>
    <cellStyle name="Обычный 5 2 2 3 2 3 2" xfId="12465"/>
    <cellStyle name="Обычный 5 2 2 3 2 4" xfId="12466"/>
    <cellStyle name="Обычный 5 2 2 3 2 5" xfId="12467"/>
    <cellStyle name="Обычный 5 2 2 3 2 6" xfId="12468"/>
    <cellStyle name="Обычный 5 2 2 3 2 7" xfId="12469"/>
    <cellStyle name="Обычный 5 2 2 3 2 8" xfId="12470"/>
    <cellStyle name="Обычный 5 2 2 3 2 9" xfId="12471"/>
    <cellStyle name="Обычный 5 2 2 3 20" xfId="22386"/>
    <cellStyle name="Обычный 5 2 2 3 3" xfId="12472"/>
    <cellStyle name="Обычный 5 2 2 3 3 10" xfId="12473"/>
    <cellStyle name="Обычный 5 2 2 3 3 11" xfId="12474"/>
    <cellStyle name="Обычный 5 2 2 3 3 12" xfId="19083"/>
    <cellStyle name="Обычный 5 2 2 3 3 13" xfId="20777"/>
    <cellStyle name="Обычный 5 2 2 3 3 14" xfId="22389"/>
    <cellStyle name="Обычный 5 2 2 3 3 2" xfId="12475"/>
    <cellStyle name="Обычный 5 2 2 3 3 2 10" xfId="12476"/>
    <cellStyle name="Обычный 5 2 2 3 3 2 11" xfId="19084"/>
    <cellStyle name="Обычный 5 2 2 3 3 2 12" xfId="20778"/>
    <cellStyle name="Обычный 5 2 2 3 3 2 13" xfId="22390"/>
    <cellStyle name="Обычный 5 2 2 3 3 2 2" xfId="12477"/>
    <cellStyle name="Обычный 5 2 2 3 3 2 2 2" xfId="12478"/>
    <cellStyle name="Обычный 5 2 2 3 3 2 3" xfId="12479"/>
    <cellStyle name="Обычный 5 2 2 3 3 2 4" xfId="12480"/>
    <cellStyle name="Обычный 5 2 2 3 3 2 5" xfId="12481"/>
    <cellStyle name="Обычный 5 2 2 3 3 2 6" xfId="12482"/>
    <cellStyle name="Обычный 5 2 2 3 3 2 7" xfId="12483"/>
    <cellStyle name="Обычный 5 2 2 3 3 2 8" xfId="12484"/>
    <cellStyle name="Обычный 5 2 2 3 3 2 9" xfId="12485"/>
    <cellStyle name="Обычный 5 2 2 3 3 3" xfId="12486"/>
    <cellStyle name="Обычный 5 2 2 3 3 3 2" xfId="12487"/>
    <cellStyle name="Обычный 5 2 2 3 3 4" xfId="12488"/>
    <cellStyle name="Обычный 5 2 2 3 3 5" xfId="12489"/>
    <cellStyle name="Обычный 5 2 2 3 3 6" xfId="12490"/>
    <cellStyle name="Обычный 5 2 2 3 3 7" xfId="12491"/>
    <cellStyle name="Обычный 5 2 2 3 3 8" xfId="12492"/>
    <cellStyle name="Обычный 5 2 2 3 3 9" xfId="12493"/>
    <cellStyle name="Обычный 5 2 2 3 4" xfId="12494"/>
    <cellStyle name="Обычный 5 2 2 3 4 10" xfId="12495"/>
    <cellStyle name="Обычный 5 2 2 3 4 11" xfId="12496"/>
    <cellStyle name="Обычный 5 2 2 3 4 12" xfId="19085"/>
    <cellStyle name="Обычный 5 2 2 3 4 13" xfId="20779"/>
    <cellStyle name="Обычный 5 2 2 3 4 14" xfId="22391"/>
    <cellStyle name="Обычный 5 2 2 3 4 2" xfId="12497"/>
    <cellStyle name="Обычный 5 2 2 3 4 2 10" xfId="12498"/>
    <cellStyle name="Обычный 5 2 2 3 4 2 11" xfId="19086"/>
    <cellStyle name="Обычный 5 2 2 3 4 2 12" xfId="20780"/>
    <cellStyle name="Обычный 5 2 2 3 4 2 13" xfId="22392"/>
    <cellStyle name="Обычный 5 2 2 3 4 2 2" xfId="12499"/>
    <cellStyle name="Обычный 5 2 2 3 4 2 2 2" xfId="12500"/>
    <cellStyle name="Обычный 5 2 2 3 4 2 3" xfId="12501"/>
    <cellStyle name="Обычный 5 2 2 3 4 2 4" xfId="12502"/>
    <cellStyle name="Обычный 5 2 2 3 4 2 5" xfId="12503"/>
    <cellStyle name="Обычный 5 2 2 3 4 2 6" xfId="12504"/>
    <cellStyle name="Обычный 5 2 2 3 4 2 7" xfId="12505"/>
    <cellStyle name="Обычный 5 2 2 3 4 2 8" xfId="12506"/>
    <cellStyle name="Обычный 5 2 2 3 4 2 9" xfId="12507"/>
    <cellStyle name="Обычный 5 2 2 3 4 3" xfId="12508"/>
    <cellStyle name="Обычный 5 2 2 3 4 3 2" xfId="12509"/>
    <cellStyle name="Обычный 5 2 2 3 4 4" xfId="12510"/>
    <cellStyle name="Обычный 5 2 2 3 4 5" xfId="12511"/>
    <cellStyle name="Обычный 5 2 2 3 4 6" xfId="12512"/>
    <cellStyle name="Обычный 5 2 2 3 4 7" xfId="12513"/>
    <cellStyle name="Обычный 5 2 2 3 4 8" xfId="12514"/>
    <cellStyle name="Обычный 5 2 2 3 4 9" xfId="12515"/>
    <cellStyle name="Обычный 5 2 2 3 5" xfId="12516"/>
    <cellStyle name="Обычный 5 2 2 3 5 10" xfId="12517"/>
    <cellStyle name="Обычный 5 2 2 3 5 11" xfId="12518"/>
    <cellStyle name="Обычный 5 2 2 3 5 12" xfId="19087"/>
    <cellStyle name="Обычный 5 2 2 3 5 13" xfId="20781"/>
    <cellStyle name="Обычный 5 2 2 3 5 14" xfId="22393"/>
    <cellStyle name="Обычный 5 2 2 3 5 2" xfId="12519"/>
    <cellStyle name="Обычный 5 2 2 3 5 2 10" xfId="12520"/>
    <cellStyle name="Обычный 5 2 2 3 5 2 11" xfId="19088"/>
    <cellStyle name="Обычный 5 2 2 3 5 2 12" xfId="20782"/>
    <cellStyle name="Обычный 5 2 2 3 5 2 13" xfId="22394"/>
    <cellStyle name="Обычный 5 2 2 3 5 2 2" xfId="12521"/>
    <cellStyle name="Обычный 5 2 2 3 5 2 2 2" xfId="12522"/>
    <cellStyle name="Обычный 5 2 2 3 5 2 3" xfId="12523"/>
    <cellStyle name="Обычный 5 2 2 3 5 2 4" xfId="12524"/>
    <cellStyle name="Обычный 5 2 2 3 5 2 5" xfId="12525"/>
    <cellStyle name="Обычный 5 2 2 3 5 2 6" xfId="12526"/>
    <cellStyle name="Обычный 5 2 2 3 5 2 7" xfId="12527"/>
    <cellStyle name="Обычный 5 2 2 3 5 2 8" xfId="12528"/>
    <cellStyle name="Обычный 5 2 2 3 5 2 9" xfId="12529"/>
    <cellStyle name="Обычный 5 2 2 3 5 3" xfId="12530"/>
    <cellStyle name="Обычный 5 2 2 3 5 3 2" xfId="12531"/>
    <cellStyle name="Обычный 5 2 2 3 5 4" xfId="12532"/>
    <cellStyle name="Обычный 5 2 2 3 5 5" xfId="12533"/>
    <cellStyle name="Обычный 5 2 2 3 5 6" xfId="12534"/>
    <cellStyle name="Обычный 5 2 2 3 5 7" xfId="12535"/>
    <cellStyle name="Обычный 5 2 2 3 5 8" xfId="12536"/>
    <cellStyle name="Обычный 5 2 2 3 5 9" xfId="12537"/>
    <cellStyle name="Обычный 5 2 2 3 6" xfId="12538"/>
    <cellStyle name="Обычный 5 2 2 3 6 10" xfId="12539"/>
    <cellStyle name="Обычный 5 2 2 3 6 11" xfId="19089"/>
    <cellStyle name="Обычный 5 2 2 3 6 12" xfId="20783"/>
    <cellStyle name="Обычный 5 2 2 3 6 13" xfId="22395"/>
    <cellStyle name="Обычный 5 2 2 3 6 2" xfId="12540"/>
    <cellStyle name="Обычный 5 2 2 3 6 2 2" xfId="12541"/>
    <cellStyle name="Обычный 5 2 2 3 6 3" xfId="12542"/>
    <cellStyle name="Обычный 5 2 2 3 6 4" xfId="12543"/>
    <cellStyle name="Обычный 5 2 2 3 6 5" xfId="12544"/>
    <cellStyle name="Обычный 5 2 2 3 6 6" xfId="12545"/>
    <cellStyle name="Обычный 5 2 2 3 6 7" xfId="12546"/>
    <cellStyle name="Обычный 5 2 2 3 6 8" xfId="12547"/>
    <cellStyle name="Обычный 5 2 2 3 6 9" xfId="12548"/>
    <cellStyle name="Обычный 5 2 2 3 7" xfId="12549"/>
    <cellStyle name="Обычный 5 2 2 3 7 10" xfId="20784"/>
    <cellStyle name="Обычный 5 2 2 3 7 11" xfId="22396"/>
    <cellStyle name="Обычный 5 2 2 3 7 2" xfId="12550"/>
    <cellStyle name="Обычный 5 2 2 3 7 2 2" xfId="12551"/>
    <cellStyle name="Обычный 5 2 2 3 7 3" xfId="12552"/>
    <cellStyle name="Обычный 5 2 2 3 7 4" xfId="12553"/>
    <cellStyle name="Обычный 5 2 2 3 7 5" xfId="12554"/>
    <cellStyle name="Обычный 5 2 2 3 7 6" xfId="12555"/>
    <cellStyle name="Обычный 5 2 2 3 7 7" xfId="12556"/>
    <cellStyle name="Обычный 5 2 2 3 7 8" xfId="12557"/>
    <cellStyle name="Обычный 5 2 2 3 7 9" xfId="19090"/>
    <cellStyle name="Обычный 5 2 2 3 8" xfId="12558"/>
    <cellStyle name="Обычный 5 2 2 3 8 2" xfId="12559"/>
    <cellStyle name="Обычный 5 2 2 3 9" xfId="12560"/>
    <cellStyle name="Обычный 5 2 2 4" xfId="12561"/>
    <cellStyle name="Обычный 5 2 2 4 10" xfId="12562"/>
    <cellStyle name="Обычный 5 2 2 4 11" xfId="12563"/>
    <cellStyle name="Обычный 5 2 2 4 12" xfId="19091"/>
    <cellStyle name="Обычный 5 2 2 4 13" xfId="20785"/>
    <cellStyle name="Обычный 5 2 2 4 14" xfId="22397"/>
    <cellStyle name="Обычный 5 2 2 4 2" xfId="12564"/>
    <cellStyle name="Обычный 5 2 2 4 2 10" xfId="12565"/>
    <cellStyle name="Обычный 5 2 2 4 2 11" xfId="19092"/>
    <cellStyle name="Обычный 5 2 2 4 2 12" xfId="20786"/>
    <cellStyle name="Обычный 5 2 2 4 2 13" xfId="22398"/>
    <cellStyle name="Обычный 5 2 2 4 2 2" xfId="12566"/>
    <cellStyle name="Обычный 5 2 2 4 2 2 2" xfId="12567"/>
    <cellStyle name="Обычный 5 2 2 4 2 3" xfId="12568"/>
    <cellStyle name="Обычный 5 2 2 4 2 4" xfId="12569"/>
    <cellStyle name="Обычный 5 2 2 4 2 5" xfId="12570"/>
    <cellStyle name="Обычный 5 2 2 4 2 6" xfId="12571"/>
    <cellStyle name="Обычный 5 2 2 4 2 7" xfId="12572"/>
    <cellStyle name="Обычный 5 2 2 4 2 8" xfId="12573"/>
    <cellStyle name="Обычный 5 2 2 4 2 9" xfId="12574"/>
    <cellStyle name="Обычный 5 2 2 4 3" xfId="12575"/>
    <cellStyle name="Обычный 5 2 2 4 3 2" xfId="12576"/>
    <cellStyle name="Обычный 5 2 2 4 4" xfId="12577"/>
    <cellStyle name="Обычный 5 2 2 4 5" xfId="12578"/>
    <cellStyle name="Обычный 5 2 2 4 6" xfId="12579"/>
    <cellStyle name="Обычный 5 2 2 4 7" xfId="12580"/>
    <cellStyle name="Обычный 5 2 2 4 8" xfId="12581"/>
    <cellStyle name="Обычный 5 2 2 4 9" xfId="12582"/>
    <cellStyle name="Обычный 5 2 2 5" xfId="12583"/>
    <cellStyle name="Обычный 5 2 2 5 10" xfId="12584"/>
    <cellStyle name="Обычный 5 2 2 5 11" xfId="12585"/>
    <cellStyle name="Обычный 5 2 2 5 12" xfId="19093"/>
    <cellStyle name="Обычный 5 2 2 5 13" xfId="20787"/>
    <cellStyle name="Обычный 5 2 2 5 14" xfId="22399"/>
    <cellStyle name="Обычный 5 2 2 5 2" xfId="12586"/>
    <cellStyle name="Обычный 5 2 2 5 2 10" xfId="12587"/>
    <cellStyle name="Обычный 5 2 2 5 2 11" xfId="19094"/>
    <cellStyle name="Обычный 5 2 2 5 2 12" xfId="20788"/>
    <cellStyle name="Обычный 5 2 2 5 2 13" xfId="22400"/>
    <cellStyle name="Обычный 5 2 2 5 2 2" xfId="12588"/>
    <cellStyle name="Обычный 5 2 2 5 2 2 2" xfId="12589"/>
    <cellStyle name="Обычный 5 2 2 5 2 3" xfId="12590"/>
    <cellStyle name="Обычный 5 2 2 5 2 4" xfId="12591"/>
    <cellStyle name="Обычный 5 2 2 5 2 5" xfId="12592"/>
    <cellStyle name="Обычный 5 2 2 5 2 6" xfId="12593"/>
    <cellStyle name="Обычный 5 2 2 5 2 7" xfId="12594"/>
    <cellStyle name="Обычный 5 2 2 5 2 8" xfId="12595"/>
    <cellStyle name="Обычный 5 2 2 5 2 9" xfId="12596"/>
    <cellStyle name="Обычный 5 2 2 5 3" xfId="12597"/>
    <cellStyle name="Обычный 5 2 2 5 3 2" xfId="12598"/>
    <cellStyle name="Обычный 5 2 2 5 4" xfId="12599"/>
    <cellStyle name="Обычный 5 2 2 5 5" xfId="12600"/>
    <cellStyle name="Обычный 5 2 2 5 6" xfId="12601"/>
    <cellStyle name="Обычный 5 2 2 5 7" xfId="12602"/>
    <cellStyle name="Обычный 5 2 2 5 8" xfId="12603"/>
    <cellStyle name="Обычный 5 2 2 5 9" xfId="12604"/>
    <cellStyle name="Обычный 5 2 2 6" xfId="12605"/>
    <cellStyle name="Обычный 5 2 2 6 10" xfId="12606"/>
    <cellStyle name="Обычный 5 2 2 6 11" xfId="12607"/>
    <cellStyle name="Обычный 5 2 2 6 12" xfId="19095"/>
    <cellStyle name="Обычный 5 2 2 6 13" xfId="20789"/>
    <cellStyle name="Обычный 5 2 2 6 14" xfId="22401"/>
    <cellStyle name="Обычный 5 2 2 6 2" xfId="12608"/>
    <cellStyle name="Обычный 5 2 2 6 2 10" xfId="12609"/>
    <cellStyle name="Обычный 5 2 2 6 2 11" xfId="19096"/>
    <cellStyle name="Обычный 5 2 2 6 2 12" xfId="20790"/>
    <cellStyle name="Обычный 5 2 2 6 2 13" xfId="22402"/>
    <cellStyle name="Обычный 5 2 2 6 2 2" xfId="12610"/>
    <cellStyle name="Обычный 5 2 2 6 2 2 2" xfId="12611"/>
    <cellStyle name="Обычный 5 2 2 6 2 3" xfId="12612"/>
    <cellStyle name="Обычный 5 2 2 6 2 4" xfId="12613"/>
    <cellStyle name="Обычный 5 2 2 6 2 5" xfId="12614"/>
    <cellStyle name="Обычный 5 2 2 6 2 6" xfId="12615"/>
    <cellStyle name="Обычный 5 2 2 6 2 7" xfId="12616"/>
    <cellStyle name="Обычный 5 2 2 6 2 8" xfId="12617"/>
    <cellStyle name="Обычный 5 2 2 6 2 9" xfId="12618"/>
    <cellStyle name="Обычный 5 2 2 6 3" xfId="12619"/>
    <cellStyle name="Обычный 5 2 2 6 3 2" xfId="12620"/>
    <cellStyle name="Обычный 5 2 2 6 4" xfId="12621"/>
    <cellStyle name="Обычный 5 2 2 6 5" xfId="12622"/>
    <cellStyle name="Обычный 5 2 2 6 6" xfId="12623"/>
    <cellStyle name="Обычный 5 2 2 6 7" xfId="12624"/>
    <cellStyle name="Обычный 5 2 2 6 8" xfId="12625"/>
    <cellStyle name="Обычный 5 2 2 6 9" xfId="12626"/>
    <cellStyle name="Обычный 5 2 2 7" xfId="12627"/>
    <cellStyle name="Обычный 5 2 2 7 10" xfId="12628"/>
    <cellStyle name="Обычный 5 2 2 7 11" xfId="12629"/>
    <cellStyle name="Обычный 5 2 2 7 12" xfId="19097"/>
    <cellStyle name="Обычный 5 2 2 7 13" xfId="20791"/>
    <cellStyle name="Обычный 5 2 2 7 14" xfId="22403"/>
    <cellStyle name="Обычный 5 2 2 7 2" xfId="12630"/>
    <cellStyle name="Обычный 5 2 2 7 2 10" xfId="12631"/>
    <cellStyle name="Обычный 5 2 2 7 2 11" xfId="19098"/>
    <cellStyle name="Обычный 5 2 2 7 2 12" xfId="20792"/>
    <cellStyle name="Обычный 5 2 2 7 2 13" xfId="22404"/>
    <cellStyle name="Обычный 5 2 2 7 2 2" xfId="12632"/>
    <cellStyle name="Обычный 5 2 2 7 2 2 2" xfId="12633"/>
    <cellStyle name="Обычный 5 2 2 7 2 3" xfId="12634"/>
    <cellStyle name="Обычный 5 2 2 7 2 4" xfId="12635"/>
    <cellStyle name="Обычный 5 2 2 7 2 5" xfId="12636"/>
    <cellStyle name="Обычный 5 2 2 7 2 6" xfId="12637"/>
    <cellStyle name="Обычный 5 2 2 7 2 7" xfId="12638"/>
    <cellStyle name="Обычный 5 2 2 7 2 8" xfId="12639"/>
    <cellStyle name="Обычный 5 2 2 7 2 9" xfId="12640"/>
    <cellStyle name="Обычный 5 2 2 7 3" xfId="12641"/>
    <cellStyle name="Обычный 5 2 2 7 3 2" xfId="12642"/>
    <cellStyle name="Обычный 5 2 2 7 4" xfId="12643"/>
    <cellStyle name="Обычный 5 2 2 7 5" xfId="12644"/>
    <cellStyle name="Обычный 5 2 2 7 6" xfId="12645"/>
    <cellStyle name="Обычный 5 2 2 7 7" xfId="12646"/>
    <cellStyle name="Обычный 5 2 2 7 8" xfId="12647"/>
    <cellStyle name="Обычный 5 2 2 7 9" xfId="12648"/>
    <cellStyle name="Обычный 5 2 2 8" xfId="12649"/>
    <cellStyle name="Обычный 5 2 2 8 10" xfId="12650"/>
    <cellStyle name="Обычный 5 2 2 8 11" xfId="19099"/>
    <cellStyle name="Обычный 5 2 2 8 12" xfId="20793"/>
    <cellStyle name="Обычный 5 2 2 8 13" xfId="22405"/>
    <cellStyle name="Обычный 5 2 2 8 2" xfId="12651"/>
    <cellStyle name="Обычный 5 2 2 8 2 2" xfId="12652"/>
    <cellStyle name="Обычный 5 2 2 8 3" xfId="12653"/>
    <cellStyle name="Обычный 5 2 2 8 4" xfId="12654"/>
    <cellStyle name="Обычный 5 2 2 8 5" xfId="12655"/>
    <cellStyle name="Обычный 5 2 2 8 6" xfId="12656"/>
    <cellStyle name="Обычный 5 2 2 8 7" xfId="12657"/>
    <cellStyle name="Обычный 5 2 2 8 8" xfId="12658"/>
    <cellStyle name="Обычный 5 2 2 8 9" xfId="12659"/>
    <cellStyle name="Обычный 5 2 2 9" xfId="12660"/>
    <cellStyle name="Обычный 5 2 2 9 10" xfId="20794"/>
    <cellStyle name="Обычный 5 2 2 9 11" xfId="22406"/>
    <cellStyle name="Обычный 5 2 2 9 2" xfId="12661"/>
    <cellStyle name="Обычный 5 2 2 9 2 2" xfId="12662"/>
    <cellStyle name="Обычный 5 2 2 9 3" xfId="12663"/>
    <cellStyle name="Обычный 5 2 2 9 4" xfId="12664"/>
    <cellStyle name="Обычный 5 2 2 9 5" xfId="12665"/>
    <cellStyle name="Обычный 5 2 2 9 6" xfId="12666"/>
    <cellStyle name="Обычный 5 2 2 9 7" xfId="12667"/>
    <cellStyle name="Обычный 5 2 2 9 8" xfId="12668"/>
    <cellStyle name="Обычный 5 2 2 9 9" xfId="19100"/>
    <cellStyle name="Обычный 5 2 20" xfId="12669"/>
    <cellStyle name="Обычный 5 2 21" xfId="12670"/>
    <cellStyle name="Обычный 5 2 22" xfId="12671"/>
    <cellStyle name="Обычный 5 2 23" xfId="12672"/>
    <cellStyle name="Обычный 5 2 24" xfId="19062"/>
    <cellStyle name="Обычный 5 2 25" xfId="19639"/>
    <cellStyle name="Обычный 5 2 26" xfId="20756"/>
    <cellStyle name="Обычный 5 2 27" xfId="22368"/>
    <cellStyle name="Обычный 5 2 3" xfId="12673"/>
    <cellStyle name="Обычный 5 2 3 10" xfId="12674"/>
    <cellStyle name="Обычный 5 2 3 11" xfId="12675"/>
    <cellStyle name="Обычный 5 2 3 12" xfId="12676"/>
    <cellStyle name="Обычный 5 2 3 13" xfId="12677"/>
    <cellStyle name="Обычный 5 2 3 14" xfId="12678"/>
    <cellStyle name="Обычный 5 2 3 15" xfId="12679"/>
    <cellStyle name="Обычный 5 2 3 16" xfId="12680"/>
    <cellStyle name="Обычный 5 2 3 17" xfId="12681"/>
    <cellStyle name="Обычный 5 2 3 18" xfId="19101"/>
    <cellStyle name="Обычный 5 2 3 19" xfId="20795"/>
    <cellStyle name="Обычный 5 2 3 2" xfId="12682"/>
    <cellStyle name="Обычный 5 2 3 2 10" xfId="12683"/>
    <cellStyle name="Обычный 5 2 3 2 11" xfId="12684"/>
    <cellStyle name="Обычный 5 2 3 2 12" xfId="19102"/>
    <cellStyle name="Обычный 5 2 3 2 13" xfId="20796"/>
    <cellStyle name="Обычный 5 2 3 2 14" xfId="22408"/>
    <cellStyle name="Обычный 5 2 3 2 2" xfId="12685"/>
    <cellStyle name="Обычный 5 2 3 2 2 10" xfId="12686"/>
    <cellStyle name="Обычный 5 2 3 2 2 11" xfId="19103"/>
    <cellStyle name="Обычный 5 2 3 2 2 12" xfId="20797"/>
    <cellStyle name="Обычный 5 2 3 2 2 13" xfId="22409"/>
    <cellStyle name="Обычный 5 2 3 2 2 2" xfId="12687"/>
    <cellStyle name="Обычный 5 2 3 2 2 2 2" xfId="12688"/>
    <cellStyle name="Обычный 5 2 3 2 2 3" xfId="12689"/>
    <cellStyle name="Обычный 5 2 3 2 2 4" xfId="12690"/>
    <cellStyle name="Обычный 5 2 3 2 2 5" xfId="12691"/>
    <cellStyle name="Обычный 5 2 3 2 2 6" xfId="12692"/>
    <cellStyle name="Обычный 5 2 3 2 2 7" xfId="12693"/>
    <cellStyle name="Обычный 5 2 3 2 2 8" xfId="12694"/>
    <cellStyle name="Обычный 5 2 3 2 2 9" xfId="12695"/>
    <cellStyle name="Обычный 5 2 3 2 3" xfId="12696"/>
    <cellStyle name="Обычный 5 2 3 2 3 2" xfId="12697"/>
    <cellStyle name="Обычный 5 2 3 2 4" xfId="12698"/>
    <cellStyle name="Обычный 5 2 3 2 5" xfId="12699"/>
    <cellStyle name="Обычный 5 2 3 2 6" xfId="12700"/>
    <cellStyle name="Обычный 5 2 3 2 7" xfId="12701"/>
    <cellStyle name="Обычный 5 2 3 2 8" xfId="12702"/>
    <cellStyle name="Обычный 5 2 3 2 9" xfId="12703"/>
    <cellStyle name="Обычный 5 2 3 20" xfId="22407"/>
    <cellStyle name="Обычный 5 2 3 3" xfId="12704"/>
    <cellStyle name="Обычный 5 2 3 3 10" xfId="12705"/>
    <cellStyle name="Обычный 5 2 3 3 11" xfId="12706"/>
    <cellStyle name="Обычный 5 2 3 3 12" xfId="19104"/>
    <cellStyle name="Обычный 5 2 3 3 13" xfId="20798"/>
    <cellStyle name="Обычный 5 2 3 3 14" xfId="22410"/>
    <cellStyle name="Обычный 5 2 3 3 2" xfId="12707"/>
    <cellStyle name="Обычный 5 2 3 3 2 10" xfId="12708"/>
    <cellStyle name="Обычный 5 2 3 3 2 11" xfId="19105"/>
    <cellStyle name="Обычный 5 2 3 3 2 12" xfId="20799"/>
    <cellStyle name="Обычный 5 2 3 3 2 13" xfId="22411"/>
    <cellStyle name="Обычный 5 2 3 3 2 2" xfId="12709"/>
    <cellStyle name="Обычный 5 2 3 3 2 2 2" xfId="12710"/>
    <cellStyle name="Обычный 5 2 3 3 2 3" xfId="12711"/>
    <cellStyle name="Обычный 5 2 3 3 2 4" xfId="12712"/>
    <cellStyle name="Обычный 5 2 3 3 2 5" xfId="12713"/>
    <cellStyle name="Обычный 5 2 3 3 2 6" xfId="12714"/>
    <cellStyle name="Обычный 5 2 3 3 2 7" xfId="12715"/>
    <cellStyle name="Обычный 5 2 3 3 2 8" xfId="12716"/>
    <cellStyle name="Обычный 5 2 3 3 2 9" xfId="12717"/>
    <cellStyle name="Обычный 5 2 3 3 3" xfId="12718"/>
    <cellStyle name="Обычный 5 2 3 3 3 2" xfId="12719"/>
    <cellStyle name="Обычный 5 2 3 3 4" xfId="12720"/>
    <cellStyle name="Обычный 5 2 3 3 5" xfId="12721"/>
    <cellStyle name="Обычный 5 2 3 3 6" xfId="12722"/>
    <cellStyle name="Обычный 5 2 3 3 7" xfId="12723"/>
    <cellStyle name="Обычный 5 2 3 3 8" xfId="12724"/>
    <cellStyle name="Обычный 5 2 3 3 9" xfId="12725"/>
    <cellStyle name="Обычный 5 2 3 4" xfId="12726"/>
    <cellStyle name="Обычный 5 2 3 4 10" xfId="12727"/>
    <cellStyle name="Обычный 5 2 3 4 11" xfId="12728"/>
    <cellStyle name="Обычный 5 2 3 4 12" xfId="19106"/>
    <cellStyle name="Обычный 5 2 3 4 13" xfId="20800"/>
    <cellStyle name="Обычный 5 2 3 4 14" xfId="22412"/>
    <cellStyle name="Обычный 5 2 3 4 2" xfId="12729"/>
    <cellStyle name="Обычный 5 2 3 4 2 10" xfId="12730"/>
    <cellStyle name="Обычный 5 2 3 4 2 11" xfId="19107"/>
    <cellStyle name="Обычный 5 2 3 4 2 12" xfId="20801"/>
    <cellStyle name="Обычный 5 2 3 4 2 13" xfId="22413"/>
    <cellStyle name="Обычный 5 2 3 4 2 2" xfId="12731"/>
    <cellStyle name="Обычный 5 2 3 4 2 2 2" xfId="12732"/>
    <cellStyle name="Обычный 5 2 3 4 2 3" xfId="12733"/>
    <cellStyle name="Обычный 5 2 3 4 2 4" xfId="12734"/>
    <cellStyle name="Обычный 5 2 3 4 2 5" xfId="12735"/>
    <cellStyle name="Обычный 5 2 3 4 2 6" xfId="12736"/>
    <cellStyle name="Обычный 5 2 3 4 2 7" xfId="12737"/>
    <cellStyle name="Обычный 5 2 3 4 2 8" xfId="12738"/>
    <cellStyle name="Обычный 5 2 3 4 2 9" xfId="12739"/>
    <cellStyle name="Обычный 5 2 3 4 3" xfId="12740"/>
    <cellStyle name="Обычный 5 2 3 4 3 2" xfId="12741"/>
    <cellStyle name="Обычный 5 2 3 4 4" xfId="12742"/>
    <cellStyle name="Обычный 5 2 3 4 5" xfId="12743"/>
    <cellStyle name="Обычный 5 2 3 4 6" xfId="12744"/>
    <cellStyle name="Обычный 5 2 3 4 7" xfId="12745"/>
    <cellStyle name="Обычный 5 2 3 4 8" xfId="12746"/>
    <cellStyle name="Обычный 5 2 3 4 9" xfId="12747"/>
    <cellStyle name="Обычный 5 2 3 5" xfId="12748"/>
    <cellStyle name="Обычный 5 2 3 5 10" xfId="12749"/>
    <cellStyle name="Обычный 5 2 3 5 11" xfId="12750"/>
    <cellStyle name="Обычный 5 2 3 5 12" xfId="19108"/>
    <cellStyle name="Обычный 5 2 3 5 13" xfId="20802"/>
    <cellStyle name="Обычный 5 2 3 5 14" xfId="22414"/>
    <cellStyle name="Обычный 5 2 3 5 2" xfId="12751"/>
    <cellStyle name="Обычный 5 2 3 5 2 10" xfId="12752"/>
    <cellStyle name="Обычный 5 2 3 5 2 11" xfId="19109"/>
    <cellStyle name="Обычный 5 2 3 5 2 12" xfId="20803"/>
    <cellStyle name="Обычный 5 2 3 5 2 13" xfId="22415"/>
    <cellStyle name="Обычный 5 2 3 5 2 2" xfId="12753"/>
    <cellStyle name="Обычный 5 2 3 5 2 2 2" xfId="12754"/>
    <cellStyle name="Обычный 5 2 3 5 2 3" xfId="12755"/>
    <cellStyle name="Обычный 5 2 3 5 2 4" xfId="12756"/>
    <cellStyle name="Обычный 5 2 3 5 2 5" xfId="12757"/>
    <cellStyle name="Обычный 5 2 3 5 2 6" xfId="12758"/>
    <cellStyle name="Обычный 5 2 3 5 2 7" xfId="12759"/>
    <cellStyle name="Обычный 5 2 3 5 2 8" xfId="12760"/>
    <cellStyle name="Обычный 5 2 3 5 2 9" xfId="12761"/>
    <cellStyle name="Обычный 5 2 3 5 3" xfId="12762"/>
    <cellStyle name="Обычный 5 2 3 5 3 2" xfId="12763"/>
    <cellStyle name="Обычный 5 2 3 5 4" xfId="12764"/>
    <cellStyle name="Обычный 5 2 3 5 5" xfId="12765"/>
    <cellStyle name="Обычный 5 2 3 5 6" xfId="12766"/>
    <cellStyle name="Обычный 5 2 3 5 7" xfId="12767"/>
    <cellStyle name="Обычный 5 2 3 5 8" xfId="12768"/>
    <cellStyle name="Обычный 5 2 3 5 9" xfId="12769"/>
    <cellStyle name="Обычный 5 2 3 6" xfId="12770"/>
    <cellStyle name="Обычный 5 2 3 6 10" xfId="12771"/>
    <cellStyle name="Обычный 5 2 3 6 11" xfId="19110"/>
    <cellStyle name="Обычный 5 2 3 6 12" xfId="20804"/>
    <cellStyle name="Обычный 5 2 3 6 13" xfId="22416"/>
    <cellStyle name="Обычный 5 2 3 6 2" xfId="12772"/>
    <cellStyle name="Обычный 5 2 3 6 2 2" xfId="12773"/>
    <cellStyle name="Обычный 5 2 3 6 3" xfId="12774"/>
    <cellStyle name="Обычный 5 2 3 6 4" xfId="12775"/>
    <cellStyle name="Обычный 5 2 3 6 5" xfId="12776"/>
    <cellStyle name="Обычный 5 2 3 6 6" xfId="12777"/>
    <cellStyle name="Обычный 5 2 3 6 7" xfId="12778"/>
    <cellStyle name="Обычный 5 2 3 6 8" xfId="12779"/>
    <cellStyle name="Обычный 5 2 3 6 9" xfId="12780"/>
    <cellStyle name="Обычный 5 2 3 7" xfId="12781"/>
    <cellStyle name="Обычный 5 2 3 7 10" xfId="20805"/>
    <cellStyle name="Обычный 5 2 3 7 11" xfId="22417"/>
    <cellStyle name="Обычный 5 2 3 7 2" xfId="12782"/>
    <cellStyle name="Обычный 5 2 3 7 2 2" xfId="12783"/>
    <cellStyle name="Обычный 5 2 3 7 3" xfId="12784"/>
    <cellStyle name="Обычный 5 2 3 7 4" xfId="12785"/>
    <cellStyle name="Обычный 5 2 3 7 5" xfId="12786"/>
    <cellStyle name="Обычный 5 2 3 7 6" xfId="12787"/>
    <cellStyle name="Обычный 5 2 3 7 7" xfId="12788"/>
    <cellStyle name="Обычный 5 2 3 7 8" xfId="12789"/>
    <cellStyle name="Обычный 5 2 3 7 9" xfId="19111"/>
    <cellStyle name="Обычный 5 2 3 8" xfId="12790"/>
    <cellStyle name="Обычный 5 2 3 8 2" xfId="12791"/>
    <cellStyle name="Обычный 5 2 3 9" xfId="12792"/>
    <cellStyle name="Обычный 5 2 4" xfId="12793"/>
    <cellStyle name="Обычный 5 2 4 10" xfId="12794"/>
    <cellStyle name="Обычный 5 2 4 11" xfId="12795"/>
    <cellStyle name="Обычный 5 2 4 12" xfId="12796"/>
    <cellStyle name="Обычный 5 2 4 13" xfId="12797"/>
    <cellStyle name="Обычный 5 2 4 14" xfId="12798"/>
    <cellStyle name="Обычный 5 2 4 15" xfId="12799"/>
    <cellStyle name="Обычный 5 2 4 16" xfId="12800"/>
    <cellStyle name="Обычный 5 2 4 17" xfId="12801"/>
    <cellStyle name="Обычный 5 2 4 18" xfId="19112"/>
    <cellStyle name="Обычный 5 2 4 19" xfId="20806"/>
    <cellStyle name="Обычный 5 2 4 2" xfId="12802"/>
    <cellStyle name="Обычный 5 2 4 2 10" xfId="12803"/>
    <cellStyle name="Обычный 5 2 4 2 11" xfId="12804"/>
    <cellStyle name="Обычный 5 2 4 2 12" xfId="19113"/>
    <cellStyle name="Обычный 5 2 4 2 13" xfId="20807"/>
    <cellStyle name="Обычный 5 2 4 2 14" xfId="22419"/>
    <cellStyle name="Обычный 5 2 4 2 2" xfId="12805"/>
    <cellStyle name="Обычный 5 2 4 2 2 10" xfId="12806"/>
    <cellStyle name="Обычный 5 2 4 2 2 11" xfId="19114"/>
    <cellStyle name="Обычный 5 2 4 2 2 12" xfId="20808"/>
    <cellStyle name="Обычный 5 2 4 2 2 13" xfId="22420"/>
    <cellStyle name="Обычный 5 2 4 2 2 2" xfId="12807"/>
    <cellStyle name="Обычный 5 2 4 2 2 2 2" xfId="12808"/>
    <cellStyle name="Обычный 5 2 4 2 2 3" xfId="12809"/>
    <cellStyle name="Обычный 5 2 4 2 2 4" xfId="12810"/>
    <cellStyle name="Обычный 5 2 4 2 2 5" xfId="12811"/>
    <cellStyle name="Обычный 5 2 4 2 2 6" xfId="12812"/>
    <cellStyle name="Обычный 5 2 4 2 2 7" xfId="12813"/>
    <cellStyle name="Обычный 5 2 4 2 2 8" xfId="12814"/>
    <cellStyle name="Обычный 5 2 4 2 2 9" xfId="12815"/>
    <cellStyle name="Обычный 5 2 4 2 3" xfId="12816"/>
    <cellStyle name="Обычный 5 2 4 2 3 2" xfId="12817"/>
    <cellStyle name="Обычный 5 2 4 2 4" xfId="12818"/>
    <cellStyle name="Обычный 5 2 4 2 5" xfId="12819"/>
    <cellStyle name="Обычный 5 2 4 2 6" xfId="12820"/>
    <cellStyle name="Обычный 5 2 4 2 7" xfId="12821"/>
    <cellStyle name="Обычный 5 2 4 2 8" xfId="12822"/>
    <cellStyle name="Обычный 5 2 4 2 9" xfId="12823"/>
    <cellStyle name="Обычный 5 2 4 20" xfId="22418"/>
    <cellStyle name="Обычный 5 2 4 3" xfId="12824"/>
    <cellStyle name="Обычный 5 2 4 3 10" xfId="12825"/>
    <cellStyle name="Обычный 5 2 4 3 11" xfId="12826"/>
    <cellStyle name="Обычный 5 2 4 3 12" xfId="19115"/>
    <cellStyle name="Обычный 5 2 4 3 13" xfId="20809"/>
    <cellStyle name="Обычный 5 2 4 3 14" xfId="22421"/>
    <cellStyle name="Обычный 5 2 4 3 2" xfId="12827"/>
    <cellStyle name="Обычный 5 2 4 3 2 10" xfId="12828"/>
    <cellStyle name="Обычный 5 2 4 3 2 11" xfId="19116"/>
    <cellStyle name="Обычный 5 2 4 3 2 12" xfId="20810"/>
    <cellStyle name="Обычный 5 2 4 3 2 13" xfId="22422"/>
    <cellStyle name="Обычный 5 2 4 3 2 2" xfId="12829"/>
    <cellStyle name="Обычный 5 2 4 3 2 2 2" xfId="12830"/>
    <cellStyle name="Обычный 5 2 4 3 2 3" xfId="12831"/>
    <cellStyle name="Обычный 5 2 4 3 2 4" xfId="12832"/>
    <cellStyle name="Обычный 5 2 4 3 2 5" xfId="12833"/>
    <cellStyle name="Обычный 5 2 4 3 2 6" xfId="12834"/>
    <cellStyle name="Обычный 5 2 4 3 2 7" xfId="12835"/>
    <cellStyle name="Обычный 5 2 4 3 2 8" xfId="12836"/>
    <cellStyle name="Обычный 5 2 4 3 2 9" xfId="12837"/>
    <cellStyle name="Обычный 5 2 4 3 3" xfId="12838"/>
    <cellStyle name="Обычный 5 2 4 3 3 2" xfId="12839"/>
    <cellStyle name="Обычный 5 2 4 3 4" xfId="12840"/>
    <cellStyle name="Обычный 5 2 4 3 5" xfId="12841"/>
    <cellStyle name="Обычный 5 2 4 3 6" xfId="12842"/>
    <cellStyle name="Обычный 5 2 4 3 7" xfId="12843"/>
    <cellStyle name="Обычный 5 2 4 3 8" xfId="12844"/>
    <cellStyle name="Обычный 5 2 4 3 9" xfId="12845"/>
    <cellStyle name="Обычный 5 2 4 4" xfId="12846"/>
    <cellStyle name="Обычный 5 2 4 4 10" xfId="12847"/>
    <cellStyle name="Обычный 5 2 4 4 11" xfId="12848"/>
    <cellStyle name="Обычный 5 2 4 4 12" xfId="19117"/>
    <cellStyle name="Обычный 5 2 4 4 13" xfId="20811"/>
    <cellStyle name="Обычный 5 2 4 4 14" xfId="22423"/>
    <cellStyle name="Обычный 5 2 4 4 2" xfId="12849"/>
    <cellStyle name="Обычный 5 2 4 4 2 10" xfId="12850"/>
    <cellStyle name="Обычный 5 2 4 4 2 11" xfId="19118"/>
    <cellStyle name="Обычный 5 2 4 4 2 12" xfId="20812"/>
    <cellStyle name="Обычный 5 2 4 4 2 13" xfId="22424"/>
    <cellStyle name="Обычный 5 2 4 4 2 2" xfId="12851"/>
    <cellStyle name="Обычный 5 2 4 4 2 2 2" xfId="12852"/>
    <cellStyle name="Обычный 5 2 4 4 2 3" xfId="12853"/>
    <cellStyle name="Обычный 5 2 4 4 2 4" xfId="12854"/>
    <cellStyle name="Обычный 5 2 4 4 2 5" xfId="12855"/>
    <cellStyle name="Обычный 5 2 4 4 2 6" xfId="12856"/>
    <cellStyle name="Обычный 5 2 4 4 2 7" xfId="12857"/>
    <cellStyle name="Обычный 5 2 4 4 2 8" xfId="12858"/>
    <cellStyle name="Обычный 5 2 4 4 2 9" xfId="12859"/>
    <cellStyle name="Обычный 5 2 4 4 3" xfId="12860"/>
    <cellStyle name="Обычный 5 2 4 4 3 2" xfId="12861"/>
    <cellStyle name="Обычный 5 2 4 4 4" xfId="12862"/>
    <cellStyle name="Обычный 5 2 4 4 5" xfId="12863"/>
    <cellStyle name="Обычный 5 2 4 4 6" xfId="12864"/>
    <cellStyle name="Обычный 5 2 4 4 7" xfId="12865"/>
    <cellStyle name="Обычный 5 2 4 4 8" xfId="12866"/>
    <cellStyle name="Обычный 5 2 4 4 9" xfId="12867"/>
    <cellStyle name="Обычный 5 2 4 5" xfId="12868"/>
    <cellStyle name="Обычный 5 2 4 5 10" xfId="12869"/>
    <cellStyle name="Обычный 5 2 4 5 11" xfId="12870"/>
    <cellStyle name="Обычный 5 2 4 5 12" xfId="19119"/>
    <cellStyle name="Обычный 5 2 4 5 13" xfId="20813"/>
    <cellStyle name="Обычный 5 2 4 5 14" xfId="22425"/>
    <cellStyle name="Обычный 5 2 4 5 2" xfId="12871"/>
    <cellStyle name="Обычный 5 2 4 5 2 10" xfId="12872"/>
    <cellStyle name="Обычный 5 2 4 5 2 11" xfId="19120"/>
    <cellStyle name="Обычный 5 2 4 5 2 12" xfId="20814"/>
    <cellStyle name="Обычный 5 2 4 5 2 13" xfId="22426"/>
    <cellStyle name="Обычный 5 2 4 5 2 2" xfId="12873"/>
    <cellStyle name="Обычный 5 2 4 5 2 2 2" xfId="12874"/>
    <cellStyle name="Обычный 5 2 4 5 2 3" xfId="12875"/>
    <cellStyle name="Обычный 5 2 4 5 2 4" xfId="12876"/>
    <cellStyle name="Обычный 5 2 4 5 2 5" xfId="12877"/>
    <cellStyle name="Обычный 5 2 4 5 2 6" xfId="12878"/>
    <cellStyle name="Обычный 5 2 4 5 2 7" xfId="12879"/>
    <cellStyle name="Обычный 5 2 4 5 2 8" xfId="12880"/>
    <cellStyle name="Обычный 5 2 4 5 2 9" xfId="12881"/>
    <cellStyle name="Обычный 5 2 4 5 3" xfId="12882"/>
    <cellStyle name="Обычный 5 2 4 5 3 2" xfId="12883"/>
    <cellStyle name="Обычный 5 2 4 5 4" xfId="12884"/>
    <cellStyle name="Обычный 5 2 4 5 5" xfId="12885"/>
    <cellStyle name="Обычный 5 2 4 5 6" xfId="12886"/>
    <cellStyle name="Обычный 5 2 4 5 7" xfId="12887"/>
    <cellStyle name="Обычный 5 2 4 5 8" xfId="12888"/>
    <cellStyle name="Обычный 5 2 4 5 9" xfId="12889"/>
    <cellStyle name="Обычный 5 2 4 6" xfId="12890"/>
    <cellStyle name="Обычный 5 2 4 6 10" xfId="12891"/>
    <cellStyle name="Обычный 5 2 4 6 11" xfId="19121"/>
    <cellStyle name="Обычный 5 2 4 6 12" xfId="20815"/>
    <cellStyle name="Обычный 5 2 4 6 13" xfId="22427"/>
    <cellStyle name="Обычный 5 2 4 6 2" xfId="12892"/>
    <cellStyle name="Обычный 5 2 4 6 2 2" xfId="12893"/>
    <cellStyle name="Обычный 5 2 4 6 3" xfId="12894"/>
    <cellStyle name="Обычный 5 2 4 6 4" xfId="12895"/>
    <cellStyle name="Обычный 5 2 4 6 5" xfId="12896"/>
    <cellStyle name="Обычный 5 2 4 6 6" xfId="12897"/>
    <cellStyle name="Обычный 5 2 4 6 7" xfId="12898"/>
    <cellStyle name="Обычный 5 2 4 6 8" xfId="12899"/>
    <cellStyle name="Обычный 5 2 4 6 9" xfId="12900"/>
    <cellStyle name="Обычный 5 2 4 7" xfId="12901"/>
    <cellStyle name="Обычный 5 2 4 7 10" xfId="20816"/>
    <cellStyle name="Обычный 5 2 4 7 11" xfId="22428"/>
    <cellStyle name="Обычный 5 2 4 7 2" xfId="12902"/>
    <cellStyle name="Обычный 5 2 4 7 2 2" xfId="12903"/>
    <cellStyle name="Обычный 5 2 4 7 3" xfId="12904"/>
    <cellStyle name="Обычный 5 2 4 7 4" xfId="12905"/>
    <cellStyle name="Обычный 5 2 4 7 5" xfId="12906"/>
    <cellStyle name="Обычный 5 2 4 7 6" xfId="12907"/>
    <cellStyle name="Обычный 5 2 4 7 7" xfId="12908"/>
    <cellStyle name="Обычный 5 2 4 7 8" xfId="12909"/>
    <cellStyle name="Обычный 5 2 4 7 9" xfId="19122"/>
    <cellStyle name="Обычный 5 2 4 8" xfId="12910"/>
    <cellStyle name="Обычный 5 2 4 8 2" xfId="12911"/>
    <cellStyle name="Обычный 5 2 4 9" xfId="12912"/>
    <cellStyle name="Обычный 5 2 5" xfId="12913"/>
    <cellStyle name="Обычный 5 2 5 10" xfId="12914"/>
    <cellStyle name="Обычный 5 2 5 11" xfId="12915"/>
    <cellStyle name="Обычный 5 2 5 12" xfId="19123"/>
    <cellStyle name="Обычный 5 2 5 13" xfId="20817"/>
    <cellStyle name="Обычный 5 2 5 14" xfId="22429"/>
    <cellStyle name="Обычный 5 2 5 2" xfId="12916"/>
    <cellStyle name="Обычный 5 2 5 2 10" xfId="12917"/>
    <cellStyle name="Обычный 5 2 5 2 11" xfId="19124"/>
    <cellStyle name="Обычный 5 2 5 2 12" xfId="20818"/>
    <cellStyle name="Обычный 5 2 5 2 13" xfId="22430"/>
    <cellStyle name="Обычный 5 2 5 2 2" xfId="12918"/>
    <cellStyle name="Обычный 5 2 5 2 2 2" xfId="12919"/>
    <cellStyle name="Обычный 5 2 5 2 3" xfId="12920"/>
    <cellStyle name="Обычный 5 2 5 2 4" xfId="12921"/>
    <cellStyle name="Обычный 5 2 5 2 5" xfId="12922"/>
    <cellStyle name="Обычный 5 2 5 2 6" xfId="12923"/>
    <cellStyle name="Обычный 5 2 5 2 7" xfId="12924"/>
    <cellStyle name="Обычный 5 2 5 2 8" xfId="12925"/>
    <cellStyle name="Обычный 5 2 5 2 9" xfId="12926"/>
    <cellStyle name="Обычный 5 2 5 3" xfId="12927"/>
    <cellStyle name="Обычный 5 2 5 3 2" xfId="12928"/>
    <cellStyle name="Обычный 5 2 5 4" xfId="12929"/>
    <cellStyle name="Обычный 5 2 5 5" xfId="12930"/>
    <cellStyle name="Обычный 5 2 5 6" xfId="12931"/>
    <cellStyle name="Обычный 5 2 5 7" xfId="12932"/>
    <cellStyle name="Обычный 5 2 5 8" xfId="12933"/>
    <cellStyle name="Обычный 5 2 5 9" xfId="12934"/>
    <cellStyle name="Обычный 5 2 6" xfId="12935"/>
    <cellStyle name="Обычный 5 2 6 10" xfId="12936"/>
    <cellStyle name="Обычный 5 2 6 11" xfId="12937"/>
    <cellStyle name="Обычный 5 2 6 12" xfId="19125"/>
    <cellStyle name="Обычный 5 2 6 13" xfId="20819"/>
    <cellStyle name="Обычный 5 2 6 14" xfId="22431"/>
    <cellStyle name="Обычный 5 2 6 2" xfId="12938"/>
    <cellStyle name="Обычный 5 2 6 2 10" xfId="12939"/>
    <cellStyle name="Обычный 5 2 6 2 11" xfId="19126"/>
    <cellStyle name="Обычный 5 2 6 2 12" xfId="20820"/>
    <cellStyle name="Обычный 5 2 6 2 13" xfId="22432"/>
    <cellStyle name="Обычный 5 2 6 2 2" xfId="12940"/>
    <cellStyle name="Обычный 5 2 6 2 2 2" xfId="12941"/>
    <cellStyle name="Обычный 5 2 6 2 3" xfId="12942"/>
    <cellStyle name="Обычный 5 2 6 2 4" xfId="12943"/>
    <cellStyle name="Обычный 5 2 6 2 5" xfId="12944"/>
    <cellStyle name="Обычный 5 2 6 2 6" xfId="12945"/>
    <cellStyle name="Обычный 5 2 6 2 7" xfId="12946"/>
    <cellStyle name="Обычный 5 2 6 2 8" xfId="12947"/>
    <cellStyle name="Обычный 5 2 6 2 9" xfId="12948"/>
    <cellStyle name="Обычный 5 2 6 3" xfId="12949"/>
    <cellStyle name="Обычный 5 2 6 3 2" xfId="12950"/>
    <cellStyle name="Обычный 5 2 6 4" xfId="12951"/>
    <cellStyle name="Обычный 5 2 6 5" xfId="12952"/>
    <cellStyle name="Обычный 5 2 6 6" xfId="12953"/>
    <cellStyle name="Обычный 5 2 6 7" xfId="12954"/>
    <cellStyle name="Обычный 5 2 6 8" xfId="12955"/>
    <cellStyle name="Обычный 5 2 6 9" xfId="12956"/>
    <cellStyle name="Обычный 5 2 7" xfId="12957"/>
    <cellStyle name="Обычный 5 2 7 10" xfId="12958"/>
    <cellStyle name="Обычный 5 2 7 11" xfId="12959"/>
    <cellStyle name="Обычный 5 2 7 12" xfId="19127"/>
    <cellStyle name="Обычный 5 2 7 13" xfId="20821"/>
    <cellStyle name="Обычный 5 2 7 14" xfId="22433"/>
    <cellStyle name="Обычный 5 2 7 2" xfId="12960"/>
    <cellStyle name="Обычный 5 2 7 2 10" xfId="12961"/>
    <cellStyle name="Обычный 5 2 7 2 11" xfId="19128"/>
    <cellStyle name="Обычный 5 2 7 2 12" xfId="20822"/>
    <cellStyle name="Обычный 5 2 7 2 13" xfId="22434"/>
    <cellStyle name="Обычный 5 2 7 2 2" xfId="12962"/>
    <cellStyle name="Обычный 5 2 7 2 2 2" xfId="12963"/>
    <cellStyle name="Обычный 5 2 7 2 3" xfId="12964"/>
    <cellStyle name="Обычный 5 2 7 2 4" xfId="12965"/>
    <cellStyle name="Обычный 5 2 7 2 5" xfId="12966"/>
    <cellStyle name="Обычный 5 2 7 2 6" xfId="12967"/>
    <cellStyle name="Обычный 5 2 7 2 7" xfId="12968"/>
    <cellStyle name="Обычный 5 2 7 2 8" xfId="12969"/>
    <cellStyle name="Обычный 5 2 7 2 9" xfId="12970"/>
    <cellStyle name="Обычный 5 2 7 3" xfId="12971"/>
    <cellStyle name="Обычный 5 2 7 3 2" xfId="12972"/>
    <cellStyle name="Обычный 5 2 7 4" xfId="12973"/>
    <cellStyle name="Обычный 5 2 7 5" xfId="12974"/>
    <cellStyle name="Обычный 5 2 7 6" xfId="12975"/>
    <cellStyle name="Обычный 5 2 7 7" xfId="12976"/>
    <cellStyle name="Обычный 5 2 7 8" xfId="12977"/>
    <cellStyle name="Обычный 5 2 7 9" xfId="12978"/>
    <cellStyle name="Обычный 5 2 8" xfId="12979"/>
    <cellStyle name="Обычный 5 2 8 10" xfId="12980"/>
    <cellStyle name="Обычный 5 2 8 11" xfId="12981"/>
    <cellStyle name="Обычный 5 2 8 12" xfId="19129"/>
    <cellStyle name="Обычный 5 2 8 13" xfId="20823"/>
    <cellStyle name="Обычный 5 2 8 14" xfId="22435"/>
    <cellStyle name="Обычный 5 2 8 2" xfId="12982"/>
    <cellStyle name="Обычный 5 2 8 2 10" xfId="12983"/>
    <cellStyle name="Обычный 5 2 8 2 11" xfId="19130"/>
    <cellStyle name="Обычный 5 2 8 2 12" xfId="20824"/>
    <cellStyle name="Обычный 5 2 8 2 13" xfId="22436"/>
    <cellStyle name="Обычный 5 2 8 2 2" xfId="12984"/>
    <cellStyle name="Обычный 5 2 8 2 2 2" xfId="12985"/>
    <cellStyle name="Обычный 5 2 8 2 3" xfId="12986"/>
    <cellStyle name="Обычный 5 2 8 2 4" xfId="12987"/>
    <cellStyle name="Обычный 5 2 8 2 5" xfId="12988"/>
    <cellStyle name="Обычный 5 2 8 2 6" xfId="12989"/>
    <cellStyle name="Обычный 5 2 8 2 7" xfId="12990"/>
    <cellStyle name="Обычный 5 2 8 2 8" xfId="12991"/>
    <cellStyle name="Обычный 5 2 8 2 9" xfId="12992"/>
    <cellStyle name="Обычный 5 2 8 3" xfId="12993"/>
    <cellStyle name="Обычный 5 2 8 3 2" xfId="12994"/>
    <cellStyle name="Обычный 5 2 8 4" xfId="12995"/>
    <cellStyle name="Обычный 5 2 8 5" xfId="12996"/>
    <cellStyle name="Обычный 5 2 8 6" xfId="12997"/>
    <cellStyle name="Обычный 5 2 8 7" xfId="12998"/>
    <cellStyle name="Обычный 5 2 8 8" xfId="12999"/>
    <cellStyle name="Обычный 5 2 8 9" xfId="13000"/>
    <cellStyle name="Обычный 5 2 9" xfId="13001"/>
    <cellStyle name="Обычный 5 2 9 10" xfId="13002"/>
    <cellStyle name="Обычный 5 2 9 11" xfId="13003"/>
    <cellStyle name="Обычный 5 2 9 12" xfId="19131"/>
    <cellStyle name="Обычный 5 2 9 13" xfId="20825"/>
    <cellStyle name="Обычный 5 2 9 14" xfId="22437"/>
    <cellStyle name="Обычный 5 2 9 2" xfId="13004"/>
    <cellStyle name="Обычный 5 2 9 2 10" xfId="13005"/>
    <cellStyle name="Обычный 5 2 9 2 11" xfId="19132"/>
    <cellStyle name="Обычный 5 2 9 2 12" xfId="20826"/>
    <cellStyle name="Обычный 5 2 9 2 13" xfId="22438"/>
    <cellStyle name="Обычный 5 2 9 2 2" xfId="13006"/>
    <cellStyle name="Обычный 5 2 9 2 2 2" xfId="13007"/>
    <cellStyle name="Обычный 5 2 9 2 3" xfId="13008"/>
    <cellStyle name="Обычный 5 2 9 2 4" xfId="13009"/>
    <cellStyle name="Обычный 5 2 9 2 5" xfId="13010"/>
    <cellStyle name="Обычный 5 2 9 2 6" xfId="13011"/>
    <cellStyle name="Обычный 5 2 9 2 7" xfId="13012"/>
    <cellStyle name="Обычный 5 2 9 2 8" xfId="13013"/>
    <cellStyle name="Обычный 5 2 9 2 9" xfId="13014"/>
    <cellStyle name="Обычный 5 2 9 3" xfId="13015"/>
    <cellStyle name="Обычный 5 2 9 3 2" xfId="13016"/>
    <cellStyle name="Обычный 5 2 9 4" xfId="13017"/>
    <cellStyle name="Обычный 5 2 9 5" xfId="13018"/>
    <cellStyle name="Обычный 5 2 9 6" xfId="13019"/>
    <cellStyle name="Обычный 5 2 9 7" xfId="13020"/>
    <cellStyle name="Обычный 5 2 9 8" xfId="13021"/>
    <cellStyle name="Обычный 5 2 9 9" xfId="13022"/>
    <cellStyle name="Обычный 5 3" xfId="19061"/>
    <cellStyle name="Обычный 50" xfId="22890"/>
    <cellStyle name="Обычный 6" xfId="13023"/>
    <cellStyle name="Обычный 6 10" xfId="13024"/>
    <cellStyle name="Обычный 6 10 10" xfId="13025"/>
    <cellStyle name="Обычный 6 10 11" xfId="13026"/>
    <cellStyle name="Обычный 6 10 12" xfId="19134"/>
    <cellStyle name="Обычный 6 10 13" xfId="20828"/>
    <cellStyle name="Обычный 6 10 14" xfId="22440"/>
    <cellStyle name="Обычный 6 10 2" xfId="13027"/>
    <cellStyle name="Обычный 6 10 2 10" xfId="13028"/>
    <cellStyle name="Обычный 6 10 2 11" xfId="19135"/>
    <cellStyle name="Обычный 6 10 2 12" xfId="20829"/>
    <cellStyle name="Обычный 6 10 2 13" xfId="22441"/>
    <cellStyle name="Обычный 6 10 2 2" xfId="13029"/>
    <cellStyle name="Обычный 6 10 2 2 2" xfId="13030"/>
    <cellStyle name="Обычный 6 10 2 3" xfId="13031"/>
    <cellStyle name="Обычный 6 10 2 4" xfId="13032"/>
    <cellStyle name="Обычный 6 10 2 5" xfId="13033"/>
    <cellStyle name="Обычный 6 10 2 6" xfId="13034"/>
    <cellStyle name="Обычный 6 10 2 7" xfId="13035"/>
    <cellStyle name="Обычный 6 10 2 8" xfId="13036"/>
    <cellStyle name="Обычный 6 10 2 9" xfId="13037"/>
    <cellStyle name="Обычный 6 10 3" xfId="13038"/>
    <cellStyle name="Обычный 6 10 3 2" xfId="13039"/>
    <cellStyle name="Обычный 6 10 4" xfId="13040"/>
    <cellStyle name="Обычный 6 10 5" xfId="13041"/>
    <cellStyle name="Обычный 6 10 6" xfId="13042"/>
    <cellStyle name="Обычный 6 10 7" xfId="13043"/>
    <cellStyle name="Обычный 6 10 8" xfId="13044"/>
    <cellStyle name="Обычный 6 10 9" xfId="13045"/>
    <cellStyle name="Обычный 6 11" xfId="13046"/>
    <cellStyle name="Обычный 6 11 10" xfId="13047"/>
    <cellStyle name="Обычный 6 11 11" xfId="13048"/>
    <cellStyle name="Обычный 6 11 12" xfId="19136"/>
    <cellStyle name="Обычный 6 11 13" xfId="20830"/>
    <cellStyle name="Обычный 6 11 14" xfId="22442"/>
    <cellStyle name="Обычный 6 11 2" xfId="13049"/>
    <cellStyle name="Обычный 6 11 2 10" xfId="13050"/>
    <cellStyle name="Обычный 6 11 2 11" xfId="19137"/>
    <cellStyle name="Обычный 6 11 2 12" xfId="20831"/>
    <cellStyle name="Обычный 6 11 2 13" xfId="22443"/>
    <cellStyle name="Обычный 6 11 2 2" xfId="13051"/>
    <cellStyle name="Обычный 6 11 2 2 2" xfId="13052"/>
    <cellStyle name="Обычный 6 11 2 3" xfId="13053"/>
    <cellStyle name="Обычный 6 11 2 4" xfId="13054"/>
    <cellStyle name="Обычный 6 11 2 5" xfId="13055"/>
    <cellStyle name="Обычный 6 11 2 6" xfId="13056"/>
    <cellStyle name="Обычный 6 11 2 7" xfId="13057"/>
    <cellStyle name="Обычный 6 11 2 8" xfId="13058"/>
    <cellStyle name="Обычный 6 11 2 9" xfId="13059"/>
    <cellStyle name="Обычный 6 11 3" xfId="13060"/>
    <cellStyle name="Обычный 6 11 3 2" xfId="13061"/>
    <cellStyle name="Обычный 6 11 4" xfId="13062"/>
    <cellStyle name="Обычный 6 11 5" xfId="13063"/>
    <cellStyle name="Обычный 6 11 6" xfId="13064"/>
    <cellStyle name="Обычный 6 11 7" xfId="13065"/>
    <cellStyle name="Обычный 6 11 8" xfId="13066"/>
    <cellStyle name="Обычный 6 11 9" xfId="13067"/>
    <cellStyle name="Обычный 6 12" xfId="13068"/>
    <cellStyle name="Обычный 6 12 10" xfId="13069"/>
    <cellStyle name="Обычный 6 12 11" xfId="13070"/>
    <cellStyle name="Обычный 6 12 12" xfId="19138"/>
    <cellStyle name="Обычный 6 12 13" xfId="20832"/>
    <cellStyle name="Обычный 6 12 14" xfId="22444"/>
    <cellStyle name="Обычный 6 12 2" xfId="13071"/>
    <cellStyle name="Обычный 6 12 2 10" xfId="13072"/>
    <cellStyle name="Обычный 6 12 2 11" xfId="19139"/>
    <cellStyle name="Обычный 6 12 2 12" xfId="20833"/>
    <cellStyle name="Обычный 6 12 2 13" xfId="22445"/>
    <cellStyle name="Обычный 6 12 2 2" xfId="13073"/>
    <cellStyle name="Обычный 6 12 2 2 2" xfId="13074"/>
    <cellStyle name="Обычный 6 12 2 3" xfId="13075"/>
    <cellStyle name="Обычный 6 12 2 4" xfId="13076"/>
    <cellStyle name="Обычный 6 12 2 5" xfId="13077"/>
    <cellStyle name="Обычный 6 12 2 6" xfId="13078"/>
    <cellStyle name="Обычный 6 12 2 7" xfId="13079"/>
    <cellStyle name="Обычный 6 12 2 8" xfId="13080"/>
    <cellStyle name="Обычный 6 12 2 9" xfId="13081"/>
    <cellStyle name="Обычный 6 12 3" xfId="13082"/>
    <cellStyle name="Обычный 6 12 3 2" xfId="13083"/>
    <cellStyle name="Обычный 6 12 4" xfId="13084"/>
    <cellStyle name="Обычный 6 12 5" xfId="13085"/>
    <cellStyle name="Обычный 6 12 6" xfId="13086"/>
    <cellStyle name="Обычный 6 12 7" xfId="13087"/>
    <cellStyle name="Обычный 6 12 8" xfId="13088"/>
    <cellStyle name="Обычный 6 12 9" xfId="13089"/>
    <cellStyle name="Обычный 6 13" xfId="13090"/>
    <cellStyle name="Обычный 6 13 10" xfId="13091"/>
    <cellStyle name="Обычный 6 13 11" xfId="13092"/>
    <cellStyle name="Обычный 6 13 12" xfId="19140"/>
    <cellStyle name="Обычный 6 13 13" xfId="20834"/>
    <cellStyle name="Обычный 6 13 14" xfId="22446"/>
    <cellStyle name="Обычный 6 13 2" xfId="13093"/>
    <cellStyle name="Обычный 6 13 2 10" xfId="13094"/>
    <cellStyle name="Обычный 6 13 2 11" xfId="19141"/>
    <cellStyle name="Обычный 6 13 2 12" xfId="20835"/>
    <cellStyle name="Обычный 6 13 2 13" xfId="22447"/>
    <cellStyle name="Обычный 6 13 2 2" xfId="13095"/>
    <cellStyle name="Обычный 6 13 2 2 2" xfId="13096"/>
    <cellStyle name="Обычный 6 13 2 3" xfId="13097"/>
    <cellStyle name="Обычный 6 13 2 4" xfId="13098"/>
    <cellStyle name="Обычный 6 13 2 5" xfId="13099"/>
    <cellStyle name="Обычный 6 13 2 6" xfId="13100"/>
    <cellStyle name="Обычный 6 13 2 7" xfId="13101"/>
    <cellStyle name="Обычный 6 13 2 8" xfId="13102"/>
    <cellStyle name="Обычный 6 13 2 9" xfId="13103"/>
    <cellStyle name="Обычный 6 13 3" xfId="13104"/>
    <cellStyle name="Обычный 6 13 3 2" xfId="13105"/>
    <cellStyle name="Обычный 6 13 4" xfId="13106"/>
    <cellStyle name="Обычный 6 13 5" xfId="13107"/>
    <cellStyle name="Обычный 6 13 6" xfId="13108"/>
    <cellStyle name="Обычный 6 13 7" xfId="13109"/>
    <cellStyle name="Обычный 6 13 8" xfId="13110"/>
    <cellStyle name="Обычный 6 13 9" xfId="13111"/>
    <cellStyle name="Обычный 6 14" xfId="13112"/>
    <cellStyle name="Обычный 6 14 10" xfId="13113"/>
    <cellStyle name="Обычный 6 14 11" xfId="13114"/>
    <cellStyle name="Обычный 6 14 12" xfId="19142"/>
    <cellStyle name="Обычный 6 14 13" xfId="20836"/>
    <cellStyle name="Обычный 6 14 14" xfId="22448"/>
    <cellStyle name="Обычный 6 14 2" xfId="13115"/>
    <cellStyle name="Обычный 6 14 2 10" xfId="13116"/>
    <cellStyle name="Обычный 6 14 2 11" xfId="19143"/>
    <cellStyle name="Обычный 6 14 2 12" xfId="20837"/>
    <cellStyle name="Обычный 6 14 2 13" xfId="22449"/>
    <cellStyle name="Обычный 6 14 2 2" xfId="13117"/>
    <cellStyle name="Обычный 6 14 2 2 2" xfId="13118"/>
    <cellStyle name="Обычный 6 14 2 3" xfId="13119"/>
    <cellStyle name="Обычный 6 14 2 4" xfId="13120"/>
    <cellStyle name="Обычный 6 14 2 5" xfId="13121"/>
    <cellStyle name="Обычный 6 14 2 6" xfId="13122"/>
    <cellStyle name="Обычный 6 14 2 7" xfId="13123"/>
    <cellStyle name="Обычный 6 14 2 8" xfId="13124"/>
    <cellStyle name="Обычный 6 14 2 9" xfId="13125"/>
    <cellStyle name="Обычный 6 14 3" xfId="13126"/>
    <cellStyle name="Обычный 6 14 3 2" xfId="13127"/>
    <cellStyle name="Обычный 6 14 4" xfId="13128"/>
    <cellStyle name="Обычный 6 14 5" xfId="13129"/>
    <cellStyle name="Обычный 6 14 6" xfId="13130"/>
    <cellStyle name="Обычный 6 14 7" xfId="13131"/>
    <cellStyle name="Обычный 6 14 8" xfId="13132"/>
    <cellStyle name="Обычный 6 14 9" xfId="13133"/>
    <cellStyle name="Обычный 6 15" xfId="13134"/>
    <cellStyle name="Обычный 6 15 10" xfId="13135"/>
    <cellStyle name="Обычный 6 15 11" xfId="19144"/>
    <cellStyle name="Обычный 6 15 12" xfId="20838"/>
    <cellStyle name="Обычный 6 15 13" xfId="22450"/>
    <cellStyle name="Обычный 6 15 2" xfId="13136"/>
    <cellStyle name="Обычный 6 15 2 2" xfId="13137"/>
    <cellStyle name="Обычный 6 15 3" xfId="13138"/>
    <cellStyle name="Обычный 6 15 4" xfId="13139"/>
    <cellStyle name="Обычный 6 15 5" xfId="13140"/>
    <cellStyle name="Обычный 6 15 6" xfId="13141"/>
    <cellStyle name="Обычный 6 15 7" xfId="13142"/>
    <cellStyle name="Обычный 6 15 8" xfId="13143"/>
    <cellStyle name="Обычный 6 15 9" xfId="13144"/>
    <cellStyle name="Обычный 6 16" xfId="13145"/>
    <cellStyle name="Обычный 6 16 10" xfId="20839"/>
    <cellStyle name="Обычный 6 16 11" xfId="22451"/>
    <cellStyle name="Обычный 6 16 2" xfId="13146"/>
    <cellStyle name="Обычный 6 16 2 2" xfId="13147"/>
    <cellStyle name="Обычный 6 16 3" xfId="13148"/>
    <cellStyle name="Обычный 6 16 4" xfId="13149"/>
    <cellStyle name="Обычный 6 16 5" xfId="13150"/>
    <cellStyle name="Обычный 6 16 6" xfId="13151"/>
    <cellStyle name="Обычный 6 16 7" xfId="13152"/>
    <cellStyle name="Обычный 6 16 8" xfId="13153"/>
    <cellStyle name="Обычный 6 16 9" xfId="19145"/>
    <cellStyle name="Обычный 6 17" xfId="13154"/>
    <cellStyle name="Обычный 6 17 10" xfId="20840"/>
    <cellStyle name="Обычный 6 17 11" xfId="22452"/>
    <cellStyle name="Обычный 6 17 2" xfId="13155"/>
    <cellStyle name="Обычный 6 17 2 2" xfId="13156"/>
    <cellStyle name="Обычный 6 17 3" xfId="13157"/>
    <cellStyle name="Обычный 6 17 4" xfId="13158"/>
    <cellStyle name="Обычный 6 17 5" xfId="13159"/>
    <cellStyle name="Обычный 6 17 6" xfId="13160"/>
    <cellStyle name="Обычный 6 17 7" xfId="13161"/>
    <cellStyle name="Обычный 6 17 8" xfId="13162"/>
    <cellStyle name="Обычный 6 17 9" xfId="19146"/>
    <cellStyle name="Обычный 6 18" xfId="13163"/>
    <cellStyle name="Обычный 6 18 2" xfId="13164"/>
    <cellStyle name="Обычный 6 19" xfId="13165"/>
    <cellStyle name="Обычный 6 2" xfId="13166"/>
    <cellStyle name="Обычный 6 2 10" xfId="13167"/>
    <cellStyle name="Обычный 6 2 10 10" xfId="13168"/>
    <cellStyle name="Обычный 6 2 10 11" xfId="13169"/>
    <cellStyle name="Обычный 6 2 10 12" xfId="19148"/>
    <cellStyle name="Обычный 6 2 10 13" xfId="20842"/>
    <cellStyle name="Обычный 6 2 10 14" xfId="22454"/>
    <cellStyle name="Обычный 6 2 10 2" xfId="13170"/>
    <cellStyle name="Обычный 6 2 10 2 10" xfId="13171"/>
    <cellStyle name="Обычный 6 2 10 2 11" xfId="19149"/>
    <cellStyle name="Обычный 6 2 10 2 12" xfId="20843"/>
    <cellStyle name="Обычный 6 2 10 2 13" xfId="22455"/>
    <cellStyle name="Обычный 6 2 10 2 2" xfId="13172"/>
    <cellStyle name="Обычный 6 2 10 2 2 2" xfId="13173"/>
    <cellStyle name="Обычный 6 2 10 2 3" xfId="13174"/>
    <cellStyle name="Обычный 6 2 10 2 4" xfId="13175"/>
    <cellStyle name="Обычный 6 2 10 2 5" xfId="13176"/>
    <cellStyle name="Обычный 6 2 10 2 6" xfId="13177"/>
    <cellStyle name="Обычный 6 2 10 2 7" xfId="13178"/>
    <cellStyle name="Обычный 6 2 10 2 8" xfId="13179"/>
    <cellStyle name="Обычный 6 2 10 2 9" xfId="13180"/>
    <cellStyle name="Обычный 6 2 10 3" xfId="13181"/>
    <cellStyle name="Обычный 6 2 10 3 2" xfId="13182"/>
    <cellStyle name="Обычный 6 2 10 4" xfId="13183"/>
    <cellStyle name="Обычный 6 2 10 5" xfId="13184"/>
    <cellStyle name="Обычный 6 2 10 6" xfId="13185"/>
    <cellStyle name="Обычный 6 2 10 7" xfId="13186"/>
    <cellStyle name="Обычный 6 2 10 8" xfId="13187"/>
    <cellStyle name="Обычный 6 2 10 9" xfId="13188"/>
    <cellStyle name="Обычный 6 2 11" xfId="13189"/>
    <cellStyle name="Обычный 6 2 11 10" xfId="13190"/>
    <cellStyle name="Обычный 6 2 11 11" xfId="19150"/>
    <cellStyle name="Обычный 6 2 11 12" xfId="20844"/>
    <cellStyle name="Обычный 6 2 11 13" xfId="22456"/>
    <cellStyle name="Обычный 6 2 11 2" xfId="13191"/>
    <cellStyle name="Обычный 6 2 11 2 2" xfId="13192"/>
    <cellStyle name="Обычный 6 2 11 3" xfId="13193"/>
    <cellStyle name="Обычный 6 2 11 4" xfId="13194"/>
    <cellStyle name="Обычный 6 2 11 5" xfId="13195"/>
    <cellStyle name="Обычный 6 2 11 6" xfId="13196"/>
    <cellStyle name="Обычный 6 2 11 7" xfId="13197"/>
    <cellStyle name="Обычный 6 2 11 8" xfId="13198"/>
    <cellStyle name="Обычный 6 2 11 9" xfId="13199"/>
    <cellStyle name="Обычный 6 2 12" xfId="13200"/>
    <cellStyle name="Обычный 6 2 12 10" xfId="20845"/>
    <cellStyle name="Обычный 6 2 12 11" xfId="22457"/>
    <cellStyle name="Обычный 6 2 12 2" xfId="13201"/>
    <cellStyle name="Обычный 6 2 12 2 2" xfId="13202"/>
    <cellStyle name="Обычный 6 2 12 3" xfId="13203"/>
    <cellStyle name="Обычный 6 2 12 4" xfId="13204"/>
    <cellStyle name="Обычный 6 2 12 5" xfId="13205"/>
    <cellStyle name="Обычный 6 2 12 6" xfId="13206"/>
    <cellStyle name="Обычный 6 2 12 7" xfId="13207"/>
    <cellStyle name="Обычный 6 2 12 8" xfId="13208"/>
    <cellStyle name="Обычный 6 2 12 9" xfId="19151"/>
    <cellStyle name="Обычный 6 2 13" xfId="13209"/>
    <cellStyle name="Обычный 6 2 13 10" xfId="20846"/>
    <cellStyle name="Обычный 6 2 13 11" xfId="22458"/>
    <cellStyle name="Обычный 6 2 13 2" xfId="13210"/>
    <cellStyle name="Обычный 6 2 13 2 2" xfId="13211"/>
    <cellStyle name="Обычный 6 2 13 3" xfId="13212"/>
    <cellStyle name="Обычный 6 2 13 4" xfId="13213"/>
    <cellStyle name="Обычный 6 2 13 5" xfId="13214"/>
    <cellStyle name="Обычный 6 2 13 6" xfId="13215"/>
    <cellStyle name="Обычный 6 2 13 7" xfId="13216"/>
    <cellStyle name="Обычный 6 2 13 8" xfId="13217"/>
    <cellStyle name="Обычный 6 2 13 9" xfId="19152"/>
    <cellStyle name="Обычный 6 2 14" xfId="13218"/>
    <cellStyle name="Обычный 6 2 14 2" xfId="13219"/>
    <cellStyle name="Обычный 6 2 15" xfId="13220"/>
    <cellStyle name="Обычный 6 2 16" xfId="13221"/>
    <cellStyle name="Обычный 6 2 17" xfId="13222"/>
    <cellStyle name="Обычный 6 2 18" xfId="13223"/>
    <cellStyle name="Обычный 6 2 19" xfId="13224"/>
    <cellStyle name="Обычный 6 2 2" xfId="13225"/>
    <cellStyle name="Обычный 6 2 2 10" xfId="13226"/>
    <cellStyle name="Обычный 6 2 2 10 2" xfId="13227"/>
    <cellStyle name="Обычный 6 2 2 11" xfId="13228"/>
    <cellStyle name="Обычный 6 2 2 12" xfId="13229"/>
    <cellStyle name="Обычный 6 2 2 13" xfId="13230"/>
    <cellStyle name="Обычный 6 2 2 14" xfId="13231"/>
    <cellStyle name="Обычный 6 2 2 15" xfId="13232"/>
    <cellStyle name="Обычный 6 2 2 16" xfId="13233"/>
    <cellStyle name="Обычный 6 2 2 17" xfId="13234"/>
    <cellStyle name="Обычный 6 2 2 18" xfId="13235"/>
    <cellStyle name="Обычный 6 2 2 19" xfId="13236"/>
    <cellStyle name="Обычный 6 2 2 2" xfId="13237"/>
    <cellStyle name="Обычный 6 2 2 2 10" xfId="13238"/>
    <cellStyle name="Обычный 6 2 2 2 11" xfId="13239"/>
    <cellStyle name="Обычный 6 2 2 2 12" xfId="13240"/>
    <cellStyle name="Обычный 6 2 2 2 13" xfId="13241"/>
    <cellStyle name="Обычный 6 2 2 2 14" xfId="13242"/>
    <cellStyle name="Обычный 6 2 2 2 15" xfId="13243"/>
    <cellStyle name="Обычный 6 2 2 2 16" xfId="13244"/>
    <cellStyle name="Обычный 6 2 2 2 17" xfId="13245"/>
    <cellStyle name="Обычный 6 2 2 2 18" xfId="19154"/>
    <cellStyle name="Обычный 6 2 2 2 19" xfId="20848"/>
    <cellStyle name="Обычный 6 2 2 2 2" xfId="13246"/>
    <cellStyle name="Обычный 6 2 2 2 2 10" xfId="13247"/>
    <cellStyle name="Обычный 6 2 2 2 2 11" xfId="13248"/>
    <cellStyle name="Обычный 6 2 2 2 2 12" xfId="19155"/>
    <cellStyle name="Обычный 6 2 2 2 2 13" xfId="20849"/>
    <cellStyle name="Обычный 6 2 2 2 2 14" xfId="22461"/>
    <cellStyle name="Обычный 6 2 2 2 2 2" xfId="13249"/>
    <cellStyle name="Обычный 6 2 2 2 2 2 10" xfId="13250"/>
    <cellStyle name="Обычный 6 2 2 2 2 2 11" xfId="19156"/>
    <cellStyle name="Обычный 6 2 2 2 2 2 12" xfId="20850"/>
    <cellStyle name="Обычный 6 2 2 2 2 2 13" xfId="22462"/>
    <cellStyle name="Обычный 6 2 2 2 2 2 2" xfId="13251"/>
    <cellStyle name="Обычный 6 2 2 2 2 2 2 2" xfId="13252"/>
    <cellStyle name="Обычный 6 2 2 2 2 2 3" xfId="13253"/>
    <cellStyle name="Обычный 6 2 2 2 2 2 4" xfId="13254"/>
    <cellStyle name="Обычный 6 2 2 2 2 2 5" xfId="13255"/>
    <cellStyle name="Обычный 6 2 2 2 2 2 6" xfId="13256"/>
    <cellStyle name="Обычный 6 2 2 2 2 2 7" xfId="13257"/>
    <cellStyle name="Обычный 6 2 2 2 2 2 8" xfId="13258"/>
    <cellStyle name="Обычный 6 2 2 2 2 2 9" xfId="13259"/>
    <cellStyle name="Обычный 6 2 2 2 2 3" xfId="13260"/>
    <cellStyle name="Обычный 6 2 2 2 2 3 2" xfId="13261"/>
    <cellStyle name="Обычный 6 2 2 2 2 4" xfId="13262"/>
    <cellStyle name="Обычный 6 2 2 2 2 5" xfId="13263"/>
    <cellStyle name="Обычный 6 2 2 2 2 6" xfId="13264"/>
    <cellStyle name="Обычный 6 2 2 2 2 7" xfId="13265"/>
    <cellStyle name="Обычный 6 2 2 2 2 8" xfId="13266"/>
    <cellStyle name="Обычный 6 2 2 2 2 9" xfId="13267"/>
    <cellStyle name="Обычный 6 2 2 2 20" xfId="22460"/>
    <cellStyle name="Обычный 6 2 2 2 3" xfId="13268"/>
    <cellStyle name="Обычный 6 2 2 2 3 10" xfId="13269"/>
    <cellStyle name="Обычный 6 2 2 2 3 11" xfId="13270"/>
    <cellStyle name="Обычный 6 2 2 2 3 12" xfId="19157"/>
    <cellStyle name="Обычный 6 2 2 2 3 13" xfId="20851"/>
    <cellStyle name="Обычный 6 2 2 2 3 14" xfId="22463"/>
    <cellStyle name="Обычный 6 2 2 2 3 2" xfId="13271"/>
    <cellStyle name="Обычный 6 2 2 2 3 2 10" xfId="13272"/>
    <cellStyle name="Обычный 6 2 2 2 3 2 11" xfId="19158"/>
    <cellStyle name="Обычный 6 2 2 2 3 2 12" xfId="20852"/>
    <cellStyle name="Обычный 6 2 2 2 3 2 13" xfId="22464"/>
    <cellStyle name="Обычный 6 2 2 2 3 2 2" xfId="13273"/>
    <cellStyle name="Обычный 6 2 2 2 3 2 2 2" xfId="13274"/>
    <cellStyle name="Обычный 6 2 2 2 3 2 3" xfId="13275"/>
    <cellStyle name="Обычный 6 2 2 2 3 2 4" xfId="13276"/>
    <cellStyle name="Обычный 6 2 2 2 3 2 5" xfId="13277"/>
    <cellStyle name="Обычный 6 2 2 2 3 2 6" xfId="13278"/>
    <cellStyle name="Обычный 6 2 2 2 3 2 7" xfId="13279"/>
    <cellStyle name="Обычный 6 2 2 2 3 2 8" xfId="13280"/>
    <cellStyle name="Обычный 6 2 2 2 3 2 9" xfId="13281"/>
    <cellStyle name="Обычный 6 2 2 2 3 3" xfId="13282"/>
    <cellStyle name="Обычный 6 2 2 2 3 3 2" xfId="13283"/>
    <cellStyle name="Обычный 6 2 2 2 3 4" xfId="13284"/>
    <cellStyle name="Обычный 6 2 2 2 3 5" xfId="13285"/>
    <cellStyle name="Обычный 6 2 2 2 3 6" xfId="13286"/>
    <cellStyle name="Обычный 6 2 2 2 3 7" xfId="13287"/>
    <cellStyle name="Обычный 6 2 2 2 3 8" xfId="13288"/>
    <cellStyle name="Обычный 6 2 2 2 3 9" xfId="13289"/>
    <cellStyle name="Обычный 6 2 2 2 4" xfId="13290"/>
    <cellStyle name="Обычный 6 2 2 2 4 10" xfId="13291"/>
    <cellStyle name="Обычный 6 2 2 2 4 11" xfId="13292"/>
    <cellStyle name="Обычный 6 2 2 2 4 12" xfId="19159"/>
    <cellStyle name="Обычный 6 2 2 2 4 13" xfId="20853"/>
    <cellStyle name="Обычный 6 2 2 2 4 14" xfId="22465"/>
    <cellStyle name="Обычный 6 2 2 2 4 2" xfId="13293"/>
    <cellStyle name="Обычный 6 2 2 2 4 2 10" xfId="13294"/>
    <cellStyle name="Обычный 6 2 2 2 4 2 11" xfId="19160"/>
    <cellStyle name="Обычный 6 2 2 2 4 2 12" xfId="20854"/>
    <cellStyle name="Обычный 6 2 2 2 4 2 13" xfId="22466"/>
    <cellStyle name="Обычный 6 2 2 2 4 2 2" xfId="13295"/>
    <cellStyle name="Обычный 6 2 2 2 4 2 2 2" xfId="13296"/>
    <cellStyle name="Обычный 6 2 2 2 4 2 3" xfId="13297"/>
    <cellStyle name="Обычный 6 2 2 2 4 2 4" xfId="13298"/>
    <cellStyle name="Обычный 6 2 2 2 4 2 5" xfId="13299"/>
    <cellStyle name="Обычный 6 2 2 2 4 2 6" xfId="13300"/>
    <cellStyle name="Обычный 6 2 2 2 4 2 7" xfId="13301"/>
    <cellStyle name="Обычный 6 2 2 2 4 2 8" xfId="13302"/>
    <cellStyle name="Обычный 6 2 2 2 4 2 9" xfId="13303"/>
    <cellStyle name="Обычный 6 2 2 2 4 3" xfId="13304"/>
    <cellStyle name="Обычный 6 2 2 2 4 3 2" xfId="13305"/>
    <cellStyle name="Обычный 6 2 2 2 4 4" xfId="13306"/>
    <cellStyle name="Обычный 6 2 2 2 4 5" xfId="13307"/>
    <cellStyle name="Обычный 6 2 2 2 4 6" xfId="13308"/>
    <cellStyle name="Обычный 6 2 2 2 4 7" xfId="13309"/>
    <cellStyle name="Обычный 6 2 2 2 4 8" xfId="13310"/>
    <cellStyle name="Обычный 6 2 2 2 4 9" xfId="13311"/>
    <cellStyle name="Обычный 6 2 2 2 5" xfId="13312"/>
    <cellStyle name="Обычный 6 2 2 2 5 10" xfId="13313"/>
    <cellStyle name="Обычный 6 2 2 2 5 11" xfId="13314"/>
    <cellStyle name="Обычный 6 2 2 2 5 12" xfId="19161"/>
    <cellStyle name="Обычный 6 2 2 2 5 13" xfId="20855"/>
    <cellStyle name="Обычный 6 2 2 2 5 14" xfId="22467"/>
    <cellStyle name="Обычный 6 2 2 2 5 2" xfId="13315"/>
    <cellStyle name="Обычный 6 2 2 2 5 2 10" xfId="13316"/>
    <cellStyle name="Обычный 6 2 2 2 5 2 11" xfId="19162"/>
    <cellStyle name="Обычный 6 2 2 2 5 2 12" xfId="20856"/>
    <cellStyle name="Обычный 6 2 2 2 5 2 13" xfId="22468"/>
    <cellStyle name="Обычный 6 2 2 2 5 2 2" xfId="13317"/>
    <cellStyle name="Обычный 6 2 2 2 5 2 2 2" xfId="13318"/>
    <cellStyle name="Обычный 6 2 2 2 5 2 3" xfId="13319"/>
    <cellStyle name="Обычный 6 2 2 2 5 2 4" xfId="13320"/>
    <cellStyle name="Обычный 6 2 2 2 5 2 5" xfId="13321"/>
    <cellStyle name="Обычный 6 2 2 2 5 2 6" xfId="13322"/>
    <cellStyle name="Обычный 6 2 2 2 5 2 7" xfId="13323"/>
    <cellStyle name="Обычный 6 2 2 2 5 2 8" xfId="13324"/>
    <cellStyle name="Обычный 6 2 2 2 5 2 9" xfId="13325"/>
    <cellStyle name="Обычный 6 2 2 2 5 3" xfId="13326"/>
    <cellStyle name="Обычный 6 2 2 2 5 3 2" xfId="13327"/>
    <cellStyle name="Обычный 6 2 2 2 5 4" xfId="13328"/>
    <cellStyle name="Обычный 6 2 2 2 5 5" xfId="13329"/>
    <cellStyle name="Обычный 6 2 2 2 5 6" xfId="13330"/>
    <cellStyle name="Обычный 6 2 2 2 5 7" xfId="13331"/>
    <cellStyle name="Обычный 6 2 2 2 5 8" xfId="13332"/>
    <cellStyle name="Обычный 6 2 2 2 5 9" xfId="13333"/>
    <cellStyle name="Обычный 6 2 2 2 6" xfId="13334"/>
    <cellStyle name="Обычный 6 2 2 2 6 10" xfId="13335"/>
    <cellStyle name="Обычный 6 2 2 2 6 11" xfId="19163"/>
    <cellStyle name="Обычный 6 2 2 2 6 12" xfId="20857"/>
    <cellStyle name="Обычный 6 2 2 2 6 13" xfId="22469"/>
    <cellStyle name="Обычный 6 2 2 2 6 2" xfId="13336"/>
    <cellStyle name="Обычный 6 2 2 2 6 2 2" xfId="13337"/>
    <cellStyle name="Обычный 6 2 2 2 6 3" xfId="13338"/>
    <cellStyle name="Обычный 6 2 2 2 6 4" xfId="13339"/>
    <cellStyle name="Обычный 6 2 2 2 6 5" xfId="13340"/>
    <cellStyle name="Обычный 6 2 2 2 6 6" xfId="13341"/>
    <cellStyle name="Обычный 6 2 2 2 6 7" xfId="13342"/>
    <cellStyle name="Обычный 6 2 2 2 6 8" xfId="13343"/>
    <cellStyle name="Обычный 6 2 2 2 6 9" xfId="13344"/>
    <cellStyle name="Обычный 6 2 2 2 7" xfId="13345"/>
    <cellStyle name="Обычный 6 2 2 2 7 10" xfId="20858"/>
    <cellStyle name="Обычный 6 2 2 2 7 11" xfId="22470"/>
    <cellStyle name="Обычный 6 2 2 2 7 2" xfId="13346"/>
    <cellStyle name="Обычный 6 2 2 2 7 2 2" xfId="13347"/>
    <cellStyle name="Обычный 6 2 2 2 7 3" xfId="13348"/>
    <cellStyle name="Обычный 6 2 2 2 7 4" xfId="13349"/>
    <cellStyle name="Обычный 6 2 2 2 7 5" xfId="13350"/>
    <cellStyle name="Обычный 6 2 2 2 7 6" xfId="13351"/>
    <cellStyle name="Обычный 6 2 2 2 7 7" xfId="13352"/>
    <cellStyle name="Обычный 6 2 2 2 7 8" xfId="13353"/>
    <cellStyle name="Обычный 6 2 2 2 7 9" xfId="19164"/>
    <cellStyle name="Обычный 6 2 2 2 8" xfId="13354"/>
    <cellStyle name="Обычный 6 2 2 2 8 2" xfId="13355"/>
    <cellStyle name="Обычный 6 2 2 2 9" xfId="13356"/>
    <cellStyle name="Обычный 6 2 2 20" xfId="19153"/>
    <cellStyle name="Обычный 6 2 2 21" xfId="20847"/>
    <cellStyle name="Обычный 6 2 2 22" xfId="22459"/>
    <cellStyle name="Обычный 6 2 2 3" xfId="13357"/>
    <cellStyle name="Обычный 6 2 2 3 10" xfId="13358"/>
    <cellStyle name="Обычный 6 2 2 3 11" xfId="13359"/>
    <cellStyle name="Обычный 6 2 2 3 12" xfId="13360"/>
    <cellStyle name="Обычный 6 2 2 3 13" xfId="13361"/>
    <cellStyle name="Обычный 6 2 2 3 14" xfId="13362"/>
    <cellStyle name="Обычный 6 2 2 3 15" xfId="13363"/>
    <cellStyle name="Обычный 6 2 2 3 16" xfId="13364"/>
    <cellStyle name="Обычный 6 2 2 3 17" xfId="13365"/>
    <cellStyle name="Обычный 6 2 2 3 18" xfId="19165"/>
    <cellStyle name="Обычный 6 2 2 3 19" xfId="20859"/>
    <cellStyle name="Обычный 6 2 2 3 2" xfId="13366"/>
    <cellStyle name="Обычный 6 2 2 3 2 10" xfId="13367"/>
    <cellStyle name="Обычный 6 2 2 3 2 11" xfId="13368"/>
    <cellStyle name="Обычный 6 2 2 3 2 12" xfId="19166"/>
    <cellStyle name="Обычный 6 2 2 3 2 13" xfId="20860"/>
    <cellStyle name="Обычный 6 2 2 3 2 14" xfId="22472"/>
    <cellStyle name="Обычный 6 2 2 3 2 2" xfId="13369"/>
    <cellStyle name="Обычный 6 2 2 3 2 2 10" xfId="13370"/>
    <cellStyle name="Обычный 6 2 2 3 2 2 11" xfId="19167"/>
    <cellStyle name="Обычный 6 2 2 3 2 2 12" xfId="20861"/>
    <cellStyle name="Обычный 6 2 2 3 2 2 13" xfId="22473"/>
    <cellStyle name="Обычный 6 2 2 3 2 2 2" xfId="13371"/>
    <cellStyle name="Обычный 6 2 2 3 2 2 2 2" xfId="13372"/>
    <cellStyle name="Обычный 6 2 2 3 2 2 3" xfId="13373"/>
    <cellStyle name="Обычный 6 2 2 3 2 2 4" xfId="13374"/>
    <cellStyle name="Обычный 6 2 2 3 2 2 5" xfId="13375"/>
    <cellStyle name="Обычный 6 2 2 3 2 2 6" xfId="13376"/>
    <cellStyle name="Обычный 6 2 2 3 2 2 7" xfId="13377"/>
    <cellStyle name="Обычный 6 2 2 3 2 2 8" xfId="13378"/>
    <cellStyle name="Обычный 6 2 2 3 2 2 9" xfId="13379"/>
    <cellStyle name="Обычный 6 2 2 3 2 3" xfId="13380"/>
    <cellStyle name="Обычный 6 2 2 3 2 3 2" xfId="13381"/>
    <cellStyle name="Обычный 6 2 2 3 2 4" xfId="13382"/>
    <cellStyle name="Обычный 6 2 2 3 2 5" xfId="13383"/>
    <cellStyle name="Обычный 6 2 2 3 2 6" xfId="13384"/>
    <cellStyle name="Обычный 6 2 2 3 2 7" xfId="13385"/>
    <cellStyle name="Обычный 6 2 2 3 2 8" xfId="13386"/>
    <cellStyle name="Обычный 6 2 2 3 2 9" xfId="13387"/>
    <cellStyle name="Обычный 6 2 2 3 20" xfId="22471"/>
    <cellStyle name="Обычный 6 2 2 3 3" xfId="13388"/>
    <cellStyle name="Обычный 6 2 2 3 3 10" xfId="13389"/>
    <cellStyle name="Обычный 6 2 2 3 3 11" xfId="13390"/>
    <cellStyle name="Обычный 6 2 2 3 3 12" xfId="19168"/>
    <cellStyle name="Обычный 6 2 2 3 3 13" xfId="20862"/>
    <cellStyle name="Обычный 6 2 2 3 3 14" xfId="22474"/>
    <cellStyle name="Обычный 6 2 2 3 3 2" xfId="13391"/>
    <cellStyle name="Обычный 6 2 2 3 3 2 10" xfId="13392"/>
    <cellStyle name="Обычный 6 2 2 3 3 2 11" xfId="19169"/>
    <cellStyle name="Обычный 6 2 2 3 3 2 12" xfId="20863"/>
    <cellStyle name="Обычный 6 2 2 3 3 2 13" xfId="22475"/>
    <cellStyle name="Обычный 6 2 2 3 3 2 2" xfId="13393"/>
    <cellStyle name="Обычный 6 2 2 3 3 2 2 2" xfId="13394"/>
    <cellStyle name="Обычный 6 2 2 3 3 2 3" xfId="13395"/>
    <cellStyle name="Обычный 6 2 2 3 3 2 4" xfId="13396"/>
    <cellStyle name="Обычный 6 2 2 3 3 2 5" xfId="13397"/>
    <cellStyle name="Обычный 6 2 2 3 3 2 6" xfId="13398"/>
    <cellStyle name="Обычный 6 2 2 3 3 2 7" xfId="13399"/>
    <cellStyle name="Обычный 6 2 2 3 3 2 8" xfId="13400"/>
    <cellStyle name="Обычный 6 2 2 3 3 2 9" xfId="13401"/>
    <cellStyle name="Обычный 6 2 2 3 3 3" xfId="13402"/>
    <cellStyle name="Обычный 6 2 2 3 3 3 2" xfId="13403"/>
    <cellStyle name="Обычный 6 2 2 3 3 4" xfId="13404"/>
    <cellStyle name="Обычный 6 2 2 3 3 5" xfId="13405"/>
    <cellStyle name="Обычный 6 2 2 3 3 6" xfId="13406"/>
    <cellStyle name="Обычный 6 2 2 3 3 7" xfId="13407"/>
    <cellStyle name="Обычный 6 2 2 3 3 8" xfId="13408"/>
    <cellStyle name="Обычный 6 2 2 3 3 9" xfId="13409"/>
    <cellStyle name="Обычный 6 2 2 3 4" xfId="13410"/>
    <cellStyle name="Обычный 6 2 2 3 4 10" xfId="13411"/>
    <cellStyle name="Обычный 6 2 2 3 4 11" xfId="13412"/>
    <cellStyle name="Обычный 6 2 2 3 4 12" xfId="19170"/>
    <cellStyle name="Обычный 6 2 2 3 4 13" xfId="20864"/>
    <cellStyle name="Обычный 6 2 2 3 4 14" xfId="22476"/>
    <cellStyle name="Обычный 6 2 2 3 4 2" xfId="13413"/>
    <cellStyle name="Обычный 6 2 2 3 4 2 10" xfId="13414"/>
    <cellStyle name="Обычный 6 2 2 3 4 2 11" xfId="19171"/>
    <cellStyle name="Обычный 6 2 2 3 4 2 12" xfId="20865"/>
    <cellStyle name="Обычный 6 2 2 3 4 2 13" xfId="22477"/>
    <cellStyle name="Обычный 6 2 2 3 4 2 2" xfId="13415"/>
    <cellStyle name="Обычный 6 2 2 3 4 2 2 2" xfId="13416"/>
    <cellStyle name="Обычный 6 2 2 3 4 2 3" xfId="13417"/>
    <cellStyle name="Обычный 6 2 2 3 4 2 4" xfId="13418"/>
    <cellStyle name="Обычный 6 2 2 3 4 2 5" xfId="13419"/>
    <cellStyle name="Обычный 6 2 2 3 4 2 6" xfId="13420"/>
    <cellStyle name="Обычный 6 2 2 3 4 2 7" xfId="13421"/>
    <cellStyle name="Обычный 6 2 2 3 4 2 8" xfId="13422"/>
    <cellStyle name="Обычный 6 2 2 3 4 2 9" xfId="13423"/>
    <cellStyle name="Обычный 6 2 2 3 4 3" xfId="13424"/>
    <cellStyle name="Обычный 6 2 2 3 4 3 2" xfId="13425"/>
    <cellStyle name="Обычный 6 2 2 3 4 4" xfId="13426"/>
    <cellStyle name="Обычный 6 2 2 3 4 5" xfId="13427"/>
    <cellStyle name="Обычный 6 2 2 3 4 6" xfId="13428"/>
    <cellStyle name="Обычный 6 2 2 3 4 7" xfId="13429"/>
    <cellStyle name="Обычный 6 2 2 3 4 8" xfId="13430"/>
    <cellStyle name="Обычный 6 2 2 3 4 9" xfId="13431"/>
    <cellStyle name="Обычный 6 2 2 3 5" xfId="13432"/>
    <cellStyle name="Обычный 6 2 2 3 5 10" xfId="13433"/>
    <cellStyle name="Обычный 6 2 2 3 5 11" xfId="13434"/>
    <cellStyle name="Обычный 6 2 2 3 5 12" xfId="19172"/>
    <cellStyle name="Обычный 6 2 2 3 5 13" xfId="20866"/>
    <cellStyle name="Обычный 6 2 2 3 5 14" xfId="22478"/>
    <cellStyle name="Обычный 6 2 2 3 5 2" xfId="13435"/>
    <cellStyle name="Обычный 6 2 2 3 5 2 10" xfId="13436"/>
    <cellStyle name="Обычный 6 2 2 3 5 2 11" xfId="19173"/>
    <cellStyle name="Обычный 6 2 2 3 5 2 12" xfId="20867"/>
    <cellStyle name="Обычный 6 2 2 3 5 2 13" xfId="22479"/>
    <cellStyle name="Обычный 6 2 2 3 5 2 2" xfId="13437"/>
    <cellStyle name="Обычный 6 2 2 3 5 2 2 2" xfId="13438"/>
    <cellStyle name="Обычный 6 2 2 3 5 2 3" xfId="13439"/>
    <cellStyle name="Обычный 6 2 2 3 5 2 4" xfId="13440"/>
    <cellStyle name="Обычный 6 2 2 3 5 2 5" xfId="13441"/>
    <cellStyle name="Обычный 6 2 2 3 5 2 6" xfId="13442"/>
    <cellStyle name="Обычный 6 2 2 3 5 2 7" xfId="13443"/>
    <cellStyle name="Обычный 6 2 2 3 5 2 8" xfId="13444"/>
    <cellStyle name="Обычный 6 2 2 3 5 2 9" xfId="13445"/>
    <cellStyle name="Обычный 6 2 2 3 5 3" xfId="13446"/>
    <cellStyle name="Обычный 6 2 2 3 5 3 2" xfId="13447"/>
    <cellStyle name="Обычный 6 2 2 3 5 4" xfId="13448"/>
    <cellStyle name="Обычный 6 2 2 3 5 5" xfId="13449"/>
    <cellStyle name="Обычный 6 2 2 3 5 6" xfId="13450"/>
    <cellStyle name="Обычный 6 2 2 3 5 7" xfId="13451"/>
    <cellStyle name="Обычный 6 2 2 3 5 8" xfId="13452"/>
    <cellStyle name="Обычный 6 2 2 3 5 9" xfId="13453"/>
    <cellStyle name="Обычный 6 2 2 3 6" xfId="13454"/>
    <cellStyle name="Обычный 6 2 2 3 6 10" xfId="13455"/>
    <cellStyle name="Обычный 6 2 2 3 6 11" xfId="19174"/>
    <cellStyle name="Обычный 6 2 2 3 6 12" xfId="20868"/>
    <cellStyle name="Обычный 6 2 2 3 6 13" xfId="22480"/>
    <cellStyle name="Обычный 6 2 2 3 6 2" xfId="13456"/>
    <cellStyle name="Обычный 6 2 2 3 6 2 2" xfId="13457"/>
    <cellStyle name="Обычный 6 2 2 3 6 3" xfId="13458"/>
    <cellStyle name="Обычный 6 2 2 3 6 4" xfId="13459"/>
    <cellStyle name="Обычный 6 2 2 3 6 5" xfId="13460"/>
    <cellStyle name="Обычный 6 2 2 3 6 6" xfId="13461"/>
    <cellStyle name="Обычный 6 2 2 3 6 7" xfId="13462"/>
    <cellStyle name="Обычный 6 2 2 3 6 8" xfId="13463"/>
    <cellStyle name="Обычный 6 2 2 3 6 9" xfId="13464"/>
    <cellStyle name="Обычный 6 2 2 3 7" xfId="13465"/>
    <cellStyle name="Обычный 6 2 2 3 7 10" xfId="20869"/>
    <cellStyle name="Обычный 6 2 2 3 7 11" xfId="22481"/>
    <cellStyle name="Обычный 6 2 2 3 7 2" xfId="13466"/>
    <cellStyle name="Обычный 6 2 2 3 7 2 2" xfId="13467"/>
    <cellStyle name="Обычный 6 2 2 3 7 3" xfId="13468"/>
    <cellStyle name="Обычный 6 2 2 3 7 4" xfId="13469"/>
    <cellStyle name="Обычный 6 2 2 3 7 5" xfId="13470"/>
    <cellStyle name="Обычный 6 2 2 3 7 6" xfId="13471"/>
    <cellStyle name="Обычный 6 2 2 3 7 7" xfId="13472"/>
    <cellStyle name="Обычный 6 2 2 3 7 8" xfId="13473"/>
    <cellStyle name="Обычный 6 2 2 3 7 9" xfId="19175"/>
    <cellStyle name="Обычный 6 2 2 3 8" xfId="13474"/>
    <cellStyle name="Обычный 6 2 2 3 8 2" xfId="13475"/>
    <cellStyle name="Обычный 6 2 2 3 9" xfId="13476"/>
    <cellStyle name="Обычный 6 2 2 4" xfId="13477"/>
    <cellStyle name="Обычный 6 2 2 4 10" xfId="13478"/>
    <cellStyle name="Обычный 6 2 2 4 11" xfId="13479"/>
    <cellStyle name="Обычный 6 2 2 4 12" xfId="19176"/>
    <cellStyle name="Обычный 6 2 2 4 13" xfId="20870"/>
    <cellStyle name="Обычный 6 2 2 4 14" xfId="22482"/>
    <cellStyle name="Обычный 6 2 2 4 2" xfId="13480"/>
    <cellStyle name="Обычный 6 2 2 4 2 10" xfId="13481"/>
    <cellStyle name="Обычный 6 2 2 4 2 11" xfId="19177"/>
    <cellStyle name="Обычный 6 2 2 4 2 12" xfId="20871"/>
    <cellStyle name="Обычный 6 2 2 4 2 13" xfId="22483"/>
    <cellStyle name="Обычный 6 2 2 4 2 2" xfId="13482"/>
    <cellStyle name="Обычный 6 2 2 4 2 2 2" xfId="13483"/>
    <cellStyle name="Обычный 6 2 2 4 2 3" xfId="13484"/>
    <cellStyle name="Обычный 6 2 2 4 2 4" xfId="13485"/>
    <cellStyle name="Обычный 6 2 2 4 2 5" xfId="13486"/>
    <cellStyle name="Обычный 6 2 2 4 2 6" xfId="13487"/>
    <cellStyle name="Обычный 6 2 2 4 2 7" xfId="13488"/>
    <cellStyle name="Обычный 6 2 2 4 2 8" xfId="13489"/>
    <cellStyle name="Обычный 6 2 2 4 2 9" xfId="13490"/>
    <cellStyle name="Обычный 6 2 2 4 3" xfId="13491"/>
    <cellStyle name="Обычный 6 2 2 4 3 2" xfId="13492"/>
    <cellStyle name="Обычный 6 2 2 4 4" xfId="13493"/>
    <cellStyle name="Обычный 6 2 2 4 5" xfId="13494"/>
    <cellStyle name="Обычный 6 2 2 4 6" xfId="13495"/>
    <cellStyle name="Обычный 6 2 2 4 7" xfId="13496"/>
    <cellStyle name="Обычный 6 2 2 4 8" xfId="13497"/>
    <cellStyle name="Обычный 6 2 2 4 9" xfId="13498"/>
    <cellStyle name="Обычный 6 2 2 5" xfId="13499"/>
    <cellStyle name="Обычный 6 2 2 5 10" xfId="13500"/>
    <cellStyle name="Обычный 6 2 2 5 11" xfId="13501"/>
    <cellStyle name="Обычный 6 2 2 5 12" xfId="19178"/>
    <cellStyle name="Обычный 6 2 2 5 13" xfId="20872"/>
    <cellStyle name="Обычный 6 2 2 5 14" xfId="22484"/>
    <cellStyle name="Обычный 6 2 2 5 2" xfId="13502"/>
    <cellStyle name="Обычный 6 2 2 5 2 10" xfId="13503"/>
    <cellStyle name="Обычный 6 2 2 5 2 11" xfId="19179"/>
    <cellStyle name="Обычный 6 2 2 5 2 12" xfId="20873"/>
    <cellStyle name="Обычный 6 2 2 5 2 13" xfId="22485"/>
    <cellStyle name="Обычный 6 2 2 5 2 2" xfId="13504"/>
    <cellStyle name="Обычный 6 2 2 5 2 2 2" xfId="13505"/>
    <cellStyle name="Обычный 6 2 2 5 2 3" xfId="13506"/>
    <cellStyle name="Обычный 6 2 2 5 2 4" xfId="13507"/>
    <cellStyle name="Обычный 6 2 2 5 2 5" xfId="13508"/>
    <cellStyle name="Обычный 6 2 2 5 2 6" xfId="13509"/>
    <cellStyle name="Обычный 6 2 2 5 2 7" xfId="13510"/>
    <cellStyle name="Обычный 6 2 2 5 2 8" xfId="13511"/>
    <cellStyle name="Обычный 6 2 2 5 2 9" xfId="13512"/>
    <cellStyle name="Обычный 6 2 2 5 3" xfId="13513"/>
    <cellStyle name="Обычный 6 2 2 5 3 2" xfId="13514"/>
    <cellStyle name="Обычный 6 2 2 5 4" xfId="13515"/>
    <cellStyle name="Обычный 6 2 2 5 5" xfId="13516"/>
    <cellStyle name="Обычный 6 2 2 5 6" xfId="13517"/>
    <cellStyle name="Обычный 6 2 2 5 7" xfId="13518"/>
    <cellStyle name="Обычный 6 2 2 5 8" xfId="13519"/>
    <cellStyle name="Обычный 6 2 2 5 9" xfId="13520"/>
    <cellStyle name="Обычный 6 2 2 6" xfId="13521"/>
    <cellStyle name="Обычный 6 2 2 6 10" xfId="13522"/>
    <cellStyle name="Обычный 6 2 2 6 11" xfId="13523"/>
    <cellStyle name="Обычный 6 2 2 6 12" xfId="19180"/>
    <cellStyle name="Обычный 6 2 2 6 13" xfId="20874"/>
    <cellStyle name="Обычный 6 2 2 6 14" xfId="22486"/>
    <cellStyle name="Обычный 6 2 2 6 2" xfId="13524"/>
    <cellStyle name="Обычный 6 2 2 6 2 10" xfId="13525"/>
    <cellStyle name="Обычный 6 2 2 6 2 11" xfId="19181"/>
    <cellStyle name="Обычный 6 2 2 6 2 12" xfId="20875"/>
    <cellStyle name="Обычный 6 2 2 6 2 13" xfId="22487"/>
    <cellStyle name="Обычный 6 2 2 6 2 2" xfId="13526"/>
    <cellStyle name="Обычный 6 2 2 6 2 2 2" xfId="13527"/>
    <cellStyle name="Обычный 6 2 2 6 2 3" xfId="13528"/>
    <cellStyle name="Обычный 6 2 2 6 2 4" xfId="13529"/>
    <cellStyle name="Обычный 6 2 2 6 2 5" xfId="13530"/>
    <cellStyle name="Обычный 6 2 2 6 2 6" xfId="13531"/>
    <cellStyle name="Обычный 6 2 2 6 2 7" xfId="13532"/>
    <cellStyle name="Обычный 6 2 2 6 2 8" xfId="13533"/>
    <cellStyle name="Обычный 6 2 2 6 2 9" xfId="13534"/>
    <cellStyle name="Обычный 6 2 2 6 3" xfId="13535"/>
    <cellStyle name="Обычный 6 2 2 6 3 2" xfId="13536"/>
    <cellStyle name="Обычный 6 2 2 6 4" xfId="13537"/>
    <cellStyle name="Обычный 6 2 2 6 5" xfId="13538"/>
    <cellStyle name="Обычный 6 2 2 6 6" xfId="13539"/>
    <cellStyle name="Обычный 6 2 2 6 7" xfId="13540"/>
    <cellStyle name="Обычный 6 2 2 6 8" xfId="13541"/>
    <cellStyle name="Обычный 6 2 2 6 9" xfId="13542"/>
    <cellStyle name="Обычный 6 2 2 7" xfId="13543"/>
    <cellStyle name="Обычный 6 2 2 7 10" xfId="13544"/>
    <cellStyle name="Обычный 6 2 2 7 11" xfId="13545"/>
    <cellStyle name="Обычный 6 2 2 7 12" xfId="19182"/>
    <cellStyle name="Обычный 6 2 2 7 13" xfId="20876"/>
    <cellStyle name="Обычный 6 2 2 7 14" xfId="22488"/>
    <cellStyle name="Обычный 6 2 2 7 2" xfId="13546"/>
    <cellStyle name="Обычный 6 2 2 7 2 10" xfId="13547"/>
    <cellStyle name="Обычный 6 2 2 7 2 11" xfId="19183"/>
    <cellStyle name="Обычный 6 2 2 7 2 12" xfId="20877"/>
    <cellStyle name="Обычный 6 2 2 7 2 13" xfId="22489"/>
    <cellStyle name="Обычный 6 2 2 7 2 2" xfId="13548"/>
    <cellStyle name="Обычный 6 2 2 7 2 2 2" xfId="13549"/>
    <cellStyle name="Обычный 6 2 2 7 2 3" xfId="13550"/>
    <cellStyle name="Обычный 6 2 2 7 2 4" xfId="13551"/>
    <cellStyle name="Обычный 6 2 2 7 2 5" xfId="13552"/>
    <cellStyle name="Обычный 6 2 2 7 2 6" xfId="13553"/>
    <cellStyle name="Обычный 6 2 2 7 2 7" xfId="13554"/>
    <cellStyle name="Обычный 6 2 2 7 2 8" xfId="13555"/>
    <cellStyle name="Обычный 6 2 2 7 2 9" xfId="13556"/>
    <cellStyle name="Обычный 6 2 2 7 3" xfId="13557"/>
    <cellStyle name="Обычный 6 2 2 7 3 2" xfId="13558"/>
    <cellStyle name="Обычный 6 2 2 7 4" xfId="13559"/>
    <cellStyle name="Обычный 6 2 2 7 5" xfId="13560"/>
    <cellStyle name="Обычный 6 2 2 7 6" xfId="13561"/>
    <cellStyle name="Обычный 6 2 2 7 7" xfId="13562"/>
    <cellStyle name="Обычный 6 2 2 7 8" xfId="13563"/>
    <cellStyle name="Обычный 6 2 2 7 9" xfId="13564"/>
    <cellStyle name="Обычный 6 2 2 8" xfId="13565"/>
    <cellStyle name="Обычный 6 2 2 8 10" xfId="13566"/>
    <cellStyle name="Обычный 6 2 2 8 11" xfId="19184"/>
    <cellStyle name="Обычный 6 2 2 8 12" xfId="20878"/>
    <cellStyle name="Обычный 6 2 2 8 13" xfId="22490"/>
    <cellStyle name="Обычный 6 2 2 8 2" xfId="13567"/>
    <cellStyle name="Обычный 6 2 2 8 2 2" xfId="13568"/>
    <cellStyle name="Обычный 6 2 2 8 3" xfId="13569"/>
    <cellStyle name="Обычный 6 2 2 8 4" xfId="13570"/>
    <cellStyle name="Обычный 6 2 2 8 5" xfId="13571"/>
    <cellStyle name="Обычный 6 2 2 8 6" xfId="13572"/>
    <cellStyle name="Обычный 6 2 2 8 7" xfId="13573"/>
    <cellStyle name="Обычный 6 2 2 8 8" xfId="13574"/>
    <cellStyle name="Обычный 6 2 2 8 9" xfId="13575"/>
    <cellStyle name="Обычный 6 2 2 9" xfId="13576"/>
    <cellStyle name="Обычный 6 2 2 9 10" xfId="20879"/>
    <cellStyle name="Обычный 6 2 2 9 11" xfId="22491"/>
    <cellStyle name="Обычный 6 2 2 9 2" xfId="13577"/>
    <cellStyle name="Обычный 6 2 2 9 2 2" xfId="13578"/>
    <cellStyle name="Обычный 6 2 2 9 3" xfId="13579"/>
    <cellStyle name="Обычный 6 2 2 9 4" xfId="13580"/>
    <cellStyle name="Обычный 6 2 2 9 5" xfId="13581"/>
    <cellStyle name="Обычный 6 2 2 9 6" xfId="13582"/>
    <cellStyle name="Обычный 6 2 2 9 7" xfId="13583"/>
    <cellStyle name="Обычный 6 2 2 9 8" xfId="13584"/>
    <cellStyle name="Обычный 6 2 2 9 9" xfId="19185"/>
    <cellStyle name="Обычный 6 2 20" xfId="13585"/>
    <cellStyle name="Обычный 6 2 21" xfId="13586"/>
    <cellStyle name="Обычный 6 2 22" xfId="13587"/>
    <cellStyle name="Обычный 6 2 23" xfId="13588"/>
    <cellStyle name="Обычный 6 2 24" xfId="19147"/>
    <cellStyle name="Обычный 6 2 25" xfId="19641"/>
    <cellStyle name="Обычный 6 2 26" xfId="20841"/>
    <cellStyle name="Обычный 6 2 27" xfId="22453"/>
    <cellStyle name="Обычный 6 2 3" xfId="13589"/>
    <cellStyle name="Обычный 6 2 3 10" xfId="13590"/>
    <cellStyle name="Обычный 6 2 3 11" xfId="13591"/>
    <cellStyle name="Обычный 6 2 3 12" xfId="13592"/>
    <cellStyle name="Обычный 6 2 3 13" xfId="13593"/>
    <cellStyle name="Обычный 6 2 3 14" xfId="13594"/>
    <cellStyle name="Обычный 6 2 3 15" xfId="13595"/>
    <cellStyle name="Обычный 6 2 3 16" xfId="13596"/>
    <cellStyle name="Обычный 6 2 3 17" xfId="13597"/>
    <cellStyle name="Обычный 6 2 3 18" xfId="19186"/>
    <cellStyle name="Обычный 6 2 3 19" xfId="20880"/>
    <cellStyle name="Обычный 6 2 3 2" xfId="13598"/>
    <cellStyle name="Обычный 6 2 3 2 10" xfId="13599"/>
    <cellStyle name="Обычный 6 2 3 2 11" xfId="13600"/>
    <cellStyle name="Обычный 6 2 3 2 12" xfId="19187"/>
    <cellStyle name="Обычный 6 2 3 2 13" xfId="20881"/>
    <cellStyle name="Обычный 6 2 3 2 14" xfId="22493"/>
    <cellStyle name="Обычный 6 2 3 2 2" xfId="13601"/>
    <cellStyle name="Обычный 6 2 3 2 2 10" xfId="13602"/>
    <cellStyle name="Обычный 6 2 3 2 2 11" xfId="19188"/>
    <cellStyle name="Обычный 6 2 3 2 2 12" xfId="20882"/>
    <cellStyle name="Обычный 6 2 3 2 2 13" xfId="22494"/>
    <cellStyle name="Обычный 6 2 3 2 2 2" xfId="13603"/>
    <cellStyle name="Обычный 6 2 3 2 2 2 2" xfId="13604"/>
    <cellStyle name="Обычный 6 2 3 2 2 3" xfId="13605"/>
    <cellStyle name="Обычный 6 2 3 2 2 4" xfId="13606"/>
    <cellStyle name="Обычный 6 2 3 2 2 5" xfId="13607"/>
    <cellStyle name="Обычный 6 2 3 2 2 6" xfId="13608"/>
    <cellStyle name="Обычный 6 2 3 2 2 7" xfId="13609"/>
    <cellStyle name="Обычный 6 2 3 2 2 8" xfId="13610"/>
    <cellStyle name="Обычный 6 2 3 2 2 9" xfId="13611"/>
    <cellStyle name="Обычный 6 2 3 2 3" xfId="13612"/>
    <cellStyle name="Обычный 6 2 3 2 3 2" xfId="13613"/>
    <cellStyle name="Обычный 6 2 3 2 4" xfId="13614"/>
    <cellStyle name="Обычный 6 2 3 2 5" xfId="13615"/>
    <cellStyle name="Обычный 6 2 3 2 6" xfId="13616"/>
    <cellStyle name="Обычный 6 2 3 2 7" xfId="13617"/>
    <cellStyle name="Обычный 6 2 3 2 8" xfId="13618"/>
    <cellStyle name="Обычный 6 2 3 2 9" xfId="13619"/>
    <cellStyle name="Обычный 6 2 3 20" xfId="22492"/>
    <cellStyle name="Обычный 6 2 3 3" xfId="13620"/>
    <cellStyle name="Обычный 6 2 3 3 10" xfId="13621"/>
    <cellStyle name="Обычный 6 2 3 3 11" xfId="13622"/>
    <cellStyle name="Обычный 6 2 3 3 12" xfId="19189"/>
    <cellStyle name="Обычный 6 2 3 3 13" xfId="20883"/>
    <cellStyle name="Обычный 6 2 3 3 14" xfId="22495"/>
    <cellStyle name="Обычный 6 2 3 3 2" xfId="13623"/>
    <cellStyle name="Обычный 6 2 3 3 2 10" xfId="13624"/>
    <cellStyle name="Обычный 6 2 3 3 2 11" xfId="19190"/>
    <cellStyle name="Обычный 6 2 3 3 2 12" xfId="20884"/>
    <cellStyle name="Обычный 6 2 3 3 2 13" xfId="22496"/>
    <cellStyle name="Обычный 6 2 3 3 2 2" xfId="13625"/>
    <cellStyle name="Обычный 6 2 3 3 2 2 2" xfId="13626"/>
    <cellStyle name="Обычный 6 2 3 3 2 3" xfId="13627"/>
    <cellStyle name="Обычный 6 2 3 3 2 4" xfId="13628"/>
    <cellStyle name="Обычный 6 2 3 3 2 5" xfId="13629"/>
    <cellStyle name="Обычный 6 2 3 3 2 6" xfId="13630"/>
    <cellStyle name="Обычный 6 2 3 3 2 7" xfId="13631"/>
    <cellStyle name="Обычный 6 2 3 3 2 8" xfId="13632"/>
    <cellStyle name="Обычный 6 2 3 3 2 9" xfId="13633"/>
    <cellStyle name="Обычный 6 2 3 3 3" xfId="13634"/>
    <cellStyle name="Обычный 6 2 3 3 3 2" xfId="13635"/>
    <cellStyle name="Обычный 6 2 3 3 4" xfId="13636"/>
    <cellStyle name="Обычный 6 2 3 3 5" xfId="13637"/>
    <cellStyle name="Обычный 6 2 3 3 6" xfId="13638"/>
    <cellStyle name="Обычный 6 2 3 3 7" xfId="13639"/>
    <cellStyle name="Обычный 6 2 3 3 8" xfId="13640"/>
    <cellStyle name="Обычный 6 2 3 3 9" xfId="13641"/>
    <cellStyle name="Обычный 6 2 3 4" xfId="13642"/>
    <cellStyle name="Обычный 6 2 3 4 10" xfId="13643"/>
    <cellStyle name="Обычный 6 2 3 4 11" xfId="13644"/>
    <cellStyle name="Обычный 6 2 3 4 12" xfId="19191"/>
    <cellStyle name="Обычный 6 2 3 4 13" xfId="20885"/>
    <cellStyle name="Обычный 6 2 3 4 14" xfId="22497"/>
    <cellStyle name="Обычный 6 2 3 4 2" xfId="13645"/>
    <cellStyle name="Обычный 6 2 3 4 2 10" xfId="13646"/>
    <cellStyle name="Обычный 6 2 3 4 2 11" xfId="19192"/>
    <cellStyle name="Обычный 6 2 3 4 2 12" xfId="20886"/>
    <cellStyle name="Обычный 6 2 3 4 2 13" xfId="22498"/>
    <cellStyle name="Обычный 6 2 3 4 2 2" xfId="13647"/>
    <cellStyle name="Обычный 6 2 3 4 2 2 2" xfId="13648"/>
    <cellStyle name="Обычный 6 2 3 4 2 3" xfId="13649"/>
    <cellStyle name="Обычный 6 2 3 4 2 4" xfId="13650"/>
    <cellStyle name="Обычный 6 2 3 4 2 5" xfId="13651"/>
    <cellStyle name="Обычный 6 2 3 4 2 6" xfId="13652"/>
    <cellStyle name="Обычный 6 2 3 4 2 7" xfId="13653"/>
    <cellStyle name="Обычный 6 2 3 4 2 8" xfId="13654"/>
    <cellStyle name="Обычный 6 2 3 4 2 9" xfId="13655"/>
    <cellStyle name="Обычный 6 2 3 4 3" xfId="13656"/>
    <cellStyle name="Обычный 6 2 3 4 3 2" xfId="13657"/>
    <cellStyle name="Обычный 6 2 3 4 4" xfId="13658"/>
    <cellStyle name="Обычный 6 2 3 4 5" xfId="13659"/>
    <cellStyle name="Обычный 6 2 3 4 6" xfId="13660"/>
    <cellStyle name="Обычный 6 2 3 4 7" xfId="13661"/>
    <cellStyle name="Обычный 6 2 3 4 8" xfId="13662"/>
    <cellStyle name="Обычный 6 2 3 4 9" xfId="13663"/>
    <cellStyle name="Обычный 6 2 3 5" xfId="13664"/>
    <cellStyle name="Обычный 6 2 3 5 10" xfId="13665"/>
    <cellStyle name="Обычный 6 2 3 5 11" xfId="13666"/>
    <cellStyle name="Обычный 6 2 3 5 12" xfId="19193"/>
    <cellStyle name="Обычный 6 2 3 5 13" xfId="20887"/>
    <cellStyle name="Обычный 6 2 3 5 14" xfId="22499"/>
    <cellStyle name="Обычный 6 2 3 5 2" xfId="13667"/>
    <cellStyle name="Обычный 6 2 3 5 2 10" xfId="13668"/>
    <cellStyle name="Обычный 6 2 3 5 2 11" xfId="19194"/>
    <cellStyle name="Обычный 6 2 3 5 2 12" xfId="20888"/>
    <cellStyle name="Обычный 6 2 3 5 2 13" xfId="22500"/>
    <cellStyle name="Обычный 6 2 3 5 2 2" xfId="13669"/>
    <cellStyle name="Обычный 6 2 3 5 2 2 2" xfId="13670"/>
    <cellStyle name="Обычный 6 2 3 5 2 3" xfId="13671"/>
    <cellStyle name="Обычный 6 2 3 5 2 4" xfId="13672"/>
    <cellStyle name="Обычный 6 2 3 5 2 5" xfId="13673"/>
    <cellStyle name="Обычный 6 2 3 5 2 6" xfId="13674"/>
    <cellStyle name="Обычный 6 2 3 5 2 7" xfId="13675"/>
    <cellStyle name="Обычный 6 2 3 5 2 8" xfId="13676"/>
    <cellStyle name="Обычный 6 2 3 5 2 9" xfId="13677"/>
    <cellStyle name="Обычный 6 2 3 5 3" xfId="13678"/>
    <cellStyle name="Обычный 6 2 3 5 3 2" xfId="13679"/>
    <cellStyle name="Обычный 6 2 3 5 4" xfId="13680"/>
    <cellStyle name="Обычный 6 2 3 5 5" xfId="13681"/>
    <cellStyle name="Обычный 6 2 3 5 6" xfId="13682"/>
    <cellStyle name="Обычный 6 2 3 5 7" xfId="13683"/>
    <cellStyle name="Обычный 6 2 3 5 8" xfId="13684"/>
    <cellStyle name="Обычный 6 2 3 5 9" xfId="13685"/>
    <cellStyle name="Обычный 6 2 3 6" xfId="13686"/>
    <cellStyle name="Обычный 6 2 3 6 10" xfId="13687"/>
    <cellStyle name="Обычный 6 2 3 6 11" xfId="19195"/>
    <cellStyle name="Обычный 6 2 3 6 12" xfId="20889"/>
    <cellStyle name="Обычный 6 2 3 6 13" xfId="22501"/>
    <cellStyle name="Обычный 6 2 3 6 2" xfId="13688"/>
    <cellStyle name="Обычный 6 2 3 6 2 2" xfId="13689"/>
    <cellStyle name="Обычный 6 2 3 6 3" xfId="13690"/>
    <cellStyle name="Обычный 6 2 3 6 4" xfId="13691"/>
    <cellStyle name="Обычный 6 2 3 6 5" xfId="13692"/>
    <cellStyle name="Обычный 6 2 3 6 6" xfId="13693"/>
    <cellStyle name="Обычный 6 2 3 6 7" xfId="13694"/>
    <cellStyle name="Обычный 6 2 3 6 8" xfId="13695"/>
    <cellStyle name="Обычный 6 2 3 6 9" xfId="13696"/>
    <cellStyle name="Обычный 6 2 3 7" xfId="13697"/>
    <cellStyle name="Обычный 6 2 3 7 10" xfId="20890"/>
    <cellStyle name="Обычный 6 2 3 7 11" xfId="22502"/>
    <cellStyle name="Обычный 6 2 3 7 2" xfId="13698"/>
    <cellStyle name="Обычный 6 2 3 7 2 2" xfId="13699"/>
    <cellStyle name="Обычный 6 2 3 7 3" xfId="13700"/>
    <cellStyle name="Обычный 6 2 3 7 4" xfId="13701"/>
    <cellStyle name="Обычный 6 2 3 7 5" xfId="13702"/>
    <cellStyle name="Обычный 6 2 3 7 6" xfId="13703"/>
    <cellStyle name="Обычный 6 2 3 7 7" xfId="13704"/>
    <cellStyle name="Обычный 6 2 3 7 8" xfId="13705"/>
    <cellStyle name="Обычный 6 2 3 7 9" xfId="19196"/>
    <cellStyle name="Обычный 6 2 3 8" xfId="13706"/>
    <cellStyle name="Обычный 6 2 3 8 2" xfId="13707"/>
    <cellStyle name="Обычный 6 2 3 9" xfId="13708"/>
    <cellStyle name="Обычный 6 2 4" xfId="13709"/>
    <cellStyle name="Обычный 6 2 4 10" xfId="13710"/>
    <cellStyle name="Обычный 6 2 4 11" xfId="13711"/>
    <cellStyle name="Обычный 6 2 4 12" xfId="13712"/>
    <cellStyle name="Обычный 6 2 4 13" xfId="13713"/>
    <cellStyle name="Обычный 6 2 4 14" xfId="13714"/>
    <cellStyle name="Обычный 6 2 4 15" xfId="13715"/>
    <cellStyle name="Обычный 6 2 4 16" xfId="13716"/>
    <cellStyle name="Обычный 6 2 4 17" xfId="13717"/>
    <cellStyle name="Обычный 6 2 4 18" xfId="19197"/>
    <cellStyle name="Обычный 6 2 4 19" xfId="20891"/>
    <cellStyle name="Обычный 6 2 4 2" xfId="13718"/>
    <cellStyle name="Обычный 6 2 4 2 10" xfId="13719"/>
    <cellStyle name="Обычный 6 2 4 2 11" xfId="13720"/>
    <cellStyle name="Обычный 6 2 4 2 12" xfId="19198"/>
    <cellStyle name="Обычный 6 2 4 2 13" xfId="20892"/>
    <cellStyle name="Обычный 6 2 4 2 14" xfId="22504"/>
    <cellStyle name="Обычный 6 2 4 2 2" xfId="13721"/>
    <cellStyle name="Обычный 6 2 4 2 2 10" xfId="13722"/>
    <cellStyle name="Обычный 6 2 4 2 2 11" xfId="19199"/>
    <cellStyle name="Обычный 6 2 4 2 2 12" xfId="20893"/>
    <cellStyle name="Обычный 6 2 4 2 2 13" xfId="22505"/>
    <cellStyle name="Обычный 6 2 4 2 2 2" xfId="13723"/>
    <cellStyle name="Обычный 6 2 4 2 2 2 2" xfId="13724"/>
    <cellStyle name="Обычный 6 2 4 2 2 3" xfId="13725"/>
    <cellStyle name="Обычный 6 2 4 2 2 4" xfId="13726"/>
    <cellStyle name="Обычный 6 2 4 2 2 5" xfId="13727"/>
    <cellStyle name="Обычный 6 2 4 2 2 6" xfId="13728"/>
    <cellStyle name="Обычный 6 2 4 2 2 7" xfId="13729"/>
    <cellStyle name="Обычный 6 2 4 2 2 8" xfId="13730"/>
    <cellStyle name="Обычный 6 2 4 2 2 9" xfId="13731"/>
    <cellStyle name="Обычный 6 2 4 2 3" xfId="13732"/>
    <cellStyle name="Обычный 6 2 4 2 3 2" xfId="13733"/>
    <cellStyle name="Обычный 6 2 4 2 4" xfId="13734"/>
    <cellStyle name="Обычный 6 2 4 2 5" xfId="13735"/>
    <cellStyle name="Обычный 6 2 4 2 6" xfId="13736"/>
    <cellStyle name="Обычный 6 2 4 2 7" xfId="13737"/>
    <cellStyle name="Обычный 6 2 4 2 8" xfId="13738"/>
    <cellStyle name="Обычный 6 2 4 2 9" xfId="13739"/>
    <cellStyle name="Обычный 6 2 4 20" xfId="22503"/>
    <cellStyle name="Обычный 6 2 4 3" xfId="13740"/>
    <cellStyle name="Обычный 6 2 4 3 10" xfId="13741"/>
    <cellStyle name="Обычный 6 2 4 3 11" xfId="13742"/>
    <cellStyle name="Обычный 6 2 4 3 12" xfId="19200"/>
    <cellStyle name="Обычный 6 2 4 3 13" xfId="20894"/>
    <cellStyle name="Обычный 6 2 4 3 14" xfId="22506"/>
    <cellStyle name="Обычный 6 2 4 3 2" xfId="13743"/>
    <cellStyle name="Обычный 6 2 4 3 2 10" xfId="13744"/>
    <cellStyle name="Обычный 6 2 4 3 2 11" xfId="19201"/>
    <cellStyle name="Обычный 6 2 4 3 2 12" xfId="20895"/>
    <cellStyle name="Обычный 6 2 4 3 2 13" xfId="22507"/>
    <cellStyle name="Обычный 6 2 4 3 2 2" xfId="13745"/>
    <cellStyle name="Обычный 6 2 4 3 2 2 2" xfId="13746"/>
    <cellStyle name="Обычный 6 2 4 3 2 3" xfId="13747"/>
    <cellStyle name="Обычный 6 2 4 3 2 4" xfId="13748"/>
    <cellStyle name="Обычный 6 2 4 3 2 5" xfId="13749"/>
    <cellStyle name="Обычный 6 2 4 3 2 6" xfId="13750"/>
    <cellStyle name="Обычный 6 2 4 3 2 7" xfId="13751"/>
    <cellStyle name="Обычный 6 2 4 3 2 8" xfId="13752"/>
    <cellStyle name="Обычный 6 2 4 3 2 9" xfId="13753"/>
    <cellStyle name="Обычный 6 2 4 3 3" xfId="13754"/>
    <cellStyle name="Обычный 6 2 4 3 3 2" xfId="13755"/>
    <cellStyle name="Обычный 6 2 4 3 4" xfId="13756"/>
    <cellStyle name="Обычный 6 2 4 3 5" xfId="13757"/>
    <cellStyle name="Обычный 6 2 4 3 6" xfId="13758"/>
    <cellStyle name="Обычный 6 2 4 3 7" xfId="13759"/>
    <cellStyle name="Обычный 6 2 4 3 8" xfId="13760"/>
    <cellStyle name="Обычный 6 2 4 3 9" xfId="13761"/>
    <cellStyle name="Обычный 6 2 4 4" xfId="13762"/>
    <cellStyle name="Обычный 6 2 4 4 10" xfId="13763"/>
    <cellStyle name="Обычный 6 2 4 4 11" xfId="13764"/>
    <cellStyle name="Обычный 6 2 4 4 12" xfId="19202"/>
    <cellStyle name="Обычный 6 2 4 4 13" xfId="20896"/>
    <cellStyle name="Обычный 6 2 4 4 14" xfId="22508"/>
    <cellStyle name="Обычный 6 2 4 4 2" xfId="13765"/>
    <cellStyle name="Обычный 6 2 4 4 2 10" xfId="13766"/>
    <cellStyle name="Обычный 6 2 4 4 2 11" xfId="19203"/>
    <cellStyle name="Обычный 6 2 4 4 2 12" xfId="20897"/>
    <cellStyle name="Обычный 6 2 4 4 2 13" xfId="22509"/>
    <cellStyle name="Обычный 6 2 4 4 2 2" xfId="13767"/>
    <cellStyle name="Обычный 6 2 4 4 2 2 2" xfId="13768"/>
    <cellStyle name="Обычный 6 2 4 4 2 3" xfId="13769"/>
    <cellStyle name="Обычный 6 2 4 4 2 4" xfId="13770"/>
    <cellStyle name="Обычный 6 2 4 4 2 5" xfId="13771"/>
    <cellStyle name="Обычный 6 2 4 4 2 6" xfId="13772"/>
    <cellStyle name="Обычный 6 2 4 4 2 7" xfId="13773"/>
    <cellStyle name="Обычный 6 2 4 4 2 8" xfId="13774"/>
    <cellStyle name="Обычный 6 2 4 4 2 9" xfId="13775"/>
    <cellStyle name="Обычный 6 2 4 4 3" xfId="13776"/>
    <cellStyle name="Обычный 6 2 4 4 3 2" xfId="13777"/>
    <cellStyle name="Обычный 6 2 4 4 4" xfId="13778"/>
    <cellStyle name="Обычный 6 2 4 4 5" xfId="13779"/>
    <cellStyle name="Обычный 6 2 4 4 6" xfId="13780"/>
    <cellStyle name="Обычный 6 2 4 4 7" xfId="13781"/>
    <cellStyle name="Обычный 6 2 4 4 8" xfId="13782"/>
    <cellStyle name="Обычный 6 2 4 4 9" xfId="13783"/>
    <cellStyle name="Обычный 6 2 4 5" xfId="13784"/>
    <cellStyle name="Обычный 6 2 4 5 10" xfId="13785"/>
    <cellStyle name="Обычный 6 2 4 5 11" xfId="13786"/>
    <cellStyle name="Обычный 6 2 4 5 12" xfId="19204"/>
    <cellStyle name="Обычный 6 2 4 5 13" xfId="20898"/>
    <cellStyle name="Обычный 6 2 4 5 14" xfId="22510"/>
    <cellStyle name="Обычный 6 2 4 5 2" xfId="13787"/>
    <cellStyle name="Обычный 6 2 4 5 2 10" xfId="13788"/>
    <cellStyle name="Обычный 6 2 4 5 2 11" xfId="19205"/>
    <cellStyle name="Обычный 6 2 4 5 2 12" xfId="20899"/>
    <cellStyle name="Обычный 6 2 4 5 2 13" xfId="22511"/>
    <cellStyle name="Обычный 6 2 4 5 2 2" xfId="13789"/>
    <cellStyle name="Обычный 6 2 4 5 2 2 2" xfId="13790"/>
    <cellStyle name="Обычный 6 2 4 5 2 3" xfId="13791"/>
    <cellStyle name="Обычный 6 2 4 5 2 4" xfId="13792"/>
    <cellStyle name="Обычный 6 2 4 5 2 5" xfId="13793"/>
    <cellStyle name="Обычный 6 2 4 5 2 6" xfId="13794"/>
    <cellStyle name="Обычный 6 2 4 5 2 7" xfId="13795"/>
    <cellStyle name="Обычный 6 2 4 5 2 8" xfId="13796"/>
    <cellStyle name="Обычный 6 2 4 5 2 9" xfId="13797"/>
    <cellStyle name="Обычный 6 2 4 5 3" xfId="13798"/>
    <cellStyle name="Обычный 6 2 4 5 3 2" xfId="13799"/>
    <cellStyle name="Обычный 6 2 4 5 4" xfId="13800"/>
    <cellStyle name="Обычный 6 2 4 5 5" xfId="13801"/>
    <cellStyle name="Обычный 6 2 4 5 6" xfId="13802"/>
    <cellStyle name="Обычный 6 2 4 5 7" xfId="13803"/>
    <cellStyle name="Обычный 6 2 4 5 8" xfId="13804"/>
    <cellStyle name="Обычный 6 2 4 5 9" xfId="13805"/>
    <cellStyle name="Обычный 6 2 4 6" xfId="13806"/>
    <cellStyle name="Обычный 6 2 4 6 10" xfId="13807"/>
    <cellStyle name="Обычный 6 2 4 6 11" xfId="19206"/>
    <cellStyle name="Обычный 6 2 4 6 12" xfId="20900"/>
    <cellStyle name="Обычный 6 2 4 6 13" xfId="22512"/>
    <cellStyle name="Обычный 6 2 4 6 2" xfId="13808"/>
    <cellStyle name="Обычный 6 2 4 6 2 2" xfId="13809"/>
    <cellStyle name="Обычный 6 2 4 6 3" xfId="13810"/>
    <cellStyle name="Обычный 6 2 4 6 4" xfId="13811"/>
    <cellStyle name="Обычный 6 2 4 6 5" xfId="13812"/>
    <cellStyle name="Обычный 6 2 4 6 6" xfId="13813"/>
    <cellStyle name="Обычный 6 2 4 6 7" xfId="13814"/>
    <cellStyle name="Обычный 6 2 4 6 8" xfId="13815"/>
    <cellStyle name="Обычный 6 2 4 6 9" xfId="13816"/>
    <cellStyle name="Обычный 6 2 4 7" xfId="13817"/>
    <cellStyle name="Обычный 6 2 4 7 10" xfId="20901"/>
    <cellStyle name="Обычный 6 2 4 7 11" xfId="22513"/>
    <cellStyle name="Обычный 6 2 4 7 2" xfId="13818"/>
    <cellStyle name="Обычный 6 2 4 7 2 2" xfId="13819"/>
    <cellStyle name="Обычный 6 2 4 7 3" xfId="13820"/>
    <cellStyle name="Обычный 6 2 4 7 4" xfId="13821"/>
    <cellStyle name="Обычный 6 2 4 7 5" xfId="13822"/>
    <cellStyle name="Обычный 6 2 4 7 6" xfId="13823"/>
    <cellStyle name="Обычный 6 2 4 7 7" xfId="13824"/>
    <cellStyle name="Обычный 6 2 4 7 8" xfId="13825"/>
    <cellStyle name="Обычный 6 2 4 7 9" xfId="19207"/>
    <cellStyle name="Обычный 6 2 4 8" xfId="13826"/>
    <cellStyle name="Обычный 6 2 4 8 2" xfId="13827"/>
    <cellStyle name="Обычный 6 2 4 9" xfId="13828"/>
    <cellStyle name="Обычный 6 2 5" xfId="13829"/>
    <cellStyle name="Обычный 6 2 5 10" xfId="13830"/>
    <cellStyle name="Обычный 6 2 5 11" xfId="13831"/>
    <cellStyle name="Обычный 6 2 5 12" xfId="19208"/>
    <cellStyle name="Обычный 6 2 5 13" xfId="20902"/>
    <cellStyle name="Обычный 6 2 5 14" xfId="22514"/>
    <cellStyle name="Обычный 6 2 5 2" xfId="13832"/>
    <cellStyle name="Обычный 6 2 5 2 10" xfId="13833"/>
    <cellStyle name="Обычный 6 2 5 2 11" xfId="19209"/>
    <cellStyle name="Обычный 6 2 5 2 12" xfId="20903"/>
    <cellStyle name="Обычный 6 2 5 2 13" xfId="22515"/>
    <cellStyle name="Обычный 6 2 5 2 2" xfId="13834"/>
    <cellStyle name="Обычный 6 2 5 2 2 2" xfId="13835"/>
    <cellStyle name="Обычный 6 2 5 2 3" xfId="13836"/>
    <cellStyle name="Обычный 6 2 5 2 4" xfId="13837"/>
    <cellStyle name="Обычный 6 2 5 2 5" xfId="13838"/>
    <cellStyle name="Обычный 6 2 5 2 6" xfId="13839"/>
    <cellStyle name="Обычный 6 2 5 2 7" xfId="13840"/>
    <cellStyle name="Обычный 6 2 5 2 8" xfId="13841"/>
    <cellStyle name="Обычный 6 2 5 2 9" xfId="13842"/>
    <cellStyle name="Обычный 6 2 5 3" xfId="13843"/>
    <cellStyle name="Обычный 6 2 5 3 2" xfId="13844"/>
    <cellStyle name="Обычный 6 2 5 4" xfId="13845"/>
    <cellStyle name="Обычный 6 2 5 5" xfId="13846"/>
    <cellStyle name="Обычный 6 2 5 6" xfId="13847"/>
    <cellStyle name="Обычный 6 2 5 7" xfId="13848"/>
    <cellStyle name="Обычный 6 2 5 8" xfId="13849"/>
    <cellStyle name="Обычный 6 2 5 9" xfId="13850"/>
    <cellStyle name="Обычный 6 2 6" xfId="13851"/>
    <cellStyle name="Обычный 6 2 6 10" xfId="13852"/>
    <cellStyle name="Обычный 6 2 6 11" xfId="13853"/>
    <cellStyle name="Обычный 6 2 6 12" xfId="19210"/>
    <cellStyle name="Обычный 6 2 6 13" xfId="20904"/>
    <cellStyle name="Обычный 6 2 6 14" xfId="22516"/>
    <cellStyle name="Обычный 6 2 6 2" xfId="13854"/>
    <cellStyle name="Обычный 6 2 6 2 10" xfId="13855"/>
    <cellStyle name="Обычный 6 2 6 2 11" xfId="19211"/>
    <cellStyle name="Обычный 6 2 6 2 12" xfId="20905"/>
    <cellStyle name="Обычный 6 2 6 2 13" xfId="22517"/>
    <cellStyle name="Обычный 6 2 6 2 2" xfId="13856"/>
    <cellStyle name="Обычный 6 2 6 2 2 2" xfId="13857"/>
    <cellStyle name="Обычный 6 2 6 2 3" xfId="13858"/>
    <cellStyle name="Обычный 6 2 6 2 4" xfId="13859"/>
    <cellStyle name="Обычный 6 2 6 2 5" xfId="13860"/>
    <cellStyle name="Обычный 6 2 6 2 6" xfId="13861"/>
    <cellStyle name="Обычный 6 2 6 2 7" xfId="13862"/>
    <cellStyle name="Обычный 6 2 6 2 8" xfId="13863"/>
    <cellStyle name="Обычный 6 2 6 2 9" xfId="13864"/>
    <cellStyle name="Обычный 6 2 6 3" xfId="13865"/>
    <cellStyle name="Обычный 6 2 6 3 2" xfId="13866"/>
    <cellStyle name="Обычный 6 2 6 4" xfId="13867"/>
    <cellStyle name="Обычный 6 2 6 5" xfId="13868"/>
    <cellStyle name="Обычный 6 2 6 6" xfId="13869"/>
    <cellStyle name="Обычный 6 2 6 7" xfId="13870"/>
    <cellStyle name="Обычный 6 2 6 8" xfId="13871"/>
    <cellStyle name="Обычный 6 2 6 9" xfId="13872"/>
    <cellStyle name="Обычный 6 2 7" xfId="13873"/>
    <cellStyle name="Обычный 6 2 7 10" xfId="13874"/>
    <cellStyle name="Обычный 6 2 7 11" xfId="13875"/>
    <cellStyle name="Обычный 6 2 7 12" xfId="19212"/>
    <cellStyle name="Обычный 6 2 7 13" xfId="20906"/>
    <cellStyle name="Обычный 6 2 7 14" xfId="22518"/>
    <cellStyle name="Обычный 6 2 7 2" xfId="13876"/>
    <cellStyle name="Обычный 6 2 7 2 10" xfId="13877"/>
    <cellStyle name="Обычный 6 2 7 2 11" xfId="19213"/>
    <cellStyle name="Обычный 6 2 7 2 12" xfId="20907"/>
    <cellStyle name="Обычный 6 2 7 2 13" xfId="22519"/>
    <cellStyle name="Обычный 6 2 7 2 2" xfId="13878"/>
    <cellStyle name="Обычный 6 2 7 2 2 2" xfId="13879"/>
    <cellStyle name="Обычный 6 2 7 2 3" xfId="13880"/>
    <cellStyle name="Обычный 6 2 7 2 4" xfId="13881"/>
    <cellStyle name="Обычный 6 2 7 2 5" xfId="13882"/>
    <cellStyle name="Обычный 6 2 7 2 6" xfId="13883"/>
    <cellStyle name="Обычный 6 2 7 2 7" xfId="13884"/>
    <cellStyle name="Обычный 6 2 7 2 8" xfId="13885"/>
    <cellStyle name="Обычный 6 2 7 2 9" xfId="13886"/>
    <cellStyle name="Обычный 6 2 7 3" xfId="13887"/>
    <cellStyle name="Обычный 6 2 7 3 2" xfId="13888"/>
    <cellStyle name="Обычный 6 2 7 4" xfId="13889"/>
    <cellStyle name="Обычный 6 2 7 5" xfId="13890"/>
    <cellStyle name="Обычный 6 2 7 6" xfId="13891"/>
    <cellStyle name="Обычный 6 2 7 7" xfId="13892"/>
    <cellStyle name="Обычный 6 2 7 8" xfId="13893"/>
    <cellStyle name="Обычный 6 2 7 9" xfId="13894"/>
    <cellStyle name="Обычный 6 2 8" xfId="13895"/>
    <cellStyle name="Обычный 6 2 8 10" xfId="13896"/>
    <cellStyle name="Обычный 6 2 8 11" xfId="13897"/>
    <cellStyle name="Обычный 6 2 8 12" xfId="19214"/>
    <cellStyle name="Обычный 6 2 8 13" xfId="20908"/>
    <cellStyle name="Обычный 6 2 8 14" xfId="22520"/>
    <cellStyle name="Обычный 6 2 8 2" xfId="13898"/>
    <cellStyle name="Обычный 6 2 8 2 10" xfId="13899"/>
    <cellStyle name="Обычный 6 2 8 2 11" xfId="19215"/>
    <cellStyle name="Обычный 6 2 8 2 12" xfId="20909"/>
    <cellStyle name="Обычный 6 2 8 2 13" xfId="22521"/>
    <cellStyle name="Обычный 6 2 8 2 2" xfId="13900"/>
    <cellStyle name="Обычный 6 2 8 2 2 2" xfId="13901"/>
    <cellStyle name="Обычный 6 2 8 2 3" xfId="13902"/>
    <cellStyle name="Обычный 6 2 8 2 4" xfId="13903"/>
    <cellStyle name="Обычный 6 2 8 2 5" xfId="13904"/>
    <cellStyle name="Обычный 6 2 8 2 6" xfId="13905"/>
    <cellStyle name="Обычный 6 2 8 2 7" xfId="13906"/>
    <cellStyle name="Обычный 6 2 8 2 8" xfId="13907"/>
    <cellStyle name="Обычный 6 2 8 2 9" xfId="13908"/>
    <cellStyle name="Обычный 6 2 8 3" xfId="13909"/>
    <cellStyle name="Обычный 6 2 8 3 2" xfId="13910"/>
    <cellStyle name="Обычный 6 2 8 4" xfId="13911"/>
    <cellStyle name="Обычный 6 2 8 5" xfId="13912"/>
    <cellStyle name="Обычный 6 2 8 6" xfId="13913"/>
    <cellStyle name="Обычный 6 2 8 7" xfId="13914"/>
    <cellStyle name="Обычный 6 2 8 8" xfId="13915"/>
    <cellStyle name="Обычный 6 2 8 9" xfId="13916"/>
    <cellStyle name="Обычный 6 2 9" xfId="13917"/>
    <cellStyle name="Обычный 6 2 9 10" xfId="13918"/>
    <cellStyle name="Обычный 6 2 9 11" xfId="13919"/>
    <cellStyle name="Обычный 6 2 9 12" xfId="19216"/>
    <cellStyle name="Обычный 6 2 9 13" xfId="20910"/>
    <cellStyle name="Обычный 6 2 9 14" xfId="22522"/>
    <cellStyle name="Обычный 6 2 9 2" xfId="13920"/>
    <cellStyle name="Обычный 6 2 9 2 10" xfId="13921"/>
    <cellStyle name="Обычный 6 2 9 2 11" xfId="19217"/>
    <cellStyle name="Обычный 6 2 9 2 12" xfId="20911"/>
    <cellStyle name="Обычный 6 2 9 2 13" xfId="22523"/>
    <cellStyle name="Обычный 6 2 9 2 2" xfId="13922"/>
    <cellStyle name="Обычный 6 2 9 2 2 2" xfId="13923"/>
    <cellStyle name="Обычный 6 2 9 2 3" xfId="13924"/>
    <cellStyle name="Обычный 6 2 9 2 4" xfId="13925"/>
    <cellStyle name="Обычный 6 2 9 2 5" xfId="13926"/>
    <cellStyle name="Обычный 6 2 9 2 6" xfId="13927"/>
    <cellStyle name="Обычный 6 2 9 2 7" xfId="13928"/>
    <cellStyle name="Обычный 6 2 9 2 8" xfId="13929"/>
    <cellStyle name="Обычный 6 2 9 2 9" xfId="13930"/>
    <cellStyle name="Обычный 6 2 9 3" xfId="13931"/>
    <cellStyle name="Обычный 6 2 9 3 2" xfId="13932"/>
    <cellStyle name="Обычный 6 2 9 4" xfId="13933"/>
    <cellStyle name="Обычный 6 2 9 5" xfId="13934"/>
    <cellStyle name="Обычный 6 2 9 6" xfId="13935"/>
    <cellStyle name="Обычный 6 2 9 7" xfId="13936"/>
    <cellStyle name="Обычный 6 2 9 8" xfId="13937"/>
    <cellStyle name="Обычный 6 2 9 9" xfId="13938"/>
    <cellStyle name="Обычный 6 20" xfId="13939"/>
    <cellStyle name="Обычный 6 21" xfId="13940"/>
    <cellStyle name="Обычный 6 22" xfId="13941"/>
    <cellStyle name="Обычный 6 23" xfId="13942"/>
    <cellStyle name="Обычный 6 24" xfId="13943"/>
    <cellStyle name="Обычный 6 25" xfId="13944"/>
    <cellStyle name="Обычный 6 26" xfId="13945"/>
    <cellStyle name="Обычный 6 27" xfId="13946"/>
    <cellStyle name="Обычный 6 28" xfId="19133"/>
    <cellStyle name="Обычный 6 29" xfId="19640"/>
    <cellStyle name="Обычный 6 3" xfId="13947"/>
    <cellStyle name="Обычный 6 3 10" xfId="13948"/>
    <cellStyle name="Обычный 6 3 10 10" xfId="13949"/>
    <cellStyle name="Обычный 6 3 10 11" xfId="13950"/>
    <cellStyle name="Обычный 6 3 10 12" xfId="19219"/>
    <cellStyle name="Обычный 6 3 10 13" xfId="20913"/>
    <cellStyle name="Обычный 6 3 10 14" xfId="22525"/>
    <cellStyle name="Обычный 6 3 10 2" xfId="13951"/>
    <cellStyle name="Обычный 6 3 10 2 10" xfId="13952"/>
    <cellStyle name="Обычный 6 3 10 2 11" xfId="19220"/>
    <cellStyle name="Обычный 6 3 10 2 12" xfId="20914"/>
    <cellStyle name="Обычный 6 3 10 2 13" xfId="22526"/>
    <cellStyle name="Обычный 6 3 10 2 2" xfId="13953"/>
    <cellStyle name="Обычный 6 3 10 2 2 2" xfId="13954"/>
    <cellStyle name="Обычный 6 3 10 2 3" xfId="13955"/>
    <cellStyle name="Обычный 6 3 10 2 4" xfId="13956"/>
    <cellStyle name="Обычный 6 3 10 2 5" xfId="13957"/>
    <cellStyle name="Обычный 6 3 10 2 6" xfId="13958"/>
    <cellStyle name="Обычный 6 3 10 2 7" xfId="13959"/>
    <cellStyle name="Обычный 6 3 10 2 8" xfId="13960"/>
    <cellStyle name="Обычный 6 3 10 2 9" xfId="13961"/>
    <cellStyle name="Обычный 6 3 10 3" xfId="13962"/>
    <cellStyle name="Обычный 6 3 10 3 2" xfId="13963"/>
    <cellStyle name="Обычный 6 3 10 4" xfId="13964"/>
    <cellStyle name="Обычный 6 3 10 5" xfId="13965"/>
    <cellStyle name="Обычный 6 3 10 6" xfId="13966"/>
    <cellStyle name="Обычный 6 3 10 7" xfId="13967"/>
    <cellStyle name="Обычный 6 3 10 8" xfId="13968"/>
    <cellStyle name="Обычный 6 3 10 9" xfId="13969"/>
    <cellStyle name="Обычный 6 3 11" xfId="13970"/>
    <cellStyle name="Обычный 6 3 11 10" xfId="13971"/>
    <cellStyle name="Обычный 6 3 11 11" xfId="19221"/>
    <cellStyle name="Обычный 6 3 11 12" xfId="20915"/>
    <cellStyle name="Обычный 6 3 11 13" xfId="22527"/>
    <cellStyle name="Обычный 6 3 11 2" xfId="13972"/>
    <cellStyle name="Обычный 6 3 11 2 2" xfId="13973"/>
    <cellStyle name="Обычный 6 3 11 3" xfId="13974"/>
    <cellStyle name="Обычный 6 3 11 4" xfId="13975"/>
    <cellStyle name="Обычный 6 3 11 5" xfId="13976"/>
    <cellStyle name="Обычный 6 3 11 6" xfId="13977"/>
    <cellStyle name="Обычный 6 3 11 7" xfId="13978"/>
    <cellStyle name="Обычный 6 3 11 8" xfId="13979"/>
    <cellStyle name="Обычный 6 3 11 9" xfId="13980"/>
    <cellStyle name="Обычный 6 3 12" xfId="13981"/>
    <cellStyle name="Обычный 6 3 12 10" xfId="20916"/>
    <cellStyle name="Обычный 6 3 12 11" xfId="22528"/>
    <cellStyle name="Обычный 6 3 12 2" xfId="13982"/>
    <cellStyle name="Обычный 6 3 12 2 2" xfId="13983"/>
    <cellStyle name="Обычный 6 3 12 3" xfId="13984"/>
    <cellStyle name="Обычный 6 3 12 4" xfId="13985"/>
    <cellStyle name="Обычный 6 3 12 5" xfId="13986"/>
    <cellStyle name="Обычный 6 3 12 6" xfId="13987"/>
    <cellStyle name="Обычный 6 3 12 7" xfId="13988"/>
    <cellStyle name="Обычный 6 3 12 8" xfId="13989"/>
    <cellStyle name="Обычный 6 3 12 9" xfId="19222"/>
    <cellStyle name="Обычный 6 3 13" xfId="13990"/>
    <cellStyle name="Обычный 6 3 13 10" xfId="20917"/>
    <cellStyle name="Обычный 6 3 13 11" xfId="22529"/>
    <cellStyle name="Обычный 6 3 13 2" xfId="13991"/>
    <cellStyle name="Обычный 6 3 13 2 2" xfId="13992"/>
    <cellStyle name="Обычный 6 3 13 3" xfId="13993"/>
    <cellStyle name="Обычный 6 3 13 4" xfId="13994"/>
    <cellStyle name="Обычный 6 3 13 5" xfId="13995"/>
    <cellStyle name="Обычный 6 3 13 6" xfId="13996"/>
    <cellStyle name="Обычный 6 3 13 7" xfId="13997"/>
    <cellStyle name="Обычный 6 3 13 8" xfId="13998"/>
    <cellStyle name="Обычный 6 3 13 9" xfId="19223"/>
    <cellStyle name="Обычный 6 3 14" xfId="13999"/>
    <cellStyle name="Обычный 6 3 14 2" xfId="14000"/>
    <cellStyle name="Обычный 6 3 15" xfId="14001"/>
    <cellStyle name="Обычный 6 3 16" xfId="14002"/>
    <cellStyle name="Обычный 6 3 17" xfId="14003"/>
    <cellStyle name="Обычный 6 3 18" xfId="14004"/>
    <cellStyle name="Обычный 6 3 19" xfId="14005"/>
    <cellStyle name="Обычный 6 3 2" xfId="14006"/>
    <cellStyle name="Обычный 6 3 2 10" xfId="14007"/>
    <cellStyle name="Обычный 6 3 2 10 2" xfId="14008"/>
    <cellStyle name="Обычный 6 3 2 11" xfId="14009"/>
    <cellStyle name="Обычный 6 3 2 12" xfId="14010"/>
    <cellStyle name="Обычный 6 3 2 13" xfId="14011"/>
    <cellStyle name="Обычный 6 3 2 14" xfId="14012"/>
    <cellStyle name="Обычный 6 3 2 15" xfId="14013"/>
    <cellStyle name="Обычный 6 3 2 16" xfId="14014"/>
    <cellStyle name="Обычный 6 3 2 17" xfId="14015"/>
    <cellStyle name="Обычный 6 3 2 18" xfId="14016"/>
    <cellStyle name="Обычный 6 3 2 19" xfId="14017"/>
    <cellStyle name="Обычный 6 3 2 2" xfId="14018"/>
    <cellStyle name="Обычный 6 3 2 2 10" xfId="14019"/>
    <cellStyle name="Обычный 6 3 2 2 11" xfId="14020"/>
    <cellStyle name="Обычный 6 3 2 2 12" xfId="14021"/>
    <cellStyle name="Обычный 6 3 2 2 13" xfId="14022"/>
    <cellStyle name="Обычный 6 3 2 2 14" xfId="14023"/>
    <cellStyle name="Обычный 6 3 2 2 15" xfId="14024"/>
    <cellStyle name="Обычный 6 3 2 2 16" xfId="14025"/>
    <cellStyle name="Обычный 6 3 2 2 17" xfId="14026"/>
    <cellStyle name="Обычный 6 3 2 2 18" xfId="19225"/>
    <cellStyle name="Обычный 6 3 2 2 19" xfId="20919"/>
    <cellStyle name="Обычный 6 3 2 2 2" xfId="14027"/>
    <cellStyle name="Обычный 6 3 2 2 2 10" xfId="14028"/>
    <cellStyle name="Обычный 6 3 2 2 2 11" xfId="14029"/>
    <cellStyle name="Обычный 6 3 2 2 2 12" xfId="19226"/>
    <cellStyle name="Обычный 6 3 2 2 2 13" xfId="20920"/>
    <cellStyle name="Обычный 6 3 2 2 2 14" xfId="22532"/>
    <cellStyle name="Обычный 6 3 2 2 2 2" xfId="14030"/>
    <cellStyle name="Обычный 6 3 2 2 2 2 10" xfId="14031"/>
    <cellStyle name="Обычный 6 3 2 2 2 2 11" xfId="19227"/>
    <cellStyle name="Обычный 6 3 2 2 2 2 12" xfId="20921"/>
    <cellStyle name="Обычный 6 3 2 2 2 2 13" xfId="22533"/>
    <cellStyle name="Обычный 6 3 2 2 2 2 2" xfId="14032"/>
    <cellStyle name="Обычный 6 3 2 2 2 2 2 2" xfId="14033"/>
    <cellStyle name="Обычный 6 3 2 2 2 2 3" xfId="14034"/>
    <cellStyle name="Обычный 6 3 2 2 2 2 4" xfId="14035"/>
    <cellStyle name="Обычный 6 3 2 2 2 2 5" xfId="14036"/>
    <cellStyle name="Обычный 6 3 2 2 2 2 6" xfId="14037"/>
    <cellStyle name="Обычный 6 3 2 2 2 2 7" xfId="14038"/>
    <cellStyle name="Обычный 6 3 2 2 2 2 8" xfId="14039"/>
    <cellStyle name="Обычный 6 3 2 2 2 2 9" xfId="14040"/>
    <cellStyle name="Обычный 6 3 2 2 2 3" xfId="14041"/>
    <cellStyle name="Обычный 6 3 2 2 2 3 2" xfId="14042"/>
    <cellStyle name="Обычный 6 3 2 2 2 4" xfId="14043"/>
    <cellStyle name="Обычный 6 3 2 2 2 5" xfId="14044"/>
    <cellStyle name="Обычный 6 3 2 2 2 6" xfId="14045"/>
    <cellStyle name="Обычный 6 3 2 2 2 7" xfId="14046"/>
    <cellStyle name="Обычный 6 3 2 2 2 8" xfId="14047"/>
    <cellStyle name="Обычный 6 3 2 2 2 9" xfId="14048"/>
    <cellStyle name="Обычный 6 3 2 2 20" xfId="22531"/>
    <cellStyle name="Обычный 6 3 2 2 3" xfId="14049"/>
    <cellStyle name="Обычный 6 3 2 2 3 10" xfId="14050"/>
    <cellStyle name="Обычный 6 3 2 2 3 11" xfId="14051"/>
    <cellStyle name="Обычный 6 3 2 2 3 12" xfId="19228"/>
    <cellStyle name="Обычный 6 3 2 2 3 13" xfId="20922"/>
    <cellStyle name="Обычный 6 3 2 2 3 14" xfId="22534"/>
    <cellStyle name="Обычный 6 3 2 2 3 2" xfId="14052"/>
    <cellStyle name="Обычный 6 3 2 2 3 2 10" xfId="14053"/>
    <cellStyle name="Обычный 6 3 2 2 3 2 11" xfId="19229"/>
    <cellStyle name="Обычный 6 3 2 2 3 2 12" xfId="20923"/>
    <cellStyle name="Обычный 6 3 2 2 3 2 13" xfId="22535"/>
    <cellStyle name="Обычный 6 3 2 2 3 2 2" xfId="14054"/>
    <cellStyle name="Обычный 6 3 2 2 3 2 2 2" xfId="14055"/>
    <cellStyle name="Обычный 6 3 2 2 3 2 3" xfId="14056"/>
    <cellStyle name="Обычный 6 3 2 2 3 2 4" xfId="14057"/>
    <cellStyle name="Обычный 6 3 2 2 3 2 5" xfId="14058"/>
    <cellStyle name="Обычный 6 3 2 2 3 2 6" xfId="14059"/>
    <cellStyle name="Обычный 6 3 2 2 3 2 7" xfId="14060"/>
    <cellStyle name="Обычный 6 3 2 2 3 2 8" xfId="14061"/>
    <cellStyle name="Обычный 6 3 2 2 3 2 9" xfId="14062"/>
    <cellStyle name="Обычный 6 3 2 2 3 3" xfId="14063"/>
    <cellStyle name="Обычный 6 3 2 2 3 3 2" xfId="14064"/>
    <cellStyle name="Обычный 6 3 2 2 3 4" xfId="14065"/>
    <cellStyle name="Обычный 6 3 2 2 3 5" xfId="14066"/>
    <cellStyle name="Обычный 6 3 2 2 3 6" xfId="14067"/>
    <cellStyle name="Обычный 6 3 2 2 3 7" xfId="14068"/>
    <cellStyle name="Обычный 6 3 2 2 3 8" xfId="14069"/>
    <cellStyle name="Обычный 6 3 2 2 3 9" xfId="14070"/>
    <cellStyle name="Обычный 6 3 2 2 4" xfId="14071"/>
    <cellStyle name="Обычный 6 3 2 2 4 10" xfId="14072"/>
    <cellStyle name="Обычный 6 3 2 2 4 11" xfId="14073"/>
    <cellStyle name="Обычный 6 3 2 2 4 12" xfId="19230"/>
    <cellStyle name="Обычный 6 3 2 2 4 13" xfId="20924"/>
    <cellStyle name="Обычный 6 3 2 2 4 14" xfId="22536"/>
    <cellStyle name="Обычный 6 3 2 2 4 2" xfId="14074"/>
    <cellStyle name="Обычный 6 3 2 2 4 2 10" xfId="14075"/>
    <cellStyle name="Обычный 6 3 2 2 4 2 11" xfId="19231"/>
    <cellStyle name="Обычный 6 3 2 2 4 2 12" xfId="20925"/>
    <cellStyle name="Обычный 6 3 2 2 4 2 13" xfId="22537"/>
    <cellStyle name="Обычный 6 3 2 2 4 2 2" xfId="14076"/>
    <cellStyle name="Обычный 6 3 2 2 4 2 2 2" xfId="14077"/>
    <cellStyle name="Обычный 6 3 2 2 4 2 3" xfId="14078"/>
    <cellStyle name="Обычный 6 3 2 2 4 2 4" xfId="14079"/>
    <cellStyle name="Обычный 6 3 2 2 4 2 5" xfId="14080"/>
    <cellStyle name="Обычный 6 3 2 2 4 2 6" xfId="14081"/>
    <cellStyle name="Обычный 6 3 2 2 4 2 7" xfId="14082"/>
    <cellStyle name="Обычный 6 3 2 2 4 2 8" xfId="14083"/>
    <cellStyle name="Обычный 6 3 2 2 4 2 9" xfId="14084"/>
    <cellStyle name="Обычный 6 3 2 2 4 3" xfId="14085"/>
    <cellStyle name="Обычный 6 3 2 2 4 3 2" xfId="14086"/>
    <cellStyle name="Обычный 6 3 2 2 4 4" xfId="14087"/>
    <cellStyle name="Обычный 6 3 2 2 4 5" xfId="14088"/>
    <cellStyle name="Обычный 6 3 2 2 4 6" xfId="14089"/>
    <cellStyle name="Обычный 6 3 2 2 4 7" xfId="14090"/>
    <cellStyle name="Обычный 6 3 2 2 4 8" xfId="14091"/>
    <cellStyle name="Обычный 6 3 2 2 4 9" xfId="14092"/>
    <cellStyle name="Обычный 6 3 2 2 5" xfId="14093"/>
    <cellStyle name="Обычный 6 3 2 2 5 10" xfId="14094"/>
    <cellStyle name="Обычный 6 3 2 2 5 11" xfId="14095"/>
    <cellStyle name="Обычный 6 3 2 2 5 12" xfId="19232"/>
    <cellStyle name="Обычный 6 3 2 2 5 13" xfId="20926"/>
    <cellStyle name="Обычный 6 3 2 2 5 14" xfId="22538"/>
    <cellStyle name="Обычный 6 3 2 2 5 2" xfId="14096"/>
    <cellStyle name="Обычный 6 3 2 2 5 2 10" xfId="14097"/>
    <cellStyle name="Обычный 6 3 2 2 5 2 11" xfId="19233"/>
    <cellStyle name="Обычный 6 3 2 2 5 2 12" xfId="20927"/>
    <cellStyle name="Обычный 6 3 2 2 5 2 13" xfId="22539"/>
    <cellStyle name="Обычный 6 3 2 2 5 2 2" xfId="14098"/>
    <cellStyle name="Обычный 6 3 2 2 5 2 2 2" xfId="14099"/>
    <cellStyle name="Обычный 6 3 2 2 5 2 3" xfId="14100"/>
    <cellStyle name="Обычный 6 3 2 2 5 2 4" xfId="14101"/>
    <cellStyle name="Обычный 6 3 2 2 5 2 5" xfId="14102"/>
    <cellStyle name="Обычный 6 3 2 2 5 2 6" xfId="14103"/>
    <cellStyle name="Обычный 6 3 2 2 5 2 7" xfId="14104"/>
    <cellStyle name="Обычный 6 3 2 2 5 2 8" xfId="14105"/>
    <cellStyle name="Обычный 6 3 2 2 5 2 9" xfId="14106"/>
    <cellStyle name="Обычный 6 3 2 2 5 3" xfId="14107"/>
    <cellStyle name="Обычный 6 3 2 2 5 3 2" xfId="14108"/>
    <cellStyle name="Обычный 6 3 2 2 5 4" xfId="14109"/>
    <cellStyle name="Обычный 6 3 2 2 5 5" xfId="14110"/>
    <cellStyle name="Обычный 6 3 2 2 5 6" xfId="14111"/>
    <cellStyle name="Обычный 6 3 2 2 5 7" xfId="14112"/>
    <cellStyle name="Обычный 6 3 2 2 5 8" xfId="14113"/>
    <cellStyle name="Обычный 6 3 2 2 5 9" xfId="14114"/>
    <cellStyle name="Обычный 6 3 2 2 6" xfId="14115"/>
    <cellStyle name="Обычный 6 3 2 2 6 10" xfId="14116"/>
    <cellStyle name="Обычный 6 3 2 2 6 11" xfId="19234"/>
    <cellStyle name="Обычный 6 3 2 2 6 12" xfId="20928"/>
    <cellStyle name="Обычный 6 3 2 2 6 13" xfId="22540"/>
    <cellStyle name="Обычный 6 3 2 2 6 2" xfId="14117"/>
    <cellStyle name="Обычный 6 3 2 2 6 2 2" xfId="14118"/>
    <cellStyle name="Обычный 6 3 2 2 6 3" xfId="14119"/>
    <cellStyle name="Обычный 6 3 2 2 6 4" xfId="14120"/>
    <cellStyle name="Обычный 6 3 2 2 6 5" xfId="14121"/>
    <cellStyle name="Обычный 6 3 2 2 6 6" xfId="14122"/>
    <cellStyle name="Обычный 6 3 2 2 6 7" xfId="14123"/>
    <cellStyle name="Обычный 6 3 2 2 6 8" xfId="14124"/>
    <cellStyle name="Обычный 6 3 2 2 6 9" xfId="14125"/>
    <cellStyle name="Обычный 6 3 2 2 7" xfId="14126"/>
    <cellStyle name="Обычный 6 3 2 2 7 10" xfId="20929"/>
    <cellStyle name="Обычный 6 3 2 2 7 11" xfId="22541"/>
    <cellStyle name="Обычный 6 3 2 2 7 2" xfId="14127"/>
    <cellStyle name="Обычный 6 3 2 2 7 2 2" xfId="14128"/>
    <cellStyle name="Обычный 6 3 2 2 7 3" xfId="14129"/>
    <cellStyle name="Обычный 6 3 2 2 7 4" xfId="14130"/>
    <cellStyle name="Обычный 6 3 2 2 7 5" xfId="14131"/>
    <cellStyle name="Обычный 6 3 2 2 7 6" xfId="14132"/>
    <cellStyle name="Обычный 6 3 2 2 7 7" xfId="14133"/>
    <cellStyle name="Обычный 6 3 2 2 7 8" xfId="14134"/>
    <cellStyle name="Обычный 6 3 2 2 7 9" xfId="19235"/>
    <cellStyle name="Обычный 6 3 2 2 8" xfId="14135"/>
    <cellStyle name="Обычный 6 3 2 2 8 2" xfId="14136"/>
    <cellStyle name="Обычный 6 3 2 2 9" xfId="14137"/>
    <cellStyle name="Обычный 6 3 2 20" xfId="19224"/>
    <cellStyle name="Обычный 6 3 2 21" xfId="20918"/>
    <cellStyle name="Обычный 6 3 2 22" xfId="22530"/>
    <cellStyle name="Обычный 6 3 2 3" xfId="14138"/>
    <cellStyle name="Обычный 6 3 2 3 10" xfId="14139"/>
    <cellStyle name="Обычный 6 3 2 3 11" xfId="14140"/>
    <cellStyle name="Обычный 6 3 2 3 12" xfId="14141"/>
    <cellStyle name="Обычный 6 3 2 3 13" xfId="14142"/>
    <cellStyle name="Обычный 6 3 2 3 14" xfId="14143"/>
    <cellStyle name="Обычный 6 3 2 3 15" xfId="14144"/>
    <cellStyle name="Обычный 6 3 2 3 16" xfId="14145"/>
    <cellStyle name="Обычный 6 3 2 3 17" xfId="14146"/>
    <cellStyle name="Обычный 6 3 2 3 18" xfId="19236"/>
    <cellStyle name="Обычный 6 3 2 3 19" xfId="20930"/>
    <cellStyle name="Обычный 6 3 2 3 2" xfId="14147"/>
    <cellStyle name="Обычный 6 3 2 3 2 10" xfId="14148"/>
    <cellStyle name="Обычный 6 3 2 3 2 11" xfId="14149"/>
    <cellStyle name="Обычный 6 3 2 3 2 12" xfId="19237"/>
    <cellStyle name="Обычный 6 3 2 3 2 13" xfId="20931"/>
    <cellStyle name="Обычный 6 3 2 3 2 14" xfId="22543"/>
    <cellStyle name="Обычный 6 3 2 3 2 2" xfId="14150"/>
    <cellStyle name="Обычный 6 3 2 3 2 2 10" xfId="14151"/>
    <cellStyle name="Обычный 6 3 2 3 2 2 11" xfId="19238"/>
    <cellStyle name="Обычный 6 3 2 3 2 2 12" xfId="20932"/>
    <cellStyle name="Обычный 6 3 2 3 2 2 13" xfId="22544"/>
    <cellStyle name="Обычный 6 3 2 3 2 2 2" xfId="14152"/>
    <cellStyle name="Обычный 6 3 2 3 2 2 2 2" xfId="14153"/>
    <cellStyle name="Обычный 6 3 2 3 2 2 3" xfId="14154"/>
    <cellStyle name="Обычный 6 3 2 3 2 2 4" xfId="14155"/>
    <cellStyle name="Обычный 6 3 2 3 2 2 5" xfId="14156"/>
    <cellStyle name="Обычный 6 3 2 3 2 2 6" xfId="14157"/>
    <cellStyle name="Обычный 6 3 2 3 2 2 7" xfId="14158"/>
    <cellStyle name="Обычный 6 3 2 3 2 2 8" xfId="14159"/>
    <cellStyle name="Обычный 6 3 2 3 2 2 9" xfId="14160"/>
    <cellStyle name="Обычный 6 3 2 3 2 3" xfId="14161"/>
    <cellStyle name="Обычный 6 3 2 3 2 3 2" xfId="14162"/>
    <cellStyle name="Обычный 6 3 2 3 2 4" xfId="14163"/>
    <cellStyle name="Обычный 6 3 2 3 2 5" xfId="14164"/>
    <cellStyle name="Обычный 6 3 2 3 2 6" xfId="14165"/>
    <cellStyle name="Обычный 6 3 2 3 2 7" xfId="14166"/>
    <cellStyle name="Обычный 6 3 2 3 2 8" xfId="14167"/>
    <cellStyle name="Обычный 6 3 2 3 2 9" xfId="14168"/>
    <cellStyle name="Обычный 6 3 2 3 20" xfId="22542"/>
    <cellStyle name="Обычный 6 3 2 3 3" xfId="14169"/>
    <cellStyle name="Обычный 6 3 2 3 3 10" xfId="14170"/>
    <cellStyle name="Обычный 6 3 2 3 3 11" xfId="14171"/>
    <cellStyle name="Обычный 6 3 2 3 3 12" xfId="19239"/>
    <cellStyle name="Обычный 6 3 2 3 3 13" xfId="20933"/>
    <cellStyle name="Обычный 6 3 2 3 3 14" xfId="22545"/>
    <cellStyle name="Обычный 6 3 2 3 3 2" xfId="14172"/>
    <cellStyle name="Обычный 6 3 2 3 3 2 10" xfId="14173"/>
    <cellStyle name="Обычный 6 3 2 3 3 2 11" xfId="19240"/>
    <cellStyle name="Обычный 6 3 2 3 3 2 12" xfId="20934"/>
    <cellStyle name="Обычный 6 3 2 3 3 2 13" xfId="22546"/>
    <cellStyle name="Обычный 6 3 2 3 3 2 2" xfId="14174"/>
    <cellStyle name="Обычный 6 3 2 3 3 2 2 2" xfId="14175"/>
    <cellStyle name="Обычный 6 3 2 3 3 2 3" xfId="14176"/>
    <cellStyle name="Обычный 6 3 2 3 3 2 4" xfId="14177"/>
    <cellStyle name="Обычный 6 3 2 3 3 2 5" xfId="14178"/>
    <cellStyle name="Обычный 6 3 2 3 3 2 6" xfId="14179"/>
    <cellStyle name="Обычный 6 3 2 3 3 2 7" xfId="14180"/>
    <cellStyle name="Обычный 6 3 2 3 3 2 8" xfId="14181"/>
    <cellStyle name="Обычный 6 3 2 3 3 2 9" xfId="14182"/>
    <cellStyle name="Обычный 6 3 2 3 3 3" xfId="14183"/>
    <cellStyle name="Обычный 6 3 2 3 3 3 2" xfId="14184"/>
    <cellStyle name="Обычный 6 3 2 3 3 4" xfId="14185"/>
    <cellStyle name="Обычный 6 3 2 3 3 5" xfId="14186"/>
    <cellStyle name="Обычный 6 3 2 3 3 6" xfId="14187"/>
    <cellStyle name="Обычный 6 3 2 3 3 7" xfId="14188"/>
    <cellStyle name="Обычный 6 3 2 3 3 8" xfId="14189"/>
    <cellStyle name="Обычный 6 3 2 3 3 9" xfId="14190"/>
    <cellStyle name="Обычный 6 3 2 3 4" xfId="14191"/>
    <cellStyle name="Обычный 6 3 2 3 4 10" xfId="14192"/>
    <cellStyle name="Обычный 6 3 2 3 4 11" xfId="14193"/>
    <cellStyle name="Обычный 6 3 2 3 4 12" xfId="19241"/>
    <cellStyle name="Обычный 6 3 2 3 4 13" xfId="20935"/>
    <cellStyle name="Обычный 6 3 2 3 4 14" xfId="22547"/>
    <cellStyle name="Обычный 6 3 2 3 4 2" xfId="14194"/>
    <cellStyle name="Обычный 6 3 2 3 4 2 10" xfId="14195"/>
    <cellStyle name="Обычный 6 3 2 3 4 2 11" xfId="19242"/>
    <cellStyle name="Обычный 6 3 2 3 4 2 12" xfId="20936"/>
    <cellStyle name="Обычный 6 3 2 3 4 2 13" xfId="22548"/>
    <cellStyle name="Обычный 6 3 2 3 4 2 2" xfId="14196"/>
    <cellStyle name="Обычный 6 3 2 3 4 2 2 2" xfId="14197"/>
    <cellStyle name="Обычный 6 3 2 3 4 2 3" xfId="14198"/>
    <cellStyle name="Обычный 6 3 2 3 4 2 4" xfId="14199"/>
    <cellStyle name="Обычный 6 3 2 3 4 2 5" xfId="14200"/>
    <cellStyle name="Обычный 6 3 2 3 4 2 6" xfId="14201"/>
    <cellStyle name="Обычный 6 3 2 3 4 2 7" xfId="14202"/>
    <cellStyle name="Обычный 6 3 2 3 4 2 8" xfId="14203"/>
    <cellStyle name="Обычный 6 3 2 3 4 2 9" xfId="14204"/>
    <cellStyle name="Обычный 6 3 2 3 4 3" xfId="14205"/>
    <cellStyle name="Обычный 6 3 2 3 4 3 2" xfId="14206"/>
    <cellStyle name="Обычный 6 3 2 3 4 4" xfId="14207"/>
    <cellStyle name="Обычный 6 3 2 3 4 5" xfId="14208"/>
    <cellStyle name="Обычный 6 3 2 3 4 6" xfId="14209"/>
    <cellStyle name="Обычный 6 3 2 3 4 7" xfId="14210"/>
    <cellStyle name="Обычный 6 3 2 3 4 8" xfId="14211"/>
    <cellStyle name="Обычный 6 3 2 3 4 9" xfId="14212"/>
    <cellStyle name="Обычный 6 3 2 3 5" xfId="14213"/>
    <cellStyle name="Обычный 6 3 2 3 5 10" xfId="14214"/>
    <cellStyle name="Обычный 6 3 2 3 5 11" xfId="14215"/>
    <cellStyle name="Обычный 6 3 2 3 5 12" xfId="19243"/>
    <cellStyle name="Обычный 6 3 2 3 5 13" xfId="20937"/>
    <cellStyle name="Обычный 6 3 2 3 5 14" xfId="22549"/>
    <cellStyle name="Обычный 6 3 2 3 5 2" xfId="14216"/>
    <cellStyle name="Обычный 6 3 2 3 5 2 10" xfId="14217"/>
    <cellStyle name="Обычный 6 3 2 3 5 2 11" xfId="19244"/>
    <cellStyle name="Обычный 6 3 2 3 5 2 12" xfId="20938"/>
    <cellStyle name="Обычный 6 3 2 3 5 2 13" xfId="22550"/>
    <cellStyle name="Обычный 6 3 2 3 5 2 2" xfId="14218"/>
    <cellStyle name="Обычный 6 3 2 3 5 2 2 2" xfId="14219"/>
    <cellStyle name="Обычный 6 3 2 3 5 2 3" xfId="14220"/>
    <cellStyle name="Обычный 6 3 2 3 5 2 4" xfId="14221"/>
    <cellStyle name="Обычный 6 3 2 3 5 2 5" xfId="14222"/>
    <cellStyle name="Обычный 6 3 2 3 5 2 6" xfId="14223"/>
    <cellStyle name="Обычный 6 3 2 3 5 2 7" xfId="14224"/>
    <cellStyle name="Обычный 6 3 2 3 5 2 8" xfId="14225"/>
    <cellStyle name="Обычный 6 3 2 3 5 2 9" xfId="14226"/>
    <cellStyle name="Обычный 6 3 2 3 5 3" xfId="14227"/>
    <cellStyle name="Обычный 6 3 2 3 5 3 2" xfId="14228"/>
    <cellStyle name="Обычный 6 3 2 3 5 4" xfId="14229"/>
    <cellStyle name="Обычный 6 3 2 3 5 5" xfId="14230"/>
    <cellStyle name="Обычный 6 3 2 3 5 6" xfId="14231"/>
    <cellStyle name="Обычный 6 3 2 3 5 7" xfId="14232"/>
    <cellStyle name="Обычный 6 3 2 3 5 8" xfId="14233"/>
    <cellStyle name="Обычный 6 3 2 3 5 9" xfId="14234"/>
    <cellStyle name="Обычный 6 3 2 3 6" xfId="14235"/>
    <cellStyle name="Обычный 6 3 2 3 6 10" xfId="14236"/>
    <cellStyle name="Обычный 6 3 2 3 6 11" xfId="19245"/>
    <cellStyle name="Обычный 6 3 2 3 6 12" xfId="20939"/>
    <cellStyle name="Обычный 6 3 2 3 6 13" xfId="22551"/>
    <cellStyle name="Обычный 6 3 2 3 6 2" xfId="14237"/>
    <cellStyle name="Обычный 6 3 2 3 6 2 2" xfId="14238"/>
    <cellStyle name="Обычный 6 3 2 3 6 3" xfId="14239"/>
    <cellStyle name="Обычный 6 3 2 3 6 4" xfId="14240"/>
    <cellStyle name="Обычный 6 3 2 3 6 5" xfId="14241"/>
    <cellStyle name="Обычный 6 3 2 3 6 6" xfId="14242"/>
    <cellStyle name="Обычный 6 3 2 3 6 7" xfId="14243"/>
    <cellStyle name="Обычный 6 3 2 3 6 8" xfId="14244"/>
    <cellStyle name="Обычный 6 3 2 3 6 9" xfId="14245"/>
    <cellStyle name="Обычный 6 3 2 3 7" xfId="14246"/>
    <cellStyle name="Обычный 6 3 2 3 7 10" xfId="20940"/>
    <cellStyle name="Обычный 6 3 2 3 7 11" xfId="22552"/>
    <cellStyle name="Обычный 6 3 2 3 7 2" xfId="14247"/>
    <cellStyle name="Обычный 6 3 2 3 7 2 2" xfId="14248"/>
    <cellStyle name="Обычный 6 3 2 3 7 3" xfId="14249"/>
    <cellStyle name="Обычный 6 3 2 3 7 4" xfId="14250"/>
    <cellStyle name="Обычный 6 3 2 3 7 5" xfId="14251"/>
    <cellStyle name="Обычный 6 3 2 3 7 6" xfId="14252"/>
    <cellStyle name="Обычный 6 3 2 3 7 7" xfId="14253"/>
    <cellStyle name="Обычный 6 3 2 3 7 8" xfId="14254"/>
    <cellStyle name="Обычный 6 3 2 3 7 9" xfId="19246"/>
    <cellStyle name="Обычный 6 3 2 3 8" xfId="14255"/>
    <cellStyle name="Обычный 6 3 2 3 8 2" xfId="14256"/>
    <cellStyle name="Обычный 6 3 2 3 9" xfId="14257"/>
    <cellStyle name="Обычный 6 3 2 4" xfId="14258"/>
    <cellStyle name="Обычный 6 3 2 4 10" xfId="14259"/>
    <cellStyle name="Обычный 6 3 2 4 11" xfId="14260"/>
    <cellStyle name="Обычный 6 3 2 4 12" xfId="19247"/>
    <cellStyle name="Обычный 6 3 2 4 13" xfId="20941"/>
    <cellStyle name="Обычный 6 3 2 4 14" xfId="22553"/>
    <cellStyle name="Обычный 6 3 2 4 2" xfId="14261"/>
    <cellStyle name="Обычный 6 3 2 4 2 10" xfId="14262"/>
    <cellStyle name="Обычный 6 3 2 4 2 11" xfId="19248"/>
    <cellStyle name="Обычный 6 3 2 4 2 12" xfId="20942"/>
    <cellStyle name="Обычный 6 3 2 4 2 13" xfId="22554"/>
    <cellStyle name="Обычный 6 3 2 4 2 2" xfId="14263"/>
    <cellStyle name="Обычный 6 3 2 4 2 2 2" xfId="14264"/>
    <cellStyle name="Обычный 6 3 2 4 2 3" xfId="14265"/>
    <cellStyle name="Обычный 6 3 2 4 2 4" xfId="14266"/>
    <cellStyle name="Обычный 6 3 2 4 2 5" xfId="14267"/>
    <cellStyle name="Обычный 6 3 2 4 2 6" xfId="14268"/>
    <cellStyle name="Обычный 6 3 2 4 2 7" xfId="14269"/>
    <cellStyle name="Обычный 6 3 2 4 2 8" xfId="14270"/>
    <cellStyle name="Обычный 6 3 2 4 2 9" xfId="14271"/>
    <cellStyle name="Обычный 6 3 2 4 3" xfId="14272"/>
    <cellStyle name="Обычный 6 3 2 4 3 2" xfId="14273"/>
    <cellStyle name="Обычный 6 3 2 4 4" xfId="14274"/>
    <cellStyle name="Обычный 6 3 2 4 5" xfId="14275"/>
    <cellStyle name="Обычный 6 3 2 4 6" xfId="14276"/>
    <cellStyle name="Обычный 6 3 2 4 7" xfId="14277"/>
    <cellStyle name="Обычный 6 3 2 4 8" xfId="14278"/>
    <cellStyle name="Обычный 6 3 2 4 9" xfId="14279"/>
    <cellStyle name="Обычный 6 3 2 5" xfId="14280"/>
    <cellStyle name="Обычный 6 3 2 5 10" xfId="14281"/>
    <cellStyle name="Обычный 6 3 2 5 11" xfId="14282"/>
    <cellStyle name="Обычный 6 3 2 5 12" xfId="19249"/>
    <cellStyle name="Обычный 6 3 2 5 13" xfId="20943"/>
    <cellStyle name="Обычный 6 3 2 5 14" xfId="22555"/>
    <cellStyle name="Обычный 6 3 2 5 2" xfId="14283"/>
    <cellStyle name="Обычный 6 3 2 5 2 10" xfId="14284"/>
    <cellStyle name="Обычный 6 3 2 5 2 11" xfId="19250"/>
    <cellStyle name="Обычный 6 3 2 5 2 12" xfId="20944"/>
    <cellStyle name="Обычный 6 3 2 5 2 13" xfId="22556"/>
    <cellStyle name="Обычный 6 3 2 5 2 2" xfId="14285"/>
    <cellStyle name="Обычный 6 3 2 5 2 2 2" xfId="14286"/>
    <cellStyle name="Обычный 6 3 2 5 2 3" xfId="14287"/>
    <cellStyle name="Обычный 6 3 2 5 2 4" xfId="14288"/>
    <cellStyle name="Обычный 6 3 2 5 2 5" xfId="14289"/>
    <cellStyle name="Обычный 6 3 2 5 2 6" xfId="14290"/>
    <cellStyle name="Обычный 6 3 2 5 2 7" xfId="14291"/>
    <cellStyle name="Обычный 6 3 2 5 2 8" xfId="14292"/>
    <cellStyle name="Обычный 6 3 2 5 2 9" xfId="14293"/>
    <cellStyle name="Обычный 6 3 2 5 3" xfId="14294"/>
    <cellStyle name="Обычный 6 3 2 5 3 2" xfId="14295"/>
    <cellStyle name="Обычный 6 3 2 5 4" xfId="14296"/>
    <cellStyle name="Обычный 6 3 2 5 5" xfId="14297"/>
    <cellStyle name="Обычный 6 3 2 5 6" xfId="14298"/>
    <cellStyle name="Обычный 6 3 2 5 7" xfId="14299"/>
    <cellStyle name="Обычный 6 3 2 5 8" xfId="14300"/>
    <cellStyle name="Обычный 6 3 2 5 9" xfId="14301"/>
    <cellStyle name="Обычный 6 3 2 6" xfId="14302"/>
    <cellStyle name="Обычный 6 3 2 6 10" xfId="14303"/>
    <cellStyle name="Обычный 6 3 2 6 11" xfId="14304"/>
    <cellStyle name="Обычный 6 3 2 6 12" xfId="19251"/>
    <cellStyle name="Обычный 6 3 2 6 13" xfId="20945"/>
    <cellStyle name="Обычный 6 3 2 6 14" xfId="22557"/>
    <cellStyle name="Обычный 6 3 2 6 2" xfId="14305"/>
    <cellStyle name="Обычный 6 3 2 6 2 10" xfId="14306"/>
    <cellStyle name="Обычный 6 3 2 6 2 11" xfId="19252"/>
    <cellStyle name="Обычный 6 3 2 6 2 12" xfId="20946"/>
    <cellStyle name="Обычный 6 3 2 6 2 13" xfId="22558"/>
    <cellStyle name="Обычный 6 3 2 6 2 2" xfId="14307"/>
    <cellStyle name="Обычный 6 3 2 6 2 2 2" xfId="14308"/>
    <cellStyle name="Обычный 6 3 2 6 2 3" xfId="14309"/>
    <cellStyle name="Обычный 6 3 2 6 2 4" xfId="14310"/>
    <cellStyle name="Обычный 6 3 2 6 2 5" xfId="14311"/>
    <cellStyle name="Обычный 6 3 2 6 2 6" xfId="14312"/>
    <cellStyle name="Обычный 6 3 2 6 2 7" xfId="14313"/>
    <cellStyle name="Обычный 6 3 2 6 2 8" xfId="14314"/>
    <cellStyle name="Обычный 6 3 2 6 2 9" xfId="14315"/>
    <cellStyle name="Обычный 6 3 2 6 3" xfId="14316"/>
    <cellStyle name="Обычный 6 3 2 6 3 2" xfId="14317"/>
    <cellStyle name="Обычный 6 3 2 6 4" xfId="14318"/>
    <cellStyle name="Обычный 6 3 2 6 5" xfId="14319"/>
    <cellStyle name="Обычный 6 3 2 6 6" xfId="14320"/>
    <cellStyle name="Обычный 6 3 2 6 7" xfId="14321"/>
    <cellStyle name="Обычный 6 3 2 6 8" xfId="14322"/>
    <cellStyle name="Обычный 6 3 2 6 9" xfId="14323"/>
    <cellStyle name="Обычный 6 3 2 7" xfId="14324"/>
    <cellStyle name="Обычный 6 3 2 7 10" xfId="14325"/>
    <cellStyle name="Обычный 6 3 2 7 11" xfId="14326"/>
    <cellStyle name="Обычный 6 3 2 7 12" xfId="19253"/>
    <cellStyle name="Обычный 6 3 2 7 13" xfId="20947"/>
    <cellStyle name="Обычный 6 3 2 7 14" xfId="22559"/>
    <cellStyle name="Обычный 6 3 2 7 2" xfId="14327"/>
    <cellStyle name="Обычный 6 3 2 7 2 10" xfId="14328"/>
    <cellStyle name="Обычный 6 3 2 7 2 11" xfId="19254"/>
    <cellStyle name="Обычный 6 3 2 7 2 12" xfId="20948"/>
    <cellStyle name="Обычный 6 3 2 7 2 13" xfId="22560"/>
    <cellStyle name="Обычный 6 3 2 7 2 2" xfId="14329"/>
    <cellStyle name="Обычный 6 3 2 7 2 2 2" xfId="14330"/>
    <cellStyle name="Обычный 6 3 2 7 2 3" xfId="14331"/>
    <cellStyle name="Обычный 6 3 2 7 2 4" xfId="14332"/>
    <cellStyle name="Обычный 6 3 2 7 2 5" xfId="14333"/>
    <cellStyle name="Обычный 6 3 2 7 2 6" xfId="14334"/>
    <cellStyle name="Обычный 6 3 2 7 2 7" xfId="14335"/>
    <cellStyle name="Обычный 6 3 2 7 2 8" xfId="14336"/>
    <cellStyle name="Обычный 6 3 2 7 2 9" xfId="14337"/>
    <cellStyle name="Обычный 6 3 2 7 3" xfId="14338"/>
    <cellStyle name="Обычный 6 3 2 7 3 2" xfId="14339"/>
    <cellStyle name="Обычный 6 3 2 7 4" xfId="14340"/>
    <cellStyle name="Обычный 6 3 2 7 5" xfId="14341"/>
    <cellStyle name="Обычный 6 3 2 7 6" xfId="14342"/>
    <cellStyle name="Обычный 6 3 2 7 7" xfId="14343"/>
    <cellStyle name="Обычный 6 3 2 7 8" xfId="14344"/>
    <cellStyle name="Обычный 6 3 2 7 9" xfId="14345"/>
    <cellStyle name="Обычный 6 3 2 8" xfId="14346"/>
    <cellStyle name="Обычный 6 3 2 8 10" xfId="14347"/>
    <cellStyle name="Обычный 6 3 2 8 11" xfId="19255"/>
    <cellStyle name="Обычный 6 3 2 8 12" xfId="20949"/>
    <cellStyle name="Обычный 6 3 2 8 13" xfId="22561"/>
    <cellStyle name="Обычный 6 3 2 8 2" xfId="14348"/>
    <cellStyle name="Обычный 6 3 2 8 2 2" xfId="14349"/>
    <cellStyle name="Обычный 6 3 2 8 3" xfId="14350"/>
    <cellStyle name="Обычный 6 3 2 8 4" xfId="14351"/>
    <cellStyle name="Обычный 6 3 2 8 5" xfId="14352"/>
    <cellStyle name="Обычный 6 3 2 8 6" xfId="14353"/>
    <cellStyle name="Обычный 6 3 2 8 7" xfId="14354"/>
    <cellStyle name="Обычный 6 3 2 8 8" xfId="14355"/>
    <cellStyle name="Обычный 6 3 2 8 9" xfId="14356"/>
    <cellStyle name="Обычный 6 3 2 9" xfId="14357"/>
    <cellStyle name="Обычный 6 3 2 9 10" xfId="20950"/>
    <cellStyle name="Обычный 6 3 2 9 11" xfId="22562"/>
    <cellStyle name="Обычный 6 3 2 9 2" xfId="14358"/>
    <cellStyle name="Обычный 6 3 2 9 2 2" xfId="14359"/>
    <cellStyle name="Обычный 6 3 2 9 3" xfId="14360"/>
    <cellStyle name="Обычный 6 3 2 9 4" xfId="14361"/>
    <cellStyle name="Обычный 6 3 2 9 5" xfId="14362"/>
    <cellStyle name="Обычный 6 3 2 9 6" xfId="14363"/>
    <cellStyle name="Обычный 6 3 2 9 7" xfId="14364"/>
    <cellStyle name="Обычный 6 3 2 9 8" xfId="14365"/>
    <cellStyle name="Обычный 6 3 2 9 9" xfId="19256"/>
    <cellStyle name="Обычный 6 3 20" xfId="14366"/>
    <cellStyle name="Обычный 6 3 21" xfId="14367"/>
    <cellStyle name="Обычный 6 3 22" xfId="14368"/>
    <cellStyle name="Обычный 6 3 23" xfId="14369"/>
    <cellStyle name="Обычный 6 3 24" xfId="19218"/>
    <cellStyle name="Обычный 6 3 25" xfId="19642"/>
    <cellStyle name="Обычный 6 3 26" xfId="20912"/>
    <cellStyle name="Обычный 6 3 27" xfId="22524"/>
    <cellStyle name="Обычный 6 3 3" xfId="14370"/>
    <cellStyle name="Обычный 6 3 3 10" xfId="14371"/>
    <cellStyle name="Обычный 6 3 3 11" xfId="14372"/>
    <cellStyle name="Обычный 6 3 3 12" xfId="14373"/>
    <cellStyle name="Обычный 6 3 3 13" xfId="14374"/>
    <cellStyle name="Обычный 6 3 3 14" xfId="14375"/>
    <cellStyle name="Обычный 6 3 3 15" xfId="14376"/>
    <cellStyle name="Обычный 6 3 3 16" xfId="14377"/>
    <cellStyle name="Обычный 6 3 3 17" xfId="14378"/>
    <cellStyle name="Обычный 6 3 3 18" xfId="19257"/>
    <cellStyle name="Обычный 6 3 3 19" xfId="20951"/>
    <cellStyle name="Обычный 6 3 3 2" xfId="14379"/>
    <cellStyle name="Обычный 6 3 3 2 10" xfId="14380"/>
    <cellStyle name="Обычный 6 3 3 2 11" xfId="14381"/>
    <cellStyle name="Обычный 6 3 3 2 12" xfId="19258"/>
    <cellStyle name="Обычный 6 3 3 2 13" xfId="20952"/>
    <cellStyle name="Обычный 6 3 3 2 14" xfId="22564"/>
    <cellStyle name="Обычный 6 3 3 2 2" xfId="14382"/>
    <cellStyle name="Обычный 6 3 3 2 2 10" xfId="14383"/>
    <cellStyle name="Обычный 6 3 3 2 2 11" xfId="19259"/>
    <cellStyle name="Обычный 6 3 3 2 2 12" xfId="20953"/>
    <cellStyle name="Обычный 6 3 3 2 2 13" xfId="22565"/>
    <cellStyle name="Обычный 6 3 3 2 2 2" xfId="14384"/>
    <cellStyle name="Обычный 6 3 3 2 2 2 2" xfId="14385"/>
    <cellStyle name="Обычный 6 3 3 2 2 3" xfId="14386"/>
    <cellStyle name="Обычный 6 3 3 2 2 4" xfId="14387"/>
    <cellStyle name="Обычный 6 3 3 2 2 5" xfId="14388"/>
    <cellStyle name="Обычный 6 3 3 2 2 6" xfId="14389"/>
    <cellStyle name="Обычный 6 3 3 2 2 7" xfId="14390"/>
    <cellStyle name="Обычный 6 3 3 2 2 8" xfId="14391"/>
    <cellStyle name="Обычный 6 3 3 2 2 9" xfId="14392"/>
    <cellStyle name="Обычный 6 3 3 2 3" xfId="14393"/>
    <cellStyle name="Обычный 6 3 3 2 3 2" xfId="14394"/>
    <cellStyle name="Обычный 6 3 3 2 4" xfId="14395"/>
    <cellStyle name="Обычный 6 3 3 2 5" xfId="14396"/>
    <cellStyle name="Обычный 6 3 3 2 6" xfId="14397"/>
    <cellStyle name="Обычный 6 3 3 2 7" xfId="14398"/>
    <cellStyle name="Обычный 6 3 3 2 8" xfId="14399"/>
    <cellStyle name="Обычный 6 3 3 2 9" xfId="14400"/>
    <cellStyle name="Обычный 6 3 3 20" xfId="22563"/>
    <cellStyle name="Обычный 6 3 3 3" xfId="14401"/>
    <cellStyle name="Обычный 6 3 3 3 10" xfId="14402"/>
    <cellStyle name="Обычный 6 3 3 3 11" xfId="14403"/>
    <cellStyle name="Обычный 6 3 3 3 12" xfId="19260"/>
    <cellStyle name="Обычный 6 3 3 3 13" xfId="20954"/>
    <cellStyle name="Обычный 6 3 3 3 14" xfId="22566"/>
    <cellStyle name="Обычный 6 3 3 3 2" xfId="14404"/>
    <cellStyle name="Обычный 6 3 3 3 2 10" xfId="14405"/>
    <cellStyle name="Обычный 6 3 3 3 2 11" xfId="19261"/>
    <cellStyle name="Обычный 6 3 3 3 2 12" xfId="20955"/>
    <cellStyle name="Обычный 6 3 3 3 2 13" xfId="22567"/>
    <cellStyle name="Обычный 6 3 3 3 2 2" xfId="14406"/>
    <cellStyle name="Обычный 6 3 3 3 2 2 2" xfId="14407"/>
    <cellStyle name="Обычный 6 3 3 3 2 3" xfId="14408"/>
    <cellStyle name="Обычный 6 3 3 3 2 4" xfId="14409"/>
    <cellStyle name="Обычный 6 3 3 3 2 5" xfId="14410"/>
    <cellStyle name="Обычный 6 3 3 3 2 6" xfId="14411"/>
    <cellStyle name="Обычный 6 3 3 3 2 7" xfId="14412"/>
    <cellStyle name="Обычный 6 3 3 3 2 8" xfId="14413"/>
    <cellStyle name="Обычный 6 3 3 3 2 9" xfId="14414"/>
    <cellStyle name="Обычный 6 3 3 3 3" xfId="14415"/>
    <cellStyle name="Обычный 6 3 3 3 3 2" xfId="14416"/>
    <cellStyle name="Обычный 6 3 3 3 4" xfId="14417"/>
    <cellStyle name="Обычный 6 3 3 3 5" xfId="14418"/>
    <cellStyle name="Обычный 6 3 3 3 6" xfId="14419"/>
    <cellStyle name="Обычный 6 3 3 3 7" xfId="14420"/>
    <cellStyle name="Обычный 6 3 3 3 8" xfId="14421"/>
    <cellStyle name="Обычный 6 3 3 3 9" xfId="14422"/>
    <cellStyle name="Обычный 6 3 3 4" xfId="14423"/>
    <cellStyle name="Обычный 6 3 3 4 10" xfId="14424"/>
    <cellStyle name="Обычный 6 3 3 4 11" xfId="14425"/>
    <cellStyle name="Обычный 6 3 3 4 12" xfId="19262"/>
    <cellStyle name="Обычный 6 3 3 4 13" xfId="20956"/>
    <cellStyle name="Обычный 6 3 3 4 14" xfId="22568"/>
    <cellStyle name="Обычный 6 3 3 4 2" xfId="14426"/>
    <cellStyle name="Обычный 6 3 3 4 2 10" xfId="14427"/>
    <cellStyle name="Обычный 6 3 3 4 2 11" xfId="19263"/>
    <cellStyle name="Обычный 6 3 3 4 2 12" xfId="20957"/>
    <cellStyle name="Обычный 6 3 3 4 2 13" xfId="22569"/>
    <cellStyle name="Обычный 6 3 3 4 2 2" xfId="14428"/>
    <cellStyle name="Обычный 6 3 3 4 2 2 2" xfId="14429"/>
    <cellStyle name="Обычный 6 3 3 4 2 3" xfId="14430"/>
    <cellStyle name="Обычный 6 3 3 4 2 4" xfId="14431"/>
    <cellStyle name="Обычный 6 3 3 4 2 5" xfId="14432"/>
    <cellStyle name="Обычный 6 3 3 4 2 6" xfId="14433"/>
    <cellStyle name="Обычный 6 3 3 4 2 7" xfId="14434"/>
    <cellStyle name="Обычный 6 3 3 4 2 8" xfId="14435"/>
    <cellStyle name="Обычный 6 3 3 4 2 9" xfId="14436"/>
    <cellStyle name="Обычный 6 3 3 4 3" xfId="14437"/>
    <cellStyle name="Обычный 6 3 3 4 3 2" xfId="14438"/>
    <cellStyle name="Обычный 6 3 3 4 4" xfId="14439"/>
    <cellStyle name="Обычный 6 3 3 4 5" xfId="14440"/>
    <cellStyle name="Обычный 6 3 3 4 6" xfId="14441"/>
    <cellStyle name="Обычный 6 3 3 4 7" xfId="14442"/>
    <cellStyle name="Обычный 6 3 3 4 8" xfId="14443"/>
    <cellStyle name="Обычный 6 3 3 4 9" xfId="14444"/>
    <cellStyle name="Обычный 6 3 3 5" xfId="14445"/>
    <cellStyle name="Обычный 6 3 3 5 10" xfId="14446"/>
    <cellStyle name="Обычный 6 3 3 5 11" xfId="14447"/>
    <cellStyle name="Обычный 6 3 3 5 12" xfId="19264"/>
    <cellStyle name="Обычный 6 3 3 5 13" xfId="20958"/>
    <cellStyle name="Обычный 6 3 3 5 14" xfId="22570"/>
    <cellStyle name="Обычный 6 3 3 5 2" xfId="14448"/>
    <cellStyle name="Обычный 6 3 3 5 2 10" xfId="14449"/>
    <cellStyle name="Обычный 6 3 3 5 2 11" xfId="19265"/>
    <cellStyle name="Обычный 6 3 3 5 2 12" xfId="20959"/>
    <cellStyle name="Обычный 6 3 3 5 2 13" xfId="22571"/>
    <cellStyle name="Обычный 6 3 3 5 2 2" xfId="14450"/>
    <cellStyle name="Обычный 6 3 3 5 2 2 2" xfId="14451"/>
    <cellStyle name="Обычный 6 3 3 5 2 3" xfId="14452"/>
    <cellStyle name="Обычный 6 3 3 5 2 4" xfId="14453"/>
    <cellStyle name="Обычный 6 3 3 5 2 5" xfId="14454"/>
    <cellStyle name="Обычный 6 3 3 5 2 6" xfId="14455"/>
    <cellStyle name="Обычный 6 3 3 5 2 7" xfId="14456"/>
    <cellStyle name="Обычный 6 3 3 5 2 8" xfId="14457"/>
    <cellStyle name="Обычный 6 3 3 5 2 9" xfId="14458"/>
    <cellStyle name="Обычный 6 3 3 5 3" xfId="14459"/>
    <cellStyle name="Обычный 6 3 3 5 3 2" xfId="14460"/>
    <cellStyle name="Обычный 6 3 3 5 4" xfId="14461"/>
    <cellStyle name="Обычный 6 3 3 5 5" xfId="14462"/>
    <cellStyle name="Обычный 6 3 3 5 6" xfId="14463"/>
    <cellStyle name="Обычный 6 3 3 5 7" xfId="14464"/>
    <cellStyle name="Обычный 6 3 3 5 8" xfId="14465"/>
    <cellStyle name="Обычный 6 3 3 5 9" xfId="14466"/>
    <cellStyle name="Обычный 6 3 3 6" xfId="14467"/>
    <cellStyle name="Обычный 6 3 3 6 10" xfId="14468"/>
    <cellStyle name="Обычный 6 3 3 6 11" xfId="19266"/>
    <cellStyle name="Обычный 6 3 3 6 12" xfId="20960"/>
    <cellStyle name="Обычный 6 3 3 6 13" xfId="22572"/>
    <cellStyle name="Обычный 6 3 3 6 2" xfId="14469"/>
    <cellStyle name="Обычный 6 3 3 6 2 2" xfId="14470"/>
    <cellStyle name="Обычный 6 3 3 6 3" xfId="14471"/>
    <cellStyle name="Обычный 6 3 3 6 4" xfId="14472"/>
    <cellStyle name="Обычный 6 3 3 6 5" xfId="14473"/>
    <cellStyle name="Обычный 6 3 3 6 6" xfId="14474"/>
    <cellStyle name="Обычный 6 3 3 6 7" xfId="14475"/>
    <cellStyle name="Обычный 6 3 3 6 8" xfId="14476"/>
    <cellStyle name="Обычный 6 3 3 6 9" xfId="14477"/>
    <cellStyle name="Обычный 6 3 3 7" xfId="14478"/>
    <cellStyle name="Обычный 6 3 3 7 10" xfId="20961"/>
    <cellStyle name="Обычный 6 3 3 7 11" xfId="22573"/>
    <cellStyle name="Обычный 6 3 3 7 2" xfId="14479"/>
    <cellStyle name="Обычный 6 3 3 7 2 2" xfId="14480"/>
    <cellStyle name="Обычный 6 3 3 7 3" xfId="14481"/>
    <cellStyle name="Обычный 6 3 3 7 4" xfId="14482"/>
    <cellStyle name="Обычный 6 3 3 7 5" xfId="14483"/>
    <cellStyle name="Обычный 6 3 3 7 6" xfId="14484"/>
    <cellStyle name="Обычный 6 3 3 7 7" xfId="14485"/>
    <cellStyle name="Обычный 6 3 3 7 8" xfId="14486"/>
    <cellStyle name="Обычный 6 3 3 7 9" xfId="19267"/>
    <cellStyle name="Обычный 6 3 3 8" xfId="14487"/>
    <cellStyle name="Обычный 6 3 3 8 2" xfId="14488"/>
    <cellStyle name="Обычный 6 3 3 9" xfId="14489"/>
    <cellStyle name="Обычный 6 3 4" xfId="14490"/>
    <cellStyle name="Обычный 6 3 4 10" xfId="14491"/>
    <cellStyle name="Обычный 6 3 4 11" xfId="14492"/>
    <cellStyle name="Обычный 6 3 4 12" xfId="14493"/>
    <cellStyle name="Обычный 6 3 4 13" xfId="14494"/>
    <cellStyle name="Обычный 6 3 4 14" xfId="14495"/>
    <cellStyle name="Обычный 6 3 4 15" xfId="14496"/>
    <cellStyle name="Обычный 6 3 4 16" xfId="14497"/>
    <cellStyle name="Обычный 6 3 4 17" xfId="14498"/>
    <cellStyle name="Обычный 6 3 4 18" xfId="19268"/>
    <cellStyle name="Обычный 6 3 4 19" xfId="20962"/>
    <cellStyle name="Обычный 6 3 4 2" xfId="14499"/>
    <cellStyle name="Обычный 6 3 4 2 10" xfId="14500"/>
    <cellStyle name="Обычный 6 3 4 2 11" xfId="14501"/>
    <cellStyle name="Обычный 6 3 4 2 12" xfId="19269"/>
    <cellStyle name="Обычный 6 3 4 2 13" xfId="20963"/>
    <cellStyle name="Обычный 6 3 4 2 14" xfId="22575"/>
    <cellStyle name="Обычный 6 3 4 2 2" xfId="14502"/>
    <cellStyle name="Обычный 6 3 4 2 2 10" xfId="14503"/>
    <cellStyle name="Обычный 6 3 4 2 2 11" xfId="19270"/>
    <cellStyle name="Обычный 6 3 4 2 2 12" xfId="20964"/>
    <cellStyle name="Обычный 6 3 4 2 2 13" xfId="22576"/>
    <cellStyle name="Обычный 6 3 4 2 2 2" xfId="14504"/>
    <cellStyle name="Обычный 6 3 4 2 2 2 2" xfId="14505"/>
    <cellStyle name="Обычный 6 3 4 2 2 3" xfId="14506"/>
    <cellStyle name="Обычный 6 3 4 2 2 4" xfId="14507"/>
    <cellStyle name="Обычный 6 3 4 2 2 5" xfId="14508"/>
    <cellStyle name="Обычный 6 3 4 2 2 6" xfId="14509"/>
    <cellStyle name="Обычный 6 3 4 2 2 7" xfId="14510"/>
    <cellStyle name="Обычный 6 3 4 2 2 8" xfId="14511"/>
    <cellStyle name="Обычный 6 3 4 2 2 9" xfId="14512"/>
    <cellStyle name="Обычный 6 3 4 2 3" xfId="14513"/>
    <cellStyle name="Обычный 6 3 4 2 3 2" xfId="14514"/>
    <cellStyle name="Обычный 6 3 4 2 4" xfId="14515"/>
    <cellStyle name="Обычный 6 3 4 2 5" xfId="14516"/>
    <cellStyle name="Обычный 6 3 4 2 6" xfId="14517"/>
    <cellStyle name="Обычный 6 3 4 2 7" xfId="14518"/>
    <cellStyle name="Обычный 6 3 4 2 8" xfId="14519"/>
    <cellStyle name="Обычный 6 3 4 2 9" xfId="14520"/>
    <cellStyle name="Обычный 6 3 4 20" xfId="22574"/>
    <cellStyle name="Обычный 6 3 4 3" xfId="14521"/>
    <cellStyle name="Обычный 6 3 4 3 10" xfId="14522"/>
    <cellStyle name="Обычный 6 3 4 3 11" xfId="14523"/>
    <cellStyle name="Обычный 6 3 4 3 12" xfId="19271"/>
    <cellStyle name="Обычный 6 3 4 3 13" xfId="20965"/>
    <cellStyle name="Обычный 6 3 4 3 14" xfId="22577"/>
    <cellStyle name="Обычный 6 3 4 3 2" xfId="14524"/>
    <cellStyle name="Обычный 6 3 4 3 2 10" xfId="14525"/>
    <cellStyle name="Обычный 6 3 4 3 2 11" xfId="19272"/>
    <cellStyle name="Обычный 6 3 4 3 2 12" xfId="20966"/>
    <cellStyle name="Обычный 6 3 4 3 2 13" xfId="22578"/>
    <cellStyle name="Обычный 6 3 4 3 2 2" xfId="14526"/>
    <cellStyle name="Обычный 6 3 4 3 2 2 2" xfId="14527"/>
    <cellStyle name="Обычный 6 3 4 3 2 3" xfId="14528"/>
    <cellStyle name="Обычный 6 3 4 3 2 4" xfId="14529"/>
    <cellStyle name="Обычный 6 3 4 3 2 5" xfId="14530"/>
    <cellStyle name="Обычный 6 3 4 3 2 6" xfId="14531"/>
    <cellStyle name="Обычный 6 3 4 3 2 7" xfId="14532"/>
    <cellStyle name="Обычный 6 3 4 3 2 8" xfId="14533"/>
    <cellStyle name="Обычный 6 3 4 3 2 9" xfId="14534"/>
    <cellStyle name="Обычный 6 3 4 3 3" xfId="14535"/>
    <cellStyle name="Обычный 6 3 4 3 3 2" xfId="14536"/>
    <cellStyle name="Обычный 6 3 4 3 4" xfId="14537"/>
    <cellStyle name="Обычный 6 3 4 3 5" xfId="14538"/>
    <cellStyle name="Обычный 6 3 4 3 6" xfId="14539"/>
    <cellStyle name="Обычный 6 3 4 3 7" xfId="14540"/>
    <cellStyle name="Обычный 6 3 4 3 8" xfId="14541"/>
    <cellStyle name="Обычный 6 3 4 3 9" xfId="14542"/>
    <cellStyle name="Обычный 6 3 4 4" xfId="14543"/>
    <cellStyle name="Обычный 6 3 4 4 10" xfId="14544"/>
    <cellStyle name="Обычный 6 3 4 4 11" xfId="14545"/>
    <cellStyle name="Обычный 6 3 4 4 12" xfId="19273"/>
    <cellStyle name="Обычный 6 3 4 4 13" xfId="20967"/>
    <cellStyle name="Обычный 6 3 4 4 14" xfId="22579"/>
    <cellStyle name="Обычный 6 3 4 4 2" xfId="14546"/>
    <cellStyle name="Обычный 6 3 4 4 2 10" xfId="14547"/>
    <cellStyle name="Обычный 6 3 4 4 2 11" xfId="19274"/>
    <cellStyle name="Обычный 6 3 4 4 2 12" xfId="20968"/>
    <cellStyle name="Обычный 6 3 4 4 2 13" xfId="22580"/>
    <cellStyle name="Обычный 6 3 4 4 2 2" xfId="14548"/>
    <cellStyle name="Обычный 6 3 4 4 2 2 2" xfId="14549"/>
    <cellStyle name="Обычный 6 3 4 4 2 3" xfId="14550"/>
    <cellStyle name="Обычный 6 3 4 4 2 4" xfId="14551"/>
    <cellStyle name="Обычный 6 3 4 4 2 5" xfId="14552"/>
    <cellStyle name="Обычный 6 3 4 4 2 6" xfId="14553"/>
    <cellStyle name="Обычный 6 3 4 4 2 7" xfId="14554"/>
    <cellStyle name="Обычный 6 3 4 4 2 8" xfId="14555"/>
    <cellStyle name="Обычный 6 3 4 4 2 9" xfId="14556"/>
    <cellStyle name="Обычный 6 3 4 4 3" xfId="14557"/>
    <cellStyle name="Обычный 6 3 4 4 3 2" xfId="14558"/>
    <cellStyle name="Обычный 6 3 4 4 4" xfId="14559"/>
    <cellStyle name="Обычный 6 3 4 4 5" xfId="14560"/>
    <cellStyle name="Обычный 6 3 4 4 6" xfId="14561"/>
    <cellStyle name="Обычный 6 3 4 4 7" xfId="14562"/>
    <cellStyle name="Обычный 6 3 4 4 8" xfId="14563"/>
    <cellStyle name="Обычный 6 3 4 4 9" xfId="14564"/>
    <cellStyle name="Обычный 6 3 4 5" xfId="14565"/>
    <cellStyle name="Обычный 6 3 4 5 10" xfId="14566"/>
    <cellStyle name="Обычный 6 3 4 5 11" xfId="14567"/>
    <cellStyle name="Обычный 6 3 4 5 12" xfId="19275"/>
    <cellStyle name="Обычный 6 3 4 5 13" xfId="20969"/>
    <cellStyle name="Обычный 6 3 4 5 14" xfId="22581"/>
    <cellStyle name="Обычный 6 3 4 5 2" xfId="14568"/>
    <cellStyle name="Обычный 6 3 4 5 2 10" xfId="14569"/>
    <cellStyle name="Обычный 6 3 4 5 2 11" xfId="19276"/>
    <cellStyle name="Обычный 6 3 4 5 2 12" xfId="20970"/>
    <cellStyle name="Обычный 6 3 4 5 2 13" xfId="22582"/>
    <cellStyle name="Обычный 6 3 4 5 2 2" xfId="14570"/>
    <cellStyle name="Обычный 6 3 4 5 2 2 2" xfId="14571"/>
    <cellStyle name="Обычный 6 3 4 5 2 3" xfId="14572"/>
    <cellStyle name="Обычный 6 3 4 5 2 4" xfId="14573"/>
    <cellStyle name="Обычный 6 3 4 5 2 5" xfId="14574"/>
    <cellStyle name="Обычный 6 3 4 5 2 6" xfId="14575"/>
    <cellStyle name="Обычный 6 3 4 5 2 7" xfId="14576"/>
    <cellStyle name="Обычный 6 3 4 5 2 8" xfId="14577"/>
    <cellStyle name="Обычный 6 3 4 5 2 9" xfId="14578"/>
    <cellStyle name="Обычный 6 3 4 5 3" xfId="14579"/>
    <cellStyle name="Обычный 6 3 4 5 3 2" xfId="14580"/>
    <cellStyle name="Обычный 6 3 4 5 4" xfId="14581"/>
    <cellStyle name="Обычный 6 3 4 5 5" xfId="14582"/>
    <cellStyle name="Обычный 6 3 4 5 6" xfId="14583"/>
    <cellStyle name="Обычный 6 3 4 5 7" xfId="14584"/>
    <cellStyle name="Обычный 6 3 4 5 8" xfId="14585"/>
    <cellStyle name="Обычный 6 3 4 5 9" xfId="14586"/>
    <cellStyle name="Обычный 6 3 4 6" xfId="14587"/>
    <cellStyle name="Обычный 6 3 4 6 10" xfId="14588"/>
    <cellStyle name="Обычный 6 3 4 6 11" xfId="19277"/>
    <cellStyle name="Обычный 6 3 4 6 12" xfId="20971"/>
    <cellStyle name="Обычный 6 3 4 6 13" xfId="22583"/>
    <cellStyle name="Обычный 6 3 4 6 2" xfId="14589"/>
    <cellStyle name="Обычный 6 3 4 6 2 2" xfId="14590"/>
    <cellStyle name="Обычный 6 3 4 6 3" xfId="14591"/>
    <cellStyle name="Обычный 6 3 4 6 4" xfId="14592"/>
    <cellStyle name="Обычный 6 3 4 6 5" xfId="14593"/>
    <cellStyle name="Обычный 6 3 4 6 6" xfId="14594"/>
    <cellStyle name="Обычный 6 3 4 6 7" xfId="14595"/>
    <cellStyle name="Обычный 6 3 4 6 8" xfId="14596"/>
    <cellStyle name="Обычный 6 3 4 6 9" xfId="14597"/>
    <cellStyle name="Обычный 6 3 4 7" xfId="14598"/>
    <cellStyle name="Обычный 6 3 4 7 10" xfId="20972"/>
    <cellStyle name="Обычный 6 3 4 7 11" xfId="22584"/>
    <cellStyle name="Обычный 6 3 4 7 2" xfId="14599"/>
    <cellStyle name="Обычный 6 3 4 7 2 2" xfId="14600"/>
    <cellStyle name="Обычный 6 3 4 7 3" xfId="14601"/>
    <cellStyle name="Обычный 6 3 4 7 4" xfId="14602"/>
    <cellStyle name="Обычный 6 3 4 7 5" xfId="14603"/>
    <cellStyle name="Обычный 6 3 4 7 6" xfId="14604"/>
    <cellStyle name="Обычный 6 3 4 7 7" xfId="14605"/>
    <cellStyle name="Обычный 6 3 4 7 8" xfId="14606"/>
    <cellStyle name="Обычный 6 3 4 7 9" xfId="19278"/>
    <cellStyle name="Обычный 6 3 4 8" xfId="14607"/>
    <cellStyle name="Обычный 6 3 4 8 2" xfId="14608"/>
    <cellStyle name="Обычный 6 3 4 9" xfId="14609"/>
    <cellStyle name="Обычный 6 3 5" xfId="14610"/>
    <cellStyle name="Обычный 6 3 5 10" xfId="14611"/>
    <cellStyle name="Обычный 6 3 5 11" xfId="14612"/>
    <cellStyle name="Обычный 6 3 5 12" xfId="19279"/>
    <cellStyle name="Обычный 6 3 5 13" xfId="20973"/>
    <cellStyle name="Обычный 6 3 5 14" xfId="22585"/>
    <cellStyle name="Обычный 6 3 5 2" xfId="14613"/>
    <cellStyle name="Обычный 6 3 5 2 10" xfId="14614"/>
    <cellStyle name="Обычный 6 3 5 2 11" xfId="19280"/>
    <cellStyle name="Обычный 6 3 5 2 12" xfId="20974"/>
    <cellStyle name="Обычный 6 3 5 2 13" xfId="22586"/>
    <cellStyle name="Обычный 6 3 5 2 2" xfId="14615"/>
    <cellStyle name="Обычный 6 3 5 2 2 2" xfId="14616"/>
    <cellStyle name="Обычный 6 3 5 2 3" xfId="14617"/>
    <cellStyle name="Обычный 6 3 5 2 4" xfId="14618"/>
    <cellStyle name="Обычный 6 3 5 2 5" xfId="14619"/>
    <cellStyle name="Обычный 6 3 5 2 6" xfId="14620"/>
    <cellStyle name="Обычный 6 3 5 2 7" xfId="14621"/>
    <cellStyle name="Обычный 6 3 5 2 8" xfId="14622"/>
    <cellStyle name="Обычный 6 3 5 2 9" xfId="14623"/>
    <cellStyle name="Обычный 6 3 5 3" xfId="14624"/>
    <cellStyle name="Обычный 6 3 5 3 2" xfId="14625"/>
    <cellStyle name="Обычный 6 3 5 4" xfId="14626"/>
    <cellStyle name="Обычный 6 3 5 5" xfId="14627"/>
    <cellStyle name="Обычный 6 3 5 6" xfId="14628"/>
    <cellStyle name="Обычный 6 3 5 7" xfId="14629"/>
    <cellStyle name="Обычный 6 3 5 8" xfId="14630"/>
    <cellStyle name="Обычный 6 3 5 9" xfId="14631"/>
    <cellStyle name="Обычный 6 3 6" xfId="14632"/>
    <cellStyle name="Обычный 6 3 6 10" xfId="14633"/>
    <cellStyle name="Обычный 6 3 6 11" xfId="14634"/>
    <cellStyle name="Обычный 6 3 6 12" xfId="19281"/>
    <cellStyle name="Обычный 6 3 6 13" xfId="20975"/>
    <cellStyle name="Обычный 6 3 6 14" xfId="22587"/>
    <cellStyle name="Обычный 6 3 6 2" xfId="14635"/>
    <cellStyle name="Обычный 6 3 6 2 10" xfId="14636"/>
    <cellStyle name="Обычный 6 3 6 2 11" xfId="19282"/>
    <cellStyle name="Обычный 6 3 6 2 12" xfId="20976"/>
    <cellStyle name="Обычный 6 3 6 2 13" xfId="22588"/>
    <cellStyle name="Обычный 6 3 6 2 2" xfId="14637"/>
    <cellStyle name="Обычный 6 3 6 2 2 2" xfId="14638"/>
    <cellStyle name="Обычный 6 3 6 2 3" xfId="14639"/>
    <cellStyle name="Обычный 6 3 6 2 4" xfId="14640"/>
    <cellStyle name="Обычный 6 3 6 2 5" xfId="14641"/>
    <cellStyle name="Обычный 6 3 6 2 6" xfId="14642"/>
    <cellStyle name="Обычный 6 3 6 2 7" xfId="14643"/>
    <cellStyle name="Обычный 6 3 6 2 8" xfId="14644"/>
    <cellStyle name="Обычный 6 3 6 2 9" xfId="14645"/>
    <cellStyle name="Обычный 6 3 6 3" xfId="14646"/>
    <cellStyle name="Обычный 6 3 6 3 2" xfId="14647"/>
    <cellStyle name="Обычный 6 3 6 4" xfId="14648"/>
    <cellStyle name="Обычный 6 3 6 5" xfId="14649"/>
    <cellStyle name="Обычный 6 3 6 6" xfId="14650"/>
    <cellStyle name="Обычный 6 3 6 7" xfId="14651"/>
    <cellStyle name="Обычный 6 3 6 8" xfId="14652"/>
    <cellStyle name="Обычный 6 3 6 9" xfId="14653"/>
    <cellStyle name="Обычный 6 3 7" xfId="14654"/>
    <cellStyle name="Обычный 6 3 7 10" xfId="14655"/>
    <cellStyle name="Обычный 6 3 7 11" xfId="14656"/>
    <cellStyle name="Обычный 6 3 7 12" xfId="19283"/>
    <cellStyle name="Обычный 6 3 7 13" xfId="20977"/>
    <cellStyle name="Обычный 6 3 7 14" xfId="22589"/>
    <cellStyle name="Обычный 6 3 7 2" xfId="14657"/>
    <cellStyle name="Обычный 6 3 7 2 10" xfId="14658"/>
    <cellStyle name="Обычный 6 3 7 2 11" xfId="19284"/>
    <cellStyle name="Обычный 6 3 7 2 12" xfId="20978"/>
    <cellStyle name="Обычный 6 3 7 2 13" xfId="22590"/>
    <cellStyle name="Обычный 6 3 7 2 2" xfId="14659"/>
    <cellStyle name="Обычный 6 3 7 2 2 2" xfId="14660"/>
    <cellStyle name="Обычный 6 3 7 2 3" xfId="14661"/>
    <cellStyle name="Обычный 6 3 7 2 4" xfId="14662"/>
    <cellStyle name="Обычный 6 3 7 2 5" xfId="14663"/>
    <cellStyle name="Обычный 6 3 7 2 6" xfId="14664"/>
    <cellStyle name="Обычный 6 3 7 2 7" xfId="14665"/>
    <cellStyle name="Обычный 6 3 7 2 8" xfId="14666"/>
    <cellStyle name="Обычный 6 3 7 2 9" xfId="14667"/>
    <cellStyle name="Обычный 6 3 7 3" xfId="14668"/>
    <cellStyle name="Обычный 6 3 7 3 2" xfId="14669"/>
    <cellStyle name="Обычный 6 3 7 4" xfId="14670"/>
    <cellStyle name="Обычный 6 3 7 5" xfId="14671"/>
    <cellStyle name="Обычный 6 3 7 6" xfId="14672"/>
    <cellStyle name="Обычный 6 3 7 7" xfId="14673"/>
    <cellStyle name="Обычный 6 3 7 8" xfId="14674"/>
    <cellStyle name="Обычный 6 3 7 9" xfId="14675"/>
    <cellStyle name="Обычный 6 3 8" xfId="14676"/>
    <cellStyle name="Обычный 6 3 8 10" xfId="14677"/>
    <cellStyle name="Обычный 6 3 8 11" xfId="14678"/>
    <cellStyle name="Обычный 6 3 8 12" xfId="19285"/>
    <cellStyle name="Обычный 6 3 8 13" xfId="20979"/>
    <cellStyle name="Обычный 6 3 8 14" xfId="22591"/>
    <cellStyle name="Обычный 6 3 8 2" xfId="14679"/>
    <cellStyle name="Обычный 6 3 8 2 10" xfId="14680"/>
    <cellStyle name="Обычный 6 3 8 2 11" xfId="19286"/>
    <cellStyle name="Обычный 6 3 8 2 12" xfId="20980"/>
    <cellStyle name="Обычный 6 3 8 2 13" xfId="22592"/>
    <cellStyle name="Обычный 6 3 8 2 2" xfId="14681"/>
    <cellStyle name="Обычный 6 3 8 2 2 2" xfId="14682"/>
    <cellStyle name="Обычный 6 3 8 2 3" xfId="14683"/>
    <cellStyle name="Обычный 6 3 8 2 4" xfId="14684"/>
    <cellStyle name="Обычный 6 3 8 2 5" xfId="14685"/>
    <cellStyle name="Обычный 6 3 8 2 6" xfId="14686"/>
    <cellStyle name="Обычный 6 3 8 2 7" xfId="14687"/>
    <cellStyle name="Обычный 6 3 8 2 8" xfId="14688"/>
    <cellStyle name="Обычный 6 3 8 2 9" xfId="14689"/>
    <cellStyle name="Обычный 6 3 8 3" xfId="14690"/>
    <cellStyle name="Обычный 6 3 8 3 2" xfId="14691"/>
    <cellStyle name="Обычный 6 3 8 4" xfId="14692"/>
    <cellStyle name="Обычный 6 3 8 5" xfId="14693"/>
    <cellStyle name="Обычный 6 3 8 6" xfId="14694"/>
    <cellStyle name="Обычный 6 3 8 7" xfId="14695"/>
    <cellStyle name="Обычный 6 3 8 8" xfId="14696"/>
    <cellStyle name="Обычный 6 3 8 9" xfId="14697"/>
    <cellStyle name="Обычный 6 3 9" xfId="14698"/>
    <cellStyle name="Обычный 6 3 9 10" xfId="14699"/>
    <cellStyle name="Обычный 6 3 9 11" xfId="14700"/>
    <cellStyle name="Обычный 6 3 9 12" xfId="19287"/>
    <cellStyle name="Обычный 6 3 9 13" xfId="20981"/>
    <cellStyle name="Обычный 6 3 9 14" xfId="22593"/>
    <cellStyle name="Обычный 6 3 9 2" xfId="14701"/>
    <cellStyle name="Обычный 6 3 9 2 10" xfId="14702"/>
    <cellStyle name="Обычный 6 3 9 2 11" xfId="19288"/>
    <cellStyle name="Обычный 6 3 9 2 12" xfId="20982"/>
    <cellStyle name="Обычный 6 3 9 2 13" xfId="22594"/>
    <cellStyle name="Обычный 6 3 9 2 2" xfId="14703"/>
    <cellStyle name="Обычный 6 3 9 2 2 2" xfId="14704"/>
    <cellStyle name="Обычный 6 3 9 2 3" xfId="14705"/>
    <cellStyle name="Обычный 6 3 9 2 4" xfId="14706"/>
    <cellStyle name="Обычный 6 3 9 2 5" xfId="14707"/>
    <cellStyle name="Обычный 6 3 9 2 6" xfId="14708"/>
    <cellStyle name="Обычный 6 3 9 2 7" xfId="14709"/>
    <cellStyle name="Обычный 6 3 9 2 8" xfId="14710"/>
    <cellStyle name="Обычный 6 3 9 2 9" xfId="14711"/>
    <cellStyle name="Обычный 6 3 9 3" xfId="14712"/>
    <cellStyle name="Обычный 6 3 9 3 2" xfId="14713"/>
    <cellStyle name="Обычный 6 3 9 4" xfId="14714"/>
    <cellStyle name="Обычный 6 3 9 5" xfId="14715"/>
    <cellStyle name="Обычный 6 3 9 6" xfId="14716"/>
    <cellStyle name="Обычный 6 3 9 7" xfId="14717"/>
    <cellStyle name="Обычный 6 3 9 8" xfId="14718"/>
    <cellStyle name="Обычный 6 3 9 9" xfId="14719"/>
    <cellStyle name="Обычный 6 30" xfId="20827"/>
    <cellStyle name="Обычный 6 31" xfId="22439"/>
    <cellStyle name="Обычный 6 4" xfId="14720"/>
    <cellStyle name="Обычный 6 4 10" xfId="14721"/>
    <cellStyle name="Обычный 6 4 10 2" xfId="14722"/>
    <cellStyle name="Обычный 6 4 11" xfId="14723"/>
    <cellStyle name="Обычный 6 4 12" xfId="14724"/>
    <cellStyle name="Обычный 6 4 13" xfId="14725"/>
    <cellStyle name="Обычный 6 4 14" xfId="14726"/>
    <cellStyle name="Обычный 6 4 15" xfId="14727"/>
    <cellStyle name="Обычный 6 4 16" xfId="14728"/>
    <cellStyle name="Обычный 6 4 17" xfId="14729"/>
    <cellStyle name="Обычный 6 4 18" xfId="14730"/>
    <cellStyle name="Обычный 6 4 19" xfId="14731"/>
    <cellStyle name="Обычный 6 4 2" xfId="14732"/>
    <cellStyle name="Обычный 6 4 2 10" xfId="14733"/>
    <cellStyle name="Обычный 6 4 2 11" xfId="14734"/>
    <cellStyle name="Обычный 6 4 2 12" xfId="14735"/>
    <cellStyle name="Обычный 6 4 2 13" xfId="14736"/>
    <cellStyle name="Обычный 6 4 2 14" xfId="14737"/>
    <cellStyle name="Обычный 6 4 2 15" xfId="14738"/>
    <cellStyle name="Обычный 6 4 2 16" xfId="14739"/>
    <cellStyle name="Обычный 6 4 2 17" xfId="14740"/>
    <cellStyle name="Обычный 6 4 2 18" xfId="19290"/>
    <cellStyle name="Обычный 6 4 2 19" xfId="20984"/>
    <cellStyle name="Обычный 6 4 2 2" xfId="14741"/>
    <cellStyle name="Обычный 6 4 2 2 10" xfId="14742"/>
    <cellStyle name="Обычный 6 4 2 2 11" xfId="14743"/>
    <cellStyle name="Обычный 6 4 2 2 12" xfId="19291"/>
    <cellStyle name="Обычный 6 4 2 2 13" xfId="20985"/>
    <cellStyle name="Обычный 6 4 2 2 14" xfId="22597"/>
    <cellStyle name="Обычный 6 4 2 2 2" xfId="14744"/>
    <cellStyle name="Обычный 6 4 2 2 2 10" xfId="14745"/>
    <cellStyle name="Обычный 6 4 2 2 2 11" xfId="19292"/>
    <cellStyle name="Обычный 6 4 2 2 2 12" xfId="20986"/>
    <cellStyle name="Обычный 6 4 2 2 2 13" xfId="22598"/>
    <cellStyle name="Обычный 6 4 2 2 2 2" xfId="14746"/>
    <cellStyle name="Обычный 6 4 2 2 2 2 2" xfId="14747"/>
    <cellStyle name="Обычный 6 4 2 2 2 3" xfId="14748"/>
    <cellStyle name="Обычный 6 4 2 2 2 4" xfId="14749"/>
    <cellStyle name="Обычный 6 4 2 2 2 5" xfId="14750"/>
    <cellStyle name="Обычный 6 4 2 2 2 6" xfId="14751"/>
    <cellStyle name="Обычный 6 4 2 2 2 7" xfId="14752"/>
    <cellStyle name="Обычный 6 4 2 2 2 8" xfId="14753"/>
    <cellStyle name="Обычный 6 4 2 2 2 9" xfId="14754"/>
    <cellStyle name="Обычный 6 4 2 2 3" xfId="14755"/>
    <cellStyle name="Обычный 6 4 2 2 3 2" xfId="14756"/>
    <cellStyle name="Обычный 6 4 2 2 4" xfId="14757"/>
    <cellStyle name="Обычный 6 4 2 2 5" xfId="14758"/>
    <cellStyle name="Обычный 6 4 2 2 6" xfId="14759"/>
    <cellStyle name="Обычный 6 4 2 2 7" xfId="14760"/>
    <cellStyle name="Обычный 6 4 2 2 8" xfId="14761"/>
    <cellStyle name="Обычный 6 4 2 2 9" xfId="14762"/>
    <cellStyle name="Обычный 6 4 2 20" xfId="22596"/>
    <cellStyle name="Обычный 6 4 2 3" xfId="14763"/>
    <cellStyle name="Обычный 6 4 2 3 10" xfId="14764"/>
    <cellStyle name="Обычный 6 4 2 3 11" xfId="14765"/>
    <cellStyle name="Обычный 6 4 2 3 12" xfId="19293"/>
    <cellStyle name="Обычный 6 4 2 3 13" xfId="20987"/>
    <cellStyle name="Обычный 6 4 2 3 14" xfId="22599"/>
    <cellStyle name="Обычный 6 4 2 3 2" xfId="14766"/>
    <cellStyle name="Обычный 6 4 2 3 2 10" xfId="14767"/>
    <cellStyle name="Обычный 6 4 2 3 2 11" xfId="19294"/>
    <cellStyle name="Обычный 6 4 2 3 2 12" xfId="20988"/>
    <cellStyle name="Обычный 6 4 2 3 2 13" xfId="22600"/>
    <cellStyle name="Обычный 6 4 2 3 2 2" xfId="14768"/>
    <cellStyle name="Обычный 6 4 2 3 2 2 2" xfId="14769"/>
    <cellStyle name="Обычный 6 4 2 3 2 3" xfId="14770"/>
    <cellStyle name="Обычный 6 4 2 3 2 4" xfId="14771"/>
    <cellStyle name="Обычный 6 4 2 3 2 5" xfId="14772"/>
    <cellStyle name="Обычный 6 4 2 3 2 6" xfId="14773"/>
    <cellStyle name="Обычный 6 4 2 3 2 7" xfId="14774"/>
    <cellStyle name="Обычный 6 4 2 3 2 8" xfId="14775"/>
    <cellStyle name="Обычный 6 4 2 3 2 9" xfId="14776"/>
    <cellStyle name="Обычный 6 4 2 3 3" xfId="14777"/>
    <cellStyle name="Обычный 6 4 2 3 3 2" xfId="14778"/>
    <cellStyle name="Обычный 6 4 2 3 4" xfId="14779"/>
    <cellStyle name="Обычный 6 4 2 3 5" xfId="14780"/>
    <cellStyle name="Обычный 6 4 2 3 6" xfId="14781"/>
    <cellStyle name="Обычный 6 4 2 3 7" xfId="14782"/>
    <cellStyle name="Обычный 6 4 2 3 8" xfId="14783"/>
    <cellStyle name="Обычный 6 4 2 3 9" xfId="14784"/>
    <cellStyle name="Обычный 6 4 2 4" xfId="14785"/>
    <cellStyle name="Обычный 6 4 2 4 10" xfId="14786"/>
    <cellStyle name="Обычный 6 4 2 4 11" xfId="14787"/>
    <cellStyle name="Обычный 6 4 2 4 12" xfId="19295"/>
    <cellStyle name="Обычный 6 4 2 4 13" xfId="20989"/>
    <cellStyle name="Обычный 6 4 2 4 14" xfId="22601"/>
    <cellStyle name="Обычный 6 4 2 4 2" xfId="14788"/>
    <cellStyle name="Обычный 6 4 2 4 2 10" xfId="14789"/>
    <cellStyle name="Обычный 6 4 2 4 2 11" xfId="19296"/>
    <cellStyle name="Обычный 6 4 2 4 2 12" xfId="20990"/>
    <cellStyle name="Обычный 6 4 2 4 2 13" xfId="22602"/>
    <cellStyle name="Обычный 6 4 2 4 2 2" xfId="14790"/>
    <cellStyle name="Обычный 6 4 2 4 2 2 2" xfId="14791"/>
    <cellStyle name="Обычный 6 4 2 4 2 3" xfId="14792"/>
    <cellStyle name="Обычный 6 4 2 4 2 4" xfId="14793"/>
    <cellStyle name="Обычный 6 4 2 4 2 5" xfId="14794"/>
    <cellStyle name="Обычный 6 4 2 4 2 6" xfId="14795"/>
    <cellStyle name="Обычный 6 4 2 4 2 7" xfId="14796"/>
    <cellStyle name="Обычный 6 4 2 4 2 8" xfId="14797"/>
    <cellStyle name="Обычный 6 4 2 4 2 9" xfId="14798"/>
    <cellStyle name="Обычный 6 4 2 4 3" xfId="14799"/>
    <cellStyle name="Обычный 6 4 2 4 3 2" xfId="14800"/>
    <cellStyle name="Обычный 6 4 2 4 4" xfId="14801"/>
    <cellStyle name="Обычный 6 4 2 4 5" xfId="14802"/>
    <cellStyle name="Обычный 6 4 2 4 6" xfId="14803"/>
    <cellStyle name="Обычный 6 4 2 4 7" xfId="14804"/>
    <cellStyle name="Обычный 6 4 2 4 8" xfId="14805"/>
    <cellStyle name="Обычный 6 4 2 4 9" xfId="14806"/>
    <cellStyle name="Обычный 6 4 2 5" xfId="14807"/>
    <cellStyle name="Обычный 6 4 2 5 10" xfId="14808"/>
    <cellStyle name="Обычный 6 4 2 5 11" xfId="14809"/>
    <cellStyle name="Обычный 6 4 2 5 12" xfId="19297"/>
    <cellStyle name="Обычный 6 4 2 5 13" xfId="20991"/>
    <cellStyle name="Обычный 6 4 2 5 14" xfId="22603"/>
    <cellStyle name="Обычный 6 4 2 5 2" xfId="14810"/>
    <cellStyle name="Обычный 6 4 2 5 2 10" xfId="14811"/>
    <cellStyle name="Обычный 6 4 2 5 2 11" xfId="19298"/>
    <cellStyle name="Обычный 6 4 2 5 2 12" xfId="20992"/>
    <cellStyle name="Обычный 6 4 2 5 2 13" xfId="22604"/>
    <cellStyle name="Обычный 6 4 2 5 2 2" xfId="14812"/>
    <cellStyle name="Обычный 6 4 2 5 2 2 2" xfId="14813"/>
    <cellStyle name="Обычный 6 4 2 5 2 3" xfId="14814"/>
    <cellStyle name="Обычный 6 4 2 5 2 4" xfId="14815"/>
    <cellStyle name="Обычный 6 4 2 5 2 5" xfId="14816"/>
    <cellStyle name="Обычный 6 4 2 5 2 6" xfId="14817"/>
    <cellStyle name="Обычный 6 4 2 5 2 7" xfId="14818"/>
    <cellStyle name="Обычный 6 4 2 5 2 8" xfId="14819"/>
    <cellStyle name="Обычный 6 4 2 5 2 9" xfId="14820"/>
    <cellStyle name="Обычный 6 4 2 5 3" xfId="14821"/>
    <cellStyle name="Обычный 6 4 2 5 3 2" xfId="14822"/>
    <cellStyle name="Обычный 6 4 2 5 4" xfId="14823"/>
    <cellStyle name="Обычный 6 4 2 5 5" xfId="14824"/>
    <cellStyle name="Обычный 6 4 2 5 6" xfId="14825"/>
    <cellStyle name="Обычный 6 4 2 5 7" xfId="14826"/>
    <cellStyle name="Обычный 6 4 2 5 8" xfId="14827"/>
    <cellStyle name="Обычный 6 4 2 5 9" xfId="14828"/>
    <cellStyle name="Обычный 6 4 2 6" xfId="14829"/>
    <cellStyle name="Обычный 6 4 2 6 10" xfId="14830"/>
    <cellStyle name="Обычный 6 4 2 6 11" xfId="19299"/>
    <cellStyle name="Обычный 6 4 2 6 12" xfId="20993"/>
    <cellStyle name="Обычный 6 4 2 6 13" xfId="22605"/>
    <cellStyle name="Обычный 6 4 2 6 2" xfId="14831"/>
    <cellStyle name="Обычный 6 4 2 6 2 2" xfId="14832"/>
    <cellStyle name="Обычный 6 4 2 6 3" xfId="14833"/>
    <cellStyle name="Обычный 6 4 2 6 4" xfId="14834"/>
    <cellStyle name="Обычный 6 4 2 6 5" xfId="14835"/>
    <cellStyle name="Обычный 6 4 2 6 6" xfId="14836"/>
    <cellStyle name="Обычный 6 4 2 6 7" xfId="14837"/>
    <cellStyle name="Обычный 6 4 2 6 8" xfId="14838"/>
    <cellStyle name="Обычный 6 4 2 6 9" xfId="14839"/>
    <cellStyle name="Обычный 6 4 2 7" xfId="14840"/>
    <cellStyle name="Обычный 6 4 2 7 10" xfId="20994"/>
    <cellStyle name="Обычный 6 4 2 7 11" xfId="22606"/>
    <cellStyle name="Обычный 6 4 2 7 2" xfId="14841"/>
    <cellStyle name="Обычный 6 4 2 7 2 2" xfId="14842"/>
    <cellStyle name="Обычный 6 4 2 7 3" xfId="14843"/>
    <cellStyle name="Обычный 6 4 2 7 4" xfId="14844"/>
    <cellStyle name="Обычный 6 4 2 7 5" xfId="14845"/>
    <cellStyle name="Обычный 6 4 2 7 6" xfId="14846"/>
    <cellStyle name="Обычный 6 4 2 7 7" xfId="14847"/>
    <cellStyle name="Обычный 6 4 2 7 8" xfId="14848"/>
    <cellStyle name="Обычный 6 4 2 7 9" xfId="19300"/>
    <cellStyle name="Обычный 6 4 2 8" xfId="14849"/>
    <cellStyle name="Обычный 6 4 2 8 2" xfId="14850"/>
    <cellStyle name="Обычный 6 4 2 9" xfId="14851"/>
    <cellStyle name="Обычный 6 4 20" xfId="19289"/>
    <cellStyle name="Обычный 6 4 21" xfId="20983"/>
    <cellStyle name="Обычный 6 4 22" xfId="22595"/>
    <cellStyle name="Обычный 6 4 3" xfId="14852"/>
    <cellStyle name="Обычный 6 4 3 10" xfId="14853"/>
    <cellStyle name="Обычный 6 4 3 11" xfId="14854"/>
    <cellStyle name="Обычный 6 4 3 12" xfId="14855"/>
    <cellStyle name="Обычный 6 4 3 13" xfId="14856"/>
    <cellStyle name="Обычный 6 4 3 14" xfId="14857"/>
    <cellStyle name="Обычный 6 4 3 15" xfId="14858"/>
    <cellStyle name="Обычный 6 4 3 16" xfId="14859"/>
    <cellStyle name="Обычный 6 4 3 17" xfId="14860"/>
    <cellStyle name="Обычный 6 4 3 18" xfId="19301"/>
    <cellStyle name="Обычный 6 4 3 19" xfId="20995"/>
    <cellStyle name="Обычный 6 4 3 2" xfId="14861"/>
    <cellStyle name="Обычный 6 4 3 2 10" xfId="14862"/>
    <cellStyle name="Обычный 6 4 3 2 11" xfId="14863"/>
    <cellStyle name="Обычный 6 4 3 2 12" xfId="19302"/>
    <cellStyle name="Обычный 6 4 3 2 13" xfId="20996"/>
    <cellStyle name="Обычный 6 4 3 2 14" xfId="22608"/>
    <cellStyle name="Обычный 6 4 3 2 2" xfId="14864"/>
    <cellStyle name="Обычный 6 4 3 2 2 10" xfId="14865"/>
    <cellStyle name="Обычный 6 4 3 2 2 11" xfId="19303"/>
    <cellStyle name="Обычный 6 4 3 2 2 12" xfId="20997"/>
    <cellStyle name="Обычный 6 4 3 2 2 13" xfId="22609"/>
    <cellStyle name="Обычный 6 4 3 2 2 2" xfId="14866"/>
    <cellStyle name="Обычный 6 4 3 2 2 2 2" xfId="14867"/>
    <cellStyle name="Обычный 6 4 3 2 2 3" xfId="14868"/>
    <cellStyle name="Обычный 6 4 3 2 2 4" xfId="14869"/>
    <cellStyle name="Обычный 6 4 3 2 2 5" xfId="14870"/>
    <cellStyle name="Обычный 6 4 3 2 2 6" xfId="14871"/>
    <cellStyle name="Обычный 6 4 3 2 2 7" xfId="14872"/>
    <cellStyle name="Обычный 6 4 3 2 2 8" xfId="14873"/>
    <cellStyle name="Обычный 6 4 3 2 2 9" xfId="14874"/>
    <cellStyle name="Обычный 6 4 3 2 3" xfId="14875"/>
    <cellStyle name="Обычный 6 4 3 2 3 2" xfId="14876"/>
    <cellStyle name="Обычный 6 4 3 2 4" xfId="14877"/>
    <cellStyle name="Обычный 6 4 3 2 5" xfId="14878"/>
    <cellStyle name="Обычный 6 4 3 2 6" xfId="14879"/>
    <cellStyle name="Обычный 6 4 3 2 7" xfId="14880"/>
    <cellStyle name="Обычный 6 4 3 2 8" xfId="14881"/>
    <cellStyle name="Обычный 6 4 3 2 9" xfId="14882"/>
    <cellStyle name="Обычный 6 4 3 20" xfId="22607"/>
    <cellStyle name="Обычный 6 4 3 3" xfId="14883"/>
    <cellStyle name="Обычный 6 4 3 3 10" xfId="14884"/>
    <cellStyle name="Обычный 6 4 3 3 11" xfId="14885"/>
    <cellStyle name="Обычный 6 4 3 3 12" xfId="19304"/>
    <cellStyle name="Обычный 6 4 3 3 13" xfId="20998"/>
    <cellStyle name="Обычный 6 4 3 3 14" xfId="22610"/>
    <cellStyle name="Обычный 6 4 3 3 2" xfId="14886"/>
    <cellStyle name="Обычный 6 4 3 3 2 10" xfId="14887"/>
    <cellStyle name="Обычный 6 4 3 3 2 11" xfId="19305"/>
    <cellStyle name="Обычный 6 4 3 3 2 12" xfId="20999"/>
    <cellStyle name="Обычный 6 4 3 3 2 13" xfId="22611"/>
    <cellStyle name="Обычный 6 4 3 3 2 2" xfId="14888"/>
    <cellStyle name="Обычный 6 4 3 3 2 2 2" xfId="14889"/>
    <cellStyle name="Обычный 6 4 3 3 2 3" xfId="14890"/>
    <cellStyle name="Обычный 6 4 3 3 2 4" xfId="14891"/>
    <cellStyle name="Обычный 6 4 3 3 2 5" xfId="14892"/>
    <cellStyle name="Обычный 6 4 3 3 2 6" xfId="14893"/>
    <cellStyle name="Обычный 6 4 3 3 2 7" xfId="14894"/>
    <cellStyle name="Обычный 6 4 3 3 2 8" xfId="14895"/>
    <cellStyle name="Обычный 6 4 3 3 2 9" xfId="14896"/>
    <cellStyle name="Обычный 6 4 3 3 3" xfId="14897"/>
    <cellStyle name="Обычный 6 4 3 3 3 2" xfId="14898"/>
    <cellStyle name="Обычный 6 4 3 3 4" xfId="14899"/>
    <cellStyle name="Обычный 6 4 3 3 5" xfId="14900"/>
    <cellStyle name="Обычный 6 4 3 3 6" xfId="14901"/>
    <cellStyle name="Обычный 6 4 3 3 7" xfId="14902"/>
    <cellStyle name="Обычный 6 4 3 3 8" xfId="14903"/>
    <cellStyle name="Обычный 6 4 3 3 9" xfId="14904"/>
    <cellStyle name="Обычный 6 4 3 4" xfId="14905"/>
    <cellStyle name="Обычный 6 4 3 4 10" xfId="14906"/>
    <cellStyle name="Обычный 6 4 3 4 11" xfId="14907"/>
    <cellStyle name="Обычный 6 4 3 4 12" xfId="19306"/>
    <cellStyle name="Обычный 6 4 3 4 13" xfId="21000"/>
    <cellStyle name="Обычный 6 4 3 4 14" xfId="22612"/>
    <cellStyle name="Обычный 6 4 3 4 2" xfId="14908"/>
    <cellStyle name="Обычный 6 4 3 4 2 10" xfId="14909"/>
    <cellStyle name="Обычный 6 4 3 4 2 11" xfId="19307"/>
    <cellStyle name="Обычный 6 4 3 4 2 12" xfId="21001"/>
    <cellStyle name="Обычный 6 4 3 4 2 13" xfId="22613"/>
    <cellStyle name="Обычный 6 4 3 4 2 2" xfId="14910"/>
    <cellStyle name="Обычный 6 4 3 4 2 2 2" xfId="14911"/>
    <cellStyle name="Обычный 6 4 3 4 2 3" xfId="14912"/>
    <cellStyle name="Обычный 6 4 3 4 2 4" xfId="14913"/>
    <cellStyle name="Обычный 6 4 3 4 2 5" xfId="14914"/>
    <cellStyle name="Обычный 6 4 3 4 2 6" xfId="14915"/>
    <cellStyle name="Обычный 6 4 3 4 2 7" xfId="14916"/>
    <cellStyle name="Обычный 6 4 3 4 2 8" xfId="14917"/>
    <cellStyle name="Обычный 6 4 3 4 2 9" xfId="14918"/>
    <cellStyle name="Обычный 6 4 3 4 3" xfId="14919"/>
    <cellStyle name="Обычный 6 4 3 4 3 2" xfId="14920"/>
    <cellStyle name="Обычный 6 4 3 4 4" xfId="14921"/>
    <cellStyle name="Обычный 6 4 3 4 5" xfId="14922"/>
    <cellStyle name="Обычный 6 4 3 4 6" xfId="14923"/>
    <cellStyle name="Обычный 6 4 3 4 7" xfId="14924"/>
    <cellStyle name="Обычный 6 4 3 4 8" xfId="14925"/>
    <cellStyle name="Обычный 6 4 3 4 9" xfId="14926"/>
    <cellStyle name="Обычный 6 4 3 5" xfId="14927"/>
    <cellStyle name="Обычный 6 4 3 5 10" xfId="14928"/>
    <cellStyle name="Обычный 6 4 3 5 11" xfId="14929"/>
    <cellStyle name="Обычный 6 4 3 5 12" xfId="19308"/>
    <cellStyle name="Обычный 6 4 3 5 13" xfId="21002"/>
    <cellStyle name="Обычный 6 4 3 5 14" xfId="22614"/>
    <cellStyle name="Обычный 6 4 3 5 2" xfId="14930"/>
    <cellStyle name="Обычный 6 4 3 5 2 10" xfId="14931"/>
    <cellStyle name="Обычный 6 4 3 5 2 11" xfId="19309"/>
    <cellStyle name="Обычный 6 4 3 5 2 12" xfId="21003"/>
    <cellStyle name="Обычный 6 4 3 5 2 13" xfId="22615"/>
    <cellStyle name="Обычный 6 4 3 5 2 2" xfId="14932"/>
    <cellStyle name="Обычный 6 4 3 5 2 2 2" xfId="14933"/>
    <cellStyle name="Обычный 6 4 3 5 2 3" xfId="14934"/>
    <cellStyle name="Обычный 6 4 3 5 2 4" xfId="14935"/>
    <cellStyle name="Обычный 6 4 3 5 2 5" xfId="14936"/>
    <cellStyle name="Обычный 6 4 3 5 2 6" xfId="14937"/>
    <cellStyle name="Обычный 6 4 3 5 2 7" xfId="14938"/>
    <cellStyle name="Обычный 6 4 3 5 2 8" xfId="14939"/>
    <cellStyle name="Обычный 6 4 3 5 2 9" xfId="14940"/>
    <cellStyle name="Обычный 6 4 3 5 3" xfId="14941"/>
    <cellStyle name="Обычный 6 4 3 5 3 2" xfId="14942"/>
    <cellStyle name="Обычный 6 4 3 5 4" xfId="14943"/>
    <cellStyle name="Обычный 6 4 3 5 5" xfId="14944"/>
    <cellStyle name="Обычный 6 4 3 5 6" xfId="14945"/>
    <cellStyle name="Обычный 6 4 3 5 7" xfId="14946"/>
    <cellStyle name="Обычный 6 4 3 5 8" xfId="14947"/>
    <cellStyle name="Обычный 6 4 3 5 9" xfId="14948"/>
    <cellStyle name="Обычный 6 4 3 6" xfId="14949"/>
    <cellStyle name="Обычный 6 4 3 6 10" xfId="14950"/>
    <cellStyle name="Обычный 6 4 3 6 11" xfId="19310"/>
    <cellStyle name="Обычный 6 4 3 6 12" xfId="21004"/>
    <cellStyle name="Обычный 6 4 3 6 13" xfId="22616"/>
    <cellStyle name="Обычный 6 4 3 6 2" xfId="14951"/>
    <cellStyle name="Обычный 6 4 3 6 2 2" xfId="14952"/>
    <cellStyle name="Обычный 6 4 3 6 3" xfId="14953"/>
    <cellStyle name="Обычный 6 4 3 6 4" xfId="14954"/>
    <cellStyle name="Обычный 6 4 3 6 5" xfId="14955"/>
    <cellStyle name="Обычный 6 4 3 6 6" xfId="14956"/>
    <cellStyle name="Обычный 6 4 3 6 7" xfId="14957"/>
    <cellStyle name="Обычный 6 4 3 6 8" xfId="14958"/>
    <cellStyle name="Обычный 6 4 3 6 9" xfId="14959"/>
    <cellStyle name="Обычный 6 4 3 7" xfId="14960"/>
    <cellStyle name="Обычный 6 4 3 7 10" xfId="21005"/>
    <cellStyle name="Обычный 6 4 3 7 11" xfId="22617"/>
    <cellStyle name="Обычный 6 4 3 7 2" xfId="14961"/>
    <cellStyle name="Обычный 6 4 3 7 2 2" xfId="14962"/>
    <cellStyle name="Обычный 6 4 3 7 3" xfId="14963"/>
    <cellStyle name="Обычный 6 4 3 7 4" xfId="14964"/>
    <cellStyle name="Обычный 6 4 3 7 5" xfId="14965"/>
    <cellStyle name="Обычный 6 4 3 7 6" xfId="14966"/>
    <cellStyle name="Обычный 6 4 3 7 7" xfId="14967"/>
    <cellStyle name="Обычный 6 4 3 7 8" xfId="14968"/>
    <cellStyle name="Обычный 6 4 3 7 9" xfId="19311"/>
    <cellStyle name="Обычный 6 4 3 8" xfId="14969"/>
    <cellStyle name="Обычный 6 4 3 8 2" xfId="14970"/>
    <cellStyle name="Обычный 6 4 3 9" xfId="14971"/>
    <cellStyle name="Обычный 6 4 4" xfId="14972"/>
    <cellStyle name="Обычный 6 4 4 10" xfId="14973"/>
    <cellStyle name="Обычный 6 4 4 11" xfId="14974"/>
    <cellStyle name="Обычный 6 4 4 12" xfId="19312"/>
    <cellStyle name="Обычный 6 4 4 13" xfId="21006"/>
    <cellStyle name="Обычный 6 4 4 14" xfId="22618"/>
    <cellStyle name="Обычный 6 4 4 2" xfId="14975"/>
    <cellStyle name="Обычный 6 4 4 2 10" xfId="14976"/>
    <cellStyle name="Обычный 6 4 4 2 11" xfId="19313"/>
    <cellStyle name="Обычный 6 4 4 2 12" xfId="21007"/>
    <cellStyle name="Обычный 6 4 4 2 13" xfId="22619"/>
    <cellStyle name="Обычный 6 4 4 2 2" xfId="14977"/>
    <cellStyle name="Обычный 6 4 4 2 2 2" xfId="14978"/>
    <cellStyle name="Обычный 6 4 4 2 3" xfId="14979"/>
    <cellStyle name="Обычный 6 4 4 2 4" xfId="14980"/>
    <cellStyle name="Обычный 6 4 4 2 5" xfId="14981"/>
    <cellStyle name="Обычный 6 4 4 2 6" xfId="14982"/>
    <cellStyle name="Обычный 6 4 4 2 7" xfId="14983"/>
    <cellStyle name="Обычный 6 4 4 2 8" xfId="14984"/>
    <cellStyle name="Обычный 6 4 4 2 9" xfId="14985"/>
    <cellStyle name="Обычный 6 4 4 3" xfId="14986"/>
    <cellStyle name="Обычный 6 4 4 3 2" xfId="14987"/>
    <cellStyle name="Обычный 6 4 4 4" xfId="14988"/>
    <cellStyle name="Обычный 6 4 4 5" xfId="14989"/>
    <cellStyle name="Обычный 6 4 4 6" xfId="14990"/>
    <cellStyle name="Обычный 6 4 4 7" xfId="14991"/>
    <cellStyle name="Обычный 6 4 4 8" xfId="14992"/>
    <cellStyle name="Обычный 6 4 4 9" xfId="14993"/>
    <cellStyle name="Обычный 6 4 5" xfId="14994"/>
    <cellStyle name="Обычный 6 4 5 10" xfId="14995"/>
    <cellStyle name="Обычный 6 4 5 11" xfId="14996"/>
    <cellStyle name="Обычный 6 4 5 12" xfId="19314"/>
    <cellStyle name="Обычный 6 4 5 13" xfId="21008"/>
    <cellStyle name="Обычный 6 4 5 14" xfId="22620"/>
    <cellStyle name="Обычный 6 4 5 2" xfId="14997"/>
    <cellStyle name="Обычный 6 4 5 2 10" xfId="14998"/>
    <cellStyle name="Обычный 6 4 5 2 11" xfId="19315"/>
    <cellStyle name="Обычный 6 4 5 2 12" xfId="21009"/>
    <cellStyle name="Обычный 6 4 5 2 13" xfId="22621"/>
    <cellStyle name="Обычный 6 4 5 2 2" xfId="14999"/>
    <cellStyle name="Обычный 6 4 5 2 2 2" xfId="15000"/>
    <cellStyle name="Обычный 6 4 5 2 3" xfId="15001"/>
    <cellStyle name="Обычный 6 4 5 2 4" xfId="15002"/>
    <cellStyle name="Обычный 6 4 5 2 5" xfId="15003"/>
    <cellStyle name="Обычный 6 4 5 2 6" xfId="15004"/>
    <cellStyle name="Обычный 6 4 5 2 7" xfId="15005"/>
    <cellStyle name="Обычный 6 4 5 2 8" xfId="15006"/>
    <cellStyle name="Обычный 6 4 5 2 9" xfId="15007"/>
    <cellStyle name="Обычный 6 4 5 3" xfId="15008"/>
    <cellStyle name="Обычный 6 4 5 3 2" xfId="15009"/>
    <cellStyle name="Обычный 6 4 5 4" xfId="15010"/>
    <cellStyle name="Обычный 6 4 5 5" xfId="15011"/>
    <cellStyle name="Обычный 6 4 5 6" xfId="15012"/>
    <cellStyle name="Обычный 6 4 5 7" xfId="15013"/>
    <cellStyle name="Обычный 6 4 5 8" xfId="15014"/>
    <cellStyle name="Обычный 6 4 5 9" xfId="15015"/>
    <cellStyle name="Обычный 6 4 6" xfId="15016"/>
    <cellStyle name="Обычный 6 4 6 10" xfId="15017"/>
    <cellStyle name="Обычный 6 4 6 11" xfId="15018"/>
    <cellStyle name="Обычный 6 4 6 12" xfId="19316"/>
    <cellStyle name="Обычный 6 4 6 13" xfId="21010"/>
    <cellStyle name="Обычный 6 4 6 14" xfId="22622"/>
    <cellStyle name="Обычный 6 4 6 2" xfId="15019"/>
    <cellStyle name="Обычный 6 4 6 2 10" xfId="15020"/>
    <cellStyle name="Обычный 6 4 6 2 11" xfId="19317"/>
    <cellStyle name="Обычный 6 4 6 2 12" xfId="21011"/>
    <cellStyle name="Обычный 6 4 6 2 13" xfId="22623"/>
    <cellStyle name="Обычный 6 4 6 2 2" xfId="15021"/>
    <cellStyle name="Обычный 6 4 6 2 2 2" xfId="15022"/>
    <cellStyle name="Обычный 6 4 6 2 3" xfId="15023"/>
    <cellStyle name="Обычный 6 4 6 2 4" xfId="15024"/>
    <cellStyle name="Обычный 6 4 6 2 5" xfId="15025"/>
    <cellStyle name="Обычный 6 4 6 2 6" xfId="15026"/>
    <cellStyle name="Обычный 6 4 6 2 7" xfId="15027"/>
    <cellStyle name="Обычный 6 4 6 2 8" xfId="15028"/>
    <cellStyle name="Обычный 6 4 6 2 9" xfId="15029"/>
    <cellStyle name="Обычный 6 4 6 3" xfId="15030"/>
    <cellStyle name="Обычный 6 4 6 3 2" xfId="15031"/>
    <cellStyle name="Обычный 6 4 6 4" xfId="15032"/>
    <cellStyle name="Обычный 6 4 6 5" xfId="15033"/>
    <cellStyle name="Обычный 6 4 6 6" xfId="15034"/>
    <cellStyle name="Обычный 6 4 6 7" xfId="15035"/>
    <cellStyle name="Обычный 6 4 6 8" xfId="15036"/>
    <cellStyle name="Обычный 6 4 6 9" xfId="15037"/>
    <cellStyle name="Обычный 6 4 7" xfId="15038"/>
    <cellStyle name="Обычный 6 4 7 10" xfId="15039"/>
    <cellStyle name="Обычный 6 4 7 11" xfId="15040"/>
    <cellStyle name="Обычный 6 4 7 12" xfId="19318"/>
    <cellStyle name="Обычный 6 4 7 13" xfId="21012"/>
    <cellStyle name="Обычный 6 4 7 14" xfId="22624"/>
    <cellStyle name="Обычный 6 4 7 2" xfId="15041"/>
    <cellStyle name="Обычный 6 4 7 2 10" xfId="15042"/>
    <cellStyle name="Обычный 6 4 7 2 11" xfId="19319"/>
    <cellStyle name="Обычный 6 4 7 2 12" xfId="21013"/>
    <cellStyle name="Обычный 6 4 7 2 13" xfId="22625"/>
    <cellStyle name="Обычный 6 4 7 2 2" xfId="15043"/>
    <cellStyle name="Обычный 6 4 7 2 2 2" xfId="15044"/>
    <cellStyle name="Обычный 6 4 7 2 3" xfId="15045"/>
    <cellStyle name="Обычный 6 4 7 2 4" xfId="15046"/>
    <cellStyle name="Обычный 6 4 7 2 5" xfId="15047"/>
    <cellStyle name="Обычный 6 4 7 2 6" xfId="15048"/>
    <cellStyle name="Обычный 6 4 7 2 7" xfId="15049"/>
    <cellStyle name="Обычный 6 4 7 2 8" xfId="15050"/>
    <cellStyle name="Обычный 6 4 7 2 9" xfId="15051"/>
    <cellStyle name="Обычный 6 4 7 3" xfId="15052"/>
    <cellStyle name="Обычный 6 4 7 3 2" xfId="15053"/>
    <cellStyle name="Обычный 6 4 7 4" xfId="15054"/>
    <cellStyle name="Обычный 6 4 7 5" xfId="15055"/>
    <cellStyle name="Обычный 6 4 7 6" xfId="15056"/>
    <cellStyle name="Обычный 6 4 7 7" xfId="15057"/>
    <cellStyle name="Обычный 6 4 7 8" xfId="15058"/>
    <cellStyle name="Обычный 6 4 7 9" xfId="15059"/>
    <cellStyle name="Обычный 6 4 8" xfId="15060"/>
    <cellStyle name="Обычный 6 4 8 10" xfId="15061"/>
    <cellStyle name="Обычный 6 4 8 11" xfId="19320"/>
    <cellStyle name="Обычный 6 4 8 12" xfId="21014"/>
    <cellStyle name="Обычный 6 4 8 13" xfId="22626"/>
    <cellStyle name="Обычный 6 4 8 2" xfId="15062"/>
    <cellStyle name="Обычный 6 4 8 2 2" xfId="15063"/>
    <cellStyle name="Обычный 6 4 8 3" xfId="15064"/>
    <cellStyle name="Обычный 6 4 8 4" xfId="15065"/>
    <cellStyle name="Обычный 6 4 8 5" xfId="15066"/>
    <cellStyle name="Обычный 6 4 8 6" xfId="15067"/>
    <cellStyle name="Обычный 6 4 8 7" xfId="15068"/>
    <cellStyle name="Обычный 6 4 8 8" xfId="15069"/>
    <cellStyle name="Обычный 6 4 8 9" xfId="15070"/>
    <cellStyle name="Обычный 6 4 9" xfId="15071"/>
    <cellStyle name="Обычный 6 4 9 10" xfId="21015"/>
    <cellStyle name="Обычный 6 4 9 11" xfId="22627"/>
    <cellStyle name="Обычный 6 4 9 2" xfId="15072"/>
    <cellStyle name="Обычный 6 4 9 2 2" xfId="15073"/>
    <cellStyle name="Обычный 6 4 9 3" xfId="15074"/>
    <cellStyle name="Обычный 6 4 9 4" xfId="15075"/>
    <cellStyle name="Обычный 6 4 9 5" xfId="15076"/>
    <cellStyle name="Обычный 6 4 9 6" xfId="15077"/>
    <cellStyle name="Обычный 6 4 9 7" xfId="15078"/>
    <cellStyle name="Обычный 6 4 9 8" xfId="15079"/>
    <cellStyle name="Обычный 6 4 9 9" xfId="19321"/>
    <cellStyle name="Обычный 6 5" xfId="15080"/>
    <cellStyle name="Обычный 6 5 10" xfId="15081"/>
    <cellStyle name="Обычный 6 5 11" xfId="15082"/>
    <cellStyle name="Обычный 6 5 12" xfId="15083"/>
    <cellStyle name="Обычный 6 5 13" xfId="15084"/>
    <cellStyle name="Обычный 6 5 14" xfId="15085"/>
    <cellStyle name="Обычный 6 5 15" xfId="15086"/>
    <cellStyle name="Обычный 6 5 16" xfId="15087"/>
    <cellStyle name="Обычный 6 5 17" xfId="15088"/>
    <cellStyle name="Обычный 6 5 18" xfId="19322"/>
    <cellStyle name="Обычный 6 5 19" xfId="21016"/>
    <cellStyle name="Обычный 6 5 2" xfId="15089"/>
    <cellStyle name="Обычный 6 5 2 10" xfId="15090"/>
    <cellStyle name="Обычный 6 5 2 11" xfId="15091"/>
    <cellStyle name="Обычный 6 5 2 12" xfId="19323"/>
    <cellStyle name="Обычный 6 5 2 13" xfId="21017"/>
    <cellStyle name="Обычный 6 5 2 14" xfId="22629"/>
    <cellStyle name="Обычный 6 5 2 2" xfId="15092"/>
    <cellStyle name="Обычный 6 5 2 2 10" xfId="15093"/>
    <cellStyle name="Обычный 6 5 2 2 11" xfId="19324"/>
    <cellStyle name="Обычный 6 5 2 2 12" xfId="21018"/>
    <cellStyle name="Обычный 6 5 2 2 13" xfId="22630"/>
    <cellStyle name="Обычный 6 5 2 2 2" xfId="15094"/>
    <cellStyle name="Обычный 6 5 2 2 2 2" xfId="15095"/>
    <cellStyle name="Обычный 6 5 2 2 3" xfId="15096"/>
    <cellStyle name="Обычный 6 5 2 2 4" xfId="15097"/>
    <cellStyle name="Обычный 6 5 2 2 5" xfId="15098"/>
    <cellStyle name="Обычный 6 5 2 2 6" xfId="15099"/>
    <cellStyle name="Обычный 6 5 2 2 7" xfId="15100"/>
    <cellStyle name="Обычный 6 5 2 2 8" xfId="15101"/>
    <cellStyle name="Обычный 6 5 2 2 9" xfId="15102"/>
    <cellStyle name="Обычный 6 5 2 3" xfId="15103"/>
    <cellStyle name="Обычный 6 5 2 3 2" xfId="15104"/>
    <cellStyle name="Обычный 6 5 2 4" xfId="15105"/>
    <cellStyle name="Обычный 6 5 2 5" xfId="15106"/>
    <cellStyle name="Обычный 6 5 2 6" xfId="15107"/>
    <cellStyle name="Обычный 6 5 2 7" xfId="15108"/>
    <cellStyle name="Обычный 6 5 2 8" xfId="15109"/>
    <cellStyle name="Обычный 6 5 2 9" xfId="15110"/>
    <cellStyle name="Обычный 6 5 20" xfId="22628"/>
    <cellStyle name="Обычный 6 5 3" xfId="15111"/>
    <cellStyle name="Обычный 6 5 3 10" xfId="15112"/>
    <cellStyle name="Обычный 6 5 3 11" xfId="15113"/>
    <cellStyle name="Обычный 6 5 3 12" xfId="19325"/>
    <cellStyle name="Обычный 6 5 3 13" xfId="21019"/>
    <cellStyle name="Обычный 6 5 3 14" xfId="22631"/>
    <cellStyle name="Обычный 6 5 3 2" xfId="15114"/>
    <cellStyle name="Обычный 6 5 3 2 10" xfId="15115"/>
    <cellStyle name="Обычный 6 5 3 2 11" xfId="19326"/>
    <cellStyle name="Обычный 6 5 3 2 12" xfId="21020"/>
    <cellStyle name="Обычный 6 5 3 2 13" xfId="22632"/>
    <cellStyle name="Обычный 6 5 3 2 2" xfId="15116"/>
    <cellStyle name="Обычный 6 5 3 2 2 2" xfId="15117"/>
    <cellStyle name="Обычный 6 5 3 2 3" xfId="15118"/>
    <cellStyle name="Обычный 6 5 3 2 4" xfId="15119"/>
    <cellStyle name="Обычный 6 5 3 2 5" xfId="15120"/>
    <cellStyle name="Обычный 6 5 3 2 6" xfId="15121"/>
    <cellStyle name="Обычный 6 5 3 2 7" xfId="15122"/>
    <cellStyle name="Обычный 6 5 3 2 8" xfId="15123"/>
    <cellStyle name="Обычный 6 5 3 2 9" xfId="15124"/>
    <cellStyle name="Обычный 6 5 3 3" xfId="15125"/>
    <cellStyle name="Обычный 6 5 3 3 2" xfId="15126"/>
    <cellStyle name="Обычный 6 5 3 4" xfId="15127"/>
    <cellStyle name="Обычный 6 5 3 5" xfId="15128"/>
    <cellStyle name="Обычный 6 5 3 6" xfId="15129"/>
    <cellStyle name="Обычный 6 5 3 7" xfId="15130"/>
    <cellStyle name="Обычный 6 5 3 8" xfId="15131"/>
    <cellStyle name="Обычный 6 5 3 9" xfId="15132"/>
    <cellStyle name="Обычный 6 5 4" xfId="15133"/>
    <cellStyle name="Обычный 6 5 4 10" xfId="15134"/>
    <cellStyle name="Обычный 6 5 4 11" xfId="15135"/>
    <cellStyle name="Обычный 6 5 4 12" xfId="19327"/>
    <cellStyle name="Обычный 6 5 4 13" xfId="21021"/>
    <cellStyle name="Обычный 6 5 4 14" xfId="22633"/>
    <cellStyle name="Обычный 6 5 4 2" xfId="15136"/>
    <cellStyle name="Обычный 6 5 4 2 10" xfId="15137"/>
    <cellStyle name="Обычный 6 5 4 2 11" xfId="19328"/>
    <cellStyle name="Обычный 6 5 4 2 12" xfId="21022"/>
    <cellStyle name="Обычный 6 5 4 2 13" xfId="22634"/>
    <cellStyle name="Обычный 6 5 4 2 2" xfId="15138"/>
    <cellStyle name="Обычный 6 5 4 2 2 2" xfId="15139"/>
    <cellStyle name="Обычный 6 5 4 2 3" xfId="15140"/>
    <cellStyle name="Обычный 6 5 4 2 4" xfId="15141"/>
    <cellStyle name="Обычный 6 5 4 2 5" xfId="15142"/>
    <cellStyle name="Обычный 6 5 4 2 6" xfId="15143"/>
    <cellStyle name="Обычный 6 5 4 2 7" xfId="15144"/>
    <cellStyle name="Обычный 6 5 4 2 8" xfId="15145"/>
    <cellStyle name="Обычный 6 5 4 2 9" xfId="15146"/>
    <cellStyle name="Обычный 6 5 4 3" xfId="15147"/>
    <cellStyle name="Обычный 6 5 4 3 2" xfId="15148"/>
    <cellStyle name="Обычный 6 5 4 4" xfId="15149"/>
    <cellStyle name="Обычный 6 5 4 5" xfId="15150"/>
    <cellStyle name="Обычный 6 5 4 6" xfId="15151"/>
    <cellStyle name="Обычный 6 5 4 7" xfId="15152"/>
    <cellStyle name="Обычный 6 5 4 8" xfId="15153"/>
    <cellStyle name="Обычный 6 5 4 9" xfId="15154"/>
    <cellStyle name="Обычный 6 5 5" xfId="15155"/>
    <cellStyle name="Обычный 6 5 5 10" xfId="15156"/>
    <cellStyle name="Обычный 6 5 5 11" xfId="15157"/>
    <cellStyle name="Обычный 6 5 5 12" xfId="19329"/>
    <cellStyle name="Обычный 6 5 5 13" xfId="21023"/>
    <cellStyle name="Обычный 6 5 5 14" xfId="22635"/>
    <cellStyle name="Обычный 6 5 5 2" xfId="15158"/>
    <cellStyle name="Обычный 6 5 5 2 10" xfId="15159"/>
    <cellStyle name="Обычный 6 5 5 2 11" xfId="19330"/>
    <cellStyle name="Обычный 6 5 5 2 12" xfId="21024"/>
    <cellStyle name="Обычный 6 5 5 2 13" xfId="22636"/>
    <cellStyle name="Обычный 6 5 5 2 2" xfId="15160"/>
    <cellStyle name="Обычный 6 5 5 2 2 2" xfId="15161"/>
    <cellStyle name="Обычный 6 5 5 2 3" xfId="15162"/>
    <cellStyle name="Обычный 6 5 5 2 4" xfId="15163"/>
    <cellStyle name="Обычный 6 5 5 2 5" xfId="15164"/>
    <cellStyle name="Обычный 6 5 5 2 6" xfId="15165"/>
    <cellStyle name="Обычный 6 5 5 2 7" xfId="15166"/>
    <cellStyle name="Обычный 6 5 5 2 8" xfId="15167"/>
    <cellStyle name="Обычный 6 5 5 2 9" xfId="15168"/>
    <cellStyle name="Обычный 6 5 5 3" xfId="15169"/>
    <cellStyle name="Обычный 6 5 5 3 2" xfId="15170"/>
    <cellStyle name="Обычный 6 5 5 4" xfId="15171"/>
    <cellStyle name="Обычный 6 5 5 5" xfId="15172"/>
    <cellStyle name="Обычный 6 5 5 6" xfId="15173"/>
    <cellStyle name="Обычный 6 5 5 7" xfId="15174"/>
    <cellStyle name="Обычный 6 5 5 8" xfId="15175"/>
    <cellStyle name="Обычный 6 5 5 9" xfId="15176"/>
    <cellStyle name="Обычный 6 5 6" xfId="15177"/>
    <cellStyle name="Обычный 6 5 6 10" xfId="15178"/>
    <cellStyle name="Обычный 6 5 6 11" xfId="19331"/>
    <cellStyle name="Обычный 6 5 6 12" xfId="21025"/>
    <cellStyle name="Обычный 6 5 6 13" xfId="22637"/>
    <cellStyle name="Обычный 6 5 6 2" xfId="15179"/>
    <cellStyle name="Обычный 6 5 6 2 2" xfId="15180"/>
    <cellStyle name="Обычный 6 5 6 3" xfId="15181"/>
    <cellStyle name="Обычный 6 5 6 4" xfId="15182"/>
    <cellStyle name="Обычный 6 5 6 5" xfId="15183"/>
    <cellStyle name="Обычный 6 5 6 6" xfId="15184"/>
    <cellStyle name="Обычный 6 5 6 7" xfId="15185"/>
    <cellStyle name="Обычный 6 5 6 8" xfId="15186"/>
    <cellStyle name="Обычный 6 5 6 9" xfId="15187"/>
    <cellStyle name="Обычный 6 5 7" xfId="15188"/>
    <cellStyle name="Обычный 6 5 7 10" xfId="21026"/>
    <cellStyle name="Обычный 6 5 7 11" xfId="22638"/>
    <cellStyle name="Обычный 6 5 7 2" xfId="15189"/>
    <cellStyle name="Обычный 6 5 7 2 2" xfId="15190"/>
    <cellStyle name="Обычный 6 5 7 3" xfId="15191"/>
    <cellStyle name="Обычный 6 5 7 4" xfId="15192"/>
    <cellStyle name="Обычный 6 5 7 5" xfId="15193"/>
    <cellStyle name="Обычный 6 5 7 6" xfId="15194"/>
    <cellStyle name="Обычный 6 5 7 7" xfId="15195"/>
    <cellStyle name="Обычный 6 5 7 8" xfId="15196"/>
    <cellStyle name="Обычный 6 5 7 9" xfId="19332"/>
    <cellStyle name="Обычный 6 5 8" xfId="15197"/>
    <cellStyle name="Обычный 6 5 8 2" xfId="15198"/>
    <cellStyle name="Обычный 6 5 9" xfId="15199"/>
    <cellStyle name="Обычный 6 6" xfId="15200"/>
    <cellStyle name="Обычный 6 6 10" xfId="15201"/>
    <cellStyle name="Обычный 6 6 11" xfId="15202"/>
    <cellStyle name="Обычный 6 6 12" xfId="15203"/>
    <cellStyle name="Обычный 6 6 13" xfId="15204"/>
    <cellStyle name="Обычный 6 6 14" xfId="15205"/>
    <cellStyle name="Обычный 6 6 15" xfId="15206"/>
    <cellStyle name="Обычный 6 6 16" xfId="15207"/>
    <cellStyle name="Обычный 6 6 17" xfId="15208"/>
    <cellStyle name="Обычный 6 6 18" xfId="19333"/>
    <cellStyle name="Обычный 6 6 19" xfId="21027"/>
    <cellStyle name="Обычный 6 6 2" xfId="15209"/>
    <cellStyle name="Обычный 6 6 2 10" xfId="15210"/>
    <cellStyle name="Обычный 6 6 2 11" xfId="15211"/>
    <cellStyle name="Обычный 6 6 2 12" xfId="19334"/>
    <cellStyle name="Обычный 6 6 2 13" xfId="21028"/>
    <cellStyle name="Обычный 6 6 2 14" xfId="22640"/>
    <cellStyle name="Обычный 6 6 2 2" xfId="15212"/>
    <cellStyle name="Обычный 6 6 2 2 10" xfId="15213"/>
    <cellStyle name="Обычный 6 6 2 2 11" xfId="19335"/>
    <cellStyle name="Обычный 6 6 2 2 12" xfId="21029"/>
    <cellStyle name="Обычный 6 6 2 2 13" xfId="22641"/>
    <cellStyle name="Обычный 6 6 2 2 2" xfId="15214"/>
    <cellStyle name="Обычный 6 6 2 2 2 2" xfId="15215"/>
    <cellStyle name="Обычный 6 6 2 2 3" xfId="15216"/>
    <cellStyle name="Обычный 6 6 2 2 4" xfId="15217"/>
    <cellStyle name="Обычный 6 6 2 2 5" xfId="15218"/>
    <cellStyle name="Обычный 6 6 2 2 6" xfId="15219"/>
    <cellStyle name="Обычный 6 6 2 2 7" xfId="15220"/>
    <cellStyle name="Обычный 6 6 2 2 8" xfId="15221"/>
    <cellStyle name="Обычный 6 6 2 2 9" xfId="15222"/>
    <cellStyle name="Обычный 6 6 2 3" xfId="15223"/>
    <cellStyle name="Обычный 6 6 2 3 2" xfId="15224"/>
    <cellStyle name="Обычный 6 6 2 4" xfId="15225"/>
    <cellStyle name="Обычный 6 6 2 5" xfId="15226"/>
    <cellStyle name="Обычный 6 6 2 6" xfId="15227"/>
    <cellStyle name="Обычный 6 6 2 7" xfId="15228"/>
    <cellStyle name="Обычный 6 6 2 8" xfId="15229"/>
    <cellStyle name="Обычный 6 6 2 9" xfId="15230"/>
    <cellStyle name="Обычный 6 6 20" xfId="22639"/>
    <cellStyle name="Обычный 6 6 3" xfId="15231"/>
    <cellStyle name="Обычный 6 6 3 10" xfId="15232"/>
    <cellStyle name="Обычный 6 6 3 11" xfId="15233"/>
    <cellStyle name="Обычный 6 6 3 12" xfId="19336"/>
    <cellStyle name="Обычный 6 6 3 13" xfId="21030"/>
    <cellStyle name="Обычный 6 6 3 14" xfId="22642"/>
    <cellStyle name="Обычный 6 6 3 2" xfId="15234"/>
    <cellStyle name="Обычный 6 6 3 2 10" xfId="15235"/>
    <cellStyle name="Обычный 6 6 3 2 11" xfId="19337"/>
    <cellStyle name="Обычный 6 6 3 2 12" xfId="21031"/>
    <cellStyle name="Обычный 6 6 3 2 13" xfId="22643"/>
    <cellStyle name="Обычный 6 6 3 2 2" xfId="15236"/>
    <cellStyle name="Обычный 6 6 3 2 2 2" xfId="15237"/>
    <cellStyle name="Обычный 6 6 3 2 3" xfId="15238"/>
    <cellStyle name="Обычный 6 6 3 2 4" xfId="15239"/>
    <cellStyle name="Обычный 6 6 3 2 5" xfId="15240"/>
    <cellStyle name="Обычный 6 6 3 2 6" xfId="15241"/>
    <cellStyle name="Обычный 6 6 3 2 7" xfId="15242"/>
    <cellStyle name="Обычный 6 6 3 2 8" xfId="15243"/>
    <cellStyle name="Обычный 6 6 3 2 9" xfId="15244"/>
    <cellStyle name="Обычный 6 6 3 3" xfId="15245"/>
    <cellStyle name="Обычный 6 6 3 3 2" xfId="15246"/>
    <cellStyle name="Обычный 6 6 3 4" xfId="15247"/>
    <cellStyle name="Обычный 6 6 3 5" xfId="15248"/>
    <cellStyle name="Обычный 6 6 3 6" xfId="15249"/>
    <cellStyle name="Обычный 6 6 3 7" xfId="15250"/>
    <cellStyle name="Обычный 6 6 3 8" xfId="15251"/>
    <cellStyle name="Обычный 6 6 3 9" xfId="15252"/>
    <cellStyle name="Обычный 6 6 4" xfId="15253"/>
    <cellStyle name="Обычный 6 6 4 10" xfId="15254"/>
    <cellStyle name="Обычный 6 6 4 11" xfId="15255"/>
    <cellStyle name="Обычный 6 6 4 12" xfId="19338"/>
    <cellStyle name="Обычный 6 6 4 13" xfId="21032"/>
    <cellStyle name="Обычный 6 6 4 14" xfId="22644"/>
    <cellStyle name="Обычный 6 6 4 2" xfId="15256"/>
    <cellStyle name="Обычный 6 6 4 2 10" xfId="15257"/>
    <cellStyle name="Обычный 6 6 4 2 11" xfId="19339"/>
    <cellStyle name="Обычный 6 6 4 2 12" xfId="21033"/>
    <cellStyle name="Обычный 6 6 4 2 13" xfId="22645"/>
    <cellStyle name="Обычный 6 6 4 2 2" xfId="15258"/>
    <cellStyle name="Обычный 6 6 4 2 2 2" xfId="15259"/>
    <cellStyle name="Обычный 6 6 4 2 3" xfId="15260"/>
    <cellStyle name="Обычный 6 6 4 2 4" xfId="15261"/>
    <cellStyle name="Обычный 6 6 4 2 5" xfId="15262"/>
    <cellStyle name="Обычный 6 6 4 2 6" xfId="15263"/>
    <cellStyle name="Обычный 6 6 4 2 7" xfId="15264"/>
    <cellStyle name="Обычный 6 6 4 2 8" xfId="15265"/>
    <cellStyle name="Обычный 6 6 4 2 9" xfId="15266"/>
    <cellStyle name="Обычный 6 6 4 3" xfId="15267"/>
    <cellStyle name="Обычный 6 6 4 3 2" xfId="15268"/>
    <cellStyle name="Обычный 6 6 4 4" xfId="15269"/>
    <cellStyle name="Обычный 6 6 4 5" xfId="15270"/>
    <cellStyle name="Обычный 6 6 4 6" xfId="15271"/>
    <cellStyle name="Обычный 6 6 4 7" xfId="15272"/>
    <cellStyle name="Обычный 6 6 4 8" xfId="15273"/>
    <cellStyle name="Обычный 6 6 4 9" xfId="15274"/>
    <cellStyle name="Обычный 6 6 5" xfId="15275"/>
    <cellStyle name="Обычный 6 6 5 10" xfId="15276"/>
    <cellStyle name="Обычный 6 6 5 11" xfId="15277"/>
    <cellStyle name="Обычный 6 6 5 12" xfId="19340"/>
    <cellStyle name="Обычный 6 6 5 13" xfId="21034"/>
    <cellStyle name="Обычный 6 6 5 14" xfId="22646"/>
    <cellStyle name="Обычный 6 6 5 2" xfId="15278"/>
    <cellStyle name="Обычный 6 6 5 2 10" xfId="15279"/>
    <cellStyle name="Обычный 6 6 5 2 11" xfId="19341"/>
    <cellStyle name="Обычный 6 6 5 2 12" xfId="21035"/>
    <cellStyle name="Обычный 6 6 5 2 13" xfId="22647"/>
    <cellStyle name="Обычный 6 6 5 2 2" xfId="15280"/>
    <cellStyle name="Обычный 6 6 5 2 2 2" xfId="15281"/>
    <cellStyle name="Обычный 6 6 5 2 3" xfId="15282"/>
    <cellStyle name="Обычный 6 6 5 2 4" xfId="15283"/>
    <cellStyle name="Обычный 6 6 5 2 5" xfId="15284"/>
    <cellStyle name="Обычный 6 6 5 2 6" xfId="15285"/>
    <cellStyle name="Обычный 6 6 5 2 7" xfId="15286"/>
    <cellStyle name="Обычный 6 6 5 2 8" xfId="15287"/>
    <cellStyle name="Обычный 6 6 5 2 9" xfId="15288"/>
    <cellStyle name="Обычный 6 6 5 3" xfId="15289"/>
    <cellStyle name="Обычный 6 6 5 3 2" xfId="15290"/>
    <cellStyle name="Обычный 6 6 5 4" xfId="15291"/>
    <cellStyle name="Обычный 6 6 5 5" xfId="15292"/>
    <cellStyle name="Обычный 6 6 5 6" xfId="15293"/>
    <cellStyle name="Обычный 6 6 5 7" xfId="15294"/>
    <cellStyle name="Обычный 6 6 5 8" xfId="15295"/>
    <cellStyle name="Обычный 6 6 5 9" xfId="15296"/>
    <cellStyle name="Обычный 6 6 6" xfId="15297"/>
    <cellStyle name="Обычный 6 6 6 10" xfId="15298"/>
    <cellStyle name="Обычный 6 6 6 11" xfId="19342"/>
    <cellStyle name="Обычный 6 6 6 12" xfId="21036"/>
    <cellStyle name="Обычный 6 6 6 13" xfId="22648"/>
    <cellStyle name="Обычный 6 6 6 2" xfId="15299"/>
    <cellStyle name="Обычный 6 6 6 2 2" xfId="15300"/>
    <cellStyle name="Обычный 6 6 6 3" xfId="15301"/>
    <cellStyle name="Обычный 6 6 6 4" xfId="15302"/>
    <cellStyle name="Обычный 6 6 6 5" xfId="15303"/>
    <cellStyle name="Обычный 6 6 6 6" xfId="15304"/>
    <cellStyle name="Обычный 6 6 6 7" xfId="15305"/>
    <cellStyle name="Обычный 6 6 6 8" xfId="15306"/>
    <cellStyle name="Обычный 6 6 6 9" xfId="15307"/>
    <cellStyle name="Обычный 6 6 7" xfId="15308"/>
    <cellStyle name="Обычный 6 6 7 10" xfId="21037"/>
    <cellStyle name="Обычный 6 6 7 11" xfId="22649"/>
    <cellStyle name="Обычный 6 6 7 2" xfId="15309"/>
    <cellStyle name="Обычный 6 6 7 2 2" xfId="15310"/>
    <cellStyle name="Обычный 6 6 7 3" xfId="15311"/>
    <cellStyle name="Обычный 6 6 7 4" xfId="15312"/>
    <cellStyle name="Обычный 6 6 7 5" xfId="15313"/>
    <cellStyle name="Обычный 6 6 7 6" xfId="15314"/>
    <cellStyle name="Обычный 6 6 7 7" xfId="15315"/>
    <cellStyle name="Обычный 6 6 7 8" xfId="15316"/>
    <cellStyle name="Обычный 6 6 7 9" xfId="19343"/>
    <cellStyle name="Обычный 6 6 8" xfId="15317"/>
    <cellStyle name="Обычный 6 6 8 2" xfId="15318"/>
    <cellStyle name="Обычный 6 6 9" xfId="15319"/>
    <cellStyle name="Обычный 6 7" xfId="15320"/>
    <cellStyle name="Обычный 6 7 10" xfId="15321"/>
    <cellStyle name="Обычный 6 7 11" xfId="15322"/>
    <cellStyle name="Обычный 6 7 12" xfId="19344"/>
    <cellStyle name="Обычный 6 7 13" xfId="21038"/>
    <cellStyle name="Обычный 6 7 14" xfId="22650"/>
    <cellStyle name="Обычный 6 7 2" xfId="15323"/>
    <cellStyle name="Обычный 6 7 2 10" xfId="15324"/>
    <cellStyle name="Обычный 6 7 2 11" xfId="19345"/>
    <cellStyle name="Обычный 6 7 2 12" xfId="21039"/>
    <cellStyle name="Обычный 6 7 2 13" xfId="22651"/>
    <cellStyle name="Обычный 6 7 2 2" xfId="15325"/>
    <cellStyle name="Обычный 6 7 2 2 2" xfId="15326"/>
    <cellStyle name="Обычный 6 7 2 3" xfId="15327"/>
    <cellStyle name="Обычный 6 7 2 4" xfId="15328"/>
    <cellStyle name="Обычный 6 7 2 5" xfId="15329"/>
    <cellStyle name="Обычный 6 7 2 6" xfId="15330"/>
    <cellStyle name="Обычный 6 7 2 7" xfId="15331"/>
    <cellStyle name="Обычный 6 7 2 8" xfId="15332"/>
    <cellStyle name="Обычный 6 7 2 9" xfId="15333"/>
    <cellStyle name="Обычный 6 7 3" xfId="15334"/>
    <cellStyle name="Обычный 6 7 3 2" xfId="15335"/>
    <cellStyle name="Обычный 6 7 4" xfId="15336"/>
    <cellStyle name="Обычный 6 7 5" xfId="15337"/>
    <cellStyle name="Обычный 6 7 6" xfId="15338"/>
    <cellStyle name="Обычный 6 7 7" xfId="15339"/>
    <cellStyle name="Обычный 6 7 8" xfId="15340"/>
    <cellStyle name="Обычный 6 7 9" xfId="15341"/>
    <cellStyle name="Обычный 6 8" xfId="15342"/>
    <cellStyle name="Обычный 6 8 10" xfId="15343"/>
    <cellStyle name="Обычный 6 8 11" xfId="15344"/>
    <cellStyle name="Обычный 6 8 12" xfId="19346"/>
    <cellStyle name="Обычный 6 8 13" xfId="21040"/>
    <cellStyle name="Обычный 6 8 14" xfId="22652"/>
    <cellStyle name="Обычный 6 8 2" xfId="15345"/>
    <cellStyle name="Обычный 6 8 2 10" xfId="15346"/>
    <cellStyle name="Обычный 6 8 2 11" xfId="19347"/>
    <cellStyle name="Обычный 6 8 2 12" xfId="21041"/>
    <cellStyle name="Обычный 6 8 2 13" xfId="22653"/>
    <cellStyle name="Обычный 6 8 2 2" xfId="15347"/>
    <cellStyle name="Обычный 6 8 2 2 2" xfId="15348"/>
    <cellStyle name="Обычный 6 8 2 3" xfId="15349"/>
    <cellStyle name="Обычный 6 8 2 4" xfId="15350"/>
    <cellStyle name="Обычный 6 8 2 5" xfId="15351"/>
    <cellStyle name="Обычный 6 8 2 6" xfId="15352"/>
    <cellStyle name="Обычный 6 8 2 7" xfId="15353"/>
    <cellStyle name="Обычный 6 8 2 8" xfId="15354"/>
    <cellStyle name="Обычный 6 8 2 9" xfId="15355"/>
    <cellStyle name="Обычный 6 8 3" xfId="15356"/>
    <cellStyle name="Обычный 6 8 3 2" xfId="15357"/>
    <cellStyle name="Обычный 6 8 4" xfId="15358"/>
    <cellStyle name="Обычный 6 8 5" xfId="15359"/>
    <cellStyle name="Обычный 6 8 6" xfId="15360"/>
    <cellStyle name="Обычный 6 8 7" xfId="15361"/>
    <cellStyle name="Обычный 6 8 8" xfId="15362"/>
    <cellStyle name="Обычный 6 8 9" xfId="15363"/>
    <cellStyle name="Обычный 6 9" xfId="15364"/>
    <cellStyle name="Обычный 6 9 10" xfId="15365"/>
    <cellStyle name="Обычный 6 9 11" xfId="15366"/>
    <cellStyle name="Обычный 6 9 12" xfId="19348"/>
    <cellStyle name="Обычный 6 9 13" xfId="21042"/>
    <cellStyle name="Обычный 6 9 14" xfId="22654"/>
    <cellStyle name="Обычный 6 9 2" xfId="15367"/>
    <cellStyle name="Обычный 6 9 2 10" xfId="15368"/>
    <cellStyle name="Обычный 6 9 2 11" xfId="19349"/>
    <cellStyle name="Обычный 6 9 2 12" xfId="21043"/>
    <cellStyle name="Обычный 6 9 2 13" xfId="22655"/>
    <cellStyle name="Обычный 6 9 2 2" xfId="15369"/>
    <cellStyle name="Обычный 6 9 2 2 2" xfId="15370"/>
    <cellStyle name="Обычный 6 9 2 3" xfId="15371"/>
    <cellStyle name="Обычный 6 9 2 4" xfId="15372"/>
    <cellStyle name="Обычный 6 9 2 5" xfId="15373"/>
    <cellStyle name="Обычный 6 9 2 6" xfId="15374"/>
    <cellStyle name="Обычный 6 9 2 7" xfId="15375"/>
    <cellStyle name="Обычный 6 9 2 8" xfId="15376"/>
    <cellStyle name="Обычный 6 9 2 9" xfId="15377"/>
    <cellStyle name="Обычный 6 9 3" xfId="15378"/>
    <cellStyle name="Обычный 6 9 3 2" xfId="15379"/>
    <cellStyle name="Обычный 6 9 4" xfId="15380"/>
    <cellStyle name="Обычный 6 9 5" xfId="15381"/>
    <cellStyle name="Обычный 6 9 6" xfId="15382"/>
    <cellStyle name="Обычный 6 9 7" xfId="15383"/>
    <cellStyle name="Обычный 6 9 8" xfId="15384"/>
    <cellStyle name="Обычный 6 9 9" xfId="15385"/>
    <cellStyle name="Обычный 6_5. общ.V" xfId="15386"/>
    <cellStyle name="Обычный 7" xfId="15387"/>
    <cellStyle name="Обычный 7 10" xfId="15388"/>
    <cellStyle name="Обычный 7 10 10" xfId="15389"/>
    <cellStyle name="Обычный 7 10 11" xfId="15390"/>
    <cellStyle name="Обычный 7 10 12" xfId="19351"/>
    <cellStyle name="Обычный 7 10 13" xfId="21045"/>
    <cellStyle name="Обычный 7 10 14" xfId="22657"/>
    <cellStyle name="Обычный 7 10 2" xfId="15391"/>
    <cellStyle name="Обычный 7 10 2 10" xfId="15392"/>
    <cellStyle name="Обычный 7 10 2 11" xfId="19352"/>
    <cellStyle name="Обычный 7 10 2 12" xfId="21046"/>
    <cellStyle name="Обычный 7 10 2 13" xfId="22658"/>
    <cellStyle name="Обычный 7 10 2 2" xfId="15393"/>
    <cellStyle name="Обычный 7 10 2 2 2" xfId="15394"/>
    <cellStyle name="Обычный 7 10 2 3" xfId="15395"/>
    <cellStyle name="Обычный 7 10 2 4" xfId="15396"/>
    <cellStyle name="Обычный 7 10 2 5" xfId="15397"/>
    <cellStyle name="Обычный 7 10 2 6" xfId="15398"/>
    <cellStyle name="Обычный 7 10 2 7" xfId="15399"/>
    <cellStyle name="Обычный 7 10 2 8" xfId="15400"/>
    <cellStyle name="Обычный 7 10 2 9" xfId="15401"/>
    <cellStyle name="Обычный 7 10 3" xfId="15402"/>
    <cellStyle name="Обычный 7 10 3 2" xfId="15403"/>
    <cellStyle name="Обычный 7 10 4" xfId="15404"/>
    <cellStyle name="Обычный 7 10 5" xfId="15405"/>
    <cellStyle name="Обычный 7 10 6" xfId="15406"/>
    <cellStyle name="Обычный 7 10 7" xfId="15407"/>
    <cellStyle name="Обычный 7 10 8" xfId="15408"/>
    <cellStyle name="Обычный 7 10 9" xfId="15409"/>
    <cellStyle name="Обычный 7 11" xfId="15410"/>
    <cellStyle name="Обычный 7 11 10" xfId="15411"/>
    <cellStyle name="Обычный 7 11 11" xfId="15412"/>
    <cellStyle name="Обычный 7 11 12" xfId="19353"/>
    <cellStyle name="Обычный 7 11 13" xfId="21047"/>
    <cellStyle name="Обычный 7 11 14" xfId="22659"/>
    <cellStyle name="Обычный 7 11 2" xfId="15413"/>
    <cellStyle name="Обычный 7 11 2 10" xfId="15414"/>
    <cellStyle name="Обычный 7 11 2 11" xfId="19354"/>
    <cellStyle name="Обычный 7 11 2 12" xfId="21048"/>
    <cellStyle name="Обычный 7 11 2 13" xfId="22660"/>
    <cellStyle name="Обычный 7 11 2 2" xfId="15415"/>
    <cellStyle name="Обычный 7 11 2 2 2" xfId="15416"/>
    <cellStyle name="Обычный 7 11 2 3" xfId="15417"/>
    <cellStyle name="Обычный 7 11 2 4" xfId="15418"/>
    <cellStyle name="Обычный 7 11 2 5" xfId="15419"/>
    <cellStyle name="Обычный 7 11 2 6" xfId="15420"/>
    <cellStyle name="Обычный 7 11 2 7" xfId="15421"/>
    <cellStyle name="Обычный 7 11 2 8" xfId="15422"/>
    <cellStyle name="Обычный 7 11 2 9" xfId="15423"/>
    <cellStyle name="Обычный 7 11 3" xfId="15424"/>
    <cellStyle name="Обычный 7 11 3 2" xfId="15425"/>
    <cellStyle name="Обычный 7 11 4" xfId="15426"/>
    <cellStyle name="Обычный 7 11 5" xfId="15427"/>
    <cellStyle name="Обычный 7 11 6" xfId="15428"/>
    <cellStyle name="Обычный 7 11 7" xfId="15429"/>
    <cellStyle name="Обычный 7 11 8" xfId="15430"/>
    <cellStyle name="Обычный 7 11 9" xfId="15431"/>
    <cellStyle name="Обычный 7 12" xfId="15432"/>
    <cellStyle name="Обычный 7 12 10" xfId="15433"/>
    <cellStyle name="Обычный 7 12 11" xfId="15434"/>
    <cellStyle name="Обычный 7 12 12" xfId="19355"/>
    <cellStyle name="Обычный 7 12 13" xfId="21049"/>
    <cellStyle name="Обычный 7 12 14" xfId="22661"/>
    <cellStyle name="Обычный 7 12 2" xfId="15435"/>
    <cellStyle name="Обычный 7 12 2 10" xfId="15436"/>
    <cellStyle name="Обычный 7 12 2 11" xfId="19356"/>
    <cellStyle name="Обычный 7 12 2 12" xfId="21050"/>
    <cellStyle name="Обычный 7 12 2 13" xfId="22662"/>
    <cellStyle name="Обычный 7 12 2 2" xfId="15437"/>
    <cellStyle name="Обычный 7 12 2 2 2" xfId="15438"/>
    <cellStyle name="Обычный 7 12 2 3" xfId="15439"/>
    <cellStyle name="Обычный 7 12 2 4" xfId="15440"/>
    <cellStyle name="Обычный 7 12 2 5" xfId="15441"/>
    <cellStyle name="Обычный 7 12 2 6" xfId="15442"/>
    <cellStyle name="Обычный 7 12 2 7" xfId="15443"/>
    <cellStyle name="Обычный 7 12 2 8" xfId="15444"/>
    <cellStyle name="Обычный 7 12 2 9" xfId="15445"/>
    <cellStyle name="Обычный 7 12 3" xfId="15446"/>
    <cellStyle name="Обычный 7 12 3 2" xfId="15447"/>
    <cellStyle name="Обычный 7 12 4" xfId="15448"/>
    <cellStyle name="Обычный 7 12 5" xfId="15449"/>
    <cellStyle name="Обычный 7 12 6" xfId="15450"/>
    <cellStyle name="Обычный 7 12 7" xfId="15451"/>
    <cellStyle name="Обычный 7 12 8" xfId="15452"/>
    <cellStyle name="Обычный 7 12 9" xfId="15453"/>
    <cellStyle name="Обычный 7 13" xfId="15454"/>
    <cellStyle name="Обычный 7 13 10" xfId="15455"/>
    <cellStyle name="Обычный 7 13 11" xfId="15456"/>
    <cellStyle name="Обычный 7 13 12" xfId="19357"/>
    <cellStyle name="Обычный 7 13 13" xfId="21051"/>
    <cellStyle name="Обычный 7 13 14" xfId="22663"/>
    <cellStyle name="Обычный 7 13 2" xfId="15457"/>
    <cellStyle name="Обычный 7 13 2 10" xfId="15458"/>
    <cellStyle name="Обычный 7 13 2 11" xfId="19358"/>
    <cellStyle name="Обычный 7 13 2 12" xfId="21052"/>
    <cellStyle name="Обычный 7 13 2 13" xfId="22664"/>
    <cellStyle name="Обычный 7 13 2 2" xfId="15459"/>
    <cellStyle name="Обычный 7 13 2 2 2" xfId="15460"/>
    <cellStyle name="Обычный 7 13 2 3" xfId="15461"/>
    <cellStyle name="Обычный 7 13 2 4" xfId="15462"/>
    <cellStyle name="Обычный 7 13 2 5" xfId="15463"/>
    <cellStyle name="Обычный 7 13 2 6" xfId="15464"/>
    <cellStyle name="Обычный 7 13 2 7" xfId="15465"/>
    <cellStyle name="Обычный 7 13 2 8" xfId="15466"/>
    <cellStyle name="Обычный 7 13 2 9" xfId="15467"/>
    <cellStyle name="Обычный 7 13 3" xfId="15468"/>
    <cellStyle name="Обычный 7 13 3 2" xfId="15469"/>
    <cellStyle name="Обычный 7 13 4" xfId="15470"/>
    <cellStyle name="Обычный 7 13 5" xfId="15471"/>
    <cellStyle name="Обычный 7 13 6" xfId="15472"/>
    <cellStyle name="Обычный 7 13 7" xfId="15473"/>
    <cellStyle name="Обычный 7 13 8" xfId="15474"/>
    <cellStyle name="Обычный 7 13 9" xfId="15475"/>
    <cellStyle name="Обычный 7 14" xfId="15476"/>
    <cellStyle name="Обычный 7 14 10" xfId="15477"/>
    <cellStyle name="Обычный 7 14 11" xfId="15478"/>
    <cellStyle name="Обычный 7 14 12" xfId="19359"/>
    <cellStyle name="Обычный 7 14 13" xfId="21053"/>
    <cellStyle name="Обычный 7 14 14" xfId="22665"/>
    <cellStyle name="Обычный 7 14 2" xfId="15479"/>
    <cellStyle name="Обычный 7 14 2 10" xfId="15480"/>
    <cellStyle name="Обычный 7 14 2 11" xfId="19360"/>
    <cellStyle name="Обычный 7 14 2 12" xfId="21054"/>
    <cellStyle name="Обычный 7 14 2 13" xfId="22666"/>
    <cellStyle name="Обычный 7 14 2 2" xfId="15481"/>
    <cellStyle name="Обычный 7 14 2 2 2" xfId="15482"/>
    <cellStyle name="Обычный 7 14 2 3" xfId="15483"/>
    <cellStyle name="Обычный 7 14 2 4" xfId="15484"/>
    <cellStyle name="Обычный 7 14 2 5" xfId="15485"/>
    <cellStyle name="Обычный 7 14 2 6" xfId="15486"/>
    <cellStyle name="Обычный 7 14 2 7" xfId="15487"/>
    <cellStyle name="Обычный 7 14 2 8" xfId="15488"/>
    <cellStyle name="Обычный 7 14 2 9" xfId="15489"/>
    <cellStyle name="Обычный 7 14 3" xfId="15490"/>
    <cellStyle name="Обычный 7 14 3 2" xfId="15491"/>
    <cellStyle name="Обычный 7 14 4" xfId="15492"/>
    <cellStyle name="Обычный 7 14 5" xfId="15493"/>
    <cellStyle name="Обычный 7 14 6" xfId="15494"/>
    <cellStyle name="Обычный 7 14 7" xfId="15495"/>
    <cellStyle name="Обычный 7 14 8" xfId="15496"/>
    <cellStyle name="Обычный 7 14 9" xfId="15497"/>
    <cellStyle name="Обычный 7 15" xfId="15498"/>
    <cellStyle name="Обычный 7 15 10" xfId="15499"/>
    <cellStyle name="Обычный 7 15 11" xfId="19361"/>
    <cellStyle name="Обычный 7 15 12" xfId="21055"/>
    <cellStyle name="Обычный 7 15 13" xfId="22667"/>
    <cellStyle name="Обычный 7 15 2" xfId="15500"/>
    <cellStyle name="Обычный 7 15 2 2" xfId="15501"/>
    <cellStyle name="Обычный 7 15 3" xfId="15502"/>
    <cellStyle name="Обычный 7 15 4" xfId="15503"/>
    <cellStyle name="Обычный 7 15 5" xfId="15504"/>
    <cellStyle name="Обычный 7 15 6" xfId="15505"/>
    <cellStyle name="Обычный 7 15 7" xfId="15506"/>
    <cellStyle name="Обычный 7 15 8" xfId="15507"/>
    <cellStyle name="Обычный 7 15 9" xfId="15508"/>
    <cellStyle name="Обычный 7 16" xfId="15509"/>
    <cellStyle name="Обычный 7 16 10" xfId="21056"/>
    <cellStyle name="Обычный 7 16 11" xfId="22668"/>
    <cellStyle name="Обычный 7 16 2" xfId="15510"/>
    <cellStyle name="Обычный 7 16 2 2" xfId="15511"/>
    <cellStyle name="Обычный 7 16 3" xfId="15512"/>
    <cellStyle name="Обычный 7 16 4" xfId="15513"/>
    <cellStyle name="Обычный 7 16 5" xfId="15514"/>
    <cellStyle name="Обычный 7 16 6" xfId="15515"/>
    <cellStyle name="Обычный 7 16 7" xfId="15516"/>
    <cellStyle name="Обычный 7 16 8" xfId="15517"/>
    <cellStyle name="Обычный 7 16 9" xfId="19362"/>
    <cellStyle name="Обычный 7 17" xfId="15518"/>
    <cellStyle name="Обычный 7 17 10" xfId="21057"/>
    <cellStyle name="Обычный 7 17 11" xfId="22669"/>
    <cellStyle name="Обычный 7 17 2" xfId="15519"/>
    <cellStyle name="Обычный 7 17 2 2" xfId="15520"/>
    <cellStyle name="Обычный 7 17 3" xfId="15521"/>
    <cellStyle name="Обычный 7 17 4" xfId="15522"/>
    <cellStyle name="Обычный 7 17 5" xfId="15523"/>
    <cellStyle name="Обычный 7 17 6" xfId="15524"/>
    <cellStyle name="Обычный 7 17 7" xfId="15525"/>
    <cellStyle name="Обычный 7 17 8" xfId="15526"/>
    <cellStyle name="Обычный 7 17 9" xfId="19363"/>
    <cellStyle name="Обычный 7 18" xfId="15527"/>
    <cellStyle name="Обычный 7 18 2" xfId="15528"/>
    <cellStyle name="Обычный 7 19" xfId="15529"/>
    <cellStyle name="Обычный 7 2" xfId="15530"/>
    <cellStyle name="Обычный 7 2 10" xfId="15531"/>
    <cellStyle name="Обычный 7 2 10 10" xfId="15532"/>
    <cellStyle name="Обычный 7 2 10 11" xfId="15533"/>
    <cellStyle name="Обычный 7 2 10 12" xfId="19365"/>
    <cellStyle name="Обычный 7 2 10 13" xfId="21059"/>
    <cellStyle name="Обычный 7 2 10 14" xfId="22671"/>
    <cellStyle name="Обычный 7 2 10 2" xfId="15534"/>
    <cellStyle name="Обычный 7 2 10 2 10" xfId="15535"/>
    <cellStyle name="Обычный 7 2 10 2 11" xfId="19366"/>
    <cellStyle name="Обычный 7 2 10 2 12" xfId="21060"/>
    <cellStyle name="Обычный 7 2 10 2 13" xfId="22672"/>
    <cellStyle name="Обычный 7 2 10 2 2" xfId="15536"/>
    <cellStyle name="Обычный 7 2 10 2 2 2" xfId="15537"/>
    <cellStyle name="Обычный 7 2 10 2 3" xfId="15538"/>
    <cellStyle name="Обычный 7 2 10 2 4" xfId="15539"/>
    <cellStyle name="Обычный 7 2 10 2 5" xfId="15540"/>
    <cellStyle name="Обычный 7 2 10 2 6" xfId="15541"/>
    <cellStyle name="Обычный 7 2 10 2 7" xfId="15542"/>
    <cellStyle name="Обычный 7 2 10 2 8" xfId="15543"/>
    <cellStyle name="Обычный 7 2 10 2 9" xfId="15544"/>
    <cellStyle name="Обычный 7 2 10 3" xfId="15545"/>
    <cellStyle name="Обычный 7 2 10 3 2" xfId="15546"/>
    <cellStyle name="Обычный 7 2 10 4" xfId="15547"/>
    <cellStyle name="Обычный 7 2 10 5" xfId="15548"/>
    <cellStyle name="Обычный 7 2 10 6" xfId="15549"/>
    <cellStyle name="Обычный 7 2 10 7" xfId="15550"/>
    <cellStyle name="Обычный 7 2 10 8" xfId="15551"/>
    <cellStyle name="Обычный 7 2 10 9" xfId="15552"/>
    <cellStyle name="Обычный 7 2 11" xfId="15553"/>
    <cellStyle name="Обычный 7 2 11 10" xfId="15554"/>
    <cellStyle name="Обычный 7 2 11 11" xfId="19367"/>
    <cellStyle name="Обычный 7 2 11 12" xfId="21061"/>
    <cellStyle name="Обычный 7 2 11 13" xfId="22673"/>
    <cellStyle name="Обычный 7 2 11 2" xfId="15555"/>
    <cellStyle name="Обычный 7 2 11 2 2" xfId="15556"/>
    <cellStyle name="Обычный 7 2 11 3" xfId="15557"/>
    <cellStyle name="Обычный 7 2 11 4" xfId="15558"/>
    <cellStyle name="Обычный 7 2 11 5" xfId="15559"/>
    <cellStyle name="Обычный 7 2 11 6" xfId="15560"/>
    <cellStyle name="Обычный 7 2 11 7" xfId="15561"/>
    <cellStyle name="Обычный 7 2 11 8" xfId="15562"/>
    <cellStyle name="Обычный 7 2 11 9" xfId="15563"/>
    <cellStyle name="Обычный 7 2 12" xfId="15564"/>
    <cellStyle name="Обычный 7 2 12 10" xfId="21062"/>
    <cellStyle name="Обычный 7 2 12 11" xfId="22674"/>
    <cellStyle name="Обычный 7 2 12 2" xfId="15565"/>
    <cellStyle name="Обычный 7 2 12 2 2" xfId="15566"/>
    <cellStyle name="Обычный 7 2 12 3" xfId="15567"/>
    <cellStyle name="Обычный 7 2 12 4" xfId="15568"/>
    <cellStyle name="Обычный 7 2 12 5" xfId="15569"/>
    <cellStyle name="Обычный 7 2 12 6" xfId="15570"/>
    <cellStyle name="Обычный 7 2 12 7" xfId="15571"/>
    <cellStyle name="Обычный 7 2 12 8" xfId="15572"/>
    <cellStyle name="Обычный 7 2 12 9" xfId="19368"/>
    <cellStyle name="Обычный 7 2 13" xfId="15573"/>
    <cellStyle name="Обычный 7 2 13 10" xfId="21063"/>
    <cellStyle name="Обычный 7 2 13 11" xfId="22675"/>
    <cellStyle name="Обычный 7 2 13 2" xfId="15574"/>
    <cellStyle name="Обычный 7 2 13 2 2" xfId="15575"/>
    <cellStyle name="Обычный 7 2 13 3" xfId="15576"/>
    <cellStyle name="Обычный 7 2 13 4" xfId="15577"/>
    <cellStyle name="Обычный 7 2 13 5" xfId="15578"/>
    <cellStyle name="Обычный 7 2 13 6" xfId="15579"/>
    <cellStyle name="Обычный 7 2 13 7" xfId="15580"/>
    <cellStyle name="Обычный 7 2 13 8" xfId="15581"/>
    <cellStyle name="Обычный 7 2 13 9" xfId="19369"/>
    <cellStyle name="Обычный 7 2 14" xfId="15582"/>
    <cellStyle name="Обычный 7 2 14 2" xfId="15583"/>
    <cellStyle name="Обычный 7 2 15" xfId="15584"/>
    <cellStyle name="Обычный 7 2 16" xfId="15585"/>
    <cellStyle name="Обычный 7 2 17" xfId="15586"/>
    <cellStyle name="Обычный 7 2 18" xfId="15587"/>
    <cellStyle name="Обычный 7 2 19" xfId="15588"/>
    <cellStyle name="Обычный 7 2 2" xfId="15589"/>
    <cellStyle name="Обычный 7 2 2 10" xfId="15590"/>
    <cellStyle name="Обычный 7 2 2 10 2" xfId="15591"/>
    <cellStyle name="Обычный 7 2 2 11" xfId="15592"/>
    <cellStyle name="Обычный 7 2 2 12" xfId="15593"/>
    <cellStyle name="Обычный 7 2 2 13" xfId="15594"/>
    <cellStyle name="Обычный 7 2 2 14" xfId="15595"/>
    <cellStyle name="Обычный 7 2 2 15" xfId="15596"/>
    <cellStyle name="Обычный 7 2 2 16" xfId="15597"/>
    <cellStyle name="Обычный 7 2 2 17" xfId="15598"/>
    <cellStyle name="Обычный 7 2 2 18" xfId="15599"/>
    <cellStyle name="Обычный 7 2 2 19" xfId="15600"/>
    <cellStyle name="Обычный 7 2 2 2" xfId="15601"/>
    <cellStyle name="Обычный 7 2 2 2 10" xfId="15602"/>
    <cellStyle name="Обычный 7 2 2 2 11" xfId="15603"/>
    <cellStyle name="Обычный 7 2 2 2 12" xfId="15604"/>
    <cellStyle name="Обычный 7 2 2 2 13" xfId="15605"/>
    <cellStyle name="Обычный 7 2 2 2 14" xfId="15606"/>
    <cellStyle name="Обычный 7 2 2 2 15" xfId="15607"/>
    <cellStyle name="Обычный 7 2 2 2 16" xfId="15608"/>
    <cellStyle name="Обычный 7 2 2 2 17" xfId="15609"/>
    <cellStyle name="Обычный 7 2 2 2 18" xfId="19371"/>
    <cellStyle name="Обычный 7 2 2 2 19" xfId="21065"/>
    <cellStyle name="Обычный 7 2 2 2 2" xfId="15610"/>
    <cellStyle name="Обычный 7 2 2 2 2 10" xfId="15611"/>
    <cellStyle name="Обычный 7 2 2 2 2 11" xfId="15612"/>
    <cellStyle name="Обычный 7 2 2 2 2 12" xfId="19372"/>
    <cellStyle name="Обычный 7 2 2 2 2 13" xfId="21066"/>
    <cellStyle name="Обычный 7 2 2 2 2 14" xfId="22678"/>
    <cellStyle name="Обычный 7 2 2 2 2 2" xfId="15613"/>
    <cellStyle name="Обычный 7 2 2 2 2 2 10" xfId="15614"/>
    <cellStyle name="Обычный 7 2 2 2 2 2 11" xfId="19373"/>
    <cellStyle name="Обычный 7 2 2 2 2 2 12" xfId="21067"/>
    <cellStyle name="Обычный 7 2 2 2 2 2 13" xfId="22679"/>
    <cellStyle name="Обычный 7 2 2 2 2 2 2" xfId="15615"/>
    <cellStyle name="Обычный 7 2 2 2 2 2 2 2" xfId="15616"/>
    <cellStyle name="Обычный 7 2 2 2 2 2 3" xfId="15617"/>
    <cellStyle name="Обычный 7 2 2 2 2 2 4" xfId="15618"/>
    <cellStyle name="Обычный 7 2 2 2 2 2 5" xfId="15619"/>
    <cellStyle name="Обычный 7 2 2 2 2 2 6" xfId="15620"/>
    <cellStyle name="Обычный 7 2 2 2 2 2 7" xfId="15621"/>
    <cellStyle name="Обычный 7 2 2 2 2 2 8" xfId="15622"/>
    <cellStyle name="Обычный 7 2 2 2 2 2 9" xfId="15623"/>
    <cellStyle name="Обычный 7 2 2 2 2 3" xfId="15624"/>
    <cellStyle name="Обычный 7 2 2 2 2 3 2" xfId="15625"/>
    <cellStyle name="Обычный 7 2 2 2 2 4" xfId="15626"/>
    <cellStyle name="Обычный 7 2 2 2 2 5" xfId="15627"/>
    <cellStyle name="Обычный 7 2 2 2 2 6" xfId="15628"/>
    <cellStyle name="Обычный 7 2 2 2 2 7" xfId="15629"/>
    <cellStyle name="Обычный 7 2 2 2 2 8" xfId="15630"/>
    <cellStyle name="Обычный 7 2 2 2 2 9" xfId="15631"/>
    <cellStyle name="Обычный 7 2 2 2 20" xfId="22677"/>
    <cellStyle name="Обычный 7 2 2 2 3" xfId="15632"/>
    <cellStyle name="Обычный 7 2 2 2 3 10" xfId="15633"/>
    <cellStyle name="Обычный 7 2 2 2 3 11" xfId="15634"/>
    <cellStyle name="Обычный 7 2 2 2 3 12" xfId="19374"/>
    <cellStyle name="Обычный 7 2 2 2 3 13" xfId="21068"/>
    <cellStyle name="Обычный 7 2 2 2 3 14" xfId="22680"/>
    <cellStyle name="Обычный 7 2 2 2 3 2" xfId="15635"/>
    <cellStyle name="Обычный 7 2 2 2 3 2 10" xfId="15636"/>
    <cellStyle name="Обычный 7 2 2 2 3 2 11" xfId="19375"/>
    <cellStyle name="Обычный 7 2 2 2 3 2 12" xfId="21069"/>
    <cellStyle name="Обычный 7 2 2 2 3 2 13" xfId="22681"/>
    <cellStyle name="Обычный 7 2 2 2 3 2 2" xfId="15637"/>
    <cellStyle name="Обычный 7 2 2 2 3 2 2 2" xfId="15638"/>
    <cellStyle name="Обычный 7 2 2 2 3 2 3" xfId="15639"/>
    <cellStyle name="Обычный 7 2 2 2 3 2 4" xfId="15640"/>
    <cellStyle name="Обычный 7 2 2 2 3 2 5" xfId="15641"/>
    <cellStyle name="Обычный 7 2 2 2 3 2 6" xfId="15642"/>
    <cellStyle name="Обычный 7 2 2 2 3 2 7" xfId="15643"/>
    <cellStyle name="Обычный 7 2 2 2 3 2 8" xfId="15644"/>
    <cellStyle name="Обычный 7 2 2 2 3 2 9" xfId="15645"/>
    <cellStyle name="Обычный 7 2 2 2 3 3" xfId="15646"/>
    <cellStyle name="Обычный 7 2 2 2 3 3 2" xfId="15647"/>
    <cellStyle name="Обычный 7 2 2 2 3 4" xfId="15648"/>
    <cellStyle name="Обычный 7 2 2 2 3 5" xfId="15649"/>
    <cellStyle name="Обычный 7 2 2 2 3 6" xfId="15650"/>
    <cellStyle name="Обычный 7 2 2 2 3 7" xfId="15651"/>
    <cellStyle name="Обычный 7 2 2 2 3 8" xfId="15652"/>
    <cellStyle name="Обычный 7 2 2 2 3 9" xfId="15653"/>
    <cellStyle name="Обычный 7 2 2 2 4" xfId="15654"/>
    <cellStyle name="Обычный 7 2 2 2 4 10" xfId="15655"/>
    <cellStyle name="Обычный 7 2 2 2 4 11" xfId="15656"/>
    <cellStyle name="Обычный 7 2 2 2 4 12" xfId="19376"/>
    <cellStyle name="Обычный 7 2 2 2 4 13" xfId="21070"/>
    <cellStyle name="Обычный 7 2 2 2 4 14" xfId="22682"/>
    <cellStyle name="Обычный 7 2 2 2 4 2" xfId="15657"/>
    <cellStyle name="Обычный 7 2 2 2 4 2 10" xfId="15658"/>
    <cellStyle name="Обычный 7 2 2 2 4 2 11" xfId="19377"/>
    <cellStyle name="Обычный 7 2 2 2 4 2 12" xfId="21071"/>
    <cellStyle name="Обычный 7 2 2 2 4 2 13" xfId="22683"/>
    <cellStyle name="Обычный 7 2 2 2 4 2 2" xfId="15659"/>
    <cellStyle name="Обычный 7 2 2 2 4 2 2 2" xfId="15660"/>
    <cellStyle name="Обычный 7 2 2 2 4 2 3" xfId="15661"/>
    <cellStyle name="Обычный 7 2 2 2 4 2 4" xfId="15662"/>
    <cellStyle name="Обычный 7 2 2 2 4 2 5" xfId="15663"/>
    <cellStyle name="Обычный 7 2 2 2 4 2 6" xfId="15664"/>
    <cellStyle name="Обычный 7 2 2 2 4 2 7" xfId="15665"/>
    <cellStyle name="Обычный 7 2 2 2 4 2 8" xfId="15666"/>
    <cellStyle name="Обычный 7 2 2 2 4 2 9" xfId="15667"/>
    <cellStyle name="Обычный 7 2 2 2 4 3" xfId="15668"/>
    <cellStyle name="Обычный 7 2 2 2 4 3 2" xfId="15669"/>
    <cellStyle name="Обычный 7 2 2 2 4 4" xfId="15670"/>
    <cellStyle name="Обычный 7 2 2 2 4 5" xfId="15671"/>
    <cellStyle name="Обычный 7 2 2 2 4 6" xfId="15672"/>
    <cellStyle name="Обычный 7 2 2 2 4 7" xfId="15673"/>
    <cellStyle name="Обычный 7 2 2 2 4 8" xfId="15674"/>
    <cellStyle name="Обычный 7 2 2 2 4 9" xfId="15675"/>
    <cellStyle name="Обычный 7 2 2 2 5" xfId="15676"/>
    <cellStyle name="Обычный 7 2 2 2 5 10" xfId="15677"/>
    <cellStyle name="Обычный 7 2 2 2 5 11" xfId="15678"/>
    <cellStyle name="Обычный 7 2 2 2 5 12" xfId="19378"/>
    <cellStyle name="Обычный 7 2 2 2 5 13" xfId="21072"/>
    <cellStyle name="Обычный 7 2 2 2 5 14" xfId="22684"/>
    <cellStyle name="Обычный 7 2 2 2 5 2" xfId="15679"/>
    <cellStyle name="Обычный 7 2 2 2 5 2 10" xfId="15680"/>
    <cellStyle name="Обычный 7 2 2 2 5 2 11" xfId="19379"/>
    <cellStyle name="Обычный 7 2 2 2 5 2 12" xfId="21073"/>
    <cellStyle name="Обычный 7 2 2 2 5 2 13" xfId="22685"/>
    <cellStyle name="Обычный 7 2 2 2 5 2 2" xfId="15681"/>
    <cellStyle name="Обычный 7 2 2 2 5 2 2 2" xfId="15682"/>
    <cellStyle name="Обычный 7 2 2 2 5 2 3" xfId="15683"/>
    <cellStyle name="Обычный 7 2 2 2 5 2 4" xfId="15684"/>
    <cellStyle name="Обычный 7 2 2 2 5 2 5" xfId="15685"/>
    <cellStyle name="Обычный 7 2 2 2 5 2 6" xfId="15686"/>
    <cellStyle name="Обычный 7 2 2 2 5 2 7" xfId="15687"/>
    <cellStyle name="Обычный 7 2 2 2 5 2 8" xfId="15688"/>
    <cellStyle name="Обычный 7 2 2 2 5 2 9" xfId="15689"/>
    <cellStyle name="Обычный 7 2 2 2 5 3" xfId="15690"/>
    <cellStyle name="Обычный 7 2 2 2 5 3 2" xfId="15691"/>
    <cellStyle name="Обычный 7 2 2 2 5 4" xfId="15692"/>
    <cellStyle name="Обычный 7 2 2 2 5 5" xfId="15693"/>
    <cellStyle name="Обычный 7 2 2 2 5 6" xfId="15694"/>
    <cellStyle name="Обычный 7 2 2 2 5 7" xfId="15695"/>
    <cellStyle name="Обычный 7 2 2 2 5 8" xfId="15696"/>
    <cellStyle name="Обычный 7 2 2 2 5 9" xfId="15697"/>
    <cellStyle name="Обычный 7 2 2 2 6" xfId="15698"/>
    <cellStyle name="Обычный 7 2 2 2 6 10" xfId="15699"/>
    <cellStyle name="Обычный 7 2 2 2 6 11" xfId="19380"/>
    <cellStyle name="Обычный 7 2 2 2 6 12" xfId="21074"/>
    <cellStyle name="Обычный 7 2 2 2 6 13" xfId="22686"/>
    <cellStyle name="Обычный 7 2 2 2 6 2" xfId="15700"/>
    <cellStyle name="Обычный 7 2 2 2 6 2 2" xfId="15701"/>
    <cellStyle name="Обычный 7 2 2 2 6 3" xfId="15702"/>
    <cellStyle name="Обычный 7 2 2 2 6 4" xfId="15703"/>
    <cellStyle name="Обычный 7 2 2 2 6 5" xfId="15704"/>
    <cellStyle name="Обычный 7 2 2 2 6 6" xfId="15705"/>
    <cellStyle name="Обычный 7 2 2 2 6 7" xfId="15706"/>
    <cellStyle name="Обычный 7 2 2 2 6 8" xfId="15707"/>
    <cellStyle name="Обычный 7 2 2 2 6 9" xfId="15708"/>
    <cellStyle name="Обычный 7 2 2 2 7" xfId="15709"/>
    <cellStyle name="Обычный 7 2 2 2 7 10" xfId="21075"/>
    <cellStyle name="Обычный 7 2 2 2 7 11" xfId="22687"/>
    <cellStyle name="Обычный 7 2 2 2 7 2" xfId="15710"/>
    <cellStyle name="Обычный 7 2 2 2 7 2 2" xfId="15711"/>
    <cellStyle name="Обычный 7 2 2 2 7 3" xfId="15712"/>
    <cellStyle name="Обычный 7 2 2 2 7 4" xfId="15713"/>
    <cellStyle name="Обычный 7 2 2 2 7 5" xfId="15714"/>
    <cellStyle name="Обычный 7 2 2 2 7 6" xfId="15715"/>
    <cellStyle name="Обычный 7 2 2 2 7 7" xfId="15716"/>
    <cellStyle name="Обычный 7 2 2 2 7 8" xfId="15717"/>
    <cellStyle name="Обычный 7 2 2 2 7 9" xfId="19381"/>
    <cellStyle name="Обычный 7 2 2 2 8" xfId="15718"/>
    <cellStyle name="Обычный 7 2 2 2 8 2" xfId="15719"/>
    <cellStyle name="Обычный 7 2 2 2 9" xfId="15720"/>
    <cellStyle name="Обычный 7 2 2 20" xfId="19370"/>
    <cellStyle name="Обычный 7 2 2 21" xfId="21064"/>
    <cellStyle name="Обычный 7 2 2 22" xfId="22676"/>
    <cellStyle name="Обычный 7 2 2 3" xfId="15721"/>
    <cellStyle name="Обычный 7 2 2 3 10" xfId="15722"/>
    <cellStyle name="Обычный 7 2 2 3 11" xfId="15723"/>
    <cellStyle name="Обычный 7 2 2 3 12" xfId="15724"/>
    <cellStyle name="Обычный 7 2 2 3 13" xfId="15725"/>
    <cellStyle name="Обычный 7 2 2 3 14" xfId="15726"/>
    <cellStyle name="Обычный 7 2 2 3 15" xfId="15727"/>
    <cellStyle name="Обычный 7 2 2 3 16" xfId="15728"/>
    <cellStyle name="Обычный 7 2 2 3 17" xfId="15729"/>
    <cellStyle name="Обычный 7 2 2 3 18" xfId="19382"/>
    <cellStyle name="Обычный 7 2 2 3 19" xfId="21076"/>
    <cellStyle name="Обычный 7 2 2 3 2" xfId="15730"/>
    <cellStyle name="Обычный 7 2 2 3 2 10" xfId="15731"/>
    <cellStyle name="Обычный 7 2 2 3 2 11" xfId="15732"/>
    <cellStyle name="Обычный 7 2 2 3 2 12" xfId="19383"/>
    <cellStyle name="Обычный 7 2 2 3 2 13" xfId="21077"/>
    <cellStyle name="Обычный 7 2 2 3 2 14" xfId="22689"/>
    <cellStyle name="Обычный 7 2 2 3 2 2" xfId="15733"/>
    <cellStyle name="Обычный 7 2 2 3 2 2 10" xfId="15734"/>
    <cellStyle name="Обычный 7 2 2 3 2 2 11" xfId="19384"/>
    <cellStyle name="Обычный 7 2 2 3 2 2 12" xfId="21078"/>
    <cellStyle name="Обычный 7 2 2 3 2 2 13" xfId="22690"/>
    <cellStyle name="Обычный 7 2 2 3 2 2 2" xfId="15735"/>
    <cellStyle name="Обычный 7 2 2 3 2 2 2 2" xfId="15736"/>
    <cellStyle name="Обычный 7 2 2 3 2 2 3" xfId="15737"/>
    <cellStyle name="Обычный 7 2 2 3 2 2 4" xfId="15738"/>
    <cellStyle name="Обычный 7 2 2 3 2 2 5" xfId="15739"/>
    <cellStyle name="Обычный 7 2 2 3 2 2 6" xfId="15740"/>
    <cellStyle name="Обычный 7 2 2 3 2 2 7" xfId="15741"/>
    <cellStyle name="Обычный 7 2 2 3 2 2 8" xfId="15742"/>
    <cellStyle name="Обычный 7 2 2 3 2 2 9" xfId="15743"/>
    <cellStyle name="Обычный 7 2 2 3 2 3" xfId="15744"/>
    <cellStyle name="Обычный 7 2 2 3 2 3 2" xfId="15745"/>
    <cellStyle name="Обычный 7 2 2 3 2 4" xfId="15746"/>
    <cellStyle name="Обычный 7 2 2 3 2 5" xfId="15747"/>
    <cellStyle name="Обычный 7 2 2 3 2 6" xfId="15748"/>
    <cellStyle name="Обычный 7 2 2 3 2 7" xfId="15749"/>
    <cellStyle name="Обычный 7 2 2 3 2 8" xfId="15750"/>
    <cellStyle name="Обычный 7 2 2 3 2 9" xfId="15751"/>
    <cellStyle name="Обычный 7 2 2 3 20" xfId="22688"/>
    <cellStyle name="Обычный 7 2 2 3 3" xfId="15752"/>
    <cellStyle name="Обычный 7 2 2 3 3 10" xfId="15753"/>
    <cellStyle name="Обычный 7 2 2 3 3 11" xfId="15754"/>
    <cellStyle name="Обычный 7 2 2 3 3 12" xfId="19385"/>
    <cellStyle name="Обычный 7 2 2 3 3 13" xfId="21079"/>
    <cellStyle name="Обычный 7 2 2 3 3 14" xfId="22691"/>
    <cellStyle name="Обычный 7 2 2 3 3 2" xfId="15755"/>
    <cellStyle name="Обычный 7 2 2 3 3 2 10" xfId="15756"/>
    <cellStyle name="Обычный 7 2 2 3 3 2 11" xfId="19386"/>
    <cellStyle name="Обычный 7 2 2 3 3 2 12" xfId="21080"/>
    <cellStyle name="Обычный 7 2 2 3 3 2 13" xfId="22692"/>
    <cellStyle name="Обычный 7 2 2 3 3 2 2" xfId="15757"/>
    <cellStyle name="Обычный 7 2 2 3 3 2 2 2" xfId="15758"/>
    <cellStyle name="Обычный 7 2 2 3 3 2 3" xfId="15759"/>
    <cellStyle name="Обычный 7 2 2 3 3 2 4" xfId="15760"/>
    <cellStyle name="Обычный 7 2 2 3 3 2 5" xfId="15761"/>
    <cellStyle name="Обычный 7 2 2 3 3 2 6" xfId="15762"/>
    <cellStyle name="Обычный 7 2 2 3 3 2 7" xfId="15763"/>
    <cellStyle name="Обычный 7 2 2 3 3 2 8" xfId="15764"/>
    <cellStyle name="Обычный 7 2 2 3 3 2 9" xfId="15765"/>
    <cellStyle name="Обычный 7 2 2 3 3 3" xfId="15766"/>
    <cellStyle name="Обычный 7 2 2 3 3 3 2" xfId="15767"/>
    <cellStyle name="Обычный 7 2 2 3 3 4" xfId="15768"/>
    <cellStyle name="Обычный 7 2 2 3 3 5" xfId="15769"/>
    <cellStyle name="Обычный 7 2 2 3 3 6" xfId="15770"/>
    <cellStyle name="Обычный 7 2 2 3 3 7" xfId="15771"/>
    <cellStyle name="Обычный 7 2 2 3 3 8" xfId="15772"/>
    <cellStyle name="Обычный 7 2 2 3 3 9" xfId="15773"/>
    <cellStyle name="Обычный 7 2 2 3 4" xfId="15774"/>
    <cellStyle name="Обычный 7 2 2 3 4 10" xfId="15775"/>
    <cellStyle name="Обычный 7 2 2 3 4 11" xfId="15776"/>
    <cellStyle name="Обычный 7 2 2 3 4 12" xfId="19387"/>
    <cellStyle name="Обычный 7 2 2 3 4 13" xfId="21081"/>
    <cellStyle name="Обычный 7 2 2 3 4 14" xfId="22693"/>
    <cellStyle name="Обычный 7 2 2 3 4 2" xfId="15777"/>
    <cellStyle name="Обычный 7 2 2 3 4 2 10" xfId="15778"/>
    <cellStyle name="Обычный 7 2 2 3 4 2 11" xfId="19388"/>
    <cellStyle name="Обычный 7 2 2 3 4 2 12" xfId="21082"/>
    <cellStyle name="Обычный 7 2 2 3 4 2 13" xfId="22694"/>
    <cellStyle name="Обычный 7 2 2 3 4 2 2" xfId="15779"/>
    <cellStyle name="Обычный 7 2 2 3 4 2 2 2" xfId="15780"/>
    <cellStyle name="Обычный 7 2 2 3 4 2 3" xfId="15781"/>
    <cellStyle name="Обычный 7 2 2 3 4 2 4" xfId="15782"/>
    <cellStyle name="Обычный 7 2 2 3 4 2 5" xfId="15783"/>
    <cellStyle name="Обычный 7 2 2 3 4 2 6" xfId="15784"/>
    <cellStyle name="Обычный 7 2 2 3 4 2 7" xfId="15785"/>
    <cellStyle name="Обычный 7 2 2 3 4 2 8" xfId="15786"/>
    <cellStyle name="Обычный 7 2 2 3 4 2 9" xfId="15787"/>
    <cellStyle name="Обычный 7 2 2 3 4 3" xfId="15788"/>
    <cellStyle name="Обычный 7 2 2 3 4 3 2" xfId="15789"/>
    <cellStyle name="Обычный 7 2 2 3 4 4" xfId="15790"/>
    <cellStyle name="Обычный 7 2 2 3 4 5" xfId="15791"/>
    <cellStyle name="Обычный 7 2 2 3 4 6" xfId="15792"/>
    <cellStyle name="Обычный 7 2 2 3 4 7" xfId="15793"/>
    <cellStyle name="Обычный 7 2 2 3 4 8" xfId="15794"/>
    <cellStyle name="Обычный 7 2 2 3 4 9" xfId="15795"/>
    <cellStyle name="Обычный 7 2 2 3 5" xfId="15796"/>
    <cellStyle name="Обычный 7 2 2 3 5 10" xfId="15797"/>
    <cellStyle name="Обычный 7 2 2 3 5 11" xfId="15798"/>
    <cellStyle name="Обычный 7 2 2 3 5 12" xfId="19389"/>
    <cellStyle name="Обычный 7 2 2 3 5 13" xfId="21083"/>
    <cellStyle name="Обычный 7 2 2 3 5 14" xfId="22695"/>
    <cellStyle name="Обычный 7 2 2 3 5 2" xfId="15799"/>
    <cellStyle name="Обычный 7 2 2 3 5 2 10" xfId="15800"/>
    <cellStyle name="Обычный 7 2 2 3 5 2 11" xfId="19390"/>
    <cellStyle name="Обычный 7 2 2 3 5 2 12" xfId="21084"/>
    <cellStyle name="Обычный 7 2 2 3 5 2 13" xfId="22696"/>
    <cellStyle name="Обычный 7 2 2 3 5 2 2" xfId="15801"/>
    <cellStyle name="Обычный 7 2 2 3 5 2 2 2" xfId="15802"/>
    <cellStyle name="Обычный 7 2 2 3 5 2 3" xfId="15803"/>
    <cellStyle name="Обычный 7 2 2 3 5 2 4" xfId="15804"/>
    <cellStyle name="Обычный 7 2 2 3 5 2 5" xfId="15805"/>
    <cellStyle name="Обычный 7 2 2 3 5 2 6" xfId="15806"/>
    <cellStyle name="Обычный 7 2 2 3 5 2 7" xfId="15807"/>
    <cellStyle name="Обычный 7 2 2 3 5 2 8" xfId="15808"/>
    <cellStyle name="Обычный 7 2 2 3 5 2 9" xfId="15809"/>
    <cellStyle name="Обычный 7 2 2 3 5 3" xfId="15810"/>
    <cellStyle name="Обычный 7 2 2 3 5 3 2" xfId="15811"/>
    <cellStyle name="Обычный 7 2 2 3 5 4" xfId="15812"/>
    <cellStyle name="Обычный 7 2 2 3 5 5" xfId="15813"/>
    <cellStyle name="Обычный 7 2 2 3 5 6" xfId="15814"/>
    <cellStyle name="Обычный 7 2 2 3 5 7" xfId="15815"/>
    <cellStyle name="Обычный 7 2 2 3 5 8" xfId="15816"/>
    <cellStyle name="Обычный 7 2 2 3 5 9" xfId="15817"/>
    <cellStyle name="Обычный 7 2 2 3 6" xfId="15818"/>
    <cellStyle name="Обычный 7 2 2 3 6 10" xfId="15819"/>
    <cellStyle name="Обычный 7 2 2 3 6 11" xfId="19391"/>
    <cellStyle name="Обычный 7 2 2 3 6 12" xfId="21085"/>
    <cellStyle name="Обычный 7 2 2 3 6 13" xfId="22697"/>
    <cellStyle name="Обычный 7 2 2 3 6 2" xfId="15820"/>
    <cellStyle name="Обычный 7 2 2 3 6 2 2" xfId="15821"/>
    <cellStyle name="Обычный 7 2 2 3 6 3" xfId="15822"/>
    <cellStyle name="Обычный 7 2 2 3 6 4" xfId="15823"/>
    <cellStyle name="Обычный 7 2 2 3 6 5" xfId="15824"/>
    <cellStyle name="Обычный 7 2 2 3 6 6" xfId="15825"/>
    <cellStyle name="Обычный 7 2 2 3 6 7" xfId="15826"/>
    <cellStyle name="Обычный 7 2 2 3 6 8" xfId="15827"/>
    <cellStyle name="Обычный 7 2 2 3 6 9" xfId="15828"/>
    <cellStyle name="Обычный 7 2 2 3 7" xfId="15829"/>
    <cellStyle name="Обычный 7 2 2 3 7 10" xfId="21086"/>
    <cellStyle name="Обычный 7 2 2 3 7 11" xfId="22698"/>
    <cellStyle name="Обычный 7 2 2 3 7 2" xfId="15830"/>
    <cellStyle name="Обычный 7 2 2 3 7 2 2" xfId="15831"/>
    <cellStyle name="Обычный 7 2 2 3 7 3" xfId="15832"/>
    <cellStyle name="Обычный 7 2 2 3 7 4" xfId="15833"/>
    <cellStyle name="Обычный 7 2 2 3 7 5" xfId="15834"/>
    <cellStyle name="Обычный 7 2 2 3 7 6" xfId="15835"/>
    <cellStyle name="Обычный 7 2 2 3 7 7" xfId="15836"/>
    <cellStyle name="Обычный 7 2 2 3 7 8" xfId="15837"/>
    <cellStyle name="Обычный 7 2 2 3 7 9" xfId="19392"/>
    <cellStyle name="Обычный 7 2 2 3 8" xfId="15838"/>
    <cellStyle name="Обычный 7 2 2 3 8 2" xfId="15839"/>
    <cellStyle name="Обычный 7 2 2 3 9" xfId="15840"/>
    <cellStyle name="Обычный 7 2 2 4" xfId="15841"/>
    <cellStyle name="Обычный 7 2 2 4 10" xfId="15842"/>
    <cellStyle name="Обычный 7 2 2 4 11" xfId="15843"/>
    <cellStyle name="Обычный 7 2 2 4 12" xfId="19393"/>
    <cellStyle name="Обычный 7 2 2 4 13" xfId="21087"/>
    <cellStyle name="Обычный 7 2 2 4 14" xfId="22699"/>
    <cellStyle name="Обычный 7 2 2 4 2" xfId="15844"/>
    <cellStyle name="Обычный 7 2 2 4 2 10" xfId="15845"/>
    <cellStyle name="Обычный 7 2 2 4 2 11" xfId="19394"/>
    <cellStyle name="Обычный 7 2 2 4 2 12" xfId="21088"/>
    <cellStyle name="Обычный 7 2 2 4 2 13" xfId="22700"/>
    <cellStyle name="Обычный 7 2 2 4 2 2" xfId="15846"/>
    <cellStyle name="Обычный 7 2 2 4 2 2 2" xfId="15847"/>
    <cellStyle name="Обычный 7 2 2 4 2 3" xfId="15848"/>
    <cellStyle name="Обычный 7 2 2 4 2 4" xfId="15849"/>
    <cellStyle name="Обычный 7 2 2 4 2 5" xfId="15850"/>
    <cellStyle name="Обычный 7 2 2 4 2 6" xfId="15851"/>
    <cellStyle name="Обычный 7 2 2 4 2 7" xfId="15852"/>
    <cellStyle name="Обычный 7 2 2 4 2 8" xfId="15853"/>
    <cellStyle name="Обычный 7 2 2 4 2 9" xfId="15854"/>
    <cellStyle name="Обычный 7 2 2 4 3" xfId="15855"/>
    <cellStyle name="Обычный 7 2 2 4 3 2" xfId="15856"/>
    <cellStyle name="Обычный 7 2 2 4 4" xfId="15857"/>
    <cellStyle name="Обычный 7 2 2 4 5" xfId="15858"/>
    <cellStyle name="Обычный 7 2 2 4 6" xfId="15859"/>
    <cellStyle name="Обычный 7 2 2 4 7" xfId="15860"/>
    <cellStyle name="Обычный 7 2 2 4 8" xfId="15861"/>
    <cellStyle name="Обычный 7 2 2 4 9" xfId="15862"/>
    <cellStyle name="Обычный 7 2 2 5" xfId="15863"/>
    <cellStyle name="Обычный 7 2 2 5 10" xfId="15864"/>
    <cellStyle name="Обычный 7 2 2 5 11" xfId="15865"/>
    <cellStyle name="Обычный 7 2 2 5 12" xfId="19395"/>
    <cellStyle name="Обычный 7 2 2 5 13" xfId="21089"/>
    <cellStyle name="Обычный 7 2 2 5 14" xfId="22701"/>
    <cellStyle name="Обычный 7 2 2 5 2" xfId="15866"/>
    <cellStyle name="Обычный 7 2 2 5 2 10" xfId="15867"/>
    <cellStyle name="Обычный 7 2 2 5 2 11" xfId="19396"/>
    <cellStyle name="Обычный 7 2 2 5 2 12" xfId="21090"/>
    <cellStyle name="Обычный 7 2 2 5 2 13" xfId="22702"/>
    <cellStyle name="Обычный 7 2 2 5 2 2" xfId="15868"/>
    <cellStyle name="Обычный 7 2 2 5 2 2 2" xfId="15869"/>
    <cellStyle name="Обычный 7 2 2 5 2 3" xfId="15870"/>
    <cellStyle name="Обычный 7 2 2 5 2 4" xfId="15871"/>
    <cellStyle name="Обычный 7 2 2 5 2 5" xfId="15872"/>
    <cellStyle name="Обычный 7 2 2 5 2 6" xfId="15873"/>
    <cellStyle name="Обычный 7 2 2 5 2 7" xfId="15874"/>
    <cellStyle name="Обычный 7 2 2 5 2 8" xfId="15875"/>
    <cellStyle name="Обычный 7 2 2 5 2 9" xfId="15876"/>
    <cellStyle name="Обычный 7 2 2 5 3" xfId="15877"/>
    <cellStyle name="Обычный 7 2 2 5 3 2" xfId="15878"/>
    <cellStyle name="Обычный 7 2 2 5 4" xfId="15879"/>
    <cellStyle name="Обычный 7 2 2 5 5" xfId="15880"/>
    <cellStyle name="Обычный 7 2 2 5 6" xfId="15881"/>
    <cellStyle name="Обычный 7 2 2 5 7" xfId="15882"/>
    <cellStyle name="Обычный 7 2 2 5 8" xfId="15883"/>
    <cellStyle name="Обычный 7 2 2 5 9" xfId="15884"/>
    <cellStyle name="Обычный 7 2 2 6" xfId="15885"/>
    <cellStyle name="Обычный 7 2 2 6 10" xfId="15886"/>
    <cellStyle name="Обычный 7 2 2 6 11" xfId="15887"/>
    <cellStyle name="Обычный 7 2 2 6 12" xfId="19397"/>
    <cellStyle name="Обычный 7 2 2 6 13" xfId="21091"/>
    <cellStyle name="Обычный 7 2 2 6 14" xfId="22703"/>
    <cellStyle name="Обычный 7 2 2 6 2" xfId="15888"/>
    <cellStyle name="Обычный 7 2 2 6 2 10" xfId="15889"/>
    <cellStyle name="Обычный 7 2 2 6 2 11" xfId="19398"/>
    <cellStyle name="Обычный 7 2 2 6 2 12" xfId="21092"/>
    <cellStyle name="Обычный 7 2 2 6 2 13" xfId="22704"/>
    <cellStyle name="Обычный 7 2 2 6 2 2" xfId="15890"/>
    <cellStyle name="Обычный 7 2 2 6 2 2 2" xfId="15891"/>
    <cellStyle name="Обычный 7 2 2 6 2 3" xfId="15892"/>
    <cellStyle name="Обычный 7 2 2 6 2 4" xfId="15893"/>
    <cellStyle name="Обычный 7 2 2 6 2 5" xfId="15894"/>
    <cellStyle name="Обычный 7 2 2 6 2 6" xfId="15895"/>
    <cellStyle name="Обычный 7 2 2 6 2 7" xfId="15896"/>
    <cellStyle name="Обычный 7 2 2 6 2 8" xfId="15897"/>
    <cellStyle name="Обычный 7 2 2 6 2 9" xfId="15898"/>
    <cellStyle name="Обычный 7 2 2 6 3" xfId="15899"/>
    <cellStyle name="Обычный 7 2 2 6 3 2" xfId="15900"/>
    <cellStyle name="Обычный 7 2 2 6 4" xfId="15901"/>
    <cellStyle name="Обычный 7 2 2 6 5" xfId="15902"/>
    <cellStyle name="Обычный 7 2 2 6 6" xfId="15903"/>
    <cellStyle name="Обычный 7 2 2 6 7" xfId="15904"/>
    <cellStyle name="Обычный 7 2 2 6 8" xfId="15905"/>
    <cellStyle name="Обычный 7 2 2 6 9" xfId="15906"/>
    <cellStyle name="Обычный 7 2 2 7" xfId="15907"/>
    <cellStyle name="Обычный 7 2 2 7 10" xfId="15908"/>
    <cellStyle name="Обычный 7 2 2 7 11" xfId="15909"/>
    <cellStyle name="Обычный 7 2 2 7 12" xfId="19399"/>
    <cellStyle name="Обычный 7 2 2 7 13" xfId="21093"/>
    <cellStyle name="Обычный 7 2 2 7 14" xfId="22705"/>
    <cellStyle name="Обычный 7 2 2 7 2" xfId="15910"/>
    <cellStyle name="Обычный 7 2 2 7 2 10" xfId="15911"/>
    <cellStyle name="Обычный 7 2 2 7 2 11" xfId="19400"/>
    <cellStyle name="Обычный 7 2 2 7 2 12" xfId="21094"/>
    <cellStyle name="Обычный 7 2 2 7 2 13" xfId="22706"/>
    <cellStyle name="Обычный 7 2 2 7 2 2" xfId="15912"/>
    <cellStyle name="Обычный 7 2 2 7 2 2 2" xfId="15913"/>
    <cellStyle name="Обычный 7 2 2 7 2 3" xfId="15914"/>
    <cellStyle name="Обычный 7 2 2 7 2 4" xfId="15915"/>
    <cellStyle name="Обычный 7 2 2 7 2 5" xfId="15916"/>
    <cellStyle name="Обычный 7 2 2 7 2 6" xfId="15917"/>
    <cellStyle name="Обычный 7 2 2 7 2 7" xfId="15918"/>
    <cellStyle name="Обычный 7 2 2 7 2 8" xfId="15919"/>
    <cellStyle name="Обычный 7 2 2 7 2 9" xfId="15920"/>
    <cellStyle name="Обычный 7 2 2 7 3" xfId="15921"/>
    <cellStyle name="Обычный 7 2 2 7 3 2" xfId="15922"/>
    <cellStyle name="Обычный 7 2 2 7 4" xfId="15923"/>
    <cellStyle name="Обычный 7 2 2 7 5" xfId="15924"/>
    <cellStyle name="Обычный 7 2 2 7 6" xfId="15925"/>
    <cellStyle name="Обычный 7 2 2 7 7" xfId="15926"/>
    <cellStyle name="Обычный 7 2 2 7 8" xfId="15927"/>
    <cellStyle name="Обычный 7 2 2 7 9" xfId="15928"/>
    <cellStyle name="Обычный 7 2 2 8" xfId="15929"/>
    <cellStyle name="Обычный 7 2 2 8 10" xfId="15930"/>
    <cellStyle name="Обычный 7 2 2 8 11" xfId="19401"/>
    <cellStyle name="Обычный 7 2 2 8 12" xfId="21095"/>
    <cellStyle name="Обычный 7 2 2 8 13" xfId="22707"/>
    <cellStyle name="Обычный 7 2 2 8 2" xfId="15931"/>
    <cellStyle name="Обычный 7 2 2 8 2 2" xfId="15932"/>
    <cellStyle name="Обычный 7 2 2 8 3" xfId="15933"/>
    <cellStyle name="Обычный 7 2 2 8 4" xfId="15934"/>
    <cellStyle name="Обычный 7 2 2 8 5" xfId="15935"/>
    <cellStyle name="Обычный 7 2 2 8 6" xfId="15936"/>
    <cellStyle name="Обычный 7 2 2 8 7" xfId="15937"/>
    <cellStyle name="Обычный 7 2 2 8 8" xfId="15938"/>
    <cellStyle name="Обычный 7 2 2 8 9" xfId="15939"/>
    <cellStyle name="Обычный 7 2 2 9" xfId="15940"/>
    <cellStyle name="Обычный 7 2 2 9 10" xfId="21096"/>
    <cellStyle name="Обычный 7 2 2 9 11" xfId="22708"/>
    <cellStyle name="Обычный 7 2 2 9 2" xfId="15941"/>
    <cellStyle name="Обычный 7 2 2 9 2 2" xfId="15942"/>
    <cellStyle name="Обычный 7 2 2 9 3" xfId="15943"/>
    <cellStyle name="Обычный 7 2 2 9 4" xfId="15944"/>
    <cellStyle name="Обычный 7 2 2 9 5" xfId="15945"/>
    <cellStyle name="Обычный 7 2 2 9 6" xfId="15946"/>
    <cellStyle name="Обычный 7 2 2 9 7" xfId="15947"/>
    <cellStyle name="Обычный 7 2 2 9 8" xfId="15948"/>
    <cellStyle name="Обычный 7 2 2 9 9" xfId="19402"/>
    <cellStyle name="Обычный 7 2 20" xfId="15949"/>
    <cellStyle name="Обычный 7 2 21" xfId="15950"/>
    <cellStyle name="Обычный 7 2 22" xfId="15951"/>
    <cellStyle name="Обычный 7 2 23" xfId="15952"/>
    <cellStyle name="Обычный 7 2 24" xfId="19364"/>
    <cellStyle name="Обычный 7 2 25" xfId="19644"/>
    <cellStyle name="Обычный 7 2 26" xfId="21058"/>
    <cellStyle name="Обычный 7 2 27" xfId="22670"/>
    <cellStyle name="Обычный 7 2 3" xfId="15953"/>
    <cellStyle name="Обычный 7 2 3 10" xfId="15954"/>
    <cellStyle name="Обычный 7 2 3 11" xfId="15955"/>
    <cellStyle name="Обычный 7 2 3 12" xfId="15956"/>
    <cellStyle name="Обычный 7 2 3 13" xfId="15957"/>
    <cellStyle name="Обычный 7 2 3 14" xfId="15958"/>
    <cellStyle name="Обычный 7 2 3 15" xfId="15959"/>
    <cellStyle name="Обычный 7 2 3 16" xfId="15960"/>
    <cellStyle name="Обычный 7 2 3 17" xfId="15961"/>
    <cellStyle name="Обычный 7 2 3 18" xfId="19403"/>
    <cellStyle name="Обычный 7 2 3 19" xfId="21097"/>
    <cellStyle name="Обычный 7 2 3 2" xfId="15962"/>
    <cellStyle name="Обычный 7 2 3 2 10" xfId="15963"/>
    <cellStyle name="Обычный 7 2 3 2 11" xfId="15964"/>
    <cellStyle name="Обычный 7 2 3 2 12" xfId="19404"/>
    <cellStyle name="Обычный 7 2 3 2 13" xfId="21098"/>
    <cellStyle name="Обычный 7 2 3 2 14" xfId="22710"/>
    <cellStyle name="Обычный 7 2 3 2 2" xfId="15965"/>
    <cellStyle name="Обычный 7 2 3 2 2 10" xfId="15966"/>
    <cellStyle name="Обычный 7 2 3 2 2 11" xfId="19405"/>
    <cellStyle name="Обычный 7 2 3 2 2 12" xfId="21099"/>
    <cellStyle name="Обычный 7 2 3 2 2 13" xfId="22711"/>
    <cellStyle name="Обычный 7 2 3 2 2 2" xfId="15967"/>
    <cellStyle name="Обычный 7 2 3 2 2 2 2" xfId="15968"/>
    <cellStyle name="Обычный 7 2 3 2 2 3" xfId="15969"/>
    <cellStyle name="Обычный 7 2 3 2 2 4" xfId="15970"/>
    <cellStyle name="Обычный 7 2 3 2 2 5" xfId="15971"/>
    <cellStyle name="Обычный 7 2 3 2 2 6" xfId="15972"/>
    <cellStyle name="Обычный 7 2 3 2 2 7" xfId="15973"/>
    <cellStyle name="Обычный 7 2 3 2 2 8" xfId="15974"/>
    <cellStyle name="Обычный 7 2 3 2 2 9" xfId="15975"/>
    <cellStyle name="Обычный 7 2 3 2 3" xfId="15976"/>
    <cellStyle name="Обычный 7 2 3 2 3 2" xfId="15977"/>
    <cellStyle name="Обычный 7 2 3 2 4" xfId="15978"/>
    <cellStyle name="Обычный 7 2 3 2 5" xfId="15979"/>
    <cellStyle name="Обычный 7 2 3 2 6" xfId="15980"/>
    <cellStyle name="Обычный 7 2 3 2 7" xfId="15981"/>
    <cellStyle name="Обычный 7 2 3 2 8" xfId="15982"/>
    <cellStyle name="Обычный 7 2 3 2 9" xfId="15983"/>
    <cellStyle name="Обычный 7 2 3 20" xfId="22709"/>
    <cellStyle name="Обычный 7 2 3 3" xfId="15984"/>
    <cellStyle name="Обычный 7 2 3 3 10" xfId="15985"/>
    <cellStyle name="Обычный 7 2 3 3 11" xfId="15986"/>
    <cellStyle name="Обычный 7 2 3 3 12" xfId="19406"/>
    <cellStyle name="Обычный 7 2 3 3 13" xfId="21100"/>
    <cellStyle name="Обычный 7 2 3 3 14" xfId="22712"/>
    <cellStyle name="Обычный 7 2 3 3 2" xfId="15987"/>
    <cellStyle name="Обычный 7 2 3 3 2 10" xfId="15988"/>
    <cellStyle name="Обычный 7 2 3 3 2 11" xfId="19407"/>
    <cellStyle name="Обычный 7 2 3 3 2 12" xfId="21101"/>
    <cellStyle name="Обычный 7 2 3 3 2 13" xfId="22713"/>
    <cellStyle name="Обычный 7 2 3 3 2 2" xfId="15989"/>
    <cellStyle name="Обычный 7 2 3 3 2 2 2" xfId="15990"/>
    <cellStyle name="Обычный 7 2 3 3 2 3" xfId="15991"/>
    <cellStyle name="Обычный 7 2 3 3 2 4" xfId="15992"/>
    <cellStyle name="Обычный 7 2 3 3 2 5" xfId="15993"/>
    <cellStyle name="Обычный 7 2 3 3 2 6" xfId="15994"/>
    <cellStyle name="Обычный 7 2 3 3 2 7" xfId="15995"/>
    <cellStyle name="Обычный 7 2 3 3 2 8" xfId="15996"/>
    <cellStyle name="Обычный 7 2 3 3 2 9" xfId="15997"/>
    <cellStyle name="Обычный 7 2 3 3 3" xfId="15998"/>
    <cellStyle name="Обычный 7 2 3 3 3 2" xfId="15999"/>
    <cellStyle name="Обычный 7 2 3 3 4" xfId="16000"/>
    <cellStyle name="Обычный 7 2 3 3 5" xfId="16001"/>
    <cellStyle name="Обычный 7 2 3 3 6" xfId="16002"/>
    <cellStyle name="Обычный 7 2 3 3 7" xfId="16003"/>
    <cellStyle name="Обычный 7 2 3 3 8" xfId="16004"/>
    <cellStyle name="Обычный 7 2 3 3 9" xfId="16005"/>
    <cellStyle name="Обычный 7 2 3 4" xfId="16006"/>
    <cellStyle name="Обычный 7 2 3 4 10" xfId="16007"/>
    <cellStyle name="Обычный 7 2 3 4 11" xfId="16008"/>
    <cellStyle name="Обычный 7 2 3 4 12" xfId="19408"/>
    <cellStyle name="Обычный 7 2 3 4 13" xfId="21102"/>
    <cellStyle name="Обычный 7 2 3 4 14" xfId="22714"/>
    <cellStyle name="Обычный 7 2 3 4 2" xfId="16009"/>
    <cellStyle name="Обычный 7 2 3 4 2 10" xfId="16010"/>
    <cellStyle name="Обычный 7 2 3 4 2 11" xfId="19409"/>
    <cellStyle name="Обычный 7 2 3 4 2 12" xfId="21103"/>
    <cellStyle name="Обычный 7 2 3 4 2 13" xfId="22715"/>
    <cellStyle name="Обычный 7 2 3 4 2 2" xfId="16011"/>
    <cellStyle name="Обычный 7 2 3 4 2 2 2" xfId="16012"/>
    <cellStyle name="Обычный 7 2 3 4 2 3" xfId="16013"/>
    <cellStyle name="Обычный 7 2 3 4 2 4" xfId="16014"/>
    <cellStyle name="Обычный 7 2 3 4 2 5" xfId="16015"/>
    <cellStyle name="Обычный 7 2 3 4 2 6" xfId="16016"/>
    <cellStyle name="Обычный 7 2 3 4 2 7" xfId="16017"/>
    <cellStyle name="Обычный 7 2 3 4 2 8" xfId="16018"/>
    <cellStyle name="Обычный 7 2 3 4 2 9" xfId="16019"/>
    <cellStyle name="Обычный 7 2 3 4 3" xfId="16020"/>
    <cellStyle name="Обычный 7 2 3 4 3 2" xfId="16021"/>
    <cellStyle name="Обычный 7 2 3 4 4" xfId="16022"/>
    <cellStyle name="Обычный 7 2 3 4 5" xfId="16023"/>
    <cellStyle name="Обычный 7 2 3 4 6" xfId="16024"/>
    <cellStyle name="Обычный 7 2 3 4 7" xfId="16025"/>
    <cellStyle name="Обычный 7 2 3 4 8" xfId="16026"/>
    <cellStyle name="Обычный 7 2 3 4 9" xfId="16027"/>
    <cellStyle name="Обычный 7 2 3 5" xfId="16028"/>
    <cellStyle name="Обычный 7 2 3 5 10" xfId="16029"/>
    <cellStyle name="Обычный 7 2 3 5 11" xfId="16030"/>
    <cellStyle name="Обычный 7 2 3 5 12" xfId="19410"/>
    <cellStyle name="Обычный 7 2 3 5 13" xfId="21104"/>
    <cellStyle name="Обычный 7 2 3 5 14" xfId="22716"/>
    <cellStyle name="Обычный 7 2 3 5 2" xfId="16031"/>
    <cellStyle name="Обычный 7 2 3 5 2 10" xfId="16032"/>
    <cellStyle name="Обычный 7 2 3 5 2 11" xfId="19411"/>
    <cellStyle name="Обычный 7 2 3 5 2 12" xfId="21105"/>
    <cellStyle name="Обычный 7 2 3 5 2 13" xfId="22717"/>
    <cellStyle name="Обычный 7 2 3 5 2 2" xfId="16033"/>
    <cellStyle name="Обычный 7 2 3 5 2 2 2" xfId="16034"/>
    <cellStyle name="Обычный 7 2 3 5 2 3" xfId="16035"/>
    <cellStyle name="Обычный 7 2 3 5 2 4" xfId="16036"/>
    <cellStyle name="Обычный 7 2 3 5 2 5" xfId="16037"/>
    <cellStyle name="Обычный 7 2 3 5 2 6" xfId="16038"/>
    <cellStyle name="Обычный 7 2 3 5 2 7" xfId="16039"/>
    <cellStyle name="Обычный 7 2 3 5 2 8" xfId="16040"/>
    <cellStyle name="Обычный 7 2 3 5 2 9" xfId="16041"/>
    <cellStyle name="Обычный 7 2 3 5 3" xfId="16042"/>
    <cellStyle name="Обычный 7 2 3 5 3 2" xfId="16043"/>
    <cellStyle name="Обычный 7 2 3 5 4" xfId="16044"/>
    <cellStyle name="Обычный 7 2 3 5 5" xfId="16045"/>
    <cellStyle name="Обычный 7 2 3 5 6" xfId="16046"/>
    <cellStyle name="Обычный 7 2 3 5 7" xfId="16047"/>
    <cellStyle name="Обычный 7 2 3 5 8" xfId="16048"/>
    <cellStyle name="Обычный 7 2 3 5 9" xfId="16049"/>
    <cellStyle name="Обычный 7 2 3 6" xfId="16050"/>
    <cellStyle name="Обычный 7 2 3 6 10" xfId="16051"/>
    <cellStyle name="Обычный 7 2 3 6 11" xfId="19412"/>
    <cellStyle name="Обычный 7 2 3 6 12" xfId="21106"/>
    <cellStyle name="Обычный 7 2 3 6 13" xfId="22718"/>
    <cellStyle name="Обычный 7 2 3 6 2" xfId="16052"/>
    <cellStyle name="Обычный 7 2 3 6 2 2" xfId="16053"/>
    <cellStyle name="Обычный 7 2 3 6 3" xfId="16054"/>
    <cellStyle name="Обычный 7 2 3 6 4" xfId="16055"/>
    <cellStyle name="Обычный 7 2 3 6 5" xfId="16056"/>
    <cellStyle name="Обычный 7 2 3 6 6" xfId="16057"/>
    <cellStyle name="Обычный 7 2 3 6 7" xfId="16058"/>
    <cellStyle name="Обычный 7 2 3 6 8" xfId="16059"/>
    <cellStyle name="Обычный 7 2 3 6 9" xfId="16060"/>
    <cellStyle name="Обычный 7 2 3 7" xfId="16061"/>
    <cellStyle name="Обычный 7 2 3 7 10" xfId="21107"/>
    <cellStyle name="Обычный 7 2 3 7 11" xfId="22719"/>
    <cellStyle name="Обычный 7 2 3 7 2" xfId="16062"/>
    <cellStyle name="Обычный 7 2 3 7 2 2" xfId="16063"/>
    <cellStyle name="Обычный 7 2 3 7 3" xfId="16064"/>
    <cellStyle name="Обычный 7 2 3 7 4" xfId="16065"/>
    <cellStyle name="Обычный 7 2 3 7 5" xfId="16066"/>
    <cellStyle name="Обычный 7 2 3 7 6" xfId="16067"/>
    <cellStyle name="Обычный 7 2 3 7 7" xfId="16068"/>
    <cellStyle name="Обычный 7 2 3 7 8" xfId="16069"/>
    <cellStyle name="Обычный 7 2 3 7 9" xfId="19413"/>
    <cellStyle name="Обычный 7 2 3 8" xfId="16070"/>
    <cellStyle name="Обычный 7 2 3 8 2" xfId="16071"/>
    <cellStyle name="Обычный 7 2 3 9" xfId="16072"/>
    <cellStyle name="Обычный 7 2 4" xfId="16073"/>
    <cellStyle name="Обычный 7 2 4 10" xfId="16074"/>
    <cellStyle name="Обычный 7 2 4 11" xfId="16075"/>
    <cellStyle name="Обычный 7 2 4 12" xfId="16076"/>
    <cellStyle name="Обычный 7 2 4 13" xfId="16077"/>
    <cellStyle name="Обычный 7 2 4 14" xfId="16078"/>
    <cellStyle name="Обычный 7 2 4 15" xfId="16079"/>
    <cellStyle name="Обычный 7 2 4 16" xfId="16080"/>
    <cellStyle name="Обычный 7 2 4 17" xfId="16081"/>
    <cellStyle name="Обычный 7 2 4 18" xfId="19414"/>
    <cellStyle name="Обычный 7 2 4 19" xfId="21108"/>
    <cellStyle name="Обычный 7 2 4 2" xfId="16082"/>
    <cellStyle name="Обычный 7 2 4 2 10" xfId="16083"/>
    <cellStyle name="Обычный 7 2 4 2 11" xfId="16084"/>
    <cellStyle name="Обычный 7 2 4 2 12" xfId="19415"/>
    <cellStyle name="Обычный 7 2 4 2 13" xfId="21109"/>
    <cellStyle name="Обычный 7 2 4 2 14" xfId="22721"/>
    <cellStyle name="Обычный 7 2 4 2 2" xfId="16085"/>
    <cellStyle name="Обычный 7 2 4 2 2 10" xfId="16086"/>
    <cellStyle name="Обычный 7 2 4 2 2 11" xfId="19416"/>
    <cellStyle name="Обычный 7 2 4 2 2 12" xfId="21110"/>
    <cellStyle name="Обычный 7 2 4 2 2 13" xfId="22722"/>
    <cellStyle name="Обычный 7 2 4 2 2 2" xfId="16087"/>
    <cellStyle name="Обычный 7 2 4 2 2 2 2" xfId="16088"/>
    <cellStyle name="Обычный 7 2 4 2 2 3" xfId="16089"/>
    <cellStyle name="Обычный 7 2 4 2 2 4" xfId="16090"/>
    <cellStyle name="Обычный 7 2 4 2 2 5" xfId="16091"/>
    <cellStyle name="Обычный 7 2 4 2 2 6" xfId="16092"/>
    <cellStyle name="Обычный 7 2 4 2 2 7" xfId="16093"/>
    <cellStyle name="Обычный 7 2 4 2 2 8" xfId="16094"/>
    <cellStyle name="Обычный 7 2 4 2 2 9" xfId="16095"/>
    <cellStyle name="Обычный 7 2 4 2 3" xfId="16096"/>
    <cellStyle name="Обычный 7 2 4 2 3 2" xfId="16097"/>
    <cellStyle name="Обычный 7 2 4 2 4" xfId="16098"/>
    <cellStyle name="Обычный 7 2 4 2 5" xfId="16099"/>
    <cellStyle name="Обычный 7 2 4 2 6" xfId="16100"/>
    <cellStyle name="Обычный 7 2 4 2 7" xfId="16101"/>
    <cellStyle name="Обычный 7 2 4 2 8" xfId="16102"/>
    <cellStyle name="Обычный 7 2 4 2 9" xfId="16103"/>
    <cellStyle name="Обычный 7 2 4 20" xfId="22720"/>
    <cellStyle name="Обычный 7 2 4 3" xfId="16104"/>
    <cellStyle name="Обычный 7 2 4 3 10" xfId="16105"/>
    <cellStyle name="Обычный 7 2 4 3 11" xfId="16106"/>
    <cellStyle name="Обычный 7 2 4 3 12" xfId="19417"/>
    <cellStyle name="Обычный 7 2 4 3 13" xfId="21111"/>
    <cellStyle name="Обычный 7 2 4 3 14" xfId="22723"/>
    <cellStyle name="Обычный 7 2 4 3 2" xfId="16107"/>
    <cellStyle name="Обычный 7 2 4 3 2 10" xfId="16108"/>
    <cellStyle name="Обычный 7 2 4 3 2 11" xfId="19418"/>
    <cellStyle name="Обычный 7 2 4 3 2 12" xfId="21112"/>
    <cellStyle name="Обычный 7 2 4 3 2 13" xfId="22724"/>
    <cellStyle name="Обычный 7 2 4 3 2 2" xfId="16109"/>
    <cellStyle name="Обычный 7 2 4 3 2 2 2" xfId="16110"/>
    <cellStyle name="Обычный 7 2 4 3 2 3" xfId="16111"/>
    <cellStyle name="Обычный 7 2 4 3 2 4" xfId="16112"/>
    <cellStyle name="Обычный 7 2 4 3 2 5" xfId="16113"/>
    <cellStyle name="Обычный 7 2 4 3 2 6" xfId="16114"/>
    <cellStyle name="Обычный 7 2 4 3 2 7" xfId="16115"/>
    <cellStyle name="Обычный 7 2 4 3 2 8" xfId="16116"/>
    <cellStyle name="Обычный 7 2 4 3 2 9" xfId="16117"/>
    <cellStyle name="Обычный 7 2 4 3 3" xfId="16118"/>
    <cellStyle name="Обычный 7 2 4 3 3 2" xfId="16119"/>
    <cellStyle name="Обычный 7 2 4 3 4" xfId="16120"/>
    <cellStyle name="Обычный 7 2 4 3 5" xfId="16121"/>
    <cellStyle name="Обычный 7 2 4 3 6" xfId="16122"/>
    <cellStyle name="Обычный 7 2 4 3 7" xfId="16123"/>
    <cellStyle name="Обычный 7 2 4 3 8" xfId="16124"/>
    <cellStyle name="Обычный 7 2 4 3 9" xfId="16125"/>
    <cellStyle name="Обычный 7 2 4 4" xfId="16126"/>
    <cellStyle name="Обычный 7 2 4 4 10" xfId="16127"/>
    <cellStyle name="Обычный 7 2 4 4 11" xfId="16128"/>
    <cellStyle name="Обычный 7 2 4 4 12" xfId="19419"/>
    <cellStyle name="Обычный 7 2 4 4 13" xfId="21113"/>
    <cellStyle name="Обычный 7 2 4 4 14" xfId="22725"/>
    <cellStyle name="Обычный 7 2 4 4 2" xfId="16129"/>
    <cellStyle name="Обычный 7 2 4 4 2 10" xfId="16130"/>
    <cellStyle name="Обычный 7 2 4 4 2 11" xfId="19420"/>
    <cellStyle name="Обычный 7 2 4 4 2 12" xfId="21114"/>
    <cellStyle name="Обычный 7 2 4 4 2 13" xfId="22726"/>
    <cellStyle name="Обычный 7 2 4 4 2 2" xfId="16131"/>
    <cellStyle name="Обычный 7 2 4 4 2 2 2" xfId="16132"/>
    <cellStyle name="Обычный 7 2 4 4 2 3" xfId="16133"/>
    <cellStyle name="Обычный 7 2 4 4 2 4" xfId="16134"/>
    <cellStyle name="Обычный 7 2 4 4 2 5" xfId="16135"/>
    <cellStyle name="Обычный 7 2 4 4 2 6" xfId="16136"/>
    <cellStyle name="Обычный 7 2 4 4 2 7" xfId="16137"/>
    <cellStyle name="Обычный 7 2 4 4 2 8" xfId="16138"/>
    <cellStyle name="Обычный 7 2 4 4 2 9" xfId="16139"/>
    <cellStyle name="Обычный 7 2 4 4 3" xfId="16140"/>
    <cellStyle name="Обычный 7 2 4 4 3 2" xfId="16141"/>
    <cellStyle name="Обычный 7 2 4 4 4" xfId="16142"/>
    <cellStyle name="Обычный 7 2 4 4 5" xfId="16143"/>
    <cellStyle name="Обычный 7 2 4 4 6" xfId="16144"/>
    <cellStyle name="Обычный 7 2 4 4 7" xfId="16145"/>
    <cellStyle name="Обычный 7 2 4 4 8" xfId="16146"/>
    <cellStyle name="Обычный 7 2 4 4 9" xfId="16147"/>
    <cellStyle name="Обычный 7 2 4 5" xfId="16148"/>
    <cellStyle name="Обычный 7 2 4 5 10" xfId="16149"/>
    <cellStyle name="Обычный 7 2 4 5 11" xfId="16150"/>
    <cellStyle name="Обычный 7 2 4 5 12" xfId="19421"/>
    <cellStyle name="Обычный 7 2 4 5 13" xfId="21115"/>
    <cellStyle name="Обычный 7 2 4 5 14" xfId="22727"/>
    <cellStyle name="Обычный 7 2 4 5 2" xfId="16151"/>
    <cellStyle name="Обычный 7 2 4 5 2 10" xfId="16152"/>
    <cellStyle name="Обычный 7 2 4 5 2 11" xfId="19422"/>
    <cellStyle name="Обычный 7 2 4 5 2 12" xfId="21116"/>
    <cellStyle name="Обычный 7 2 4 5 2 13" xfId="22728"/>
    <cellStyle name="Обычный 7 2 4 5 2 2" xfId="16153"/>
    <cellStyle name="Обычный 7 2 4 5 2 2 2" xfId="16154"/>
    <cellStyle name="Обычный 7 2 4 5 2 3" xfId="16155"/>
    <cellStyle name="Обычный 7 2 4 5 2 4" xfId="16156"/>
    <cellStyle name="Обычный 7 2 4 5 2 5" xfId="16157"/>
    <cellStyle name="Обычный 7 2 4 5 2 6" xfId="16158"/>
    <cellStyle name="Обычный 7 2 4 5 2 7" xfId="16159"/>
    <cellStyle name="Обычный 7 2 4 5 2 8" xfId="16160"/>
    <cellStyle name="Обычный 7 2 4 5 2 9" xfId="16161"/>
    <cellStyle name="Обычный 7 2 4 5 3" xfId="16162"/>
    <cellStyle name="Обычный 7 2 4 5 3 2" xfId="16163"/>
    <cellStyle name="Обычный 7 2 4 5 4" xfId="16164"/>
    <cellStyle name="Обычный 7 2 4 5 5" xfId="16165"/>
    <cellStyle name="Обычный 7 2 4 5 6" xfId="16166"/>
    <cellStyle name="Обычный 7 2 4 5 7" xfId="16167"/>
    <cellStyle name="Обычный 7 2 4 5 8" xfId="16168"/>
    <cellStyle name="Обычный 7 2 4 5 9" xfId="16169"/>
    <cellStyle name="Обычный 7 2 4 6" xfId="16170"/>
    <cellStyle name="Обычный 7 2 4 6 10" xfId="16171"/>
    <cellStyle name="Обычный 7 2 4 6 11" xfId="19423"/>
    <cellStyle name="Обычный 7 2 4 6 12" xfId="21117"/>
    <cellStyle name="Обычный 7 2 4 6 13" xfId="22729"/>
    <cellStyle name="Обычный 7 2 4 6 2" xfId="16172"/>
    <cellStyle name="Обычный 7 2 4 6 2 2" xfId="16173"/>
    <cellStyle name="Обычный 7 2 4 6 3" xfId="16174"/>
    <cellStyle name="Обычный 7 2 4 6 4" xfId="16175"/>
    <cellStyle name="Обычный 7 2 4 6 5" xfId="16176"/>
    <cellStyle name="Обычный 7 2 4 6 6" xfId="16177"/>
    <cellStyle name="Обычный 7 2 4 6 7" xfId="16178"/>
    <cellStyle name="Обычный 7 2 4 6 8" xfId="16179"/>
    <cellStyle name="Обычный 7 2 4 6 9" xfId="16180"/>
    <cellStyle name="Обычный 7 2 4 7" xfId="16181"/>
    <cellStyle name="Обычный 7 2 4 7 10" xfId="21118"/>
    <cellStyle name="Обычный 7 2 4 7 11" xfId="22730"/>
    <cellStyle name="Обычный 7 2 4 7 2" xfId="16182"/>
    <cellStyle name="Обычный 7 2 4 7 2 2" xfId="16183"/>
    <cellStyle name="Обычный 7 2 4 7 3" xfId="16184"/>
    <cellStyle name="Обычный 7 2 4 7 4" xfId="16185"/>
    <cellStyle name="Обычный 7 2 4 7 5" xfId="16186"/>
    <cellStyle name="Обычный 7 2 4 7 6" xfId="16187"/>
    <cellStyle name="Обычный 7 2 4 7 7" xfId="16188"/>
    <cellStyle name="Обычный 7 2 4 7 8" xfId="16189"/>
    <cellStyle name="Обычный 7 2 4 7 9" xfId="19424"/>
    <cellStyle name="Обычный 7 2 4 8" xfId="16190"/>
    <cellStyle name="Обычный 7 2 4 8 2" xfId="16191"/>
    <cellStyle name="Обычный 7 2 4 9" xfId="16192"/>
    <cellStyle name="Обычный 7 2 5" xfId="16193"/>
    <cellStyle name="Обычный 7 2 5 10" xfId="16194"/>
    <cellStyle name="Обычный 7 2 5 11" xfId="16195"/>
    <cellStyle name="Обычный 7 2 5 12" xfId="19425"/>
    <cellStyle name="Обычный 7 2 5 13" xfId="21119"/>
    <cellStyle name="Обычный 7 2 5 14" xfId="22731"/>
    <cellStyle name="Обычный 7 2 5 2" xfId="16196"/>
    <cellStyle name="Обычный 7 2 5 2 10" xfId="16197"/>
    <cellStyle name="Обычный 7 2 5 2 11" xfId="19426"/>
    <cellStyle name="Обычный 7 2 5 2 12" xfId="21120"/>
    <cellStyle name="Обычный 7 2 5 2 13" xfId="22732"/>
    <cellStyle name="Обычный 7 2 5 2 2" xfId="16198"/>
    <cellStyle name="Обычный 7 2 5 2 2 2" xfId="16199"/>
    <cellStyle name="Обычный 7 2 5 2 3" xfId="16200"/>
    <cellStyle name="Обычный 7 2 5 2 4" xfId="16201"/>
    <cellStyle name="Обычный 7 2 5 2 5" xfId="16202"/>
    <cellStyle name="Обычный 7 2 5 2 6" xfId="16203"/>
    <cellStyle name="Обычный 7 2 5 2 7" xfId="16204"/>
    <cellStyle name="Обычный 7 2 5 2 8" xfId="16205"/>
    <cellStyle name="Обычный 7 2 5 2 9" xfId="16206"/>
    <cellStyle name="Обычный 7 2 5 3" xfId="16207"/>
    <cellStyle name="Обычный 7 2 5 3 2" xfId="16208"/>
    <cellStyle name="Обычный 7 2 5 4" xfId="16209"/>
    <cellStyle name="Обычный 7 2 5 5" xfId="16210"/>
    <cellStyle name="Обычный 7 2 5 6" xfId="16211"/>
    <cellStyle name="Обычный 7 2 5 7" xfId="16212"/>
    <cellStyle name="Обычный 7 2 5 8" xfId="16213"/>
    <cellStyle name="Обычный 7 2 5 9" xfId="16214"/>
    <cellStyle name="Обычный 7 2 6" xfId="16215"/>
    <cellStyle name="Обычный 7 2 6 10" xfId="16216"/>
    <cellStyle name="Обычный 7 2 6 11" xfId="16217"/>
    <cellStyle name="Обычный 7 2 6 12" xfId="19427"/>
    <cellStyle name="Обычный 7 2 6 13" xfId="21121"/>
    <cellStyle name="Обычный 7 2 6 14" xfId="22733"/>
    <cellStyle name="Обычный 7 2 6 2" xfId="16218"/>
    <cellStyle name="Обычный 7 2 6 2 10" xfId="16219"/>
    <cellStyle name="Обычный 7 2 6 2 11" xfId="19428"/>
    <cellStyle name="Обычный 7 2 6 2 12" xfId="21122"/>
    <cellStyle name="Обычный 7 2 6 2 13" xfId="22734"/>
    <cellStyle name="Обычный 7 2 6 2 2" xfId="16220"/>
    <cellStyle name="Обычный 7 2 6 2 2 2" xfId="16221"/>
    <cellStyle name="Обычный 7 2 6 2 3" xfId="16222"/>
    <cellStyle name="Обычный 7 2 6 2 4" xfId="16223"/>
    <cellStyle name="Обычный 7 2 6 2 5" xfId="16224"/>
    <cellStyle name="Обычный 7 2 6 2 6" xfId="16225"/>
    <cellStyle name="Обычный 7 2 6 2 7" xfId="16226"/>
    <cellStyle name="Обычный 7 2 6 2 8" xfId="16227"/>
    <cellStyle name="Обычный 7 2 6 2 9" xfId="16228"/>
    <cellStyle name="Обычный 7 2 6 3" xfId="16229"/>
    <cellStyle name="Обычный 7 2 6 3 2" xfId="16230"/>
    <cellStyle name="Обычный 7 2 6 4" xfId="16231"/>
    <cellStyle name="Обычный 7 2 6 5" xfId="16232"/>
    <cellStyle name="Обычный 7 2 6 6" xfId="16233"/>
    <cellStyle name="Обычный 7 2 6 7" xfId="16234"/>
    <cellStyle name="Обычный 7 2 6 8" xfId="16235"/>
    <cellStyle name="Обычный 7 2 6 9" xfId="16236"/>
    <cellStyle name="Обычный 7 2 7" xfId="16237"/>
    <cellStyle name="Обычный 7 2 7 10" xfId="16238"/>
    <cellStyle name="Обычный 7 2 7 11" xfId="16239"/>
    <cellStyle name="Обычный 7 2 7 12" xfId="19429"/>
    <cellStyle name="Обычный 7 2 7 13" xfId="21123"/>
    <cellStyle name="Обычный 7 2 7 14" xfId="22735"/>
    <cellStyle name="Обычный 7 2 7 2" xfId="16240"/>
    <cellStyle name="Обычный 7 2 7 2 10" xfId="16241"/>
    <cellStyle name="Обычный 7 2 7 2 11" xfId="19430"/>
    <cellStyle name="Обычный 7 2 7 2 12" xfId="21124"/>
    <cellStyle name="Обычный 7 2 7 2 13" xfId="22736"/>
    <cellStyle name="Обычный 7 2 7 2 2" xfId="16242"/>
    <cellStyle name="Обычный 7 2 7 2 2 2" xfId="16243"/>
    <cellStyle name="Обычный 7 2 7 2 3" xfId="16244"/>
    <cellStyle name="Обычный 7 2 7 2 4" xfId="16245"/>
    <cellStyle name="Обычный 7 2 7 2 5" xfId="16246"/>
    <cellStyle name="Обычный 7 2 7 2 6" xfId="16247"/>
    <cellStyle name="Обычный 7 2 7 2 7" xfId="16248"/>
    <cellStyle name="Обычный 7 2 7 2 8" xfId="16249"/>
    <cellStyle name="Обычный 7 2 7 2 9" xfId="16250"/>
    <cellStyle name="Обычный 7 2 7 3" xfId="16251"/>
    <cellStyle name="Обычный 7 2 7 3 2" xfId="16252"/>
    <cellStyle name="Обычный 7 2 7 4" xfId="16253"/>
    <cellStyle name="Обычный 7 2 7 5" xfId="16254"/>
    <cellStyle name="Обычный 7 2 7 6" xfId="16255"/>
    <cellStyle name="Обычный 7 2 7 7" xfId="16256"/>
    <cellStyle name="Обычный 7 2 7 8" xfId="16257"/>
    <cellStyle name="Обычный 7 2 7 9" xfId="16258"/>
    <cellStyle name="Обычный 7 2 8" xfId="16259"/>
    <cellStyle name="Обычный 7 2 8 10" xfId="16260"/>
    <cellStyle name="Обычный 7 2 8 11" xfId="16261"/>
    <cellStyle name="Обычный 7 2 8 12" xfId="19431"/>
    <cellStyle name="Обычный 7 2 8 13" xfId="21125"/>
    <cellStyle name="Обычный 7 2 8 14" xfId="22737"/>
    <cellStyle name="Обычный 7 2 8 2" xfId="16262"/>
    <cellStyle name="Обычный 7 2 8 2 10" xfId="16263"/>
    <cellStyle name="Обычный 7 2 8 2 11" xfId="19432"/>
    <cellStyle name="Обычный 7 2 8 2 12" xfId="21126"/>
    <cellStyle name="Обычный 7 2 8 2 13" xfId="22738"/>
    <cellStyle name="Обычный 7 2 8 2 2" xfId="16264"/>
    <cellStyle name="Обычный 7 2 8 2 2 2" xfId="16265"/>
    <cellStyle name="Обычный 7 2 8 2 3" xfId="16266"/>
    <cellStyle name="Обычный 7 2 8 2 4" xfId="16267"/>
    <cellStyle name="Обычный 7 2 8 2 5" xfId="16268"/>
    <cellStyle name="Обычный 7 2 8 2 6" xfId="16269"/>
    <cellStyle name="Обычный 7 2 8 2 7" xfId="16270"/>
    <cellStyle name="Обычный 7 2 8 2 8" xfId="16271"/>
    <cellStyle name="Обычный 7 2 8 2 9" xfId="16272"/>
    <cellStyle name="Обычный 7 2 8 3" xfId="16273"/>
    <cellStyle name="Обычный 7 2 8 3 2" xfId="16274"/>
    <cellStyle name="Обычный 7 2 8 4" xfId="16275"/>
    <cellStyle name="Обычный 7 2 8 5" xfId="16276"/>
    <cellStyle name="Обычный 7 2 8 6" xfId="16277"/>
    <cellStyle name="Обычный 7 2 8 7" xfId="16278"/>
    <cellStyle name="Обычный 7 2 8 8" xfId="16279"/>
    <cellStyle name="Обычный 7 2 8 9" xfId="16280"/>
    <cellStyle name="Обычный 7 2 9" xfId="16281"/>
    <cellStyle name="Обычный 7 2 9 10" xfId="16282"/>
    <cellStyle name="Обычный 7 2 9 11" xfId="16283"/>
    <cellStyle name="Обычный 7 2 9 12" xfId="19433"/>
    <cellStyle name="Обычный 7 2 9 13" xfId="21127"/>
    <cellStyle name="Обычный 7 2 9 14" xfId="22739"/>
    <cellStyle name="Обычный 7 2 9 2" xfId="16284"/>
    <cellStyle name="Обычный 7 2 9 2 10" xfId="16285"/>
    <cellStyle name="Обычный 7 2 9 2 11" xfId="19434"/>
    <cellStyle name="Обычный 7 2 9 2 12" xfId="21128"/>
    <cellStyle name="Обычный 7 2 9 2 13" xfId="22740"/>
    <cellStyle name="Обычный 7 2 9 2 2" xfId="16286"/>
    <cellStyle name="Обычный 7 2 9 2 2 2" xfId="16287"/>
    <cellStyle name="Обычный 7 2 9 2 3" xfId="16288"/>
    <cellStyle name="Обычный 7 2 9 2 4" xfId="16289"/>
    <cellStyle name="Обычный 7 2 9 2 5" xfId="16290"/>
    <cellStyle name="Обычный 7 2 9 2 6" xfId="16291"/>
    <cellStyle name="Обычный 7 2 9 2 7" xfId="16292"/>
    <cellStyle name="Обычный 7 2 9 2 8" xfId="16293"/>
    <cellStyle name="Обычный 7 2 9 2 9" xfId="16294"/>
    <cellStyle name="Обычный 7 2 9 3" xfId="16295"/>
    <cellStyle name="Обычный 7 2 9 3 2" xfId="16296"/>
    <cellStyle name="Обычный 7 2 9 4" xfId="16297"/>
    <cellStyle name="Обычный 7 2 9 5" xfId="16298"/>
    <cellStyle name="Обычный 7 2 9 6" xfId="16299"/>
    <cellStyle name="Обычный 7 2 9 7" xfId="16300"/>
    <cellStyle name="Обычный 7 2 9 8" xfId="16301"/>
    <cellStyle name="Обычный 7 2 9 9" xfId="16302"/>
    <cellStyle name="Обычный 7 20" xfId="16303"/>
    <cellStyle name="Обычный 7 21" xfId="16304"/>
    <cellStyle name="Обычный 7 22" xfId="16305"/>
    <cellStyle name="Обычный 7 23" xfId="16306"/>
    <cellStyle name="Обычный 7 24" xfId="16307"/>
    <cellStyle name="Обычный 7 25" xfId="16308"/>
    <cellStyle name="Обычный 7 26" xfId="16309"/>
    <cellStyle name="Обычный 7 27" xfId="16310"/>
    <cellStyle name="Обычный 7 28" xfId="19350"/>
    <cellStyle name="Обычный 7 29" xfId="19643"/>
    <cellStyle name="Обычный 7 3" xfId="16311"/>
    <cellStyle name="Обычный 7 3 10" xfId="16312"/>
    <cellStyle name="Обычный 7 3 10 10" xfId="16313"/>
    <cellStyle name="Обычный 7 3 10 11" xfId="16314"/>
    <cellStyle name="Обычный 7 3 10 12" xfId="19436"/>
    <cellStyle name="Обычный 7 3 10 13" xfId="21130"/>
    <cellStyle name="Обычный 7 3 10 14" xfId="22742"/>
    <cellStyle name="Обычный 7 3 10 2" xfId="16315"/>
    <cellStyle name="Обычный 7 3 10 2 10" xfId="16316"/>
    <cellStyle name="Обычный 7 3 10 2 11" xfId="19437"/>
    <cellStyle name="Обычный 7 3 10 2 12" xfId="21131"/>
    <cellStyle name="Обычный 7 3 10 2 13" xfId="22743"/>
    <cellStyle name="Обычный 7 3 10 2 2" xfId="16317"/>
    <cellStyle name="Обычный 7 3 10 2 2 2" xfId="16318"/>
    <cellStyle name="Обычный 7 3 10 2 3" xfId="16319"/>
    <cellStyle name="Обычный 7 3 10 2 4" xfId="16320"/>
    <cellStyle name="Обычный 7 3 10 2 5" xfId="16321"/>
    <cellStyle name="Обычный 7 3 10 2 6" xfId="16322"/>
    <cellStyle name="Обычный 7 3 10 2 7" xfId="16323"/>
    <cellStyle name="Обычный 7 3 10 2 8" xfId="16324"/>
    <cellStyle name="Обычный 7 3 10 2 9" xfId="16325"/>
    <cellStyle name="Обычный 7 3 10 3" xfId="16326"/>
    <cellStyle name="Обычный 7 3 10 3 2" xfId="16327"/>
    <cellStyle name="Обычный 7 3 10 4" xfId="16328"/>
    <cellStyle name="Обычный 7 3 10 5" xfId="16329"/>
    <cellStyle name="Обычный 7 3 10 6" xfId="16330"/>
    <cellStyle name="Обычный 7 3 10 7" xfId="16331"/>
    <cellStyle name="Обычный 7 3 10 8" xfId="16332"/>
    <cellStyle name="Обычный 7 3 10 9" xfId="16333"/>
    <cellStyle name="Обычный 7 3 11" xfId="16334"/>
    <cellStyle name="Обычный 7 3 11 10" xfId="16335"/>
    <cellStyle name="Обычный 7 3 11 11" xfId="19438"/>
    <cellStyle name="Обычный 7 3 11 12" xfId="21132"/>
    <cellStyle name="Обычный 7 3 11 13" xfId="22744"/>
    <cellStyle name="Обычный 7 3 11 2" xfId="16336"/>
    <cellStyle name="Обычный 7 3 11 2 2" xfId="16337"/>
    <cellStyle name="Обычный 7 3 11 3" xfId="16338"/>
    <cellStyle name="Обычный 7 3 11 4" xfId="16339"/>
    <cellStyle name="Обычный 7 3 11 5" xfId="16340"/>
    <cellStyle name="Обычный 7 3 11 6" xfId="16341"/>
    <cellStyle name="Обычный 7 3 11 7" xfId="16342"/>
    <cellStyle name="Обычный 7 3 11 8" xfId="16343"/>
    <cellStyle name="Обычный 7 3 11 9" xfId="16344"/>
    <cellStyle name="Обычный 7 3 12" xfId="16345"/>
    <cellStyle name="Обычный 7 3 12 10" xfId="21133"/>
    <cellStyle name="Обычный 7 3 12 11" xfId="22745"/>
    <cellStyle name="Обычный 7 3 12 2" xfId="16346"/>
    <cellStyle name="Обычный 7 3 12 2 2" xfId="16347"/>
    <cellStyle name="Обычный 7 3 12 3" xfId="16348"/>
    <cellStyle name="Обычный 7 3 12 4" xfId="16349"/>
    <cellStyle name="Обычный 7 3 12 5" xfId="16350"/>
    <cellStyle name="Обычный 7 3 12 6" xfId="16351"/>
    <cellStyle name="Обычный 7 3 12 7" xfId="16352"/>
    <cellStyle name="Обычный 7 3 12 8" xfId="16353"/>
    <cellStyle name="Обычный 7 3 12 9" xfId="19439"/>
    <cellStyle name="Обычный 7 3 13" xfId="16354"/>
    <cellStyle name="Обычный 7 3 13 10" xfId="21134"/>
    <cellStyle name="Обычный 7 3 13 11" xfId="22746"/>
    <cellStyle name="Обычный 7 3 13 2" xfId="16355"/>
    <cellStyle name="Обычный 7 3 13 2 2" xfId="16356"/>
    <cellStyle name="Обычный 7 3 13 3" xfId="16357"/>
    <cellStyle name="Обычный 7 3 13 4" xfId="16358"/>
    <cellStyle name="Обычный 7 3 13 5" xfId="16359"/>
    <cellStyle name="Обычный 7 3 13 6" xfId="16360"/>
    <cellStyle name="Обычный 7 3 13 7" xfId="16361"/>
    <cellStyle name="Обычный 7 3 13 8" xfId="16362"/>
    <cellStyle name="Обычный 7 3 13 9" xfId="19440"/>
    <cellStyle name="Обычный 7 3 14" xfId="16363"/>
    <cellStyle name="Обычный 7 3 14 2" xfId="16364"/>
    <cellStyle name="Обычный 7 3 15" xfId="16365"/>
    <cellStyle name="Обычный 7 3 16" xfId="16366"/>
    <cellStyle name="Обычный 7 3 17" xfId="16367"/>
    <cellStyle name="Обычный 7 3 18" xfId="16368"/>
    <cellStyle name="Обычный 7 3 19" xfId="16369"/>
    <cellStyle name="Обычный 7 3 2" xfId="16370"/>
    <cellStyle name="Обычный 7 3 2 10" xfId="16371"/>
    <cellStyle name="Обычный 7 3 2 10 2" xfId="16372"/>
    <cellStyle name="Обычный 7 3 2 11" xfId="16373"/>
    <cellStyle name="Обычный 7 3 2 12" xfId="16374"/>
    <cellStyle name="Обычный 7 3 2 13" xfId="16375"/>
    <cellStyle name="Обычный 7 3 2 14" xfId="16376"/>
    <cellStyle name="Обычный 7 3 2 15" xfId="16377"/>
    <cellStyle name="Обычный 7 3 2 16" xfId="16378"/>
    <cellStyle name="Обычный 7 3 2 17" xfId="16379"/>
    <cellStyle name="Обычный 7 3 2 18" xfId="16380"/>
    <cellStyle name="Обычный 7 3 2 19" xfId="16381"/>
    <cellStyle name="Обычный 7 3 2 2" xfId="16382"/>
    <cellStyle name="Обычный 7 3 2 2 10" xfId="16383"/>
    <cellStyle name="Обычный 7 3 2 2 11" xfId="16384"/>
    <cellStyle name="Обычный 7 3 2 2 12" xfId="16385"/>
    <cellStyle name="Обычный 7 3 2 2 13" xfId="16386"/>
    <cellStyle name="Обычный 7 3 2 2 14" xfId="16387"/>
    <cellStyle name="Обычный 7 3 2 2 15" xfId="16388"/>
    <cellStyle name="Обычный 7 3 2 2 16" xfId="16389"/>
    <cellStyle name="Обычный 7 3 2 2 17" xfId="16390"/>
    <cellStyle name="Обычный 7 3 2 2 18" xfId="19442"/>
    <cellStyle name="Обычный 7 3 2 2 19" xfId="21136"/>
    <cellStyle name="Обычный 7 3 2 2 2" xfId="16391"/>
    <cellStyle name="Обычный 7 3 2 2 2 10" xfId="16392"/>
    <cellStyle name="Обычный 7 3 2 2 2 11" xfId="16393"/>
    <cellStyle name="Обычный 7 3 2 2 2 12" xfId="19443"/>
    <cellStyle name="Обычный 7 3 2 2 2 13" xfId="21137"/>
    <cellStyle name="Обычный 7 3 2 2 2 14" xfId="22749"/>
    <cellStyle name="Обычный 7 3 2 2 2 2" xfId="16394"/>
    <cellStyle name="Обычный 7 3 2 2 2 2 10" xfId="16395"/>
    <cellStyle name="Обычный 7 3 2 2 2 2 11" xfId="19444"/>
    <cellStyle name="Обычный 7 3 2 2 2 2 12" xfId="21138"/>
    <cellStyle name="Обычный 7 3 2 2 2 2 13" xfId="22750"/>
    <cellStyle name="Обычный 7 3 2 2 2 2 2" xfId="16396"/>
    <cellStyle name="Обычный 7 3 2 2 2 2 2 2" xfId="16397"/>
    <cellStyle name="Обычный 7 3 2 2 2 2 3" xfId="16398"/>
    <cellStyle name="Обычный 7 3 2 2 2 2 4" xfId="16399"/>
    <cellStyle name="Обычный 7 3 2 2 2 2 5" xfId="16400"/>
    <cellStyle name="Обычный 7 3 2 2 2 2 6" xfId="16401"/>
    <cellStyle name="Обычный 7 3 2 2 2 2 7" xfId="16402"/>
    <cellStyle name="Обычный 7 3 2 2 2 2 8" xfId="16403"/>
    <cellStyle name="Обычный 7 3 2 2 2 2 9" xfId="16404"/>
    <cellStyle name="Обычный 7 3 2 2 2 3" xfId="16405"/>
    <cellStyle name="Обычный 7 3 2 2 2 3 2" xfId="16406"/>
    <cellStyle name="Обычный 7 3 2 2 2 4" xfId="16407"/>
    <cellStyle name="Обычный 7 3 2 2 2 5" xfId="16408"/>
    <cellStyle name="Обычный 7 3 2 2 2 6" xfId="16409"/>
    <cellStyle name="Обычный 7 3 2 2 2 7" xfId="16410"/>
    <cellStyle name="Обычный 7 3 2 2 2 8" xfId="16411"/>
    <cellStyle name="Обычный 7 3 2 2 2 9" xfId="16412"/>
    <cellStyle name="Обычный 7 3 2 2 20" xfId="22748"/>
    <cellStyle name="Обычный 7 3 2 2 3" xfId="16413"/>
    <cellStyle name="Обычный 7 3 2 2 3 10" xfId="16414"/>
    <cellStyle name="Обычный 7 3 2 2 3 11" xfId="16415"/>
    <cellStyle name="Обычный 7 3 2 2 3 12" xfId="19445"/>
    <cellStyle name="Обычный 7 3 2 2 3 13" xfId="21139"/>
    <cellStyle name="Обычный 7 3 2 2 3 14" xfId="22751"/>
    <cellStyle name="Обычный 7 3 2 2 3 2" xfId="16416"/>
    <cellStyle name="Обычный 7 3 2 2 3 2 10" xfId="16417"/>
    <cellStyle name="Обычный 7 3 2 2 3 2 11" xfId="19446"/>
    <cellStyle name="Обычный 7 3 2 2 3 2 12" xfId="21140"/>
    <cellStyle name="Обычный 7 3 2 2 3 2 13" xfId="22752"/>
    <cellStyle name="Обычный 7 3 2 2 3 2 2" xfId="16418"/>
    <cellStyle name="Обычный 7 3 2 2 3 2 2 2" xfId="16419"/>
    <cellStyle name="Обычный 7 3 2 2 3 2 3" xfId="16420"/>
    <cellStyle name="Обычный 7 3 2 2 3 2 4" xfId="16421"/>
    <cellStyle name="Обычный 7 3 2 2 3 2 5" xfId="16422"/>
    <cellStyle name="Обычный 7 3 2 2 3 2 6" xfId="16423"/>
    <cellStyle name="Обычный 7 3 2 2 3 2 7" xfId="16424"/>
    <cellStyle name="Обычный 7 3 2 2 3 2 8" xfId="16425"/>
    <cellStyle name="Обычный 7 3 2 2 3 2 9" xfId="16426"/>
    <cellStyle name="Обычный 7 3 2 2 3 3" xfId="16427"/>
    <cellStyle name="Обычный 7 3 2 2 3 3 2" xfId="16428"/>
    <cellStyle name="Обычный 7 3 2 2 3 4" xfId="16429"/>
    <cellStyle name="Обычный 7 3 2 2 3 5" xfId="16430"/>
    <cellStyle name="Обычный 7 3 2 2 3 6" xfId="16431"/>
    <cellStyle name="Обычный 7 3 2 2 3 7" xfId="16432"/>
    <cellStyle name="Обычный 7 3 2 2 3 8" xfId="16433"/>
    <cellStyle name="Обычный 7 3 2 2 3 9" xfId="16434"/>
    <cellStyle name="Обычный 7 3 2 2 4" xfId="16435"/>
    <cellStyle name="Обычный 7 3 2 2 4 10" xfId="16436"/>
    <cellStyle name="Обычный 7 3 2 2 4 11" xfId="16437"/>
    <cellStyle name="Обычный 7 3 2 2 4 12" xfId="19447"/>
    <cellStyle name="Обычный 7 3 2 2 4 13" xfId="21141"/>
    <cellStyle name="Обычный 7 3 2 2 4 14" xfId="22753"/>
    <cellStyle name="Обычный 7 3 2 2 4 2" xfId="16438"/>
    <cellStyle name="Обычный 7 3 2 2 4 2 10" xfId="16439"/>
    <cellStyle name="Обычный 7 3 2 2 4 2 11" xfId="19448"/>
    <cellStyle name="Обычный 7 3 2 2 4 2 12" xfId="21142"/>
    <cellStyle name="Обычный 7 3 2 2 4 2 13" xfId="22754"/>
    <cellStyle name="Обычный 7 3 2 2 4 2 2" xfId="16440"/>
    <cellStyle name="Обычный 7 3 2 2 4 2 2 2" xfId="16441"/>
    <cellStyle name="Обычный 7 3 2 2 4 2 3" xfId="16442"/>
    <cellStyle name="Обычный 7 3 2 2 4 2 4" xfId="16443"/>
    <cellStyle name="Обычный 7 3 2 2 4 2 5" xfId="16444"/>
    <cellStyle name="Обычный 7 3 2 2 4 2 6" xfId="16445"/>
    <cellStyle name="Обычный 7 3 2 2 4 2 7" xfId="16446"/>
    <cellStyle name="Обычный 7 3 2 2 4 2 8" xfId="16447"/>
    <cellStyle name="Обычный 7 3 2 2 4 2 9" xfId="16448"/>
    <cellStyle name="Обычный 7 3 2 2 4 3" xfId="16449"/>
    <cellStyle name="Обычный 7 3 2 2 4 3 2" xfId="16450"/>
    <cellStyle name="Обычный 7 3 2 2 4 4" xfId="16451"/>
    <cellStyle name="Обычный 7 3 2 2 4 5" xfId="16452"/>
    <cellStyle name="Обычный 7 3 2 2 4 6" xfId="16453"/>
    <cellStyle name="Обычный 7 3 2 2 4 7" xfId="16454"/>
    <cellStyle name="Обычный 7 3 2 2 4 8" xfId="16455"/>
    <cellStyle name="Обычный 7 3 2 2 4 9" xfId="16456"/>
    <cellStyle name="Обычный 7 3 2 2 5" xfId="16457"/>
    <cellStyle name="Обычный 7 3 2 2 5 10" xfId="16458"/>
    <cellStyle name="Обычный 7 3 2 2 5 11" xfId="16459"/>
    <cellStyle name="Обычный 7 3 2 2 5 12" xfId="19449"/>
    <cellStyle name="Обычный 7 3 2 2 5 13" xfId="21143"/>
    <cellStyle name="Обычный 7 3 2 2 5 14" xfId="22755"/>
    <cellStyle name="Обычный 7 3 2 2 5 2" xfId="16460"/>
    <cellStyle name="Обычный 7 3 2 2 5 2 10" xfId="16461"/>
    <cellStyle name="Обычный 7 3 2 2 5 2 11" xfId="19450"/>
    <cellStyle name="Обычный 7 3 2 2 5 2 12" xfId="21144"/>
    <cellStyle name="Обычный 7 3 2 2 5 2 13" xfId="22756"/>
    <cellStyle name="Обычный 7 3 2 2 5 2 2" xfId="16462"/>
    <cellStyle name="Обычный 7 3 2 2 5 2 2 2" xfId="16463"/>
    <cellStyle name="Обычный 7 3 2 2 5 2 3" xfId="16464"/>
    <cellStyle name="Обычный 7 3 2 2 5 2 4" xfId="16465"/>
    <cellStyle name="Обычный 7 3 2 2 5 2 5" xfId="16466"/>
    <cellStyle name="Обычный 7 3 2 2 5 2 6" xfId="16467"/>
    <cellStyle name="Обычный 7 3 2 2 5 2 7" xfId="16468"/>
    <cellStyle name="Обычный 7 3 2 2 5 2 8" xfId="16469"/>
    <cellStyle name="Обычный 7 3 2 2 5 2 9" xfId="16470"/>
    <cellStyle name="Обычный 7 3 2 2 5 3" xfId="16471"/>
    <cellStyle name="Обычный 7 3 2 2 5 3 2" xfId="16472"/>
    <cellStyle name="Обычный 7 3 2 2 5 4" xfId="16473"/>
    <cellStyle name="Обычный 7 3 2 2 5 5" xfId="16474"/>
    <cellStyle name="Обычный 7 3 2 2 5 6" xfId="16475"/>
    <cellStyle name="Обычный 7 3 2 2 5 7" xfId="16476"/>
    <cellStyle name="Обычный 7 3 2 2 5 8" xfId="16477"/>
    <cellStyle name="Обычный 7 3 2 2 5 9" xfId="16478"/>
    <cellStyle name="Обычный 7 3 2 2 6" xfId="16479"/>
    <cellStyle name="Обычный 7 3 2 2 6 10" xfId="16480"/>
    <cellStyle name="Обычный 7 3 2 2 6 11" xfId="19451"/>
    <cellStyle name="Обычный 7 3 2 2 6 12" xfId="21145"/>
    <cellStyle name="Обычный 7 3 2 2 6 13" xfId="22757"/>
    <cellStyle name="Обычный 7 3 2 2 6 2" xfId="16481"/>
    <cellStyle name="Обычный 7 3 2 2 6 2 2" xfId="16482"/>
    <cellStyle name="Обычный 7 3 2 2 6 3" xfId="16483"/>
    <cellStyle name="Обычный 7 3 2 2 6 4" xfId="16484"/>
    <cellStyle name="Обычный 7 3 2 2 6 5" xfId="16485"/>
    <cellStyle name="Обычный 7 3 2 2 6 6" xfId="16486"/>
    <cellStyle name="Обычный 7 3 2 2 6 7" xfId="16487"/>
    <cellStyle name="Обычный 7 3 2 2 6 8" xfId="16488"/>
    <cellStyle name="Обычный 7 3 2 2 6 9" xfId="16489"/>
    <cellStyle name="Обычный 7 3 2 2 7" xfId="16490"/>
    <cellStyle name="Обычный 7 3 2 2 7 10" xfId="21146"/>
    <cellStyle name="Обычный 7 3 2 2 7 11" xfId="22758"/>
    <cellStyle name="Обычный 7 3 2 2 7 2" xfId="16491"/>
    <cellStyle name="Обычный 7 3 2 2 7 2 2" xfId="16492"/>
    <cellStyle name="Обычный 7 3 2 2 7 3" xfId="16493"/>
    <cellStyle name="Обычный 7 3 2 2 7 4" xfId="16494"/>
    <cellStyle name="Обычный 7 3 2 2 7 5" xfId="16495"/>
    <cellStyle name="Обычный 7 3 2 2 7 6" xfId="16496"/>
    <cellStyle name="Обычный 7 3 2 2 7 7" xfId="16497"/>
    <cellStyle name="Обычный 7 3 2 2 7 8" xfId="16498"/>
    <cellStyle name="Обычный 7 3 2 2 7 9" xfId="19452"/>
    <cellStyle name="Обычный 7 3 2 2 8" xfId="16499"/>
    <cellStyle name="Обычный 7 3 2 2 8 2" xfId="16500"/>
    <cellStyle name="Обычный 7 3 2 2 9" xfId="16501"/>
    <cellStyle name="Обычный 7 3 2 20" xfId="19441"/>
    <cellStyle name="Обычный 7 3 2 21" xfId="21135"/>
    <cellStyle name="Обычный 7 3 2 22" xfId="22747"/>
    <cellStyle name="Обычный 7 3 2 3" xfId="16502"/>
    <cellStyle name="Обычный 7 3 2 3 10" xfId="16503"/>
    <cellStyle name="Обычный 7 3 2 3 11" xfId="16504"/>
    <cellStyle name="Обычный 7 3 2 3 12" xfId="16505"/>
    <cellStyle name="Обычный 7 3 2 3 13" xfId="16506"/>
    <cellStyle name="Обычный 7 3 2 3 14" xfId="16507"/>
    <cellStyle name="Обычный 7 3 2 3 15" xfId="16508"/>
    <cellStyle name="Обычный 7 3 2 3 16" xfId="16509"/>
    <cellStyle name="Обычный 7 3 2 3 17" xfId="16510"/>
    <cellStyle name="Обычный 7 3 2 3 18" xfId="19453"/>
    <cellStyle name="Обычный 7 3 2 3 19" xfId="21147"/>
    <cellStyle name="Обычный 7 3 2 3 2" xfId="16511"/>
    <cellStyle name="Обычный 7 3 2 3 2 10" xfId="16512"/>
    <cellStyle name="Обычный 7 3 2 3 2 11" xfId="16513"/>
    <cellStyle name="Обычный 7 3 2 3 2 12" xfId="19454"/>
    <cellStyle name="Обычный 7 3 2 3 2 13" xfId="21148"/>
    <cellStyle name="Обычный 7 3 2 3 2 14" xfId="22760"/>
    <cellStyle name="Обычный 7 3 2 3 2 2" xfId="16514"/>
    <cellStyle name="Обычный 7 3 2 3 2 2 10" xfId="16515"/>
    <cellStyle name="Обычный 7 3 2 3 2 2 11" xfId="19455"/>
    <cellStyle name="Обычный 7 3 2 3 2 2 12" xfId="21149"/>
    <cellStyle name="Обычный 7 3 2 3 2 2 13" xfId="22761"/>
    <cellStyle name="Обычный 7 3 2 3 2 2 2" xfId="16516"/>
    <cellStyle name="Обычный 7 3 2 3 2 2 2 2" xfId="16517"/>
    <cellStyle name="Обычный 7 3 2 3 2 2 3" xfId="16518"/>
    <cellStyle name="Обычный 7 3 2 3 2 2 4" xfId="16519"/>
    <cellStyle name="Обычный 7 3 2 3 2 2 5" xfId="16520"/>
    <cellStyle name="Обычный 7 3 2 3 2 2 6" xfId="16521"/>
    <cellStyle name="Обычный 7 3 2 3 2 2 7" xfId="16522"/>
    <cellStyle name="Обычный 7 3 2 3 2 2 8" xfId="16523"/>
    <cellStyle name="Обычный 7 3 2 3 2 2 9" xfId="16524"/>
    <cellStyle name="Обычный 7 3 2 3 2 3" xfId="16525"/>
    <cellStyle name="Обычный 7 3 2 3 2 3 2" xfId="16526"/>
    <cellStyle name="Обычный 7 3 2 3 2 4" xfId="16527"/>
    <cellStyle name="Обычный 7 3 2 3 2 5" xfId="16528"/>
    <cellStyle name="Обычный 7 3 2 3 2 6" xfId="16529"/>
    <cellStyle name="Обычный 7 3 2 3 2 7" xfId="16530"/>
    <cellStyle name="Обычный 7 3 2 3 2 8" xfId="16531"/>
    <cellStyle name="Обычный 7 3 2 3 2 9" xfId="16532"/>
    <cellStyle name="Обычный 7 3 2 3 20" xfId="22759"/>
    <cellStyle name="Обычный 7 3 2 3 3" xfId="16533"/>
    <cellStyle name="Обычный 7 3 2 3 3 10" xfId="16534"/>
    <cellStyle name="Обычный 7 3 2 3 3 11" xfId="16535"/>
    <cellStyle name="Обычный 7 3 2 3 3 12" xfId="19456"/>
    <cellStyle name="Обычный 7 3 2 3 3 13" xfId="21150"/>
    <cellStyle name="Обычный 7 3 2 3 3 14" xfId="22762"/>
    <cellStyle name="Обычный 7 3 2 3 3 2" xfId="16536"/>
    <cellStyle name="Обычный 7 3 2 3 3 2 10" xfId="16537"/>
    <cellStyle name="Обычный 7 3 2 3 3 2 11" xfId="19457"/>
    <cellStyle name="Обычный 7 3 2 3 3 2 12" xfId="21151"/>
    <cellStyle name="Обычный 7 3 2 3 3 2 13" xfId="22763"/>
    <cellStyle name="Обычный 7 3 2 3 3 2 2" xfId="16538"/>
    <cellStyle name="Обычный 7 3 2 3 3 2 2 2" xfId="16539"/>
    <cellStyle name="Обычный 7 3 2 3 3 2 3" xfId="16540"/>
    <cellStyle name="Обычный 7 3 2 3 3 2 4" xfId="16541"/>
    <cellStyle name="Обычный 7 3 2 3 3 2 5" xfId="16542"/>
    <cellStyle name="Обычный 7 3 2 3 3 2 6" xfId="16543"/>
    <cellStyle name="Обычный 7 3 2 3 3 2 7" xfId="16544"/>
    <cellStyle name="Обычный 7 3 2 3 3 2 8" xfId="16545"/>
    <cellStyle name="Обычный 7 3 2 3 3 2 9" xfId="16546"/>
    <cellStyle name="Обычный 7 3 2 3 3 3" xfId="16547"/>
    <cellStyle name="Обычный 7 3 2 3 3 3 2" xfId="16548"/>
    <cellStyle name="Обычный 7 3 2 3 3 4" xfId="16549"/>
    <cellStyle name="Обычный 7 3 2 3 3 5" xfId="16550"/>
    <cellStyle name="Обычный 7 3 2 3 3 6" xfId="16551"/>
    <cellStyle name="Обычный 7 3 2 3 3 7" xfId="16552"/>
    <cellStyle name="Обычный 7 3 2 3 3 8" xfId="16553"/>
    <cellStyle name="Обычный 7 3 2 3 3 9" xfId="16554"/>
    <cellStyle name="Обычный 7 3 2 3 4" xfId="16555"/>
    <cellStyle name="Обычный 7 3 2 3 4 10" xfId="16556"/>
    <cellStyle name="Обычный 7 3 2 3 4 11" xfId="16557"/>
    <cellStyle name="Обычный 7 3 2 3 4 12" xfId="19458"/>
    <cellStyle name="Обычный 7 3 2 3 4 13" xfId="21152"/>
    <cellStyle name="Обычный 7 3 2 3 4 14" xfId="22764"/>
    <cellStyle name="Обычный 7 3 2 3 4 2" xfId="16558"/>
    <cellStyle name="Обычный 7 3 2 3 4 2 10" xfId="16559"/>
    <cellStyle name="Обычный 7 3 2 3 4 2 11" xfId="19459"/>
    <cellStyle name="Обычный 7 3 2 3 4 2 12" xfId="21153"/>
    <cellStyle name="Обычный 7 3 2 3 4 2 13" xfId="22765"/>
    <cellStyle name="Обычный 7 3 2 3 4 2 2" xfId="16560"/>
    <cellStyle name="Обычный 7 3 2 3 4 2 2 2" xfId="16561"/>
    <cellStyle name="Обычный 7 3 2 3 4 2 3" xfId="16562"/>
    <cellStyle name="Обычный 7 3 2 3 4 2 4" xfId="16563"/>
    <cellStyle name="Обычный 7 3 2 3 4 2 5" xfId="16564"/>
    <cellStyle name="Обычный 7 3 2 3 4 2 6" xfId="16565"/>
    <cellStyle name="Обычный 7 3 2 3 4 2 7" xfId="16566"/>
    <cellStyle name="Обычный 7 3 2 3 4 2 8" xfId="16567"/>
    <cellStyle name="Обычный 7 3 2 3 4 2 9" xfId="16568"/>
    <cellStyle name="Обычный 7 3 2 3 4 3" xfId="16569"/>
    <cellStyle name="Обычный 7 3 2 3 4 3 2" xfId="16570"/>
    <cellStyle name="Обычный 7 3 2 3 4 4" xfId="16571"/>
    <cellStyle name="Обычный 7 3 2 3 4 5" xfId="16572"/>
    <cellStyle name="Обычный 7 3 2 3 4 6" xfId="16573"/>
    <cellStyle name="Обычный 7 3 2 3 4 7" xfId="16574"/>
    <cellStyle name="Обычный 7 3 2 3 4 8" xfId="16575"/>
    <cellStyle name="Обычный 7 3 2 3 4 9" xfId="16576"/>
    <cellStyle name="Обычный 7 3 2 3 5" xfId="16577"/>
    <cellStyle name="Обычный 7 3 2 3 5 10" xfId="16578"/>
    <cellStyle name="Обычный 7 3 2 3 5 11" xfId="16579"/>
    <cellStyle name="Обычный 7 3 2 3 5 12" xfId="19460"/>
    <cellStyle name="Обычный 7 3 2 3 5 13" xfId="21154"/>
    <cellStyle name="Обычный 7 3 2 3 5 14" xfId="22766"/>
    <cellStyle name="Обычный 7 3 2 3 5 2" xfId="16580"/>
    <cellStyle name="Обычный 7 3 2 3 5 2 10" xfId="16581"/>
    <cellStyle name="Обычный 7 3 2 3 5 2 11" xfId="19461"/>
    <cellStyle name="Обычный 7 3 2 3 5 2 12" xfId="21155"/>
    <cellStyle name="Обычный 7 3 2 3 5 2 13" xfId="22767"/>
    <cellStyle name="Обычный 7 3 2 3 5 2 2" xfId="16582"/>
    <cellStyle name="Обычный 7 3 2 3 5 2 2 2" xfId="16583"/>
    <cellStyle name="Обычный 7 3 2 3 5 2 3" xfId="16584"/>
    <cellStyle name="Обычный 7 3 2 3 5 2 4" xfId="16585"/>
    <cellStyle name="Обычный 7 3 2 3 5 2 5" xfId="16586"/>
    <cellStyle name="Обычный 7 3 2 3 5 2 6" xfId="16587"/>
    <cellStyle name="Обычный 7 3 2 3 5 2 7" xfId="16588"/>
    <cellStyle name="Обычный 7 3 2 3 5 2 8" xfId="16589"/>
    <cellStyle name="Обычный 7 3 2 3 5 2 9" xfId="16590"/>
    <cellStyle name="Обычный 7 3 2 3 5 3" xfId="16591"/>
    <cellStyle name="Обычный 7 3 2 3 5 3 2" xfId="16592"/>
    <cellStyle name="Обычный 7 3 2 3 5 4" xfId="16593"/>
    <cellStyle name="Обычный 7 3 2 3 5 5" xfId="16594"/>
    <cellStyle name="Обычный 7 3 2 3 5 6" xfId="16595"/>
    <cellStyle name="Обычный 7 3 2 3 5 7" xfId="16596"/>
    <cellStyle name="Обычный 7 3 2 3 5 8" xfId="16597"/>
    <cellStyle name="Обычный 7 3 2 3 5 9" xfId="16598"/>
    <cellStyle name="Обычный 7 3 2 3 6" xfId="16599"/>
    <cellStyle name="Обычный 7 3 2 3 6 10" xfId="16600"/>
    <cellStyle name="Обычный 7 3 2 3 6 11" xfId="19462"/>
    <cellStyle name="Обычный 7 3 2 3 6 12" xfId="21156"/>
    <cellStyle name="Обычный 7 3 2 3 6 13" xfId="22768"/>
    <cellStyle name="Обычный 7 3 2 3 6 2" xfId="16601"/>
    <cellStyle name="Обычный 7 3 2 3 6 2 2" xfId="16602"/>
    <cellStyle name="Обычный 7 3 2 3 6 3" xfId="16603"/>
    <cellStyle name="Обычный 7 3 2 3 6 4" xfId="16604"/>
    <cellStyle name="Обычный 7 3 2 3 6 5" xfId="16605"/>
    <cellStyle name="Обычный 7 3 2 3 6 6" xfId="16606"/>
    <cellStyle name="Обычный 7 3 2 3 6 7" xfId="16607"/>
    <cellStyle name="Обычный 7 3 2 3 6 8" xfId="16608"/>
    <cellStyle name="Обычный 7 3 2 3 6 9" xfId="16609"/>
    <cellStyle name="Обычный 7 3 2 3 7" xfId="16610"/>
    <cellStyle name="Обычный 7 3 2 3 7 10" xfId="21157"/>
    <cellStyle name="Обычный 7 3 2 3 7 11" xfId="22769"/>
    <cellStyle name="Обычный 7 3 2 3 7 2" xfId="16611"/>
    <cellStyle name="Обычный 7 3 2 3 7 2 2" xfId="16612"/>
    <cellStyle name="Обычный 7 3 2 3 7 3" xfId="16613"/>
    <cellStyle name="Обычный 7 3 2 3 7 4" xfId="16614"/>
    <cellStyle name="Обычный 7 3 2 3 7 5" xfId="16615"/>
    <cellStyle name="Обычный 7 3 2 3 7 6" xfId="16616"/>
    <cellStyle name="Обычный 7 3 2 3 7 7" xfId="16617"/>
    <cellStyle name="Обычный 7 3 2 3 7 8" xfId="16618"/>
    <cellStyle name="Обычный 7 3 2 3 7 9" xfId="19463"/>
    <cellStyle name="Обычный 7 3 2 3 8" xfId="16619"/>
    <cellStyle name="Обычный 7 3 2 3 8 2" xfId="16620"/>
    <cellStyle name="Обычный 7 3 2 3 9" xfId="16621"/>
    <cellStyle name="Обычный 7 3 2 4" xfId="16622"/>
    <cellStyle name="Обычный 7 3 2 4 10" xfId="16623"/>
    <cellStyle name="Обычный 7 3 2 4 11" xfId="16624"/>
    <cellStyle name="Обычный 7 3 2 4 12" xfId="19464"/>
    <cellStyle name="Обычный 7 3 2 4 13" xfId="21158"/>
    <cellStyle name="Обычный 7 3 2 4 14" xfId="22770"/>
    <cellStyle name="Обычный 7 3 2 4 2" xfId="16625"/>
    <cellStyle name="Обычный 7 3 2 4 2 10" xfId="16626"/>
    <cellStyle name="Обычный 7 3 2 4 2 11" xfId="19465"/>
    <cellStyle name="Обычный 7 3 2 4 2 12" xfId="21159"/>
    <cellStyle name="Обычный 7 3 2 4 2 13" xfId="22771"/>
    <cellStyle name="Обычный 7 3 2 4 2 2" xfId="16627"/>
    <cellStyle name="Обычный 7 3 2 4 2 2 2" xfId="16628"/>
    <cellStyle name="Обычный 7 3 2 4 2 3" xfId="16629"/>
    <cellStyle name="Обычный 7 3 2 4 2 4" xfId="16630"/>
    <cellStyle name="Обычный 7 3 2 4 2 5" xfId="16631"/>
    <cellStyle name="Обычный 7 3 2 4 2 6" xfId="16632"/>
    <cellStyle name="Обычный 7 3 2 4 2 7" xfId="16633"/>
    <cellStyle name="Обычный 7 3 2 4 2 8" xfId="16634"/>
    <cellStyle name="Обычный 7 3 2 4 2 9" xfId="16635"/>
    <cellStyle name="Обычный 7 3 2 4 3" xfId="16636"/>
    <cellStyle name="Обычный 7 3 2 4 3 2" xfId="16637"/>
    <cellStyle name="Обычный 7 3 2 4 4" xfId="16638"/>
    <cellStyle name="Обычный 7 3 2 4 5" xfId="16639"/>
    <cellStyle name="Обычный 7 3 2 4 6" xfId="16640"/>
    <cellStyle name="Обычный 7 3 2 4 7" xfId="16641"/>
    <cellStyle name="Обычный 7 3 2 4 8" xfId="16642"/>
    <cellStyle name="Обычный 7 3 2 4 9" xfId="16643"/>
    <cellStyle name="Обычный 7 3 2 5" xfId="16644"/>
    <cellStyle name="Обычный 7 3 2 5 10" xfId="16645"/>
    <cellStyle name="Обычный 7 3 2 5 11" xfId="16646"/>
    <cellStyle name="Обычный 7 3 2 5 12" xfId="19466"/>
    <cellStyle name="Обычный 7 3 2 5 13" xfId="21160"/>
    <cellStyle name="Обычный 7 3 2 5 14" xfId="22772"/>
    <cellStyle name="Обычный 7 3 2 5 2" xfId="16647"/>
    <cellStyle name="Обычный 7 3 2 5 2 10" xfId="16648"/>
    <cellStyle name="Обычный 7 3 2 5 2 11" xfId="19467"/>
    <cellStyle name="Обычный 7 3 2 5 2 12" xfId="21161"/>
    <cellStyle name="Обычный 7 3 2 5 2 13" xfId="22773"/>
    <cellStyle name="Обычный 7 3 2 5 2 2" xfId="16649"/>
    <cellStyle name="Обычный 7 3 2 5 2 2 2" xfId="16650"/>
    <cellStyle name="Обычный 7 3 2 5 2 3" xfId="16651"/>
    <cellStyle name="Обычный 7 3 2 5 2 4" xfId="16652"/>
    <cellStyle name="Обычный 7 3 2 5 2 5" xfId="16653"/>
    <cellStyle name="Обычный 7 3 2 5 2 6" xfId="16654"/>
    <cellStyle name="Обычный 7 3 2 5 2 7" xfId="16655"/>
    <cellStyle name="Обычный 7 3 2 5 2 8" xfId="16656"/>
    <cellStyle name="Обычный 7 3 2 5 2 9" xfId="16657"/>
    <cellStyle name="Обычный 7 3 2 5 3" xfId="16658"/>
    <cellStyle name="Обычный 7 3 2 5 3 2" xfId="16659"/>
    <cellStyle name="Обычный 7 3 2 5 4" xfId="16660"/>
    <cellStyle name="Обычный 7 3 2 5 5" xfId="16661"/>
    <cellStyle name="Обычный 7 3 2 5 6" xfId="16662"/>
    <cellStyle name="Обычный 7 3 2 5 7" xfId="16663"/>
    <cellStyle name="Обычный 7 3 2 5 8" xfId="16664"/>
    <cellStyle name="Обычный 7 3 2 5 9" xfId="16665"/>
    <cellStyle name="Обычный 7 3 2 6" xfId="16666"/>
    <cellStyle name="Обычный 7 3 2 6 10" xfId="16667"/>
    <cellStyle name="Обычный 7 3 2 6 11" xfId="16668"/>
    <cellStyle name="Обычный 7 3 2 6 12" xfId="19468"/>
    <cellStyle name="Обычный 7 3 2 6 13" xfId="21162"/>
    <cellStyle name="Обычный 7 3 2 6 14" xfId="22774"/>
    <cellStyle name="Обычный 7 3 2 6 2" xfId="16669"/>
    <cellStyle name="Обычный 7 3 2 6 2 10" xfId="16670"/>
    <cellStyle name="Обычный 7 3 2 6 2 11" xfId="19469"/>
    <cellStyle name="Обычный 7 3 2 6 2 12" xfId="21163"/>
    <cellStyle name="Обычный 7 3 2 6 2 13" xfId="22775"/>
    <cellStyle name="Обычный 7 3 2 6 2 2" xfId="16671"/>
    <cellStyle name="Обычный 7 3 2 6 2 2 2" xfId="16672"/>
    <cellStyle name="Обычный 7 3 2 6 2 3" xfId="16673"/>
    <cellStyle name="Обычный 7 3 2 6 2 4" xfId="16674"/>
    <cellStyle name="Обычный 7 3 2 6 2 5" xfId="16675"/>
    <cellStyle name="Обычный 7 3 2 6 2 6" xfId="16676"/>
    <cellStyle name="Обычный 7 3 2 6 2 7" xfId="16677"/>
    <cellStyle name="Обычный 7 3 2 6 2 8" xfId="16678"/>
    <cellStyle name="Обычный 7 3 2 6 2 9" xfId="16679"/>
    <cellStyle name="Обычный 7 3 2 6 3" xfId="16680"/>
    <cellStyle name="Обычный 7 3 2 6 3 2" xfId="16681"/>
    <cellStyle name="Обычный 7 3 2 6 4" xfId="16682"/>
    <cellStyle name="Обычный 7 3 2 6 5" xfId="16683"/>
    <cellStyle name="Обычный 7 3 2 6 6" xfId="16684"/>
    <cellStyle name="Обычный 7 3 2 6 7" xfId="16685"/>
    <cellStyle name="Обычный 7 3 2 6 8" xfId="16686"/>
    <cellStyle name="Обычный 7 3 2 6 9" xfId="16687"/>
    <cellStyle name="Обычный 7 3 2 7" xfId="16688"/>
    <cellStyle name="Обычный 7 3 2 7 10" xfId="16689"/>
    <cellStyle name="Обычный 7 3 2 7 11" xfId="16690"/>
    <cellStyle name="Обычный 7 3 2 7 12" xfId="19470"/>
    <cellStyle name="Обычный 7 3 2 7 13" xfId="21164"/>
    <cellStyle name="Обычный 7 3 2 7 14" xfId="22776"/>
    <cellStyle name="Обычный 7 3 2 7 2" xfId="16691"/>
    <cellStyle name="Обычный 7 3 2 7 2 10" xfId="16692"/>
    <cellStyle name="Обычный 7 3 2 7 2 11" xfId="19471"/>
    <cellStyle name="Обычный 7 3 2 7 2 12" xfId="21165"/>
    <cellStyle name="Обычный 7 3 2 7 2 13" xfId="22777"/>
    <cellStyle name="Обычный 7 3 2 7 2 2" xfId="16693"/>
    <cellStyle name="Обычный 7 3 2 7 2 2 2" xfId="16694"/>
    <cellStyle name="Обычный 7 3 2 7 2 3" xfId="16695"/>
    <cellStyle name="Обычный 7 3 2 7 2 4" xfId="16696"/>
    <cellStyle name="Обычный 7 3 2 7 2 5" xfId="16697"/>
    <cellStyle name="Обычный 7 3 2 7 2 6" xfId="16698"/>
    <cellStyle name="Обычный 7 3 2 7 2 7" xfId="16699"/>
    <cellStyle name="Обычный 7 3 2 7 2 8" xfId="16700"/>
    <cellStyle name="Обычный 7 3 2 7 2 9" xfId="16701"/>
    <cellStyle name="Обычный 7 3 2 7 3" xfId="16702"/>
    <cellStyle name="Обычный 7 3 2 7 3 2" xfId="16703"/>
    <cellStyle name="Обычный 7 3 2 7 4" xfId="16704"/>
    <cellStyle name="Обычный 7 3 2 7 5" xfId="16705"/>
    <cellStyle name="Обычный 7 3 2 7 6" xfId="16706"/>
    <cellStyle name="Обычный 7 3 2 7 7" xfId="16707"/>
    <cellStyle name="Обычный 7 3 2 7 8" xfId="16708"/>
    <cellStyle name="Обычный 7 3 2 7 9" xfId="16709"/>
    <cellStyle name="Обычный 7 3 2 8" xfId="16710"/>
    <cellStyle name="Обычный 7 3 2 8 10" xfId="16711"/>
    <cellStyle name="Обычный 7 3 2 8 11" xfId="19472"/>
    <cellStyle name="Обычный 7 3 2 8 12" xfId="21166"/>
    <cellStyle name="Обычный 7 3 2 8 13" xfId="22778"/>
    <cellStyle name="Обычный 7 3 2 8 2" xfId="16712"/>
    <cellStyle name="Обычный 7 3 2 8 2 2" xfId="16713"/>
    <cellStyle name="Обычный 7 3 2 8 3" xfId="16714"/>
    <cellStyle name="Обычный 7 3 2 8 4" xfId="16715"/>
    <cellStyle name="Обычный 7 3 2 8 5" xfId="16716"/>
    <cellStyle name="Обычный 7 3 2 8 6" xfId="16717"/>
    <cellStyle name="Обычный 7 3 2 8 7" xfId="16718"/>
    <cellStyle name="Обычный 7 3 2 8 8" xfId="16719"/>
    <cellStyle name="Обычный 7 3 2 8 9" xfId="16720"/>
    <cellStyle name="Обычный 7 3 2 9" xfId="16721"/>
    <cellStyle name="Обычный 7 3 2 9 10" xfId="21167"/>
    <cellStyle name="Обычный 7 3 2 9 11" xfId="22779"/>
    <cellStyle name="Обычный 7 3 2 9 2" xfId="16722"/>
    <cellStyle name="Обычный 7 3 2 9 2 2" xfId="16723"/>
    <cellStyle name="Обычный 7 3 2 9 3" xfId="16724"/>
    <cellStyle name="Обычный 7 3 2 9 4" xfId="16725"/>
    <cellStyle name="Обычный 7 3 2 9 5" xfId="16726"/>
    <cellStyle name="Обычный 7 3 2 9 6" xfId="16727"/>
    <cellStyle name="Обычный 7 3 2 9 7" xfId="16728"/>
    <cellStyle name="Обычный 7 3 2 9 8" xfId="16729"/>
    <cellStyle name="Обычный 7 3 2 9 9" xfId="19473"/>
    <cellStyle name="Обычный 7 3 20" xfId="16730"/>
    <cellStyle name="Обычный 7 3 21" xfId="16731"/>
    <cellStyle name="Обычный 7 3 22" xfId="16732"/>
    <cellStyle name="Обычный 7 3 23" xfId="16733"/>
    <cellStyle name="Обычный 7 3 24" xfId="19435"/>
    <cellStyle name="Обычный 7 3 25" xfId="19645"/>
    <cellStyle name="Обычный 7 3 26" xfId="21129"/>
    <cellStyle name="Обычный 7 3 27" xfId="22741"/>
    <cellStyle name="Обычный 7 3 3" xfId="16734"/>
    <cellStyle name="Обычный 7 3 3 10" xfId="16735"/>
    <cellStyle name="Обычный 7 3 3 11" xfId="16736"/>
    <cellStyle name="Обычный 7 3 3 12" xfId="16737"/>
    <cellStyle name="Обычный 7 3 3 13" xfId="16738"/>
    <cellStyle name="Обычный 7 3 3 14" xfId="16739"/>
    <cellStyle name="Обычный 7 3 3 15" xfId="16740"/>
    <cellStyle name="Обычный 7 3 3 16" xfId="16741"/>
    <cellStyle name="Обычный 7 3 3 17" xfId="16742"/>
    <cellStyle name="Обычный 7 3 3 18" xfId="19474"/>
    <cellStyle name="Обычный 7 3 3 19" xfId="21168"/>
    <cellStyle name="Обычный 7 3 3 2" xfId="16743"/>
    <cellStyle name="Обычный 7 3 3 2 10" xfId="16744"/>
    <cellStyle name="Обычный 7 3 3 2 11" xfId="16745"/>
    <cellStyle name="Обычный 7 3 3 2 12" xfId="19475"/>
    <cellStyle name="Обычный 7 3 3 2 13" xfId="21169"/>
    <cellStyle name="Обычный 7 3 3 2 14" xfId="22781"/>
    <cellStyle name="Обычный 7 3 3 2 2" xfId="16746"/>
    <cellStyle name="Обычный 7 3 3 2 2 10" xfId="16747"/>
    <cellStyle name="Обычный 7 3 3 2 2 11" xfId="19476"/>
    <cellStyle name="Обычный 7 3 3 2 2 12" xfId="21170"/>
    <cellStyle name="Обычный 7 3 3 2 2 13" xfId="22782"/>
    <cellStyle name="Обычный 7 3 3 2 2 2" xfId="16748"/>
    <cellStyle name="Обычный 7 3 3 2 2 2 2" xfId="16749"/>
    <cellStyle name="Обычный 7 3 3 2 2 3" xfId="16750"/>
    <cellStyle name="Обычный 7 3 3 2 2 4" xfId="16751"/>
    <cellStyle name="Обычный 7 3 3 2 2 5" xfId="16752"/>
    <cellStyle name="Обычный 7 3 3 2 2 6" xfId="16753"/>
    <cellStyle name="Обычный 7 3 3 2 2 7" xfId="16754"/>
    <cellStyle name="Обычный 7 3 3 2 2 8" xfId="16755"/>
    <cellStyle name="Обычный 7 3 3 2 2 9" xfId="16756"/>
    <cellStyle name="Обычный 7 3 3 2 3" xfId="16757"/>
    <cellStyle name="Обычный 7 3 3 2 3 2" xfId="16758"/>
    <cellStyle name="Обычный 7 3 3 2 4" xfId="16759"/>
    <cellStyle name="Обычный 7 3 3 2 5" xfId="16760"/>
    <cellStyle name="Обычный 7 3 3 2 6" xfId="16761"/>
    <cellStyle name="Обычный 7 3 3 2 7" xfId="16762"/>
    <cellStyle name="Обычный 7 3 3 2 8" xfId="16763"/>
    <cellStyle name="Обычный 7 3 3 2 9" xfId="16764"/>
    <cellStyle name="Обычный 7 3 3 20" xfId="22780"/>
    <cellStyle name="Обычный 7 3 3 3" xfId="16765"/>
    <cellStyle name="Обычный 7 3 3 3 10" xfId="16766"/>
    <cellStyle name="Обычный 7 3 3 3 11" xfId="16767"/>
    <cellStyle name="Обычный 7 3 3 3 12" xfId="19477"/>
    <cellStyle name="Обычный 7 3 3 3 13" xfId="21171"/>
    <cellStyle name="Обычный 7 3 3 3 14" xfId="22783"/>
    <cellStyle name="Обычный 7 3 3 3 2" xfId="16768"/>
    <cellStyle name="Обычный 7 3 3 3 2 10" xfId="16769"/>
    <cellStyle name="Обычный 7 3 3 3 2 11" xfId="19478"/>
    <cellStyle name="Обычный 7 3 3 3 2 12" xfId="21172"/>
    <cellStyle name="Обычный 7 3 3 3 2 13" xfId="22784"/>
    <cellStyle name="Обычный 7 3 3 3 2 2" xfId="16770"/>
    <cellStyle name="Обычный 7 3 3 3 2 2 2" xfId="16771"/>
    <cellStyle name="Обычный 7 3 3 3 2 3" xfId="16772"/>
    <cellStyle name="Обычный 7 3 3 3 2 4" xfId="16773"/>
    <cellStyle name="Обычный 7 3 3 3 2 5" xfId="16774"/>
    <cellStyle name="Обычный 7 3 3 3 2 6" xfId="16775"/>
    <cellStyle name="Обычный 7 3 3 3 2 7" xfId="16776"/>
    <cellStyle name="Обычный 7 3 3 3 2 8" xfId="16777"/>
    <cellStyle name="Обычный 7 3 3 3 2 9" xfId="16778"/>
    <cellStyle name="Обычный 7 3 3 3 3" xfId="16779"/>
    <cellStyle name="Обычный 7 3 3 3 3 2" xfId="16780"/>
    <cellStyle name="Обычный 7 3 3 3 4" xfId="16781"/>
    <cellStyle name="Обычный 7 3 3 3 5" xfId="16782"/>
    <cellStyle name="Обычный 7 3 3 3 6" xfId="16783"/>
    <cellStyle name="Обычный 7 3 3 3 7" xfId="16784"/>
    <cellStyle name="Обычный 7 3 3 3 8" xfId="16785"/>
    <cellStyle name="Обычный 7 3 3 3 9" xfId="16786"/>
    <cellStyle name="Обычный 7 3 3 4" xfId="16787"/>
    <cellStyle name="Обычный 7 3 3 4 10" xfId="16788"/>
    <cellStyle name="Обычный 7 3 3 4 11" xfId="16789"/>
    <cellStyle name="Обычный 7 3 3 4 12" xfId="19479"/>
    <cellStyle name="Обычный 7 3 3 4 13" xfId="21173"/>
    <cellStyle name="Обычный 7 3 3 4 14" xfId="22785"/>
    <cellStyle name="Обычный 7 3 3 4 2" xfId="16790"/>
    <cellStyle name="Обычный 7 3 3 4 2 10" xfId="16791"/>
    <cellStyle name="Обычный 7 3 3 4 2 11" xfId="19480"/>
    <cellStyle name="Обычный 7 3 3 4 2 12" xfId="21174"/>
    <cellStyle name="Обычный 7 3 3 4 2 13" xfId="22786"/>
    <cellStyle name="Обычный 7 3 3 4 2 2" xfId="16792"/>
    <cellStyle name="Обычный 7 3 3 4 2 2 2" xfId="16793"/>
    <cellStyle name="Обычный 7 3 3 4 2 3" xfId="16794"/>
    <cellStyle name="Обычный 7 3 3 4 2 4" xfId="16795"/>
    <cellStyle name="Обычный 7 3 3 4 2 5" xfId="16796"/>
    <cellStyle name="Обычный 7 3 3 4 2 6" xfId="16797"/>
    <cellStyle name="Обычный 7 3 3 4 2 7" xfId="16798"/>
    <cellStyle name="Обычный 7 3 3 4 2 8" xfId="16799"/>
    <cellStyle name="Обычный 7 3 3 4 2 9" xfId="16800"/>
    <cellStyle name="Обычный 7 3 3 4 3" xfId="16801"/>
    <cellStyle name="Обычный 7 3 3 4 3 2" xfId="16802"/>
    <cellStyle name="Обычный 7 3 3 4 4" xfId="16803"/>
    <cellStyle name="Обычный 7 3 3 4 5" xfId="16804"/>
    <cellStyle name="Обычный 7 3 3 4 6" xfId="16805"/>
    <cellStyle name="Обычный 7 3 3 4 7" xfId="16806"/>
    <cellStyle name="Обычный 7 3 3 4 8" xfId="16807"/>
    <cellStyle name="Обычный 7 3 3 4 9" xfId="16808"/>
    <cellStyle name="Обычный 7 3 3 5" xfId="16809"/>
    <cellStyle name="Обычный 7 3 3 5 10" xfId="16810"/>
    <cellStyle name="Обычный 7 3 3 5 11" xfId="16811"/>
    <cellStyle name="Обычный 7 3 3 5 12" xfId="19481"/>
    <cellStyle name="Обычный 7 3 3 5 13" xfId="21175"/>
    <cellStyle name="Обычный 7 3 3 5 14" xfId="22787"/>
    <cellStyle name="Обычный 7 3 3 5 2" xfId="16812"/>
    <cellStyle name="Обычный 7 3 3 5 2 10" xfId="16813"/>
    <cellStyle name="Обычный 7 3 3 5 2 11" xfId="19482"/>
    <cellStyle name="Обычный 7 3 3 5 2 12" xfId="21176"/>
    <cellStyle name="Обычный 7 3 3 5 2 13" xfId="22788"/>
    <cellStyle name="Обычный 7 3 3 5 2 2" xfId="16814"/>
    <cellStyle name="Обычный 7 3 3 5 2 2 2" xfId="16815"/>
    <cellStyle name="Обычный 7 3 3 5 2 3" xfId="16816"/>
    <cellStyle name="Обычный 7 3 3 5 2 4" xfId="16817"/>
    <cellStyle name="Обычный 7 3 3 5 2 5" xfId="16818"/>
    <cellStyle name="Обычный 7 3 3 5 2 6" xfId="16819"/>
    <cellStyle name="Обычный 7 3 3 5 2 7" xfId="16820"/>
    <cellStyle name="Обычный 7 3 3 5 2 8" xfId="16821"/>
    <cellStyle name="Обычный 7 3 3 5 2 9" xfId="16822"/>
    <cellStyle name="Обычный 7 3 3 5 3" xfId="16823"/>
    <cellStyle name="Обычный 7 3 3 5 3 2" xfId="16824"/>
    <cellStyle name="Обычный 7 3 3 5 4" xfId="16825"/>
    <cellStyle name="Обычный 7 3 3 5 5" xfId="16826"/>
    <cellStyle name="Обычный 7 3 3 5 6" xfId="16827"/>
    <cellStyle name="Обычный 7 3 3 5 7" xfId="16828"/>
    <cellStyle name="Обычный 7 3 3 5 8" xfId="16829"/>
    <cellStyle name="Обычный 7 3 3 5 9" xfId="16830"/>
    <cellStyle name="Обычный 7 3 3 6" xfId="16831"/>
    <cellStyle name="Обычный 7 3 3 6 10" xfId="16832"/>
    <cellStyle name="Обычный 7 3 3 6 11" xfId="19483"/>
    <cellStyle name="Обычный 7 3 3 6 12" xfId="21177"/>
    <cellStyle name="Обычный 7 3 3 6 13" xfId="22789"/>
    <cellStyle name="Обычный 7 3 3 6 2" xfId="16833"/>
    <cellStyle name="Обычный 7 3 3 6 2 2" xfId="16834"/>
    <cellStyle name="Обычный 7 3 3 6 3" xfId="16835"/>
    <cellStyle name="Обычный 7 3 3 6 4" xfId="16836"/>
    <cellStyle name="Обычный 7 3 3 6 5" xfId="16837"/>
    <cellStyle name="Обычный 7 3 3 6 6" xfId="16838"/>
    <cellStyle name="Обычный 7 3 3 6 7" xfId="16839"/>
    <cellStyle name="Обычный 7 3 3 6 8" xfId="16840"/>
    <cellStyle name="Обычный 7 3 3 6 9" xfId="16841"/>
    <cellStyle name="Обычный 7 3 3 7" xfId="16842"/>
    <cellStyle name="Обычный 7 3 3 7 10" xfId="21178"/>
    <cellStyle name="Обычный 7 3 3 7 11" xfId="22790"/>
    <cellStyle name="Обычный 7 3 3 7 2" xfId="16843"/>
    <cellStyle name="Обычный 7 3 3 7 2 2" xfId="16844"/>
    <cellStyle name="Обычный 7 3 3 7 3" xfId="16845"/>
    <cellStyle name="Обычный 7 3 3 7 4" xfId="16846"/>
    <cellStyle name="Обычный 7 3 3 7 5" xfId="16847"/>
    <cellStyle name="Обычный 7 3 3 7 6" xfId="16848"/>
    <cellStyle name="Обычный 7 3 3 7 7" xfId="16849"/>
    <cellStyle name="Обычный 7 3 3 7 8" xfId="16850"/>
    <cellStyle name="Обычный 7 3 3 7 9" xfId="19484"/>
    <cellStyle name="Обычный 7 3 3 8" xfId="16851"/>
    <cellStyle name="Обычный 7 3 3 8 2" xfId="16852"/>
    <cellStyle name="Обычный 7 3 3 9" xfId="16853"/>
    <cellStyle name="Обычный 7 3 4" xfId="16854"/>
    <cellStyle name="Обычный 7 3 4 10" xfId="16855"/>
    <cellStyle name="Обычный 7 3 4 11" xfId="16856"/>
    <cellStyle name="Обычный 7 3 4 12" xfId="16857"/>
    <cellStyle name="Обычный 7 3 4 13" xfId="16858"/>
    <cellStyle name="Обычный 7 3 4 14" xfId="16859"/>
    <cellStyle name="Обычный 7 3 4 15" xfId="16860"/>
    <cellStyle name="Обычный 7 3 4 16" xfId="16861"/>
    <cellStyle name="Обычный 7 3 4 17" xfId="16862"/>
    <cellStyle name="Обычный 7 3 4 18" xfId="19485"/>
    <cellStyle name="Обычный 7 3 4 19" xfId="21179"/>
    <cellStyle name="Обычный 7 3 4 2" xfId="16863"/>
    <cellStyle name="Обычный 7 3 4 2 10" xfId="16864"/>
    <cellStyle name="Обычный 7 3 4 2 11" xfId="16865"/>
    <cellStyle name="Обычный 7 3 4 2 12" xfId="19486"/>
    <cellStyle name="Обычный 7 3 4 2 13" xfId="21180"/>
    <cellStyle name="Обычный 7 3 4 2 14" xfId="22792"/>
    <cellStyle name="Обычный 7 3 4 2 2" xfId="16866"/>
    <cellStyle name="Обычный 7 3 4 2 2 10" xfId="16867"/>
    <cellStyle name="Обычный 7 3 4 2 2 11" xfId="19487"/>
    <cellStyle name="Обычный 7 3 4 2 2 12" xfId="21181"/>
    <cellStyle name="Обычный 7 3 4 2 2 13" xfId="22793"/>
    <cellStyle name="Обычный 7 3 4 2 2 2" xfId="16868"/>
    <cellStyle name="Обычный 7 3 4 2 2 2 2" xfId="16869"/>
    <cellStyle name="Обычный 7 3 4 2 2 3" xfId="16870"/>
    <cellStyle name="Обычный 7 3 4 2 2 4" xfId="16871"/>
    <cellStyle name="Обычный 7 3 4 2 2 5" xfId="16872"/>
    <cellStyle name="Обычный 7 3 4 2 2 6" xfId="16873"/>
    <cellStyle name="Обычный 7 3 4 2 2 7" xfId="16874"/>
    <cellStyle name="Обычный 7 3 4 2 2 8" xfId="16875"/>
    <cellStyle name="Обычный 7 3 4 2 2 9" xfId="16876"/>
    <cellStyle name="Обычный 7 3 4 2 3" xfId="16877"/>
    <cellStyle name="Обычный 7 3 4 2 3 2" xfId="16878"/>
    <cellStyle name="Обычный 7 3 4 2 4" xfId="16879"/>
    <cellStyle name="Обычный 7 3 4 2 5" xfId="16880"/>
    <cellStyle name="Обычный 7 3 4 2 6" xfId="16881"/>
    <cellStyle name="Обычный 7 3 4 2 7" xfId="16882"/>
    <cellStyle name="Обычный 7 3 4 2 8" xfId="16883"/>
    <cellStyle name="Обычный 7 3 4 2 9" xfId="16884"/>
    <cellStyle name="Обычный 7 3 4 20" xfId="22791"/>
    <cellStyle name="Обычный 7 3 4 3" xfId="16885"/>
    <cellStyle name="Обычный 7 3 4 3 10" xfId="16886"/>
    <cellStyle name="Обычный 7 3 4 3 11" xfId="16887"/>
    <cellStyle name="Обычный 7 3 4 3 12" xfId="19488"/>
    <cellStyle name="Обычный 7 3 4 3 13" xfId="21182"/>
    <cellStyle name="Обычный 7 3 4 3 14" xfId="22794"/>
    <cellStyle name="Обычный 7 3 4 3 2" xfId="16888"/>
    <cellStyle name="Обычный 7 3 4 3 2 10" xfId="16889"/>
    <cellStyle name="Обычный 7 3 4 3 2 11" xfId="19489"/>
    <cellStyle name="Обычный 7 3 4 3 2 12" xfId="21183"/>
    <cellStyle name="Обычный 7 3 4 3 2 13" xfId="22795"/>
    <cellStyle name="Обычный 7 3 4 3 2 2" xfId="16890"/>
    <cellStyle name="Обычный 7 3 4 3 2 2 2" xfId="16891"/>
    <cellStyle name="Обычный 7 3 4 3 2 3" xfId="16892"/>
    <cellStyle name="Обычный 7 3 4 3 2 4" xfId="16893"/>
    <cellStyle name="Обычный 7 3 4 3 2 5" xfId="16894"/>
    <cellStyle name="Обычный 7 3 4 3 2 6" xfId="16895"/>
    <cellStyle name="Обычный 7 3 4 3 2 7" xfId="16896"/>
    <cellStyle name="Обычный 7 3 4 3 2 8" xfId="16897"/>
    <cellStyle name="Обычный 7 3 4 3 2 9" xfId="16898"/>
    <cellStyle name="Обычный 7 3 4 3 3" xfId="16899"/>
    <cellStyle name="Обычный 7 3 4 3 3 2" xfId="16900"/>
    <cellStyle name="Обычный 7 3 4 3 4" xfId="16901"/>
    <cellStyle name="Обычный 7 3 4 3 5" xfId="16902"/>
    <cellStyle name="Обычный 7 3 4 3 6" xfId="16903"/>
    <cellStyle name="Обычный 7 3 4 3 7" xfId="16904"/>
    <cellStyle name="Обычный 7 3 4 3 8" xfId="16905"/>
    <cellStyle name="Обычный 7 3 4 3 9" xfId="16906"/>
    <cellStyle name="Обычный 7 3 4 4" xfId="16907"/>
    <cellStyle name="Обычный 7 3 4 4 10" xfId="16908"/>
    <cellStyle name="Обычный 7 3 4 4 11" xfId="16909"/>
    <cellStyle name="Обычный 7 3 4 4 12" xfId="19490"/>
    <cellStyle name="Обычный 7 3 4 4 13" xfId="21184"/>
    <cellStyle name="Обычный 7 3 4 4 14" xfId="22796"/>
    <cellStyle name="Обычный 7 3 4 4 2" xfId="16910"/>
    <cellStyle name="Обычный 7 3 4 4 2 10" xfId="16911"/>
    <cellStyle name="Обычный 7 3 4 4 2 11" xfId="19491"/>
    <cellStyle name="Обычный 7 3 4 4 2 12" xfId="21185"/>
    <cellStyle name="Обычный 7 3 4 4 2 13" xfId="22797"/>
    <cellStyle name="Обычный 7 3 4 4 2 2" xfId="16912"/>
    <cellStyle name="Обычный 7 3 4 4 2 2 2" xfId="16913"/>
    <cellStyle name="Обычный 7 3 4 4 2 3" xfId="16914"/>
    <cellStyle name="Обычный 7 3 4 4 2 4" xfId="16915"/>
    <cellStyle name="Обычный 7 3 4 4 2 5" xfId="16916"/>
    <cellStyle name="Обычный 7 3 4 4 2 6" xfId="16917"/>
    <cellStyle name="Обычный 7 3 4 4 2 7" xfId="16918"/>
    <cellStyle name="Обычный 7 3 4 4 2 8" xfId="16919"/>
    <cellStyle name="Обычный 7 3 4 4 2 9" xfId="16920"/>
    <cellStyle name="Обычный 7 3 4 4 3" xfId="16921"/>
    <cellStyle name="Обычный 7 3 4 4 3 2" xfId="16922"/>
    <cellStyle name="Обычный 7 3 4 4 4" xfId="16923"/>
    <cellStyle name="Обычный 7 3 4 4 5" xfId="16924"/>
    <cellStyle name="Обычный 7 3 4 4 6" xfId="16925"/>
    <cellStyle name="Обычный 7 3 4 4 7" xfId="16926"/>
    <cellStyle name="Обычный 7 3 4 4 8" xfId="16927"/>
    <cellStyle name="Обычный 7 3 4 4 9" xfId="16928"/>
    <cellStyle name="Обычный 7 3 4 5" xfId="16929"/>
    <cellStyle name="Обычный 7 3 4 5 10" xfId="16930"/>
    <cellStyle name="Обычный 7 3 4 5 11" xfId="16931"/>
    <cellStyle name="Обычный 7 3 4 5 12" xfId="19492"/>
    <cellStyle name="Обычный 7 3 4 5 13" xfId="21186"/>
    <cellStyle name="Обычный 7 3 4 5 14" xfId="22798"/>
    <cellStyle name="Обычный 7 3 4 5 2" xfId="16932"/>
    <cellStyle name="Обычный 7 3 4 5 2 10" xfId="16933"/>
    <cellStyle name="Обычный 7 3 4 5 2 11" xfId="19493"/>
    <cellStyle name="Обычный 7 3 4 5 2 12" xfId="21187"/>
    <cellStyle name="Обычный 7 3 4 5 2 13" xfId="22799"/>
    <cellStyle name="Обычный 7 3 4 5 2 2" xfId="16934"/>
    <cellStyle name="Обычный 7 3 4 5 2 2 2" xfId="16935"/>
    <cellStyle name="Обычный 7 3 4 5 2 3" xfId="16936"/>
    <cellStyle name="Обычный 7 3 4 5 2 4" xfId="16937"/>
    <cellStyle name="Обычный 7 3 4 5 2 5" xfId="16938"/>
    <cellStyle name="Обычный 7 3 4 5 2 6" xfId="16939"/>
    <cellStyle name="Обычный 7 3 4 5 2 7" xfId="16940"/>
    <cellStyle name="Обычный 7 3 4 5 2 8" xfId="16941"/>
    <cellStyle name="Обычный 7 3 4 5 2 9" xfId="16942"/>
    <cellStyle name="Обычный 7 3 4 5 3" xfId="16943"/>
    <cellStyle name="Обычный 7 3 4 5 3 2" xfId="16944"/>
    <cellStyle name="Обычный 7 3 4 5 4" xfId="16945"/>
    <cellStyle name="Обычный 7 3 4 5 5" xfId="16946"/>
    <cellStyle name="Обычный 7 3 4 5 6" xfId="16947"/>
    <cellStyle name="Обычный 7 3 4 5 7" xfId="16948"/>
    <cellStyle name="Обычный 7 3 4 5 8" xfId="16949"/>
    <cellStyle name="Обычный 7 3 4 5 9" xfId="16950"/>
    <cellStyle name="Обычный 7 3 4 6" xfId="16951"/>
    <cellStyle name="Обычный 7 3 4 6 10" xfId="16952"/>
    <cellStyle name="Обычный 7 3 4 6 11" xfId="19494"/>
    <cellStyle name="Обычный 7 3 4 6 12" xfId="21188"/>
    <cellStyle name="Обычный 7 3 4 6 13" xfId="22800"/>
    <cellStyle name="Обычный 7 3 4 6 2" xfId="16953"/>
    <cellStyle name="Обычный 7 3 4 6 2 2" xfId="16954"/>
    <cellStyle name="Обычный 7 3 4 6 3" xfId="16955"/>
    <cellStyle name="Обычный 7 3 4 6 4" xfId="16956"/>
    <cellStyle name="Обычный 7 3 4 6 5" xfId="16957"/>
    <cellStyle name="Обычный 7 3 4 6 6" xfId="16958"/>
    <cellStyle name="Обычный 7 3 4 6 7" xfId="16959"/>
    <cellStyle name="Обычный 7 3 4 6 8" xfId="16960"/>
    <cellStyle name="Обычный 7 3 4 6 9" xfId="16961"/>
    <cellStyle name="Обычный 7 3 4 7" xfId="16962"/>
    <cellStyle name="Обычный 7 3 4 7 10" xfId="21189"/>
    <cellStyle name="Обычный 7 3 4 7 11" xfId="22801"/>
    <cellStyle name="Обычный 7 3 4 7 2" xfId="16963"/>
    <cellStyle name="Обычный 7 3 4 7 2 2" xfId="16964"/>
    <cellStyle name="Обычный 7 3 4 7 3" xfId="16965"/>
    <cellStyle name="Обычный 7 3 4 7 4" xfId="16966"/>
    <cellStyle name="Обычный 7 3 4 7 5" xfId="16967"/>
    <cellStyle name="Обычный 7 3 4 7 6" xfId="16968"/>
    <cellStyle name="Обычный 7 3 4 7 7" xfId="16969"/>
    <cellStyle name="Обычный 7 3 4 7 8" xfId="16970"/>
    <cellStyle name="Обычный 7 3 4 7 9" xfId="19495"/>
    <cellStyle name="Обычный 7 3 4 8" xfId="16971"/>
    <cellStyle name="Обычный 7 3 4 8 2" xfId="16972"/>
    <cellStyle name="Обычный 7 3 4 9" xfId="16973"/>
    <cellStyle name="Обычный 7 3 5" xfId="16974"/>
    <cellStyle name="Обычный 7 3 5 10" xfId="16975"/>
    <cellStyle name="Обычный 7 3 5 11" xfId="16976"/>
    <cellStyle name="Обычный 7 3 5 12" xfId="19496"/>
    <cellStyle name="Обычный 7 3 5 13" xfId="21190"/>
    <cellStyle name="Обычный 7 3 5 14" xfId="22802"/>
    <cellStyle name="Обычный 7 3 5 2" xfId="16977"/>
    <cellStyle name="Обычный 7 3 5 2 10" xfId="16978"/>
    <cellStyle name="Обычный 7 3 5 2 11" xfId="19497"/>
    <cellStyle name="Обычный 7 3 5 2 12" xfId="21191"/>
    <cellStyle name="Обычный 7 3 5 2 13" xfId="22803"/>
    <cellStyle name="Обычный 7 3 5 2 2" xfId="16979"/>
    <cellStyle name="Обычный 7 3 5 2 2 2" xfId="16980"/>
    <cellStyle name="Обычный 7 3 5 2 3" xfId="16981"/>
    <cellStyle name="Обычный 7 3 5 2 4" xfId="16982"/>
    <cellStyle name="Обычный 7 3 5 2 5" xfId="16983"/>
    <cellStyle name="Обычный 7 3 5 2 6" xfId="16984"/>
    <cellStyle name="Обычный 7 3 5 2 7" xfId="16985"/>
    <cellStyle name="Обычный 7 3 5 2 8" xfId="16986"/>
    <cellStyle name="Обычный 7 3 5 2 9" xfId="16987"/>
    <cellStyle name="Обычный 7 3 5 3" xfId="16988"/>
    <cellStyle name="Обычный 7 3 5 3 2" xfId="16989"/>
    <cellStyle name="Обычный 7 3 5 4" xfId="16990"/>
    <cellStyle name="Обычный 7 3 5 5" xfId="16991"/>
    <cellStyle name="Обычный 7 3 5 6" xfId="16992"/>
    <cellStyle name="Обычный 7 3 5 7" xfId="16993"/>
    <cellStyle name="Обычный 7 3 5 8" xfId="16994"/>
    <cellStyle name="Обычный 7 3 5 9" xfId="16995"/>
    <cellStyle name="Обычный 7 3 6" xfId="16996"/>
    <cellStyle name="Обычный 7 3 6 10" xfId="16997"/>
    <cellStyle name="Обычный 7 3 6 11" xfId="16998"/>
    <cellStyle name="Обычный 7 3 6 12" xfId="19498"/>
    <cellStyle name="Обычный 7 3 6 13" xfId="21192"/>
    <cellStyle name="Обычный 7 3 6 14" xfId="22804"/>
    <cellStyle name="Обычный 7 3 6 2" xfId="16999"/>
    <cellStyle name="Обычный 7 3 6 2 10" xfId="17000"/>
    <cellStyle name="Обычный 7 3 6 2 11" xfId="19499"/>
    <cellStyle name="Обычный 7 3 6 2 12" xfId="21193"/>
    <cellStyle name="Обычный 7 3 6 2 13" xfId="22805"/>
    <cellStyle name="Обычный 7 3 6 2 2" xfId="17001"/>
    <cellStyle name="Обычный 7 3 6 2 2 2" xfId="17002"/>
    <cellStyle name="Обычный 7 3 6 2 3" xfId="17003"/>
    <cellStyle name="Обычный 7 3 6 2 4" xfId="17004"/>
    <cellStyle name="Обычный 7 3 6 2 5" xfId="17005"/>
    <cellStyle name="Обычный 7 3 6 2 6" xfId="17006"/>
    <cellStyle name="Обычный 7 3 6 2 7" xfId="17007"/>
    <cellStyle name="Обычный 7 3 6 2 8" xfId="17008"/>
    <cellStyle name="Обычный 7 3 6 2 9" xfId="17009"/>
    <cellStyle name="Обычный 7 3 6 3" xfId="17010"/>
    <cellStyle name="Обычный 7 3 6 3 2" xfId="17011"/>
    <cellStyle name="Обычный 7 3 6 4" xfId="17012"/>
    <cellStyle name="Обычный 7 3 6 5" xfId="17013"/>
    <cellStyle name="Обычный 7 3 6 6" xfId="17014"/>
    <cellStyle name="Обычный 7 3 6 7" xfId="17015"/>
    <cellStyle name="Обычный 7 3 6 8" xfId="17016"/>
    <cellStyle name="Обычный 7 3 6 9" xfId="17017"/>
    <cellStyle name="Обычный 7 3 7" xfId="17018"/>
    <cellStyle name="Обычный 7 3 7 10" xfId="17019"/>
    <cellStyle name="Обычный 7 3 7 11" xfId="17020"/>
    <cellStyle name="Обычный 7 3 7 12" xfId="19500"/>
    <cellStyle name="Обычный 7 3 7 13" xfId="21194"/>
    <cellStyle name="Обычный 7 3 7 14" xfId="22806"/>
    <cellStyle name="Обычный 7 3 7 2" xfId="17021"/>
    <cellStyle name="Обычный 7 3 7 2 10" xfId="17022"/>
    <cellStyle name="Обычный 7 3 7 2 11" xfId="19501"/>
    <cellStyle name="Обычный 7 3 7 2 12" xfId="21195"/>
    <cellStyle name="Обычный 7 3 7 2 13" xfId="22807"/>
    <cellStyle name="Обычный 7 3 7 2 2" xfId="17023"/>
    <cellStyle name="Обычный 7 3 7 2 2 2" xfId="17024"/>
    <cellStyle name="Обычный 7 3 7 2 3" xfId="17025"/>
    <cellStyle name="Обычный 7 3 7 2 4" xfId="17026"/>
    <cellStyle name="Обычный 7 3 7 2 5" xfId="17027"/>
    <cellStyle name="Обычный 7 3 7 2 6" xfId="17028"/>
    <cellStyle name="Обычный 7 3 7 2 7" xfId="17029"/>
    <cellStyle name="Обычный 7 3 7 2 8" xfId="17030"/>
    <cellStyle name="Обычный 7 3 7 2 9" xfId="17031"/>
    <cellStyle name="Обычный 7 3 7 3" xfId="17032"/>
    <cellStyle name="Обычный 7 3 7 3 2" xfId="17033"/>
    <cellStyle name="Обычный 7 3 7 4" xfId="17034"/>
    <cellStyle name="Обычный 7 3 7 5" xfId="17035"/>
    <cellStyle name="Обычный 7 3 7 6" xfId="17036"/>
    <cellStyle name="Обычный 7 3 7 7" xfId="17037"/>
    <cellStyle name="Обычный 7 3 7 8" xfId="17038"/>
    <cellStyle name="Обычный 7 3 7 9" xfId="17039"/>
    <cellStyle name="Обычный 7 3 8" xfId="17040"/>
    <cellStyle name="Обычный 7 3 8 10" xfId="17041"/>
    <cellStyle name="Обычный 7 3 8 11" xfId="17042"/>
    <cellStyle name="Обычный 7 3 8 12" xfId="19502"/>
    <cellStyle name="Обычный 7 3 8 13" xfId="21196"/>
    <cellStyle name="Обычный 7 3 8 14" xfId="22808"/>
    <cellStyle name="Обычный 7 3 8 2" xfId="17043"/>
    <cellStyle name="Обычный 7 3 8 2 10" xfId="17044"/>
    <cellStyle name="Обычный 7 3 8 2 11" xfId="19503"/>
    <cellStyle name="Обычный 7 3 8 2 12" xfId="21197"/>
    <cellStyle name="Обычный 7 3 8 2 13" xfId="22809"/>
    <cellStyle name="Обычный 7 3 8 2 2" xfId="17045"/>
    <cellStyle name="Обычный 7 3 8 2 2 2" xfId="17046"/>
    <cellStyle name="Обычный 7 3 8 2 3" xfId="17047"/>
    <cellStyle name="Обычный 7 3 8 2 4" xfId="17048"/>
    <cellStyle name="Обычный 7 3 8 2 5" xfId="17049"/>
    <cellStyle name="Обычный 7 3 8 2 6" xfId="17050"/>
    <cellStyle name="Обычный 7 3 8 2 7" xfId="17051"/>
    <cellStyle name="Обычный 7 3 8 2 8" xfId="17052"/>
    <cellStyle name="Обычный 7 3 8 2 9" xfId="17053"/>
    <cellStyle name="Обычный 7 3 8 3" xfId="17054"/>
    <cellStyle name="Обычный 7 3 8 3 2" xfId="17055"/>
    <cellStyle name="Обычный 7 3 8 4" xfId="17056"/>
    <cellStyle name="Обычный 7 3 8 5" xfId="17057"/>
    <cellStyle name="Обычный 7 3 8 6" xfId="17058"/>
    <cellStyle name="Обычный 7 3 8 7" xfId="17059"/>
    <cellStyle name="Обычный 7 3 8 8" xfId="17060"/>
    <cellStyle name="Обычный 7 3 8 9" xfId="17061"/>
    <cellStyle name="Обычный 7 3 9" xfId="17062"/>
    <cellStyle name="Обычный 7 3 9 10" xfId="17063"/>
    <cellStyle name="Обычный 7 3 9 11" xfId="17064"/>
    <cellStyle name="Обычный 7 3 9 12" xfId="19504"/>
    <cellStyle name="Обычный 7 3 9 13" xfId="21198"/>
    <cellStyle name="Обычный 7 3 9 14" xfId="22810"/>
    <cellStyle name="Обычный 7 3 9 2" xfId="17065"/>
    <cellStyle name="Обычный 7 3 9 2 10" xfId="17066"/>
    <cellStyle name="Обычный 7 3 9 2 11" xfId="19505"/>
    <cellStyle name="Обычный 7 3 9 2 12" xfId="21199"/>
    <cellStyle name="Обычный 7 3 9 2 13" xfId="22811"/>
    <cellStyle name="Обычный 7 3 9 2 2" xfId="17067"/>
    <cellStyle name="Обычный 7 3 9 2 2 2" xfId="17068"/>
    <cellStyle name="Обычный 7 3 9 2 3" xfId="17069"/>
    <cellStyle name="Обычный 7 3 9 2 4" xfId="17070"/>
    <cellStyle name="Обычный 7 3 9 2 5" xfId="17071"/>
    <cellStyle name="Обычный 7 3 9 2 6" xfId="17072"/>
    <cellStyle name="Обычный 7 3 9 2 7" xfId="17073"/>
    <cellStyle name="Обычный 7 3 9 2 8" xfId="17074"/>
    <cellStyle name="Обычный 7 3 9 2 9" xfId="17075"/>
    <cellStyle name="Обычный 7 3 9 3" xfId="17076"/>
    <cellStyle name="Обычный 7 3 9 3 2" xfId="17077"/>
    <cellStyle name="Обычный 7 3 9 4" xfId="17078"/>
    <cellStyle name="Обычный 7 3 9 5" xfId="17079"/>
    <cellStyle name="Обычный 7 3 9 6" xfId="17080"/>
    <cellStyle name="Обычный 7 3 9 7" xfId="17081"/>
    <cellStyle name="Обычный 7 3 9 8" xfId="17082"/>
    <cellStyle name="Обычный 7 3 9 9" xfId="17083"/>
    <cellStyle name="Обычный 7 30" xfId="21044"/>
    <cellStyle name="Обычный 7 31" xfId="22656"/>
    <cellStyle name="Обычный 7 4" xfId="17084"/>
    <cellStyle name="Обычный 7 4 10" xfId="17085"/>
    <cellStyle name="Обычный 7 4 10 2" xfId="17086"/>
    <cellStyle name="Обычный 7 4 11" xfId="17087"/>
    <cellStyle name="Обычный 7 4 12" xfId="17088"/>
    <cellStyle name="Обычный 7 4 13" xfId="17089"/>
    <cellStyle name="Обычный 7 4 14" xfId="17090"/>
    <cellStyle name="Обычный 7 4 15" xfId="17091"/>
    <cellStyle name="Обычный 7 4 16" xfId="17092"/>
    <cellStyle name="Обычный 7 4 17" xfId="17093"/>
    <cellStyle name="Обычный 7 4 18" xfId="17094"/>
    <cellStyle name="Обычный 7 4 19" xfId="17095"/>
    <cellStyle name="Обычный 7 4 2" xfId="17096"/>
    <cellStyle name="Обычный 7 4 2 10" xfId="17097"/>
    <cellStyle name="Обычный 7 4 2 11" xfId="17098"/>
    <cellStyle name="Обычный 7 4 2 12" xfId="17099"/>
    <cellStyle name="Обычный 7 4 2 13" xfId="17100"/>
    <cellStyle name="Обычный 7 4 2 14" xfId="17101"/>
    <cellStyle name="Обычный 7 4 2 15" xfId="17102"/>
    <cellStyle name="Обычный 7 4 2 16" xfId="17103"/>
    <cellStyle name="Обычный 7 4 2 17" xfId="17104"/>
    <cellStyle name="Обычный 7 4 2 18" xfId="19507"/>
    <cellStyle name="Обычный 7 4 2 19" xfId="21201"/>
    <cellStyle name="Обычный 7 4 2 2" xfId="17105"/>
    <cellStyle name="Обычный 7 4 2 2 10" xfId="17106"/>
    <cellStyle name="Обычный 7 4 2 2 11" xfId="17107"/>
    <cellStyle name="Обычный 7 4 2 2 12" xfId="19508"/>
    <cellStyle name="Обычный 7 4 2 2 13" xfId="21202"/>
    <cellStyle name="Обычный 7 4 2 2 14" xfId="22814"/>
    <cellStyle name="Обычный 7 4 2 2 2" xfId="17108"/>
    <cellStyle name="Обычный 7 4 2 2 2 10" xfId="17109"/>
    <cellStyle name="Обычный 7 4 2 2 2 11" xfId="19509"/>
    <cellStyle name="Обычный 7 4 2 2 2 12" xfId="21203"/>
    <cellStyle name="Обычный 7 4 2 2 2 13" xfId="22815"/>
    <cellStyle name="Обычный 7 4 2 2 2 2" xfId="17110"/>
    <cellStyle name="Обычный 7 4 2 2 2 2 2" xfId="17111"/>
    <cellStyle name="Обычный 7 4 2 2 2 3" xfId="17112"/>
    <cellStyle name="Обычный 7 4 2 2 2 4" xfId="17113"/>
    <cellStyle name="Обычный 7 4 2 2 2 5" xfId="17114"/>
    <cellStyle name="Обычный 7 4 2 2 2 6" xfId="17115"/>
    <cellStyle name="Обычный 7 4 2 2 2 7" xfId="17116"/>
    <cellStyle name="Обычный 7 4 2 2 2 8" xfId="17117"/>
    <cellStyle name="Обычный 7 4 2 2 2 9" xfId="17118"/>
    <cellStyle name="Обычный 7 4 2 2 3" xfId="17119"/>
    <cellStyle name="Обычный 7 4 2 2 3 2" xfId="17120"/>
    <cellStyle name="Обычный 7 4 2 2 4" xfId="17121"/>
    <cellStyle name="Обычный 7 4 2 2 5" xfId="17122"/>
    <cellStyle name="Обычный 7 4 2 2 6" xfId="17123"/>
    <cellStyle name="Обычный 7 4 2 2 7" xfId="17124"/>
    <cellStyle name="Обычный 7 4 2 2 8" xfId="17125"/>
    <cellStyle name="Обычный 7 4 2 2 9" xfId="17126"/>
    <cellStyle name="Обычный 7 4 2 20" xfId="22813"/>
    <cellStyle name="Обычный 7 4 2 3" xfId="17127"/>
    <cellStyle name="Обычный 7 4 2 3 10" xfId="17128"/>
    <cellStyle name="Обычный 7 4 2 3 11" xfId="17129"/>
    <cellStyle name="Обычный 7 4 2 3 12" xfId="19510"/>
    <cellStyle name="Обычный 7 4 2 3 13" xfId="21204"/>
    <cellStyle name="Обычный 7 4 2 3 14" xfId="22816"/>
    <cellStyle name="Обычный 7 4 2 3 2" xfId="17130"/>
    <cellStyle name="Обычный 7 4 2 3 2 10" xfId="17131"/>
    <cellStyle name="Обычный 7 4 2 3 2 11" xfId="19511"/>
    <cellStyle name="Обычный 7 4 2 3 2 12" xfId="21205"/>
    <cellStyle name="Обычный 7 4 2 3 2 13" xfId="22817"/>
    <cellStyle name="Обычный 7 4 2 3 2 2" xfId="17132"/>
    <cellStyle name="Обычный 7 4 2 3 2 2 2" xfId="17133"/>
    <cellStyle name="Обычный 7 4 2 3 2 3" xfId="17134"/>
    <cellStyle name="Обычный 7 4 2 3 2 4" xfId="17135"/>
    <cellStyle name="Обычный 7 4 2 3 2 5" xfId="17136"/>
    <cellStyle name="Обычный 7 4 2 3 2 6" xfId="17137"/>
    <cellStyle name="Обычный 7 4 2 3 2 7" xfId="17138"/>
    <cellStyle name="Обычный 7 4 2 3 2 8" xfId="17139"/>
    <cellStyle name="Обычный 7 4 2 3 2 9" xfId="17140"/>
    <cellStyle name="Обычный 7 4 2 3 3" xfId="17141"/>
    <cellStyle name="Обычный 7 4 2 3 3 2" xfId="17142"/>
    <cellStyle name="Обычный 7 4 2 3 4" xfId="17143"/>
    <cellStyle name="Обычный 7 4 2 3 5" xfId="17144"/>
    <cellStyle name="Обычный 7 4 2 3 6" xfId="17145"/>
    <cellStyle name="Обычный 7 4 2 3 7" xfId="17146"/>
    <cellStyle name="Обычный 7 4 2 3 8" xfId="17147"/>
    <cellStyle name="Обычный 7 4 2 3 9" xfId="17148"/>
    <cellStyle name="Обычный 7 4 2 4" xfId="17149"/>
    <cellStyle name="Обычный 7 4 2 4 10" xfId="17150"/>
    <cellStyle name="Обычный 7 4 2 4 11" xfId="17151"/>
    <cellStyle name="Обычный 7 4 2 4 12" xfId="19512"/>
    <cellStyle name="Обычный 7 4 2 4 13" xfId="21206"/>
    <cellStyle name="Обычный 7 4 2 4 14" xfId="22818"/>
    <cellStyle name="Обычный 7 4 2 4 2" xfId="17152"/>
    <cellStyle name="Обычный 7 4 2 4 2 10" xfId="17153"/>
    <cellStyle name="Обычный 7 4 2 4 2 11" xfId="19513"/>
    <cellStyle name="Обычный 7 4 2 4 2 12" xfId="21207"/>
    <cellStyle name="Обычный 7 4 2 4 2 13" xfId="22819"/>
    <cellStyle name="Обычный 7 4 2 4 2 2" xfId="17154"/>
    <cellStyle name="Обычный 7 4 2 4 2 2 2" xfId="17155"/>
    <cellStyle name="Обычный 7 4 2 4 2 3" xfId="17156"/>
    <cellStyle name="Обычный 7 4 2 4 2 4" xfId="17157"/>
    <cellStyle name="Обычный 7 4 2 4 2 5" xfId="17158"/>
    <cellStyle name="Обычный 7 4 2 4 2 6" xfId="17159"/>
    <cellStyle name="Обычный 7 4 2 4 2 7" xfId="17160"/>
    <cellStyle name="Обычный 7 4 2 4 2 8" xfId="17161"/>
    <cellStyle name="Обычный 7 4 2 4 2 9" xfId="17162"/>
    <cellStyle name="Обычный 7 4 2 4 3" xfId="17163"/>
    <cellStyle name="Обычный 7 4 2 4 3 2" xfId="17164"/>
    <cellStyle name="Обычный 7 4 2 4 4" xfId="17165"/>
    <cellStyle name="Обычный 7 4 2 4 5" xfId="17166"/>
    <cellStyle name="Обычный 7 4 2 4 6" xfId="17167"/>
    <cellStyle name="Обычный 7 4 2 4 7" xfId="17168"/>
    <cellStyle name="Обычный 7 4 2 4 8" xfId="17169"/>
    <cellStyle name="Обычный 7 4 2 4 9" xfId="17170"/>
    <cellStyle name="Обычный 7 4 2 5" xfId="17171"/>
    <cellStyle name="Обычный 7 4 2 5 10" xfId="17172"/>
    <cellStyle name="Обычный 7 4 2 5 11" xfId="17173"/>
    <cellStyle name="Обычный 7 4 2 5 12" xfId="19514"/>
    <cellStyle name="Обычный 7 4 2 5 13" xfId="21208"/>
    <cellStyle name="Обычный 7 4 2 5 14" xfId="22820"/>
    <cellStyle name="Обычный 7 4 2 5 2" xfId="17174"/>
    <cellStyle name="Обычный 7 4 2 5 2 10" xfId="17175"/>
    <cellStyle name="Обычный 7 4 2 5 2 11" xfId="19515"/>
    <cellStyle name="Обычный 7 4 2 5 2 12" xfId="21209"/>
    <cellStyle name="Обычный 7 4 2 5 2 13" xfId="22821"/>
    <cellStyle name="Обычный 7 4 2 5 2 2" xfId="17176"/>
    <cellStyle name="Обычный 7 4 2 5 2 2 2" xfId="17177"/>
    <cellStyle name="Обычный 7 4 2 5 2 3" xfId="17178"/>
    <cellStyle name="Обычный 7 4 2 5 2 4" xfId="17179"/>
    <cellStyle name="Обычный 7 4 2 5 2 5" xfId="17180"/>
    <cellStyle name="Обычный 7 4 2 5 2 6" xfId="17181"/>
    <cellStyle name="Обычный 7 4 2 5 2 7" xfId="17182"/>
    <cellStyle name="Обычный 7 4 2 5 2 8" xfId="17183"/>
    <cellStyle name="Обычный 7 4 2 5 2 9" xfId="17184"/>
    <cellStyle name="Обычный 7 4 2 5 3" xfId="17185"/>
    <cellStyle name="Обычный 7 4 2 5 3 2" xfId="17186"/>
    <cellStyle name="Обычный 7 4 2 5 4" xfId="17187"/>
    <cellStyle name="Обычный 7 4 2 5 5" xfId="17188"/>
    <cellStyle name="Обычный 7 4 2 5 6" xfId="17189"/>
    <cellStyle name="Обычный 7 4 2 5 7" xfId="17190"/>
    <cellStyle name="Обычный 7 4 2 5 8" xfId="17191"/>
    <cellStyle name="Обычный 7 4 2 5 9" xfId="17192"/>
    <cellStyle name="Обычный 7 4 2 6" xfId="17193"/>
    <cellStyle name="Обычный 7 4 2 6 10" xfId="17194"/>
    <cellStyle name="Обычный 7 4 2 6 11" xfId="19516"/>
    <cellStyle name="Обычный 7 4 2 6 12" xfId="21210"/>
    <cellStyle name="Обычный 7 4 2 6 13" xfId="22822"/>
    <cellStyle name="Обычный 7 4 2 6 2" xfId="17195"/>
    <cellStyle name="Обычный 7 4 2 6 2 2" xfId="17196"/>
    <cellStyle name="Обычный 7 4 2 6 3" xfId="17197"/>
    <cellStyle name="Обычный 7 4 2 6 4" xfId="17198"/>
    <cellStyle name="Обычный 7 4 2 6 5" xfId="17199"/>
    <cellStyle name="Обычный 7 4 2 6 6" xfId="17200"/>
    <cellStyle name="Обычный 7 4 2 6 7" xfId="17201"/>
    <cellStyle name="Обычный 7 4 2 6 8" xfId="17202"/>
    <cellStyle name="Обычный 7 4 2 6 9" xfId="17203"/>
    <cellStyle name="Обычный 7 4 2 7" xfId="17204"/>
    <cellStyle name="Обычный 7 4 2 7 10" xfId="21211"/>
    <cellStyle name="Обычный 7 4 2 7 11" xfId="22823"/>
    <cellStyle name="Обычный 7 4 2 7 2" xfId="17205"/>
    <cellStyle name="Обычный 7 4 2 7 2 2" xfId="17206"/>
    <cellStyle name="Обычный 7 4 2 7 3" xfId="17207"/>
    <cellStyle name="Обычный 7 4 2 7 4" xfId="17208"/>
    <cellStyle name="Обычный 7 4 2 7 5" xfId="17209"/>
    <cellStyle name="Обычный 7 4 2 7 6" xfId="17210"/>
    <cellStyle name="Обычный 7 4 2 7 7" xfId="17211"/>
    <cellStyle name="Обычный 7 4 2 7 8" xfId="17212"/>
    <cellStyle name="Обычный 7 4 2 7 9" xfId="19517"/>
    <cellStyle name="Обычный 7 4 2 8" xfId="17213"/>
    <cellStyle name="Обычный 7 4 2 8 2" xfId="17214"/>
    <cellStyle name="Обычный 7 4 2 9" xfId="17215"/>
    <cellStyle name="Обычный 7 4 20" xfId="19506"/>
    <cellStyle name="Обычный 7 4 21" xfId="21200"/>
    <cellStyle name="Обычный 7 4 22" xfId="22812"/>
    <cellStyle name="Обычный 7 4 3" xfId="17216"/>
    <cellStyle name="Обычный 7 4 3 10" xfId="17217"/>
    <cellStyle name="Обычный 7 4 3 11" xfId="17218"/>
    <cellStyle name="Обычный 7 4 3 12" xfId="17219"/>
    <cellStyle name="Обычный 7 4 3 13" xfId="17220"/>
    <cellStyle name="Обычный 7 4 3 14" xfId="17221"/>
    <cellStyle name="Обычный 7 4 3 15" xfId="17222"/>
    <cellStyle name="Обычный 7 4 3 16" xfId="17223"/>
    <cellStyle name="Обычный 7 4 3 17" xfId="17224"/>
    <cellStyle name="Обычный 7 4 3 18" xfId="19518"/>
    <cellStyle name="Обычный 7 4 3 19" xfId="21212"/>
    <cellStyle name="Обычный 7 4 3 2" xfId="17225"/>
    <cellStyle name="Обычный 7 4 3 2 10" xfId="17226"/>
    <cellStyle name="Обычный 7 4 3 2 11" xfId="17227"/>
    <cellStyle name="Обычный 7 4 3 2 12" xfId="19519"/>
    <cellStyle name="Обычный 7 4 3 2 13" xfId="21213"/>
    <cellStyle name="Обычный 7 4 3 2 14" xfId="22825"/>
    <cellStyle name="Обычный 7 4 3 2 2" xfId="17228"/>
    <cellStyle name="Обычный 7 4 3 2 2 10" xfId="17229"/>
    <cellStyle name="Обычный 7 4 3 2 2 11" xfId="19520"/>
    <cellStyle name="Обычный 7 4 3 2 2 12" xfId="21214"/>
    <cellStyle name="Обычный 7 4 3 2 2 13" xfId="22826"/>
    <cellStyle name="Обычный 7 4 3 2 2 2" xfId="17230"/>
    <cellStyle name="Обычный 7 4 3 2 2 2 2" xfId="17231"/>
    <cellStyle name="Обычный 7 4 3 2 2 3" xfId="17232"/>
    <cellStyle name="Обычный 7 4 3 2 2 4" xfId="17233"/>
    <cellStyle name="Обычный 7 4 3 2 2 5" xfId="17234"/>
    <cellStyle name="Обычный 7 4 3 2 2 6" xfId="17235"/>
    <cellStyle name="Обычный 7 4 3 2 2 7" xfId="17236"/>
    <cellStyle name="Обычный 7 4 3 2 2 8" xfId="17237"/>
    <cellStyle name="Обычный 7 4 3 2 2 9" xfId="17238"/>
    <cellStyle name="Обычный 7 4 3 2 3" xfId="17239"/>
    <cellStyle name="Обычный 7 4 3 2 3 2" xfId="17240"/>
    <cellStyle name="Обычный 7 4 3 2 4" xfId="17241"/>
    <cellStyle name="Обычный 7 4 3 2 5" xfId="17242"/>
    <cellStyle name="Обычный 7 4 3 2 6" xfId="17243"/>
    <cellStyle name="Обычный 7 4 3 2 7" xfId="17244"/>
    <cellStyle name="Обычный 7 4 3 2 8" xfId="17245"/>
    <cellStyle name="Обычный 7 4 3 2 9" xfId="17246"/>
    <cellStyle name="Обычный 7 4 3 20" xfId="22824"/>
    <cellStyle name="Обычный 7 4 3 3" xfId="17247"/>
    <cellStyle name="Обычный 7 4 3 3 10" xfId="17248"/>
    <cellStyle name="Обычный 7 4 3 3 11" xfId="17249"/>
    <cellStyle name="Обычный 7 4 3 3 12" xfId="19521"/>
    <cellStyle name="Обычный 7 4 3 3 13" xfId="21215"/>
    <cellStyle name="Обычный 7 4 3 3 14" xfId="22827"/>
    <cellStyle name="Обычный 7 4 3 3 2" xfId="17250"/>
    <cellStyle name="Обычный 7 4 3 3 2 10" xfId="17251"/>
    <cellStyle name="Обычный 7 4 3 3 2 11" xfId="19522"/>
    <cellStyle name="Обычный 7 4 3 3 2 12" xfId="21216"/>
    <cellStyle name="Обычный 7 4 3 3 2 13" xfId="22828"/>
    <cellStyle name="Обычный 7 4 3 3 2 2" xfId="17252"/>
    <cellStyle name="Обычный 7 4 3 3 2 2 2" xfId="17253"/>
    <cellStyle name="Обычный 7 4 3 3 2 3" xfId="17254"/>
    <cellStyle name="Обычный 7 4 3 3 2 4" xfId="17255"/>
    <cellStyle name="Обычный 7 4 3 3 2 5" xfId="17256"/>
    <cellStyle name="Обычный 7 4 3 3 2 6" xfId="17257"/>
    <cellStyle name="Обычный 7 4 3 3 2 7" xfId="17258"/>
    <cellStyle name="Обычный 7 4 3 3 2 8" xfId="17259"/>
    <cellStyle name="Обычный 7 4 3 3 2 9" xfId="17260"/>
    <cellStyle name="Обычный 7 4 3 3 3" xfId="17261"/>
    <cellStyle name="Обычный 7 4 3 3 3 2" xfId="17262"/>
    <cellStyle name="Обычный 7 4 3 3 4" xfId="17263"/>
    <cellStyle name="Обычный 7 4 3 3 5" xfId="17264"/>
    <cellStyle name="Обычный 7 4 3 3 6" xfId="17265"/>
    <cellStyle name="Обычный 7 4 3 3 7" xfId="17266"/>
    <cellStyle name="Обычный 7 4 3 3 8" xfId="17267"/>
    <cellStyle name="Обычный 7 4 3 3 9" xfId="17268"/>
    <cellStyle name="Обычный 7 4 3 4" xfId="17269"/>
    <cellStyle name="Обычный 7 4 3 4 10" xfId="17270"/>
    <cellStyle name="Обычный 7 4 3 4 11" xfId="17271"/>
    <cellStyle name="Обычный 7 4 3 4 12" xfId="19523"/>
    <cellStyle name="Обычный 7 4 3 4 13" xfId="21217"/>
    <cellStyle name="Обычный 7 4 3 4 14" xfId="22829"/>
    <cellStyle name="Обычный 7 4 3 4 2" xfId="17272"/>
    <cellStyle name="Обычный 7 4 3 4 2 10" xfId="17273"/>
    <cellStyle name="Обычный 7 4 3 4 2 11" xfId="19524"/>
    <cellStyle name="Обычный 7 4 3 4 2 12" xfId="21218"/>
    <cellStyle name="Обычный 7 4 3 4 2 13" xfId="22830"/>
    <cellStyle name="Обычный 7 4 3 4 2 2" xfId="17274"/>
    <cellStyle name="Обычный 7 4 3 4 2 2 2" xfId="17275"/>
    <cellStyle name="Обычный 7 4 3 4 2 3" xfId="17276"/>
    <cellStyle name="Обычный 7 4 3 4 2 4" xfId="17277"/>
    <cellStyle name="Обычный 7 4 3 4 2 5" xfId="17278"/>
    <cellStyle name="Обычный 7 4 3 4 2 6" xfId="17279"/>
    <cellStyle name="Обычный 7 4 3 4 2 7" xfId="17280"/>
    <cellStyle name="Обычный 7 4 3 4 2 8" xfId="17281"/>
    <cellStyle name="Обычный 7 4 3 4 2 9" xfId="17282"/>
    <cellStyle name="Обычный 7 4 3 4 3" xfId="17283"/>
    <cellStyle name="Обычный 7 4 3 4 3 2" xfId="17284"/>
    <cellStyle name="Обычный 7 4 3 4 4" xfId="17285"/>
    <cellStyle name="Обычный 7 4 3 4 5" xfId="17286"/>
    <cellStyle name="Обычный 7 4 3 4 6" xfId="17287"/>
    <cellStyle name="Обычный 7 4 3 4 7" xfId="17288"/>
    <cellStyle name="Обычный 7 4 3 4 8" xfId="17289"/>
    <cellStyle name="Обычный 7 4 3 4 9" xfId="17290"/>
    <cellStyle name="Обычный 7 4 3 5" xfId="17291"/>
    <cellStyle name="Обычный 7 4 3 5 10" xfId="17292"/>
    <cellStyle name="Обычный 7 4 3 5 11" xfId="17293"/>
    <cellStyle name="Обычный 7 4 3 5 12" xfId="19525"/>
    <cellStyle name="Обычный 7 4 3 5 13" xfId="21219"/>
    <cellStyle name="Обычный 7 4 3 5 14" xfId="22831"/>
    <cellStyle name="Обычный 7 4 3 5 2" xfId="17294"/>
    <cellStyle name="Обычный 7 4 3 5 2 10" xfId="17295"/>
    <cellStyle name="Обычный 7 4 3 5 2 11" xfId="19526"/>
    <cellStyle name="Обычный 7 4 3 5 2 12" xfId="21220"/>
    <cellStyle name="Обычный 7 4 3 5 2 13" xfId="22832"/>
    <cellStyle name="Обычный 7 4 3 5 2 2" xfId="17296"/>
    <cellStyle name="Обычный 7 4 3 5 2 2 2" xfId="17297"/>
    <cellStyle name="Обычный 7 4 3 5 2 3" xfId="17298"/>
    <cellStyle name="Обычный 7 4 3 5 2 4" xfId="17299"/>
    <cellStyle name="Обычный 7 4 3 5 2 5" xfId="17300"/>
    <cellStyle name="Обычный 7 4 3 5 2 6" xfId="17301"/>
    <cellStyle name="Обычный 7 4 3 5 2 7" xfId="17302"/>
    <cellStyle name="Обычный 7 4 3 5 2 8" xfId="17303"/>
    <cellStyle name="Обычный 7 4 3 5 2 9" xfId="17304"/>
    <cellStyle name="Обычный 7 4 3 5 3" xfId="17305"/>
    <cellStyle name="Обычный 7 4 3 5 3 2" xfId="17306"/>
    <cellStyle name="Обычный 7 4 3 5 4" xfId="17307"/>
    <cellStyle name="Обычный 7 4 3 5 5" xfId="17308"/>
    <cellStyle name="Обычный 7 4 3 5 6" xfId="17309"/>
    <cellStyle name="Обычный 7 4 3 5 7" xfId="17310"/>
    <cellStyle name="Обычный 7 4 3 5 8" xfId="17311"/>
    <cellStyle name="Обычный 7 4 3 5 9" xfId="17312"/>
    <cellStyle name="Обычный 7 4 3 6" xfId="17313"/>
    <cellStyle name="Обычный 7 4 3 6 10" xfId="17314"/>
    <cellStyle name="Обычный 7 4 3 6 11" xfId="19527"/>
    <cellStyle name="Обычный 7 4 3 6 12" xfId="21221"/>
    <cellStyle name="Обычный 7 4 3 6 13" xfId="22833"/>
    <cellStyle name="Обычный 7 4 3 6 2" xfId="17315"/>
    <cellStyle name="Обычный 7 4 3 6 2 2" xfId="17316"/>
    <cellStyle name="Обычный 7 4 3 6 3" xfId="17317"/>
    <cellStyle name="Обычный 7 4 3 6 4" xfId="17318"/>
    <cellStyle name="Обычный 7 4 3 6 5" xfId="17319"/>
    <cellStyle name="Обычный 7 4 3 6 6" xfId="17320"/>
    <cellStyle name="Обычный 7 4 3 6 7" xfId="17321"/>
    <cellStyle name="Обычный 7 4 3 6 8" xfId="17322"/>
    <cellStyle name="Обычный 7 4 3 6 9" xfId="17323"/>
    <cellStyle name="Обычный 7 4 3 7" xfId="17324"/>
    <cellStyle name="Обычный 7 4 3 7 10" xfId="21222"/>
    <cellStyle name="Обычный 7 4 3 7 11" xfId="22834"/>
    <cellStyle name="Обычный 7 4 3 7 2" xfId="17325"/>
    <cellStyle name="Обычный 7 4 3 7 2 2" xfId="17326"/>
    <cellStyle name="Обычный 7 4 3 7 3" xfId="17327"/>
    <cellStyle name="Обычный 7 4 3 7 4" xfId="17328"/>
    <cellStyle name="Обычный 7 4 3 7 5" xfId="17329"/>
    <cellStyle name="Обычный 7 4 3 7 6" xfId="17330"/>
    <cellStyle name="Обычный 7 4 3 7 7" xfId="17331"/>
    <cellStyle name="Обычный 7 4 3 7 8" xfId="17332"/>
    <cellStyle name="Обычный 7 4 3 7 9" xfId="19528"/>
    <cellStyle name="Обычный 7 4 3 8" xfId="17333"/>
    <cellStyle name="Обычный 7 4 3 8 2" xfId="17334"/>
    <cellStyle name="Обычный 7 4 3 9" xfId="17335"/>
    <cellStyle name="Обычный 7 4 4" xfId="17336"/>
    <cellStyle name="Обычный 7 4 4 10" xfId="17337"/>
    <cellStyle name="Обычный 7 4 4 11" xfId="17338"/>
    <cellStyle name="Обычный 7 4 4 12" xfId="19529"/>
    <cellStyle name="Обычный 7 4 4 13" xfId="21223"/>
    <cellStyle name="Обычный 7 4 4 14" xfId="22835"/>
    <cellStyle name="Обычный 7 4 4 2" xfId="17339"/>
    <cellStyle name="Обычный 7 4 4 2 10" xfId="17340"/>
    <cellStyle name="Обычный 7 4 4 2 11" xfId="19530"/>
    <cellStyle name="Обычный 7 4 4 2 12" xfId="21224"/>
    <cellStyle name="Обычный 7 4 4 2 13" xfId="22836"/>
    <cellStyle name="Обычный 7 4 4 2 2" xfId="17341"/>
    <cellStyle name="Обычный 7 4 4 2 2 2" xfId="17342"/>
    <cellStyle name="Обычный 7 4 4 2 3" xfId="17343"/>
    <cellStyle name="Обычный 7 4 4 2 4" xfId="17344"/>
    <cellStyle name="Обычный 7 4 4 2 5" xfId="17345"/>
    <cellStyle name="Обычный 7 4 4 2 6" xfId="17346"/>
    <cellStyle name="Обычный 7 4 4 2 7" xfId="17347"/>
    <cellStyle name="Обычный 7 4 4 2 8" xfId="17348"/>
    <cellStyle name="Обычный 7 4 4 2 9" xfId="17349"/>
    <cellStyle name="Обычный 7 4 4 3" xfId="17350"/>
    <cellStyle name="Обычный 7 4 4 3 2" xfId="17351"/>
    <cellStyle name="Обычный 7 4 4 4" xfId="17352"/>
    <cellStyle name="Обычный 7 4 4 5" xfId="17353"/>
    <cellStyle name="Обычный 7 4 4 6" xfId="17354"/>
    <cellStyle name="Обычный 7 4 4 7" xfId="17355"/>
    <cellStyle name="Обычный 7 4 4 8" xfId="17356"/>
    <cellStyle name="Обычный 7 4 4 9" xfId="17357"/>
    <cellStyle name="Обычный 7 4 5" xfId="17358"/>
    <cellStyle name="Обычный 7 4 5 10" xfId="17359"/>
    <cellStyle name="Обычный 7 4 5 11" xfId="17360"/>
    <cellStyle name="Обычный 7 4 5 12" xfId="19531"/>
    <cellStyle name="Обычный 7 4 5 13" xfId="21225"/>
    <cellStyle name="Обычный 7 4 5 14" xfId="22837"/>
    <cellStyle name="Обычный 7 4 5 2" xfId="17361"/>
    <cellStyle name="Обычный 7 4 5 2 10" xfId="17362"/>
    <cellStyle name="Обычный 7 4 5 2 11" xfId="19532"/>
    <cellStyle name="Обычный 7 4 5 2 12" xfId="21226"/>
    <cellStyle name="Обычный 7 4 5 2 13" xfId="22838"/>
    <cellStyle name="Обычный 7 4 5 2 2" xfId="17363"/>
    <cellStyle name="Обычный 7 4 5 2 2 2" xfId="17364"/>
    <cellStyle name="Обычный 7 4 5 2 3" xfId="17365"/>
    <cellStyle name="Обычный 7 4 5 2 4" xfId="17366"/>
    <cellStyle name="Обычный 7 4 5 2 5" xfId="17367"/>
    <cellStyle name="Обычный 7 4 5 2 6" xfId="17368"/>
    <cellStyle name="Обычный 7 4 5 2 7" xfId="17369"/>
    <cellStyle name="Обычный 7 4 5 2 8" xfId="17370"/>
    <cellStyle name="Обычный 7 4 5 2 9" xfId="17371"/>
    <cellStyle name="Обычный 7 4 5 3" xfId="17372"/>
    <cellStyle name="Обычный 7 4 5 3 2" xfId="17373"/>
    <cellStyle name="Обычный 7 4 5 4" xfId="17374"/>
    <cellStyle name="Обычный 7 4 5 5" xfId="17375"/>
    <cellStyle name="Обычный 7 4 5 6" xfId="17376"/>
    <cellStyle name="Обычный 7 4 5 7" xfId="17377"/>
    <cellStyle name="Обычный 7 4 5 8" xfId="17378"/>
    <cellStyle name="Обычный 7 4 5 9" xfId="17379"/>
    <cellStyle name="Обычный 7 4 6" xfId="17380"/>
    <cellStyle name="Обычный 7 4 6 10" xfId="17381"/>
    <cellStyle name="Обычный 7 4 6 11" xfId="17382"/>
    <cellStyle name="Обычный 7 4 6 12" xfId="19533"/>
    <cellStyle name="Обычный 7 4 6 13" xfId="21227"/>
    <cellStyle name="Обычный 7 4 6 14" xfId="22839"/>
    <cellStyle name="Обычный 7 4 6 2" xfId="17383"/>
    <cellStyle name="Обычный 7 4 6 2 10" xfId="17384"/>
    <cellStyle name="Обычный 7 4 6 2 11" xfId="19534"/>
    <cellStyle name="Обычный 7 4 6 2 12" xfId="21228"/>
    <cellStyle name="Обычный 7 4 6 2 13" xfId="22840"/>
    <cellStyle name="Обычный 7 4 6 2 2" xfId="17385"/>
    <cellStyle name="Обычный 7 4 6 2 2 2" xfId="17386"/>
    <cellStyle name="Обычный 7 4 6 2 3" xfId="17387"/>
    <cellStyle name="Обычный 7 4 6 2 4" xfId="17388"/>
    <cellStyle name="Обычный 7 4 6 2 5" xfId="17389"/>
    <cellStyle name="Обычный 7 4 6 2 6" xfId="17390"/>
    <cellStyle name="Обычный 7 4 6 2 7" xfId="17391"/>
    <cellStyle name="Обычный 7 4 6 2 8" xfId="17392"/>
    <cellStyle name="Обычный 7 4 6 2 9" xfId="17393"/>
    <cellStyle name="Обычный 7 4 6 3" xfId="17394"/>
    <cellStyle name="Обычный 7 4 6 3 2" xfId="17395"/>
    <cellStyle name="Обычный 7 4 6 4" xfId="17396"/>
    <cellStyle name="Обычный 7 4 6 5" xfId="17397"/>
    <cellStyle name="Обычный 7 4 6 6" xfId="17398"/>
    <cellStyle name="Обычный 7 4 6 7" xfId="17399"/>
    <cellStyle name="Обычный 7 4 6 8" xfId="17400"/>
    <cellStyle name="Обычный 7 4 6 9" xfId="17401"/>
    <cellStyle name="Обычный 7 4 7" xfId="17402"/>
    <cellStyle name="Обычный 7 4 7 10" xfId="17403"/>
    <cellStyle name="Обычный 7 4 7 11" xfId="17404"/>
    <cellStyle name="Обычный 7 4 7 12" xfId="19535"/>
    <cellStyle name="Обычный 7 4 7 13" xfId="21229"/>
    <cellStyle name="Обычный 7 4 7 14" xfId="22841"/>
    <cellStyle name="Обычный 7 4 7 2" xfId="17405"/>
    <cellStyle name="Обычный 7 4 7 2 10" xfId="17406"/>
    <cellStyle name="Обычный 7 4 7 2 11" xfId="19536"/>
    <cellStyle name="Обычный 7 4 7 2 12" xfId="21230"/>
    <cellStyle name="Обычный 7 4 7 2 13" xfId="22842"/>
    <cellStyle name="Обычный 7 4 7 2 2" xfId="17407"/>
    <cellStyle name="Обычный 7 4 7 2 2 2" xfId="17408"/>
    <cellStyle name="Обычный 7 4 7 2 3" xfId="17409"/>
    <cellStyle name="Обычный 7 4 7 2 4" xfId="17410"/>
    <cellStyle name="Обычный 7 4 7 2 5" xfId="17411"/>
    <cellStyle name="Обычный 7 4 7 2 6" xfId="17412"/>
    <cellStyle name="Обычный 7 4 7 2 7" xfId="17413"/>
    <cellStyle name="Обычный 7 4 7 2 8" xfId="17414"/>
    <cellStyle name="Обычный 7 4 7 2 9" xfId="17415"/>
    <cellStyle name="Обычный 7 4 7 3" xfId="17416"/>
    <cellStyle name="Обычный 7 4 7 3 2" xfId="17417"/>
    <cellStyle name="Обычный 7 4 7 4" xfId="17418"/>
    <cellStyle name="Обычный 7 4 7 5" xfId="17419"/>
    <cellStyle name="Обычный 7 4 7 6" xfId="17420"/>
    <cellStyle name="Обычный 7 4 7 7" xfId="17421"/>
    <cellStyle name="Обычный 7 4 7 8" xfId="17422"/>
    <cellStyle name="Обычный 7 4 7 9" xfId="17423"/>
    <cellStyle name="Обычный 7 4 8" xfId="17424"/>
    <cellStyle name="Обычный 7 4 8 10" xfId="17425"/>
    <cellStyle name="Обычный 7 4 8 11" xfId="19537"/>
    <cellStyle name="Обычный 7 4 8 12" xfId="21231"/>
    <cellStyle name="Обычный 7 4 8 13" xfId="22843"/>
    <cellStyle name="Обычный 7 4 8 2" xfId="17426"/>
    <cellStyle name="Обычный 7 4 8 2 2" xfId="17427"/>
    <cellStyle name="Обычный 7 4 8 3" xfId="17428"/>
    <cellStyle name="Обычный 7 4 8 4" xfId="17429"/>
    <cellStyle name="Обычный 7 4 8 5" xfId="17430"/>
    <cellStyle name="Обычный 7 4 8 6" xfId="17431"/>
    <cellStyle name="Обычный 7 4 8 7" xfId="17432"/>
    <cellStyle name="Обычный 7 4 8 8" xfId="17433"/>
    <cellStyle name="Обычный 7 4 8 9" xfId="17434"/>
    <cellStyle name="Обычный 7 4 9" xfId="17435"/>
    <cellStyle name="Обычный 7 4 9 10" xfId="21232"/>
    <cellStyle name="Обычный 7 4 9 11" xfId="22844"/>
    <cellStyle name="Обычный 7 4 9 2" xfId="17436"/>
    <cellStyle name="Обычный 7 4 9 2 2" xfId="17437"/>
    <cellStyle name="Обычный 7 4 9 3" xfId="17438"/>
    <cellStyle name="Обычный 7 4 9 4" xfId="17439"/>
    <cellStyle name="Обычный 7 4 9 5" xfId="17440"/>
    <cellStyle name="Обычный 7 4 9 6" xfId="17441"/>
    <cellStyle name="Обычный 7 4 9 7" xfId="17442"/>
    <cellStyle name="Обычный 7 4 9 8" xfId="17443"/>
    <cellStyle name="Обычный 7 4 9 9" xfId="19538"/>
    <cellStyle name="Обычный 7 5" xfId="17444"/>
    <cellStyle name="Обычный 7 5 10" xfId="17445"/>
    <cellStyle name="Обычный 7 5 11" xfId="17446"/>
    <cellStyle name="Обычный 7 5 12" xfId="17447"/>
    <cellStyle name="Обычный 7 5 13" xfId="17448"/>
    <cellStyle name="Обычный 7 5 14" xfId="17449"/>
    <cellStyle name="Обычный 7 5 15" xfId="17450"/>
    <cellStyle name="Обычный 7 5 16" xfId="17451"/>
    <cellStyle name="Обычный 7 5 17" xfId="17452"/>
    <cellStyle name="Обычный 7 5 18" xfId="19539"/>
    <cellStyle name="Обычный 7 5 19" xfId="21233"/>
    <cellStyle name="Обычный 7 5 2" xfId="17453"/>
    <cellStyle name="Обычный 7 5 2 10" xfId="17454"/>
    <cellStyle name="Обычный 7 5 2 11" xfId="17455"/>
    <cellStyle name="Обычный 7 5 2 12" xfId="19540"/>
    <cellStyle name="Обычный 7 5 2 13" xfId="21234"/>
    <cellStyle name="Обычный 7 5 2 14" xfId="22846"/>
    <cellStyle name="Обычный 7 5 2 2" xfId="17456"/>
    <cellStyle name="Обычный 7 5 2 2 10" xfId="17457"/>
    <cellStyle name="Обычный 7 5 2 2 11" xfId="19541"/>
    <cellStyle name="Обычный 7 5 2 2 12" xfId="21235"/>
    <cellStyle name="Обычный 7 5 2 2 13" xfId="22847"/>
    <cellStyle name="Обычный 7 5 2 2 2" xfId="17458"/>
    <cellStyle name="Обычный 7 5 2 2 2 2" xfId="17459"/>
    <cellStyle name="Обычный 7 5 2 2 3" xfId="17460"/>
    <cellStyle name="Обычный 7 5 2 2 4" xfId="17461"/>
    <cellStyle name="Обычный 7 5 2 2 5" xfId="17462"/>
    <cellStyle name="Обычный 7 5 2 2 6" xfId="17463"/>
    <cellStyle name="Обычный 7 5 2 2 7" xfId="17464"/>
    <cellStyle name="Обычный 7 5 2 2 8" xfId="17465"/>
    <cellStyle name="Обычный 7 5 2 2 9" xfId="17466"/>
    <cellStyle name="Обычный 7 5 2 3" xfId="17467"/>
    <cellStyle name="Обычный 7 5 2 3 2" xfId="17468"/>
    <cellStyle name="Обычный 7 5 2 4" xfId="17469"/>
    <cellStyle name="Обычный 7 5 2 5" xfId="17470"/>
    <cellStyle name="Обычный 7 5 2 6" xfId="17471"/>
    <cellStyle name="Обычный 7 5 2 7" xfId="17472"/>
    <cellStyle name="Обычный 7 5 2 8" xfId="17473"/>
    <cellStyle name="Обычный 7 5 2 9" xfId="17474"/>
    <cellStyle name="Обычный 7 5 20" xfId="22845"/>
    <cellStyle name="Обычный 7 5 3" xfId="17475"/>
    <cellStyle name="Обычный 7 5 3 10" xfId="17476"/>
    <cellStyle name="Обычный 7 5 3 11" xfId="17477"/>
    <cellStyle name="Обычный 7 5 3 12" xfId="19542"/>
    <cellStyle name="Обычный 7 5 3 13" xfId="21236"/>
    <cellStyle name="Обычный 7 5 3 14" xfId="22848"/>
    <cellStyle name="Обычный 7 5 3 2" xfId="17478"/>
    <cellStyle name="Обычный 7 5 3 2 10" xfId="17479"/>
    <cellStyle name="Обычный 7 5 3 2 11" xfId="19543"/>
    <cellStyle name="Обычный 7 5 3 2 12" xfId="21237"/>
    <cellStyle name="Обычный 7 5 3 2 13" xfId="22849"/>
    <cellStyle name="Обычный 7 5 3 2 2" xfId="17480"/>
    <cellStyle name="Обычный 7 5 3 2 2 2" xfId="17481"/>
    <cellStyle name="Обычный 7 5 3 2 3" xfId="17482"/>
    <cellStyle name="Обычный 7 5 3 2 4" xfId="17483"/>
    <cellStyle name="Обычный 7 5 3 2 5" xfId="17484"/>
    <cellStyle name="Обычный 7 5 3 2 6" xfId="17485"/>
    <cellStyle name="Обычный 7 5 3 2 7" xfId="17486"/>
    <cellStyle name="Обычный 7 5 3 2 8" xfId="17487"/>
    <cellStyle name="Обычный 7 5 3 2 9" xfId="17488"/>
    <cellStyle name="Обычный 7 5 3 3" xfId="17489"/>
    <cellStyle name="Обычный 7 5 3 3 2" xfId="17490"/>
    <cellStyle name="Обычный 7 5 3 4" xfId="17491"/>
    <cellStyle name="Обычный 7 5 3 5" xfId="17492"/>
    <cellStyle name="Обычный 7 5 3 6" xfId="17493"/>
    <cellStyle name="Обычный 7 5 3 7" xfId="17494"/>
    <cellStyle name="Обычный 7 5 3 8" xfId="17495"/>
    <cellStyle name="Обычный 7 5 3 9" xfId="17496"/>
    <cellStyle name="Обычный 7 5 4" xfId="17497"/>
    <cellStyle name="Обычный 7 5 4 10" xfId="17498"/>
    <cellStyle name="Обычный 7 5 4 11" xfId="17499"/>
    <cellStyle name="Обычный 7 5 4 12" xfId="19544"/>
    <cellStyle name="Обычный 7 5 4 13" xfId="21238"/>
    <cellStyle name="Обычный 7 5 4 14" xfId="22850"/>
    <cellStyle name="Обычный 7 5 4 2" xfId="17500"/>
    <cellStyle name="Обычный 7 5 4 2 10" xfId="17501"/>
    <cellStyle name="Обычный 7 5 4 2 11" xfId="19545"/>
    <cellStyle name="Обычный 7 5 4 2 12" xfId="21239"/>
    <cellStyle name="Обычный 7 5 4 2 13" xfId="22851"/>
    <cellStyle name="Обычный 7 5 4 2 2" xfId="17502"/>
    <cellStyle name="Обычный 7 5 4 2 2 2" xfId="17503"/>
    <cellStyle name="Обычный 7 5 4 2 3" xfId="17504"/>
    <cellStyle name="Обычный 7 5 4 2 4" xfId="17505"/>
    <cellStyle name="Обычный 7 5 4 2 5" xfId="17506"/>
    <cellStyle name="Обычный 7 5 4 2 6" xfId="17507"/>
    <cellStyle name="Обычный 7 5 4 2 7" xfId="17508"/>
    <cellStyle name="Обычный 7 5 4 2 8" xfId="17509"/>
    <cellStyle name="Обычный 7 5 4 2 9" xfId="17510"/>
    <cellStyle name="Обычный 7 5 4 3" xfId="17511"/>
    <cellStyle name="Обычный 7 5 4 3 2" xfId="17512"/>
    <cellStyle name="Обычный 7 5 4 4" xfId="17513"/>
    <cellStyle name="Обычный 7 5 4 5" xfId="17514"/>
    <cellStyle name="Обычный 7 5 4 6" xfId="17515"/>
    <cellStyle name="Обычный 7 5 4 7" xfId="17516"/>
    <cellStyle name="Обычный 7 5 4 8" xfId="17517"/>
    <cellStyle name="Обычный 7 5 4 9" xfId="17518"/>
    <cellStyle name="Обычный 7 5 5" xfId="17519"/>
    <cellStyle name="Обычный 7 5 5 10" xfId="17520"/>
    <cellStyle name="Обычный 7 5 5 11" xfId="17521"/>
    <cellStyle name="Обычный 7 5 5 12" xfId="19546"/>
    <cellStyle name="Обычный 7 5 5 13" xfId="21240"/>
    <cellStyle name="Обычный 7 5 5 14" xfId="22852"/>
    <cellStyle name="Обычный 7 5 5 2" xfId="17522"/>
    <cellStyle name="Обычный 7 5 5 2 10" xfId="17523"/>
    <cellStyle name="Обычный 7 5 5 2 11" xfId="19547"/>
    <cellStyle name="Обычный 7 5 5 2 12" xfId="21241"/>
    <cellStyle name="Обычный 7 5 5 2 13" xfId="22853"/>
    <cellStyle name="Обычный 7 5 5 2 2" xfId="17524"/>
    <cellStyle name="Обычный 7 5 5 2 2 2" xfId="17525"/>
    <cellStyle name="Обычный 7 5 5 2 3" xfId="17526"/>
    <cellStyle name="Обычный 7 5 5 2 4" xfId="17527"/>
    <cellStyle name="Обычный 7 5 5 2 5" xfId="17528"/>
    <cellStyle name="Обычный 7 5 5 2 6" xfId="17529"/>
    <cellStyle name="Обычный 7 5 5 2 7" xfId="17530"/>
    <cellStyle name="Обычный 7 5 5 2 8" xfId="17531"/>
    <cellStyle name="Обычный 7 5 5 2 9" xfId="17532"/>
    <cellStyle name="Обычный 7 5 5 3" xfId="17533"/>
    <cellStyle name="Обычный 7 5 5 3 2" xfId="17534"/>
    <cellStyle name="Обычный 7 5 5 4" xfId="17535"/>
    <cellStyle name="Обычный 7 5 5 5" xfId="17536"/>
    <cellStyle name="Обычный 7 5 5 6" xfId="17537"/>
    <cellStyle name="Обычный 7 5 5 7" xfId="17538"/>
    <cellStyle name="Обычный 7 5 5 8" xfId="17539"/>
    <cellStyle name="Обычный 7 5 5 9" xfId="17540"/>
    <cellStyle name="Обычный 7 5 6" xfId="17541"/>
    <cellStyle name="Обычный 7 5 6 10" xfId="17542"/>
    <cellStyle name="Обычный 7 5 6 11" xfId="19548"/>
    <cellStyle name="Обычный 7 5 6 12" xfId="21242"/>
    <cellStyle name="Обычный 7 5 6 13" xfId="22854"/>
    <cellStyle name="Обычный 7 5 6 2" xfId="17543"/>
    <cellStyle name="Обычный 7 5 6 2 2" xfId="17544"/>
    <cellStyle name="Обычный 7 5 6 3" xfId="17545"/>
    <cellStyle name="Обычный 7 5 6 4" xfId="17546"/>
    <cellStyle name="Обычный 7 5 6 5" xfId="17547"/>
    <cellStyle name="Обычный 7 5 6 6" xfId="17548"/>
    <cellStyle name="Обычный 7 5 6 7" xfId="17549"/>
    <cellStyle name="Обычный 7 5 6 8" xfId="17550"/>
    <cellStyle name="Обычный 7 5 6 9" xfId="17551"/>
    <cellStyle name="Обычный 7 5 7" xfId="17552"/>
    <cellStyle name="Обычный 7 5 7 10" xfId="21243"/>
    <cellStyle name="Обычный 7 5 7 11" xfId="22855"/>
    <cellStyle name="Обычный 7 5 7 2" xfId="17553"/>
    <cellStyle name="Обычный 7 5 7 2 2" xfId="17554"/>
    <cellStyle name="Обычный 7 5 7 3" xfId="17555"/>
    <cellStyle name="Обычный 7 5 7 4" xfId="17556"/>
    <cellStyle name="Обычный 7 5 7 5" xfId="17557"/>
    <cellStyle name="Обычный 7 5 7 6" xfId="17558"/>
    <cellStyle name="Обычный 7 5 7 7" xfId="17559"/>
    <cellStyle name="Обычный 7 5 7 8" xfId="17560"/>
    <cellStyle name="Обычный 7 5 7 9" xfId="19549"/>
    <cellStyle name="Обычный 7 5 8" xfId="17561"/>
    <cellStyle name="Обычный 7 5 8 2" xfId="17562"/>
    <cellStyle name="Обычный 7 5 9" xfId="17563"/>
    <cellStyle name="Обычный 7 6" xfId="17564"/>
    <cellStyle name="Обычный 7 6 10" xfId="17565"/>
    <cellStyle name="Обычный 7 6 11" xfId="17566"/>
    <cellStyle name="Обычный 7 6 12" xfId="17567"/>
    <cellStyle name="Обычный 7 6 13" xfId="17568"/>
    <cellStyle name="Обычный 7 6 14" xfId="17569"/>
    <cellStyle name="Обычный 7 6 15" xfId="17570"/>
    <cellStyle name="Обычный 7 6 16" xfId="17571"/>
    <cellStyle name="Обычный 7 6 17" xfId="17572"/>
    <cellStyle name="Обычный 7 6 18" xfId="19550"/>
    <cellStyle name="Обычный 7 6 19" xfId="21244"/>
    <cellStyle name="Обычный 7 6 2" xfId="17573"/>
    <cellStyle name="Обычный 7 6 2 10" xfId="17574"/>
    <cellStyle name="Обычный 7 6 2 11" xfId="17575"/>
    <cellStyle name="Обычный 7 6 2 12" xfId="19551"/>
    <cellStyle name="Обычный 7 6 2 13" xfId="21245"/>
    <cellStyle name="Обычный 7 6 2 14" xfId="22857"/>
    <cellStyle name="Обычный 7 6 2 2" xfId="17576"/>
    <cellStyle name="Обычный 7 6 2 2 10" xfId="17577"/>
    <cellStyle name="Обычный 7 6 2 2 11" xfId="19552"/>
    <cellStyle name="Обычный 7 6 2 2 12" xfId="21246"/>
    <cellStyle name="Обычный 7 6 2 2 13" xfId="22858"/>
    <cellStyle name="Обычный 7 6 2 2 2" xfId="17578"/>
    <cellStyle name="Обычный 7 6 2 2 2 2" xfId="17579"/>
    <cellStyle name="Обычный 7 6 2 2 3" xfId="17580"/>
    <cellStyle name="Обычный 7 6 2 2 4" xfId="17581"/>
    <cellStyle name="Обычный 7 6 2 2 5" xfId="17582"/>
    <cellStyle name="Обычный 7 6 2 2 6" xfId="17583"/>
    <cellStyle name="Обычный 7 6 2 2 7" xfId="17584"/>
    <cellStyle name="Обычный 7 6 2 2 8" xfId="17585"/>
    <cellStyle name="Обычный 7 6 2 2 9" xfId="17586"/>
    <cellStyle name="Обычный 7 6 2 3" xfId="17587"/>
    <cellStyle name="Обычный 7 6 2 3 2" xfId="17588"/>
    <cellStyle name="Обычный 7 6 2 4" xfId="17589"/>
    <cellStyle name="Обычный 7 6 2 5" xfId="17590"/>
    <cellStyle name="Обычный 7 6 2 6" xfId="17591"/>
    <cellStyle name="Обычный 7 6 2 7" xfId="17592"/>
    <cellStyle name="Обычный 7 6 2 8" xfId="17593"/>
    <cellStyle name="Обычный 7 6 2 9" xfId="17594"/>
    <cellStyle name="Обычный 7 6 20" xfId="22856"/>
    <cellStyle name="Обычный 7 6 3" xfId="17595"/>
    <cellStyle name="Обычный 7 6 3 10" xfId="17596"/>
    <cellStyle name="Обычный 7 6 3 11" xfId="17597"/>
    <cellStyle name="Обычный 7 6 3 12" xfId="19553"/>
    <cellStyle name="Обычный 7 6 3 13" xfId="21247"/>
    <cellStyle name="Обычный 7 6 3 14" xfId="22859"/>
    <cellStyle name="Обычный 7 6 3 2" xfId="17598"/>
    <cellStyle name="Обычный 7 6 3 2 10" xfId="17599"/>
    <cellStyle name="Обычный 7 6 3 2 11" xfId="19554"/>
    <cellStyle name="Обычный 7 6 3 2 12" xfId="21248"/>
    <cellStyle name="Обычный 7 6 3 2 13" xfId="22860"/>
    <cellStyle name="Обычный 7 6 3 2 2" xfId="17600"/>
    <cellStyle name="Обычный 7 6 3 2 2 2" xfId="17601"/>
    <cellStyle name="Обычный 7 6 3 2 3" xfId="17602"/>
    <cellStyle name="Обычный 7 6 3 2 4" xfId="17603"/>
    <cellStyle name="Обычный 7 6 3 2 5" xfId="17604"/>
    <cellStyle name="Обычный 7 6 3 2 6" xfId="17605"/>
    <cellStyle name="Обычный 7 6 3 2 7" xfId="17606"/>
    <cellStyle name="Обычный 7 6 3 2 8" xfId="17607"/>
    <cellStyle name="Обычный 7 6 3 2 9" xfId="17608"/>
    <cellStyle name="Обычный 7 6 3 3" xfId="17609"/>
    <cellStyle name="Обычный 7 6 3 3 2" xfId="17610"/>
    <cellStyle name="Обычный 7 6 3 4" xfId="17611"/>
    <cellStyle name="Обычный 7 6 3 5" xfId="17612"/>
    <cellStyle name="Обычный 7 6 3 6" xfId="17613"/>
    <cellStyle name="Обычный 7 6 3 7" xfId="17614"/>
    <cellStyle name="Обычный 7 6 3 8" xfId="17615"/>
    <cellStyle name="Обычный 7 6 3 9" xfId="17616"/>
    <cellStyle name="Обычный 7 6 4" xfId="17617"/>
    <cellStyle name="Обычный 7 6 4 10" xfId="17618"/>
    <cellStyle name="Обычный 7 6 4 11" xfId="17619"/>
    <cellStyle name="Обычный 7 6 4 12" xfId="19555"/>
    <cellStyle name="Обычный 7 6 4 13" xfId="21249"/>
    <cellStyle name="Обычный 7 6 4 14" xfId="22861"/>
    <cellStyle name="Обычный 7 6 4 2" xfId="17620"/>
    <cellStyle name="Обычный 7 6 4 2 10" xfId="17621"/>
    <cellStyle name="Обычный 7 6 4 2 11" xfId="19556"/>
    <cellStyle name="Обычный 7 6 4 2 12" xfId="21250"/>
    <cellStyle name="Обычный 7 6 4 2 13" xfId="22862"/>
    <cellStyle name="Обычный 7 6 4 2 2" xfId="17622"/>
    <cellStyle name="Обычный 7 6 4 2 2 2" xfId="17623"/>
    <cellStyle name="Обычный 7 6 4 2 3" xfId="17624"/>
    <cellStyle name="Обычный 7 6 4 2 4" xfId="17625"/>
    <cellStyle name="Обычный 7 6 4 2 5" xfId="17626"/>
    <cellStyle name="Обычный 7 6 4 2 6" xfId="17627"/>
    <cellStyle name="Обычный 7 6 4 2 7" xfId="17628"/>
    <cellStyle name="Обычный 7 6 4 2 8" xfId="17629"/>
    <cellStyle name="Обычный 7 6 4 2 9" xfId="17630"/>
    <cellStyle name="Обычный 7 6 4 3" xfId="17631"/>
    <cellStyle name="Обычный 7 6 4 3 2" xfId="17632"/>
    <cellStyle name="Обычный 7 6 4 4" xfId="17633"/>
    <cellStyle name="Обычный 7 6 4 5" xfId="17634"/>
    <cellStyle name="Обычный 7 6 4 6" xfId="17635"/>
    <cellStyle name="Обычный 7 6 4 7" xfId="17636"/>
    <cellStyle name="Обычный 7 6 4 8" xfId="17637"/>
    <cellStyle name="Обычный 7 6 4 9" xfId="17638"/>
    <cellStyle name="Обычный 7 6 5" xfId="17639"/>
    <cellStyle name="Обычный 7 6 5 10" xfId="17640"/>
    <cellStyle name="Обычный 7 6 5 11" xfId="17641"/>
    <cellStyle name="Обычный 7 6 5 12" xfId="19557"/>
    <cellStyle name="Обычный 7 6 5 13" xfId="21251"/>
    <cellStyle name="Обычный 7 6 5 14" xfId="22863"/>
    <cellStyle name="Обычный 7 6 5 2" xfId="17642"/>
    <cellStyle name="Обычный 7 6 5 2 10" xfId="17643"/>
    <cellStyle name="Обычный 7 6 5 2 11" xfId="19558"/>
    <cellStyle name="Обычный 7 6 5 2 12" xfId="21252"/>
    <cellStyle name="Обычный 7 6 5 2 13" xfId="22864"/>
    <cellStyle name="Обычный 7 6 5 2 2" xfId="17644"/>
    <cellStyle name="Обычный 7 6 5 2 2 2" xfId="17645"/>
    <cellStyle name="Обычный 7 6 5 2 3" xfId="17646"/>
    <cellStyle name="Обычный 7 6 5 2 4" xfId="17647"/>
    <cellStyle name="Обычный 7 6 5 2 5" xfId="17648"/>
    <cellStyle name="Обычный 7 6 5 2 6" xfId="17649"/>
    <cellStyle name="Обычный 7 6 5 2 7" xfId="17650"/>
    <cellStyle name="Обычный 7 6 5 2 8" xfId="17651"/>
    <cellStyle name="Обычный 7 6 5 2 9" xfId="17652"/>
    <cellStyle name="Обычный 7 6 5 3" xfId="17653"/>
    <cellStyle name="Обычный 7 6 5 3 2" xfId="17654"/>
    <cellStyle name="Обычный 7 6 5 4" xfId="17655"/>
    <cellStyle name="Обычный 7 6 5 5" xfId="17656"/>
    <cellStyle name="Обычный 7 6 5 6" xfId="17657"/>
    <cellStyle name="Обычный 7 6 5 7" xfId="17658"/>
    <cellStyle name="Обычный 7 6 5 8" xfId="17659"/>
    <cellStyle name="Обычный 7 6 5 9" xfId="17660"/>
    <cellStyle name="Обычный 7 6 6" xfId="17661"/>
    <cellStyle name="Обычный 7 6 6 10" xfId="17662"/>
    <cellStyle name="Обычный 7 6 6 11" xfId="19559"/>
    <cellStyle name="Обычный 7 6 6 12" xfId="21253"/>
    <cellStyle name="Обычный 7 6 6 13" xfId="22865"/>
    <cellStyle name="Обычный 7 6 6 2" xfId="17663"/>
    <cellStyle name="Обычный 7 6 6 2 2" xfId="17664"/>
    <cellStyle name="Обычный 7 6 6 3" xfId="17665"/>
    <cellStyle name="Обычный 7 6 6 4" xfId="17666"/>
    <cellStyle name="Обычный 7 6 6 5" xfId="17667"/>
    <cellStyle name="Обычный 7 6 6 6" xfId="17668"/>
    <cellStyle name="Обычный 7 6 6 7" xfId="17669"/>
    <cellStyle name="Обычный 7 6 6 8" xfId="17670"/>
    <cellStyle name="Обычный 7 6 6 9" xfId="17671"/>
    <cellStyle name="Обычный 7 6 7" xfId="17672"/>
    <cellStyle name="Обычный 7 6 7 10" xfId="21254"/>
    <cellStyle name="Обычный 7 6 7 11" xfId="22866"/>
    <cellStyle name="Обычный 7 6 7 2" xfId="17673"/>
    <cellStyle name="Обычный 7 6 7 2 2" xfId="17674"/>
    <cellStyle name="Обычный 7 6 7 3" xfId="17675"/>
    <cellStyle name="Обычный 7 6 7 4" xfId="17676"/>
    <cellStyle name="Обычный 7 6 7 5" xfId="17677"/>
    <cellStyle name="Обычный 7 6 7 6" xfId="17678"/>
    <cellStyle name="Обычный 7 6 7 7" xfId="17679"/>
    <cellStyle name="Обычный 7 6 7 8" xfId="17680"/>
    <cellStyle name="Обычный 7 6 7 9" xfId="19560"/>
    <cellStyle name="Обычный 7 6 8" xfId="17681"/>
    <cellStyle name="Обычный 7 6 8 2" xfId="17682"/>
    <cellStyle name="Обычный 7 6 9" xfId="17683"/>
    <cellStyle name="Обычный 7 7" xfId="17684"/>
    <cellStyle name="Обычный 7 7 10" xfId="17685"/>
    <cellStyle name="Обычный 7 7 11" xfId="17686"/>
    <cellStyle name="Обычный 7 7 12" xfId="19561"/>
    <cellStyle name="Обычный 7 7 13" xfId="21255"/>
    <cellStyle name="Обычный 7 7 14" xfId="22867"/>
    <cellStyle name="Обычный 7 7 2" xfId="17687"/>
    <cellStyle name="Обычный 7 7 2 10" xfId="17688"/>
    <cellStyle name="Обычный 7 7 2 11" xfId="19562"/>
    <cellStyle name="Обычный 7 7 2 12" xfId="21256"/>
    <cellStyle name="Обычный 7 7 2 13" xfId="22868"/>
    <cellStyle name="Обычный 7 7 2 2" xfId="17689"/>
    <cellStyle name="Обычный 7 7 2 2 2" xfId="17690"/>
    <cellStyle name="Обычный 7 7 2 3" xfId="17691"/>
    <cellStyle name="Обычный 7 7 2 4" xfId="17692"/>
    <cellStyle name="Обычный 7 7 2 5" xfId="17693"/>
    <cellStyle name="Обычный 7 7 2 6" xfId="17694"/>
    <cellStyle name="Обычный 7 7 2 7" xfId="17695"/>
    <cellStyle name="Обычный 7 7 2 8" xfId="17696"/>
    <cellStyle name="Обычный 7 7 2 9" xfId="17697"/>
    <cellStyle name="Обычный 7 7 3" xfId="17698"/>
    <cellStyle name="Обычный 7 7 3 2" xfId="17699"/>
    <cellStyle name="Обычный 7 7 4" xfId="17700"/>
    <cellStyle name="Обычный 7 7 5" xfId="17701"/>
    <cellStyle name="Обычный 7 7 6" xfId="17702"/>
    <cellStyle name="Обычный 7 7 7" xfId="17703"/>
    <cellStyle name="Обычный 7 7 8" xfId="17704"/>
    <cellStyle name="Обычный 7 7 9" xfId="17705"/>
    <cellStyle name="Обычный 7 8" xfId="17706"/>
    <cellStyle name="Обычный 7 8 10" xfId="17707"/>
    <cellStyle name="Обычный 7 8 11" xfId="17708"/>
    <cellStyle name="Обычный 7 8 12" xfId="19563"/>
    <cellStyle name="Обычный 7 8 13" xfId="21257"/>
    <cellStyle name="Обычный 7 8 14" xfId="22869"/>
    <cellStyle name="Обычный 7 8 2" xfId="17709"/>
    <cellStyle name="Обычный 7 8 2 10" xfId="17710"/>
    <cellStyle name="Обычный 7 8 2 11" xfId="19564"/>
    <cellStyle name="Обычный 7 8 2 12" xfId="21258"/>
    <cellStyle name="Обычный 7 8 2 13" xfId="22870"/>
    <cellStyle name="Обычный 7 8 2 2" xfId="17711"/>
    <cellStyle name="Обычный 7 8 2 2 2" xfId="17712"/>
    <cellStyle name="Обычный 7 8 2 3" xfId="17713"/>
    <cellStyle name="Обычный 7 8 2 4" xfId="17714"/>
    <cellStyle name="Обычный 7 8 2 5" xfId="17715"/>
    <cellStyle name="Обычный 7 8 2 6" xfId="17716"/>
    <cellStyle name="Обычный 7 8 2 7" xfId="17717"/>
    <cellStyle name="Обычный 7 8 2 8" xfId="17718"/>
    <cellStyle name="Обычный 7 8 2 9" xfId="17719"/>
    <cellStyle name="Обычный 7 8 3" xfId="17720"/>
    <cellStyle name="Обычный 7 8 3 2" xfId="17721"/>
    <cellStyle name="Обычный 7 8 4" xfId="17722"/>
    <cellStyle name="Обычный 7 8 5" xfId="17723"/>
    <cellStyle name="Обычный 7 8 6" xfId="17724"/>
    <cellStyle name="Обычный 7 8 7" xfId="17725"/>
    <cellStyle name="Обычный 7 8 8" xfId="17726"/>
    <cellStyle name="Обычный 7 8 9" xfId="17727"/>
    <cellStyle name="Обычный 7 9" xfId="17728"/>
    <cellStyle name="Обычный 7 9 10" xfId="17729"/>
    <cellStyle name="Обычный 7 9 11" xfId="17730"/>
    <cellStyle name="Обычный 7 9 12" xfId="19565"/>
    <cellStyle name="Обычный 7 9 13" xfId="21259"/>
    <cellStyle name="Обычный 7 9 14" xfId="22871"/>
    <cellStyle name="Обычный 7 9 2" xfId="17731"/>
    <cellStyle name="Обычный 7 9 2 10" xfId="17732"/>
    <cellStyle name="Обычный 7 9 2 11" xfId="19566"/>
    <cellStyle name="Обычный 7 9 2 12" xfId="21260"/>
    <cellStyle name="Обычный 7 9 2 13" xfId="22872"/>
    <cellStyle name="Обычный 7 9 2 2" xfId="17733"/>
    <cellStyle name="Обычный 7 9 2 2 2" xfId="17734"/>
    <cellStyle name="Обычный 7 9 2 3" xfId="17735"/>
    <cellStyle name="Обычный 7 9 2 4" xfId="17736"/>
    <cellStyle name="Обычный 7 9 2 5" xfId="17737"/>
    <cellStyle name="Обычный 7 9 2 6" xfId="17738"/>
    <cellStyle name="Обычный 7 9 2 7" xfId="17739"/>
    <cellStyle name="Обычный 7 9 2 8" xfId="17740"/>
    <cellStyle name="Обычный 7 9 2 9" xfId="17741"/>
    <cellStyle name="Обычный 7 9 3" xfId="17742"/>
    <cellStyle name="Обычный 7 9 3 2" xfId="17743"/>
    <cellStyle name="Обычный 7 9 4" xfId="17744"/>
    <cellStyle name="Обычный 7 9 5" xfId="17745"/>
    <cellStyle name="Обычный 7 9 6" xfId="17746"/>
    <cellStyle name="Обычный 7 9 7" xfId="17747"/>
    <cellStyle name="Обычный 7 9 8" xfId="17748"/>
    <cellStyle name="Обычный 7 9 9" xfId="17749"/>
    <cellStyle name="Обычный 7_5. общ.V" xfId="17750"/>
    <cellStyle name="Обычный 8" xfId="17751"/>
    <cellStyle name="Обычный 8 2" xfId="17752"/>
    <cellStyle name="Обычный 8 2 2" xfId="19568"/>
    <cellStyle name="Обычный 8 3" xfId="19567"/>
    <cellStyle name="Обычный 8 3 2" xfId="22885"/>
    <cellStyle name="Обычный 8_5. общ.V" xfId="17753"/>
    <cellStyle name="Обычный 8_Xl0001228" xfId="22888"/>
    <cellStyle name="Обычный 9" xfId="17754"/>
    <cellStyle name="Обычный 9 2" xfId="19569"/>
    <cellStyle name="Обычный_Лист1" xfId="22876"/>
    <cellStyle name="Обычный_Лист1_1" xfId="22883"/>
    <cellStyle name="Обычный_Лист3" xfId="22887"/>
    <cellStyle name="Обычный_форма" xfId="22886"/>
    <cellStyle name="Обычный_Шаблон 2015" xfId="22875"/>
    <cellStyle name="Плохой 2" xfId="17755"/>
    <cellStyle name="Плохой 2 2" xfId="17756"/>
    <cellStyle name="Плохой 2 2 2" xfId="19571"/>
    <cellStyle name="Плохой 2 3" xfId="19570"/>
    <cellStyle name="Плохой 3" xfId="17757"/>
    <cellStyle name="Плохой 3 2" xfId="19572"/>
    <cellStyle name="Пояснение" xfId="22891" builtinId="53"/>
    <cellStyle name="Пояснение 2" xfId="17758"/>
    <cellStyle name="Пояснение 2 2" xfId="17759"/>
    <cellStyle name="Пояснение 2 2 2" xfId="19574"/>
    <cellStyle name="Пояснение 2 3" xfId="19573"/>
    <cellStyle name="Пояснение 3" xfId="17760"/>
    <cellStyle name="Пояснение 3 2" xfId="19575"/>
    <cellStyle name="Примечание 2" xfId="17761"/>
    <cellStyle name="Примечание 2 2" xfId="17762"/>
    <cellStyle name="Примечание 2 2 10" xfId="17763"/>
    <cellStyle name="Примечание 2 2 11" xfId="17764"/>
    <cellStyle name="Примечание 2 2 12" xfId="17765"/>
    <cellStyle name="Примечание 2 2 13" xfId="17766"/>
    <cellStyle name="Примечание 2 2 14" xfId="17767"/>
    <cellStyle name="Примечание 2 2 15" xfId="17768"/>
    <cellStyle name="Примечание 2 2 16" xfId="17769"/>
    <cellStyle name="Примечание 2 2 17" xfId="17770"/>
    <cellStyle name="Примечание 2 2 18" xfId="19577"/>
    <cellStyle name="Примечание 2 2 19" xfId="21261"/>
    <cellStyle name="Примечание 2 2 2" xfId="17771"/>
    <cellStyle name="Примечание 2 2 2 2" xfId="19578"/>
    <cellStyle name="Примечание 2 2 3" xfId="17772"/>
    <cellStyle name="Примечание 2 2 3 10" xfId="17773"/>
    <cellStyle name="Примечание 2 2 3 11" xfId="17774"/>
    <cellStyle name="Примечание 2 2 3 12" xfId="17775"/>
    <cellStyle name="Примечание 2 2 3 13" xfId="17776"/>
    <cellStyle name="Примечание 2 2 3 14" xfId="17777"/>
    <cellStyle name="Примечание 2 2 3 15" xfId="17778"/>
    <cellStyle name="Примечание 2 2 3 16" xfId="17779"/>
    <cellStyle name="Примечание 2 2 3 17" xfId="19579"/>
    <cellStyle name="Примечание 2 2 3 18" xfId="21262"/>
    <cellStyle name="Примечание 2 2 3 2" xfId="17780"/>
    <cellStyle name="Примечание 2 2 3 2 2" xfId="17781"/>
    <cellStyle name="Примечание 2 2 3 2 3" xfId="17782"/>
    <cellStyle name="Примечание 2 2 3 2 4" xfId="17783"/>
    <cellStyle name="Примечание 2 2 3 3" xfId="17784"/>
    <cellStyle name="Примечание 2 2 3 3 2" xfId="17785"/>
    <cellStyle name="Примечание 2 2 3 3 3" xfId="17786"/>
    <cellStyle name="Примечание 2 2 3 3 4" xfId="17787"/>
    <cellStyle name="Примечание 2 2 3 4" xfId="17788"/>
    <cellStyle name="Примечание 2 2 3 5" xfId="17789"/>
    <cellStyle name="Примечание 2 2 3 6" xfId="17790"/>
    <cellStyle name="Примечание 2 2 3 7" xfId="17791"/>
    <cellStyle name="Примечание 2 2 3 8" xfId="17792"/>
    <cellStyle name="Примечание 2 2 3 9" xfId="17793"/>
    <cellStyle name="Примечание 2 2 4" xfId="17794"/>
    <cellStyle name="Примечание 2 2 4 2" xfId="17795"/>
    <cellStyle name="Примечание 2 2 4 3" xfId="17796"/>
    <cellStyle name="Примечание 2 2 4 4" xfId="17797"/>
    <cellStyle name="Примечание 2 2 5" xfId="17798"/>
    <cellStyle name="Примечание 2 2 5 2" xfId="17799"/>
    <cellStyle name="Примечание 2 2 5 3" xfId="17800"/>
    <cellStyle name="Примечание 2 2 5 4" xfId="17801"/>
    <cellStyle name="Примечание 2 2 6" xfId="17802"/>
    <cellStyle name="Примечание 2 2 7" xfId="17803"/>
    <cellStyle name="Примечание 2 2 8" xfId="17804"/>
    <cellStyle name="Примечание 2 2 9" xfId="17805"/>
    <cellStyle name="Примечание 2 3" xfId="19576"/>
    <cellStyle name="Примечание 3" xfId="17806"/>
    <cellStyle name="Примечание 3 2" xfId="17807"/>
    <cellStyle name="Примечание 3 2 2" xfId="19581"/>
    <cellStyle name="Примечание 3 3" xfId="19580"/>
    <cellStyle name="Процентный 2" xfId="17808"/>
    <cellStyle name="Процентный 2 2" xfId="17809"/>
    <cellStyle name="Процентный 2 2 2" xfId="19584"/>
    <cellStyle name="Процентный 2 3" xfId="19583"/>
    <cellStyle name="Процентный 3" xfId="19582"/>
    <cellStyle name="Связанная ячейка 2" xfId="17810"/>
    <cellStyle name="Связанная ячейка 2 2" xfId="17811"/>
    <cellStyle name="Связанная ячейка 2 2 2" xfId="19586"/>
    <cellStyle name="Связанная ячейка 2 3" xfId="19585"/>
    <cellStyle name="Связанная ячейка 3" xfId="17812"/>
    <cellStyle name="Связанная ячейка 3 2" xfId="19587"/>
    <cellStyle name="Текст предупреждения 2" xfId="17813"/>
    <cellStyle name="Текст предупреждения 2 2" xfId="17814"/>
    <cellStyle name="Текст предупреждения 2 2 2" xfId="19589"/>
    <cellStyle name="Текст предупреждения 2 3" xfId="19588"/>
    <cellStyle name="Текст предупреждения 3" xfId="17815"/>
    <cellStyle name="Текст предупреждения 3 2" xfId="19590"/>
    <cellStyle name="Финансовый" xfId="1" builtinId="3"/>
    <cellStyle name="Финансовый 2" xfId="17816"/>
    <cellStyle name="Финансовый 2 2" xfId="17817"/>
    <cellStyle name="Финансовый 2 2 2" xfId="19593"/>
    <cellStyle name="Финансовый 2 3" xfId="19592"/>
    <cellStyle name="Финансовый 3" xfId="17818"/>
    <cellStyle name="Финансовый 3 2" xfId="19594"/>
    <cellStyle name="Финансовый 3 2 2" xfId="17819"/>
    <cellStyle name="Финансовый 3 2 2 2" xfId="19595"/>
    <cellStyle name="Финансовый 3 3" xfId="17820"/>
    <cellStyle name="Финансовый 3 3 2" xfId="17821"/>
    <cellStyle name="Финансовый 3 3 2 2" xfId="17822"/>
    <cellStyle name="Финансовый 3 3 2 3" xfId="19597"/>
    <cellStyle name="Финансовый 3 3 2 4" xfId="21263"/>
    <cellStyle name="Финансовый 3 3 3" xfId="17823"/>
    <cellStyle name="Финансовый 3 3 4" xfId="19596"/>
    <cellStyle name="Финансовый 3 3 5" xfId="19646"/>
    <cellStyle name="Финансовый 3 4" xfId="22877"/>
    <cellStyle name="Финансовый 4" xfId="17824"/>
    <cellStyle name="Финансовый 4 2" xfId="17825"/>
    <cellStyle name="Финансовый 4 2 2" xfId="19599"/>
    <cellStyle name="Финансовый 4 3" xfId="19598"/>
    <cellStyle name="Финансовый 5" xfId="19591"/>
    <cellStyle name="Финансовый 6" xfId="22878"/>
    <cellStyle name="Финансовый 7" xfId="22881"/>
    <cellStyle name="Хороший 2" xfId="17826"/>
    <cellStyle name="Хороший 2 2" xfId="17827"/>
    <cellStyle name="Хороший 2 2 2" xfId="19601"/>
    <cellStyle name="Хороший 2 3" xfId="19600"/>
    <cellStyle name="Хороший 3" xfId="17828"/>
    <cellStyle name="Хороший 3 2" xfId="19602"/>
  </cellStyles>
  <dxfs count="1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b val="0"/>
        <condense val="0"/>
        <extend val="0"/>
        <color indexed="20"/>
      </font>
      <fill>
        <patternFill patternType="solid">
          <fgColor indexed="19"/>
          <bgColor indexed="45"/>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b val="0"/>
        <condense val="0"/>
        <extend val="0"/>
        <color indexed="20"/>
      </font>
      <fill>
        <patternFill patternType="solid">
          <fgColor indexed="19"/>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b val="0"/>
        <condense val="0"/>
        <extend val="0"/>
        <color indexed="20"/>
      </font>
      <fill>
        <patternFill patternType="solid">
          <fgColor indexed="19"/>
          <bgColor indexed="45"/>
        </patternFill>
      </fill>
    </dxf>
    <dxf>
      <font>
        <color rgb="FF9C0006"/>
      </font>
      <fill>
        <patternFill>
          <bgColor rgb="FFFFC7CE"/>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color rgb="FF9C0006"/>
      </font>
      <fill>
        <patternFill>
          <bgColor rgb="FFFFC7CE"/>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b val="0"/>
        <condense val="0"/>
        <extend val="0"/>
        <color indexed="16"/>
      </font>
      <fill>
        <patternFill patternType="solid">
          <fgColor indexed="22"/>
          <bgColor indexed="47"/>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AC090"/>
      <rgbColor rgb="00B7DEE8"/>
      <rgbColor rgb="00800000"/>
      <rgbColor rgb="00FCD5B5"/>
      <rgbColor rgb="00FDEADA"/>
      <rgbColor rgb="00D99694"/>
      <rgbColor rgb="007F007F"/>
      <rgbColor rgb="00086A42"/>
      <rgbColor rgb="00C0C0C0"/>
      <rgbColor rgb="0080807D"/>
      <rgbColor rgb="00AEA0E3"/>
      <rgbColor rgb="00F79646"/>
      <rgbColor rgb="00FFFFCC"/>
      <rgbColor rgb="00D9F9FB"/>
      <rgbColor rgb="00F2DCDB"/>
      <rgbColor rgb="00FF8080"/>
      <rgbColor rgb="00D7E4BD"/>
      <rgbColor rgb="00C3CDF6"/>
      <rgbColor rgb="00F2F2F2"/>
      <rgbColor rgb="00FFC7CE"/>
      <rgbColor rgb="00FFEB9C"/>
      <rgbColor rgb="00C3D69B"/>
      <rgbColor rgb="00C00000"/>
      <rgbColor rgb="009C0006"/>
      <rgbColor rgb="00CCC1DA"/>
      <rgbColor rgb="00EBF1DE"/>
      <rgbColor rgb="0000B2F2"/>
      <rgbColor rgb="00C6EFCE"/>
      <rgbColor rgb="00CCFFCC"/>
      <rgbColor rgb="00FFFF99"/>
      <rgbColor rgb="0096CDF8"/>
      <rgbColor rgb="00FF99CC"/>
      <rgbColor rgb="00CC99FF"/>
      <rgbColor rgb="00FFCC99"/>
      <rgbColor rgb="004F81BD"/>
      <rgbColor rgb="003BC1CA"/>
      <rgbColor rgb="0093CF43"/>
      <rgbColor rgb="00FFC100"/>
      <rgbColor rgb="00FF9900"/>
      <rgbColor rgb="00FE7300"/>
      <rgbColor rgb="007F7290"/>
      <rgbColor rgb="00A0A0A0"/>
      <rgbColor rgb="00E6E0EC"/>
      <rgbColor rgb="0096B5D8"/>
      <rgbColor rgb="00DCE6F2"/>
      <rgbColor rgb="003F3F3F"/>
      <rgbColor rgb="00B94C1A"/>
      <rgbColor rgb="00E6B9B8"/>
      <rgbColor rgb="00343398"/>
      <rgbColor rgb="00243336"/>
    </indexedColors>
    <mruColors>
      <color rgb="FFFFCCFF"/>
      <color rgb="FF00FF00"/>
      <color rgb="FFFF99CC"/>
      <color rgb="FFFF6699"/>
      <color rgb="FFFFCC66"/>
      <color rgb="FF00FFFF"/>
      <color rgb="FFFF66FF"/>
      <color rgb="FFFF99FF"/>
      <color rgb="FFCCFF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ustem\&#1054;&#1073;&#1097;&#1072;&#1103;\&#1058;&#1045;&#1061;&#1053;.%20&#1061;&#1040;&#1056;&#1040;&#1050;-&#1050;&#1040;%20&#1057;%20&#1057;&#1040;&#1049;&#1058;&#10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017-2019&#1075;&#1075;.%20&#1089;&#1077;&#1074;&#1077;&#1088;&#1085;&#1072;&#1103;%20(6%20&#1074;&#1072;&#1088;&#1080;&#1072;&#1085;&#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vMKDG1O01"/>
      <sheetName val="dvMKDG1O02"/>
      <sheetName val="dvMKDG1O03"/>
      <sheetName val="dvMKDG1O04"/>
      <sheetName val="dvMKDG1O05"/>
      <sheetName val="dvMKDG1O06"/>
      <sheetName val="dvMKDG2O01"/>
      <sheetName val="dvMKDG2O02"/>
      <sheetName val="dvMKDG5O01"/>
      <sheetName val="dvMKDG3O01"/>
      <sheetName val="РЕЕСТР"/>
      <sheetName val="ЛИФТЫ"/>
    </sheetNames>
    <sheetDataSet>
      <sheetData sheetId="0"/>
      <sheetData sheetId="1"/>
      <sheetData sheetId="2"/>
      <sheetData sheetId="3"/>
      <sheetData sheetId="4"/>
      <sheetData sheetId="5"/>
      <sheetData sheetId="6"/>
      <sheetData sheetId="7"/>
      <sheetData sheetId="8"/>
      <sheetData sheetId="9">
        <row r="1">
          <cell r="A1" t="str">
            <v>оштукатуренный</v>
          </cell>
        </row>
        <row r="2">
          <cell r="A2" t="str">
            <v>неоштукатуренный</v>
          </cell>
        </row>
        <row r="3">
          <cell r="A3" t="str">
            <v>облицованный плиткой</v>
          </cell>
        </row>
        <row r="4">
          <cell r="A4" t="str">
            <v>облицованный сайдингом</v>
          </cell>
        </row>
        <row r="5">
          <cell r="A5" t="str">
            <v>панельный</v>
          </cell>
        </row>
        <row r="6">
          <cell r="A6" t="str">
            <v>деревянный</v>
          </cell>
        </row>
        <row r="7">
          <cell r="A7" t="str">
            <v>кирпичный окрашенный</v>
          </cell>
        </row>
        <row r="8">
          <cell r="A8" t="str">
            <v>утепленный с сайдингом</v>
          </cell>
        </row>
        <row r="9">
          <cell r="A9" t="str">
            <v>утепленный с отделкой штукатуркой</v>
          </cell>
        </row>
        <row r="10">
          <cell r="A10" t="str">
            <v>утепленный с отделкой плитами</v>
          </cell>
        </row>
        <row r="11">
          <cell r="A11" t="str">
            <v>утепленный с отделкой полистиролом</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перечень МКД"/>
      <sheetName val="2.виды ремонта"/>
      <sheetName val="3.показатели"/>
      <sheetName val="4.счета"/>
      <sheetName val="5.СМР"/>
    </sheetNames>
    <sheetDataSet>
      <sheetData sheetId="0">
        <row r="581">
          <cell r="E581" t="str">
            <v>каменные, кирпичные</v>
          </cell>
          <cell r="F581">
            <v>5</v>
          </cell>
          <cell r="G581">
            <v>8</v>
          </cell>
        </row>
        <row r="582">
          <cell r="E582" t="str">
            <v>каменные, кирпичные</v>
          </cell>
          <cell r="F582">
            <v>2</v>
          </cell>
          <cell r="G582">
            <v>1</v>
          </cell>
        </row>
        <row r="583">
          <cell r="E583" t="str">
            <v>каменные, кирпичные</v>
          </cell>
          <cell r="F583">
            <v>5</v>
          </cell>
          <cell r="G583">
            <v>4</v>
          </cell>
        </row>
      </sheetData>
      <sheetData sheetId="1"/>
      <sheetData sheetId="2"/>
      <sheetData sheetId="3"/>
      <sheetData sheetId="4">
        <row r="395">
          <cell r="G395">
            <v>2466</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javascript:;"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9"/>
  <sheetViews>
    <sheetView view="pageBreakPreview" topLeftCell="A320" zoomScale="60" zoomScaleNormal="50" workbookViewId="0">
      <selection activeCell="M331" sqref="M331:M359"/>
    </sheetView>
  </sheetViews>
  <sheetFormatPr defaultColWidth="8.85546875" defaultRowHeight="18.75"/>
  <cols>
    <col min="1" max="1" width="5.7109375" style="5" customWidth="1"/>
    <col min="2" max="2" width="54" style="18" customWidth="1"/>
    <col min="3" max="3" width="9.85546875" style="193" customWidth="1"/>
    <col min="4" max="4" width="8.85546875" style="193" customWidth="1"/>
    <col min="5" max="5" width="15.5703125" style="5" customWidth="1"/>
    <col min="6" max="6" width="9" style="9" customWidth="1"/>
    <col min="7" max="7" width="10" style="9" customWidth="1"/>
    <col min="8" max="9" width="18" style="8" customWidth="1"/>
    <col min="10" max="10" width="19.140625" style="8" customWidth="1"/>
    <col min="11" max="11" width="14.5703125" style="9" customWidth="1"/>
    <col min="12" max="12" width="28.42578125" style="6" customWidth="1"/>
    <col min="13" max="13" width="28.140625" style="195" customWidth="1"/>
    <col min="14" max="14" width="16.7109375" style="195" customWidth="1"/>
    <col min="15" max="15" width="19.7109375" style="195" customWidth="1"/>
    <col min="16" max="16" width="16.85546875" style="195" customWidth="1"/>
    <col min="17" max="17" width="25" style="195" customWidth="1"/>
    <col min="18" max="18" width="17.140625" style="195" customWidth="1"/>
    <col min="19" max="19" width="11.7109375" style="195" customWidth="1"/>
    <col min="20" max="20" width="13.5703125" style="7" customWidth="1"/>
    <col min="21" max="21" width="24.85546875" style="242" customWidth="1"/>
    <col min="22" max="23" width="26.7109375" style="4" customWidth="1"/>
    <col min="24" max="24" width="21.85546875" style="1" customWidth="1"/>
    <col min="25" max="25" width="23.7109375" style="1" hidden="1" customWidth="1"/>
    <col min="26" max="26" width="22.7109375" style="234" hidden="1" customWidth="1"/>
    <col min="27" max="27" width="15.5703125" style="1" customWidth="1"/>
    <col min="28" max="28" width="12.140625" style="1" customWidth="1"/>
    <col min="29" max="29" width="19.7109375" style="1" customWidth="1"/>
    <col min="30" max="16384" width="8.85546875" style="1"/>
  </cols>
  <sheetData>
    <row r="1" spans="1:26">
      <c r="A1" s="6"/>
      <c r="P1" s="1315" t="s">
        <v>3884</v>
      </c>
      <c r="Q1" s="1315"/>
    </row>
    <row r="2" spans="1:26">
      <c r="A2" s="6"/>
      <c r="P2" s="1316" t="s">
        <v>3885</v>
      </c>
      <c r="Q2" s="1316"/>
      <c r="R2" s="1316"/>
    </row>
    <row r="3" spans="1:26">
      <c r="A3" s="6"/>
      <c r="P3" s="1316"/>
      <c r="Q3" s="1316"/>
      <c r="R3" s="1316"/>
    </row>
    <row r="4" spans="1:26">
      <c r="A4" s="6"/>
      <c r="P4" s="1316"/>
      <c r="Q4" s="1316"/>
      <c r="R4" s="1316"/>
    </row>
    <row r="5" spans="1:26">
      <c r="A5" s="6"/>
      <c r="P5" s="1317" t="s">
        <v>4362</v>
      </c>
      <c r="Q5" s="1317"/>
      <c r="R5" s="1317"/>
    </row>
    <row r="6" spans="1:26">
      <c r="A6" s="6"/>
      <c r="P6" s="1317" t="s">
        <v>4363</v>
      </c>
      <c r="Q6" s="1317"/>
      <c r="R6" s="1317"/>
    </row>
    <row r="7" spans="1:26">
      <c r="A7" s="6"/>
    </row>
    <row r="8" spans="1:26">
      <c r="A8" s="6"/>
    </row>
    <row r="9" spans="1:26" s="242" customFormat="1" ht="31.5" customHeight="1">
      <c r="A9" s="5"/>
      <c r="B9" s="18"/>
      <c r="C9" s="193"/>
      <c r="D9" s="193"/>
      <c r="E9" s="5"/>
      <c r="F9" s="9"/>
      <c r="G9" s="9"/>
      <c r="H9" s="8"/>
      <c r="I9" s="8"/>
      <c r="J9" s="8"/>
      <c r="K9" s="9"/>
      <c r="L9" s="6"/>
      <c r="M9" s="195"/>
      <c r="N9" s="195"/>
      <c r="O9" s="195"/>
      <c r="P9" s="195"/>
      <c r="Q9" s="195"/>
      <c r="R9" s="195"/>
      <c r="S9" s="195"/>
      <c r="T9" s="7"/>
      <c r="V9" s="4"/>
      <c r="W9" s="4"/>
      <c r="X9" s="1"/>
      <c r="Z9" s="234"/>
    </row>
    <row r="10" spans="1:26" s="242" customFormat="1" ht="33" customHeight="1">
      <c r="A10" s="1321" t="s">
        <v>418</v>
      </c>
      <c r="B10" s="1321"/>
      <c r="C10" s="1321"/>
      <c r="D10" s="1321"/>
      <c r="E10" s="1321"/>
      <c r="F10" s="1321"/>
      <c r="G10" s="1321"/>
      <c r="H10" s="1322"/>
      <c r="I10" s="1322"/>
      <c r="J10" s="1322"/>
      <c r="K10" s="1321"/>
      <c r="L10" s="1321"/>
      <c r="M10" s="1323"/>
      <c r="N10" s="1323"/>
      <c r="O10" s="1323"/>
      <c r="P10" s="1323"/>
      <c r="Q10" s="1323"/>
      <c r="R10" s="1323"/>
      <c r="S10" s="1323"/>
      <c r="T10" s="1321"/>
      <c r="V10" s="4"/>
      <c r="W10" s="4"/>
      <c r="X10" s="1"/>
      <c r="Z10" s="244"/>
    </row>
    <row r="11" spans="1:26" s="242" customFormat="1" ht="28.5" customHeight="1">
      <c r="A11" s="5"/>
      <c r="B11" s="18"/>
      <c r="C11" s="193"/>
      <c r="D11" s="193"/>
      <c r="E11" s="5"/>
      <c r="F11" s="9"/>
      <c r="G11" s="9"/>
      <c r="H11" s="8"/>
      <c r="I11" s="1324" t="s">
        <v>0</v>
      </c>
      <c r="J11" s="1324"/>
      <c r="K11" s="1325"/>
      <c r="L11" s="1322"/>
      <c r="M11" s="1326"/>
      <c r="N11" s="1326"/>
      <c r="O11" s="1326"/>
      <c r="P11" s="1326"/>
      <c r="Q11" s="1326"/>
      <c r="R11" s="1326"/>
      <c r="S11" s="1326"/>
      <c r="T11" s="1327"/>
      <c r="V11" s="4"/>
      <c r="W11" s="4"/>
      <c r="X11" s="1"/>
      <c r="Z11" s="244"/>
    </row>
    <row r="12" spans="1:26" s="242" customFormat="1" ht="33.75" customHeight="1">
      <c r="A12" s="1321" t="s">
        <v>420</v>
      </c>
      <c r="B12" s="1321"/>
      <c r="C12" s="1321"/>
      <c r="D12" s="1321"/>
      <c r="E12" s="1321"/>
      <c r="F12" s="1321"/>
      <c r="G12" s="1321"/>
      <c r="H12" s="1322"/>
      <c r="I12" s="1322"/>
      <c r="J12" s="1322"/>
      <c r="K12" s="1321"/>
      <c r="L12" s="1321"/>
      <c r="M12" s="1323"/>
      <c r="N12" s="1323"/>
      <c r="O12" s="1323"/>
      <c r="P12" s="1323"/>
      <c r="Q12" s="1323"/>
      <c r="R12" s="1323"/>
      <c r="S12" s="1323"/>
      <c r="T12" s="1321"/>
      <c r="V12" s="4"/>
      <c r="W12" s="4"/>
      <c r="X12" s="1"/>
      <c r="Z12" s="244"/>
    </row>
    <row r="13" spans="1:26" s="242" customFormat="1" ht="33.75" customHeight="1">
      <c r="A13" s="5"/>
      <c r="B13" s="18"/>
      <c r="C13" s="193"/>
      <c r="D13" s="193"/>
      <c r="E13" s="5"/>
      <c r="F13" s="9"/>
      <c r="G13" s="9"/>
      <c r="H13" s="8"/>
      <c r="I13" s="8"/>
      <c r="J13" s="8"/>
      <c r="K13" s="9"/>
      <c r="L13" s="6"/>
      <c r="M13" s="195"/>
      <c r="N13" s="195"/>
      <c r="O13" s="195"/>
      <c r="P13" s="195"/>
      <c r="Q13" s="195"/>
      <c r="R13" s="195"/>
      <c r="S13" s="195"/>
      <c r="T13" s="7"/>
      <c r="V13" s="4"/>
      <c r="W13" s="4"/>
      <c r="X13" s="1"/>
      <c r="Z13" s="234"/>
    </row>
    <row r="14" spans="1:26" s="242" customFormat="1">
      <c r="A14" s="1328" t="s">
        <v>1</v>
      </c>
      <c r="B14" s="1328" t="s">
        <v>2</v>
      </c>
      <c r="C14" s="1329" t="s">
        <v>3</v>
      </c>
      <c r="D14" s="1329"/>
      <c r="E14" s="1310" t="s">
        <v>4</v>
      </c>
      <c r="F14" s="1310" t="s">
        <v>5</v>
      </c>
      <c r="G14" s="1310" t="s">
        <v>6</v>
      </c>
      <c r="H14" s="1308" t="s">
        <v>7</v>
      </c>
      <c r="I14" s="1314" t="s">
        <v>8</v>
      </c>
      <c r="J14" s="1314"/>
      <c r="K14" s="1310" t="s">
        <v>9</v>
      </c>
      <c r="L14" s="1311" t="s">
        <v>10</v>
      </c>
      <c r="M14" s="1312" t="s">
        <v>11</v>
      </c>
      <c r="N14" s="1312"/>
      <c r="O14" s="1312"/>
      <c r="P14" s="1312"/>
      <c r="Q14" s="1312"/>
      <c r="R14" s="1309" t="s">
        <v>12</v>
      </c>
      <c r="S14" s="1309" t="s">
        <v>13</v>
      </c>
      <c r="T14" s="1313" t="s">
        <v>14</v>
      </c>
      <c r="V14" s="4"/>
      <c r="W14" s="4"/>
      <c r="X14" s="1"/>
      <c r="Z14" s="226"/>
    </row>
    <row r="15" spans="1:26" s="242" customFormat="1">
      <c r="A15" s="1328"/>
      <c r="B15" s="1328"/>
      <c r="C15" s="1307" t="s">
        <v>15</v>
      </c>
      <c r="D15" s="1307" t="s">
        <v>16</v>
      </c>
      <c r="E15" s="1310"/>
      <c r="F15" s="1310"/>
      <c r="G15" s="1310"/>
      <c r="H15" s="1308"/>
      <c r="I15" s="1308" t="s">
        <v>17</v>
      </c>
      <c r="J15" s="1308" t="s">
        <v>18</v>
      </c>
      <c r="K15" s="1310"/>
      <c r="L15" s="1311"/>
      <c r="M15" s="1309" t="s">
        <v>17</v>
      </c>
      <c r="N15" s="1312" t="s">
        <v>19</v>
      </c>
      <c r="O15" s="1312"/>
      <c r="P15" s="1312"/>
      <c r="Q15" s="1312"/>
      <c r="R15" s="1309"/>
      <c r="S15" s="1309"/>
      <c r="T15" s="1313"/>
      <c r="V15" s="4"/>
      <c r="W15" s="4"/>
      <c r="X15" s="1"/>
      <c r="Z15" s="1300"/>
    </row>
    <row r="16" spans="1:26" s="242" customFormat="1" ht="96.75">
      <c r="A16" s="1328"/>
      <c r="B16" s="1328"/>
      <c r="C16" s="1307"/>
      <c r="D16" s="1307"/>
      <c r="E16" s="1310"/>
      <c r="F16" s="1310"/>
      <c r="G16" s="1310"/>
      <c r="H16" s="1308"/>
      <c r="I16" s="1308"/>
      <c r="J16" s="1308"/>
      <c r="K16" s="1310"/>
      <c r="L16" s="1311"/>
      <c r="M16" s="1309"/>
      <c r="N16" s="231" t="s">
        <v>20</v>
      </c>
      <c r="O16" s="231" t="s">
        <v>21</v>
      </c>
      <c r="P16" s="231" t="s">
        <v>22</v>
      </c>
      <c r="Q16" s="231" t="s">
        <v>23</v>
      </c>
      <c r="R16" s="1309"/>
      <c r="S16" s="1309"/>
      <c r="T16" s="1313"/>
      <c r="V16" s="4"/>
      <c r="W16" s="4"/>
      <c r="X16" s="1"/>
      <c r="Z16" s="1300"/>
    </row>
    <row r="17" spans="1:29" s="242" customFormat="1" ht="37.5">
      <c r="A17" s="1328"/>
      <c r="B17" s="1328"/>
      <c r="C17" s="1307"/>
      <c r="D17" s="1307"/>
      <c r="E17" s="1310"/>
      <c r="F17" s="1310"/>
      <c r="G17" s="1310"/>
      <c r="H17" s="232" t="s">
        <v>24</v>
      </c>
      <c r="I17" s="232" t="s">
        <v>24</v>
      </c>
      <c r="J17" s="232" t="s">
        <v>24</v>
      </c>
      <c r="K17" s="230" t="s">
        <v>25</v>
      </c>
      <c r="L17" s="1311"/>
      <c r="M17" s="233" t="s">
        <v>26</v>
      </c>
      <c r="N17" s="233" t="s">
        <v>26</v>
      </c>
      <c r="O17" s="233" t="s">
        <v>26</v>
      </c>
      <c r="P17" s="233" t="s">
        <v>26</v>
      </c>
      <c r="Q17" s="233" t="s">
        <v>26</v>
      </c>
      <c r="R17" s="233" t="s">
        <v>27</v>
      </c>
      <c r="S17" s="233" t="s">
        <v>27</v>
      </c>
      <c r="T17" s="1313"/>
      <c r="V17" s="4"/>
      <c r="W17" s="4"/>
      <c r="X17" s="1"/>
      <c r="Z17" s="34"/>
    </row>
    <row r="18" spans="1:29" s="6" customFormat="1" ht="24" customHeight="1">
      <c r="A18" s="241">
        <v>1</v>
      </c>
      <c r="B18" s="230">
        <v>2</v>
      </c>
      <c r="C18" s="224">
        <v>3</v>
      </c>
      <c r="D18" s="230">
        <v>4</v>
      </c>
      <c r="E18" s="230">
        <v>5</v>
      </c>
      <c r="F18" s="230">
        <v>6</v>
      </c>
      <c r="G18" s="230">
        <v>7</v>
      </c>
      <c r="H18" s="230">
        <v>8</v>
      </c>
      <c r="I18" s="230">
        <v>9</v>
      </c>
      <c r="J18" s="230">
        <v>10</v>
      </c>
      <c r="K18" s="230">
        <v>11</v>
      </c>
      <c r="L18" s="241">
        <v>12</v>
      </c>
      <c r="M18" s="230">
        <v>13</v>
      </c>
      <c r="N18" s="230">
        <v>14</v>
      </c>
      <c r="O18" s="230">
        <v>15</v>
      </c>
      <c r="P18" s="230">
        <v>16</v>
      </c>
      <c r="Q18" s="233">
        <v>17</v>
      </c>
      <c r="R18" s="230">
        <v>18</v>
      </c>
      <c r="S18" s="230">
        <v>19</v>
      </c>
      <c r="T18" s="230">
        <v>20</v>
      </c>
      <c r="V18" s="4"/>
      <c r="W18" s="4"/>
      <c r="X18" s="5"/>
      <c r="Z18" s="34"/>
    </row>
    <row r="19" spans="1:29" s="24" customFormat="1" ht="41.25" customHeight="1">
      <c r="A19" s="1305" t="s">
        <v>4364</v>
      </c>
      <c r="B19" s="1305"/>
      <c r="C19" s="1305"/>
      <c r="D19" s="1305"/>
      <c r="E19" s="1305"/>
      <c r="F19" s="1305"/>
      <c r="G19" s="1305"/>
      <c r="H19" s="1305"/>
      <c r="I19" s="1305"/>
      <c r="J19" s="1305"/>
      <c r="K19" s="1305"/>
      <c r="L19" s="1305"/>
      <c r="M19" s="1305"/>
      <c r="N19" s="1305"/>
      <c r="O19" s="1305"/>
      <c r="P19" s="1305"/>
      <c r="Q19" s="1305"/>
      <c r="R19" s="1305"/>
      <c r="S19" s="1305"/>
      <c r="T19" s="1305"/>
      <c r="V19" s="25"/>
      <c r="X19" s="20"/>
      <c r="Z19" s="27"/>
      <c r="AC19" s="38"/>
    </row>
    <row r="20" spans="1:29" s="24" customFormat="1" ht="37.5" customHeight="1">
      <c r="A20" s="269">
        <v>1</v>
      </c>
      <c r="B20" s="301" t="s">
        <v>1223</v>
      </c>
      <c r="C20" s="138">
        <v>1972</v>
      </c>
      <c r="D20" s="138"/>
      <c r="E20" s="125" t="s">
        <v>217</v>
      </c>
      <c r="F20" s="184">
        <v>5</v>
      </c>
      <c r="G20" s="184">
        <v>8</v>
      </c>
      <c r="H20" s="283">
        <v>8413</v>
      </c>
      <c r="I20" s="283">
        <v>6055</v>
      </c>
      <c r="J20" s="283">
        <v>5807</v>
      </c>
      <c r="K20" s="185">
        <v>295</v>
      </c>
      <c r="L20" s="268" t="s">
        <v>33</v>
      </c>
      <c r="M20" s="270">
        <v>3903934.3499999996</v>
      </c>
      <c r="N20" s="270">
        <v>0</v>
      </c>
      <c r="O20" s="270">
        <v>0</v>
      </c>
      <c r="P20" s="270">
        <v>0</v>
      </c>
      <c r="Q20" s="270">
        <f>M20</f>
        <v>3903934.3499999996</v>
      </c>
      <c r="R20" s="270">
        <f t="shared" ref="R20:R79" si="0">M20/I20</f>
        <v>644.74555739058621</v>
      </c>
      <c r="S20" s="270">
        <v>5115.04</v>
      </c>
      <c r="T20" s="271" t="s">
        <v>220</v>
      </c>
      <c r="V20" s="25"/>
      <c r="X20" s="20"/>
      <c r="Y20" s="106"/>
      <c r="Z20" s="41"/>
      <c r="AA20" s="163"/>
      <c r="AB20" s="163"/>
      <c r="AC20" s="38"/>
    </row>
    <row r="21" spans="1:29" s="24" customFormat="1" ht="37.5" customHeight="1">
      <c r="A21" s="269">
        <f>A20+1</f>
        <v>2</v>
      </c>
      <c r="B21" s="302" t="s">
        <v>1225</v>
      </c>
      <c r="C21" s="138">
        <v>1994</v>
      </c>
      <c r="D21" s="125"/>
      <c r="E21" s="138" t="s">
        <v>217</v>
      </c>
      <c r="F21" s="184">
        <v>9</v>
      </c>
      <c r="G21" s="184">
        <v>3</v>
      </c>
      <c r="H21" s="283">
        <v>6261</v>
      </c>
      <c r="I21" s="283">
        <v>5285</v>
      </c>
      <c r="J21" s="283">
        <v>5285</v>
      </c>
      <c r="K21" s="185">
        <v>297</v>
      </c>
      <c r="L21" s="284" t="s">
        <v>226</v>
      </c>
      <c r="M21" s="270">
        <v>10737597.500000002</v>
      </c>
      <c r="N21" s="276">
        <v>0</v>
      </c>
      <c r="O21" s="276">
        <v>0</v>
      </c>
      <c r="P21" s="276">
        <v>0</v>
      </c>
      <c r="Q21" s="276">
        <f t="shared" ref="Q21:Q80" si="1">M21</f>
        <v>10737597.500000002</v>
      </c>
      <c r="R21" s="276">
        <f t="shared" si="0"/>
        <v>2031.7119205298018</v>
      </c>
      <c r="S21" s="276">
        <v>5115.04</v>
      </c>
      <c r="T21" s="294" t="s">
        <v>220</v>
      </c>
      <c r="V21" s="25"/>
      <c r="X21" s="20"/>
      <c r="Y21" s="106"/>
      <c r="Z21" s="41"/>
      <c r="AA21" s="163"/>
      <c r="AB21" s="163"/>
      <c r="AC21" s="38"/>
    </row>
    <row r="22" spans="1:29" s="26" customFormat="1" ht="37.5" customHeight="1">
      <c r="A22" s="269">
        <f t="shared" ref="A22:A84" si="2">A21+1</f>
        <v>3</v>
      </c>
      <c r="B22" s="302" t="s">
        <v>1226</v>
      </c>
      <c r="C22" s="303">
        <v>1973</v>
      </c>
      <c r="D22" s="125"/>
      <c r="E22" s="138" t="s">
        <v>221</v>
      </c>
      <c r="F22" s="304">
        <v>5</v>
      </c>
      <c r="G22" s="175">
        <v>4</v>
      </c>
      <c r="H22" s="262">
        <v>3407</v>
      </c>
      <c r="I22" s="262">
        <v>2232</v>
      </c>
      <c r="J22" s="262">
        <v>2170.6999999999998</v>
      </c>
      <c r="K22" s="218">
        <v>175</v>
      </c>
      <c r="L22" s="260" t="s">
        <v>33</v>
      </c>
      <c r="M22" s="270">
        <v>1841574.01</v>
      </c>
      <c r="N22" s="209">
        <v>0</v>
      </c>
      <c r="O22" s="209">
        <v>0</v>
      </c>
      <c r="P22" s="209">
        <v>0</v>
      </c>
      <c r="Q22" s="209">
        <f t="shared" si="1"/>
        <v>1841574.01</v>
      </c>
      <c r="R22" s="209">
        <f t="shared" si="0"/>
        <v>825.0779614695341</v>
      </c>
      <c r="S22" s="209">
        <v>5115.04</v>
      </c>
      <c r="T22" s="173" t="s">
        <v>220</v>
      </c>
      <c r="V22" s="25"/>
      <c r="X22" s="20"/>
      <c r="Y22" s="106"/>
      <c r="Z22" s="41"/>
      <c r="AA22" s="163"/>
      <c r="AB22" s="163"/>
      <c r="AC22" s="38"/>
    </row>
    <row r="23" spans="1:29" s="24" customFormat="1" ht="37.5" customHeight="1">
      <c r="A23" s="269">
        <f t="shared" si="2"/>
        <v>4</v>
      </c>
      <c r="B23" s="302" t="s">
        <v>1227</v>
      </c>
      <c r="C23" s="303">
        <v>1976</v>
      </c>
      <c r="D23" s="167"/>
      <c r="E23" s="179" t="s">
        <v>221</v>
      </c>
      <c r="F23" s="304">
        <v>5</v>
      </c>
      <c r="G23" s="175">
        <v>4</v>
      </c>
      <c r="H23" s="262">
        <v>3334</v>
      </c>
      <c r="I23" s="262">
        <v>2267.5</v>
      </c>
      <c r="J23" s="262">
        <v>2117</v>
      </c>
      <c r="K23" s="218">
        <v>188</v>
      </c>
      <c r="L23" s="260" t="s">
        <v>33</v>
      </c>
      <c r="M23" s="270">
        <v>1848592.63</v>
      </c>
      <c r="N23" s="209">
        <v>0</v>
      </c>
      <c r="O23" s="209">
        <v>0</v>
      </c>
      <c r="P23" s="209">
        <v>0</v>
      </c>
      <c r="Q23" s="209">
        <f t="shared" si="1"/>
        <v>1848592.63</v>
      </c>
      <c r="R23" s="209">
        <f t="shared" si="0"/>
        <v>815.25584564498342</v>
      </c>
      <c r="S23" s="209">
        <v>5115.04</v>
      </c>
      <c r="T23" s="173" t="s">
        <v>220</v>
      </c>
      <c r="V23" s="25"/>
      <c r="X23" s="20"/>
      <c r="Y23" s="106"/>
      <c r="Z23" s="41"/>
      <c r="AA23" s="163"/>
      <c r="AB23" s="163"/>
      <c r="AC23" s="38"/>
    </row>
    <row r="24" spans="1:29" s="24" customFormat="1" ht="37.5" customHeight="1">
      <c r="A24" s="269">
        <f t="shared" si="2"/>
        <v>5</v>
      </c>
      <c r="B24" s="302" t="s">
        <v>1228</v>
      </c>
      <c r="C24" s="305">
        <v>1976</v>
      </c>
      <c r="D24" s="167"/>
      <c r="E24" s="179" t="s">
        <v>221</v>
      </c>
      <c r="F24" s="175">
        <v>5</v>
      </c>
      <c r="G24" s="175">
        <v>4</v>
      </c>
      <c r="H24" s="280">
        <v>3401</v>
      </c>
      <c r="I24" s="262">
        <v>2298.8000000000002</v>
      </c>
      <c r="J24" s="262">
        <v>2268.1</v>
      </c>
      <c r="K24" s="218">
        <v>218</v>
      </c>
      <c r="L24" s="260" t="s">
        <v>33</v>
      </c>
      <c r="M24" s="270">
        <v>1837269.9200000002</v>
      </c>
      <c r="N24" s="209">
        <v>0</v>
      </c>
      <c r="O24" s="209">
        <v>0</v>
      </c>
      <c r="P24" s="209">
        <v>0</v>
      </c>
      <c r="Q24" s="209">
        <f t="shared" si="1"/>
        <v>1837269.9200000002</v>
      </c>
      <c r="R24" s="209">
        <f t="shared" si="0"/>
        <v>799.22999825996169</v>
      </c>
      <c r="S24" s="209">
        <v>5115.04</v>
      </c>
      <c r="T24" s="173" t="s">
        <v>220</v>
      </c>
      <c r="V24" s="25"/>
      <c r="X24" s="20"/>
      <c r="Y24" s="106"/>
      <c r="Z24" s="41"/>
      <c r="AA24" s="163"/>
      <c r="AB24" s="163"/>
      <c r="AC24" s="38"/>
    </row>
    <row r="25" spans="1:29" s="26" customFormat="1" ht="37.5" customHeight="1">
      <c r="A25" s="269">
        <f t="shared" si="2"/>
        <v>6</v>
      </c>
      <c r="B25" s="306" t="s">
        <v>1229</v>
      </c>
      <c r="C25" s="179">
        <v>1997</v>
      </c>
      <c r="D25" s="167"/>
      <c r="E25" s="179" t="s">
        <v>221</v>
      </c>
      <c r="F25" s="175">
        <v>9</v>
      </c>
      <c r="G25" s="175">
        <v>1</v>
      </c>
      <c r="H25" s="262">
        <v>3556</v>
      </c>
      <c r="I25" s="262">
        <v>3224</v>
      </c>
      <c r="J25" s="262">
        <v>2986</v>
      </c>
      <c r="K25" s="218">
        <v>180</v>
      </c>
      <c r="L25" s="307" t="s">
        <v>226</v>
      </c>
      <c r="M25" s="270">
        <v>8842687.3300000001</v>
      </c>
      <c r="N25" s="209">
        <v>0</v>
      </c>
      <c r="O25" s="209">
        <v>0</v>
      </c>
      <c r="P25" s="209">
        <v>0</v>
      </c>
      <c r="Q25" s="209">
        <f t="shared" si="1"/>
        <v>8842687.3300000001</v>
      </c>
      <c r="R25" s="209">
        <f t="shared" si="0"/>
        <v>2742.7690229528534</v>
      </c>
      <c r="S25" s="209">
        <v>5115.04</v>
      </c>
      <c r="T25" s="173" t="s">
        <v>220</v>
      </c>
      <c r="V25" s="25"/>
      <c r="X25" s="20"/>
      <c r="Y25" s="106"/>
      <c r="Z25" s="41"/>
      <c r="AA25" s="163"/>
      <c r="AB25" s="163"/>
      <c r="AC25" s="38"/>
    </row>
    <row r="26" spans="1:29" s="24" customFormat="1" ht="37.5" customHeight="1">
      <c r="A26" s="269">
        <f t="shared" si="2"/>
        <v>7</v>
      </c>
      <c r="B26" s="308" t="s">
        <v>1230</v>
      </c>
      <c r="C26" s="179">
        <v>1976</v>
      </c>
      <c r="D26" s="167"/>
      <c r="E26" s="179" t="s">
        <v>221</v>
      </c>
      <c r="F26" s="175">
        <v>5</v>
      </c>
      <c r="G26" s="175">
        <v>15</v>
      </c>
      <c r="H26" s="262">
        <v>11562</v>
      </c>
      <c r="I26" s="262">
        <v>10229</v>
      </c>
      <c r="J26" s="262">
        <v>10229</v>
      </c>
      <c r="K26" s="218">
        <v>541</v>
      </c>
      <c r="L26" s="309" t="s">
        <v>33</v>
      </c>
      <c r="M26" s="270">
        <v>6884629.4500000002</v>
      </c>
      <c r="N26" s="277">
        <v>0</v>
      </c>
      <c r="O26" s="277">
        <v>0</v>
      </c>
      <c r="P26" s="277">
        <v>0</v>
      </c>
      <c r="Q26" s="277">
        <f t="shared" si="1"/>
        <v>6884629.4500000002</v>
      </c>
      <c r="R26" s="277">
        <f t="shared" si="0"/>
        <v>673.05009776126701</v>
      </c>
      <c r="S26" s="277">
        <v>5115.04</v>
      </c>
      <c r="T26" s="310" t="s">
        <v>220</v>
      </c>
      <c r="V26" s="25"/>
      <c r="X26" s="20"/>
      <c r="Y26" s="106"/>
      <c r="Z26" s="41"/>
      <c r="AA26" s="163"/>
      <c r="AB26" s="163"/>
      <c r="AC26" s="38"/>
    </row>
    <row r="27" spans="1:29" s="26" customFormat="1" ht="37.5" customHeight="1">
      <c r="A27" s="269">
        <f t="shared" si="2"/>
        <v>8</v>
      </c>
      <c r="B27" s="308" t="s">
        <v>1231</v>
      </c>
      <c r="C27" s="179">
        <v>1974</v>
      </c>
      <c r="D27" s="311"/>
      <c r="E27" s="138" t="s">
        <v>221</v>
      </c>
      <c r="F27" s="184">
        <v>5</v>
      </c>
      <c r="G27" s="184">
        <v>4</v>
      </c>
      <c r="H27" s="283">
        <v>3599</v>
      </c>
      <c r="I27" s="283">
        <v>3363.4</v>
      </c>
      <c r="J27" s="283">
        <v>3252.8</v>
      </c>
      <c r="K27" s="185">
        <v>180</v>
      </c>
      <c r="L27" s="312" t="s">
        <v>226</v>
      </c>
      <c r="M27" s="270">
        <v>5446139.5299999993</v>
      </c>
      <c r="N27" s="277">
        <v>0</v>
      </c>
      <c r="O27" s="277">
        <v>0</v>
      </c>
      <c r="P27" s="277">
        <v>0</v>
      </c>
      <c r="Q27" s="277">
        <f t="shared" si="1"/>
        <v>5446139.5299999993</v>
      </c>
      <c r="R27" s="277">
        <f t="shared" si="0"/>
        <v>1619.2363471487183</v>
      </c>
      <c r="S27" s="277">
        <v>5115.04</v>
      </c>
      <c r="T27" s="310" t="s">
        <v>220</v>
      </c>
      <c r="V27" s="25"/>
      <c r="X27" s="20"/>
      <c r="Y27" s="106"/>
      <c r="Z27" s="41"/>
      <c r="AA27" s="163"/>
      <c r="AB27" s="163"/>
      <c r="AC27" s="38"/>
    </row>
    <row r="28" spans="1:29" s="24" customFormat="1" ht="37.5" customHeight="1">
      <c r="A28" s="269">
        <f t="shared" si="2"/>
        <v>9</v>
      </c>
      <c r="B28" s="301" t="s">
        <v>1232</v>
      </c>
      <c r="C28" s="138">
        <v>1961</v>
      </c>
      <c r="D28" s="125"/>
      <c r="E28" s="138" t="s">
        <v>221</v>
      </c>
      <c r="F28" s="184">
        <v>5</v>
      </c>
      <c r="G28" s="184">
        <v>4</v>
      </c>
      <c r="H28" s="283">
        <v>3086.6</v>
      </c>
      <c r="I28" s="283">
        <v>2786.6</v>
      </c>
      <c r="J28" s="283">
        <v>2786.6</v>
      </c>
      <c r="K28" s="185">
        <v>157</v>
      </c>
      <c r="L28" s="309" t="s">
        <v>33</v>
      </c>
      <c r="M28" s="270">
        <v>3500907.5</v>
      </c>
      <c r="N28" s="277">
        <v>0</v>
      </c>
      <c r="O28" s="277">
        <v>0</v>
      </c>
      <c r="P28" s="277">
        <v>0</v>
      </c>
      <c r="Q28" s="277">
        <f t="shared" si="1"/>
        <v>3500907.5</v>
      </c>
      <c r="R28" s="277">
        <f t="shared" si="0"/>
        <v>1256.3365750376804</v>
      </c>
      <c r="S28" s="277">
        <v>5115.04</v>
      </c>
      <c r="T28" s="310" t="s">
        <v>220</v>
      </c>
      <c r="V28" s="25"/>
      <c r="X28" s="20"/>
      <c r="Y28" s="106"/>
      <c r="Z28" s="41"/>
      <c r="AA28" s="163"/>
      <c r="AB28" s="163"/>
      <c r="AC28" s="38"/>
    </row>
    <row r="29" spans="1:29" s="24" customFormat="1" ht="37.5" customHeight="1">
      <c r="A29" s="269">
        <f t="shared" si="2"/>
        <v>10</v>
      </c>
      <c r="B29" s="313" t="s">
        <v>1233</v>
      </c>
      <c r="C29" s="138">
        <v>1962</v>
      </c>
      <c r="D29" s="125"/>
      <c r="E29" s="138" t="s">
        <v>221</v>
      </c>
      <c r="F29" s="184">
        <v>5</v>
      </c>
      <c r="G29" s="184">
        <v>2</v>
      </c>
      <c r="H29" s="283">
        <v>1543</v>
      </c>
      <c r="I29" s="283">
        <v>1282.3</v>
      </c>
      <c r="J29" s="283">
        <v>1239.7</v>
      </c>
      <c r="K29" s="185">
        <v>73</v>
      </c>
      <c r="L29" s="314" t="s">
        <v>30</v>
      </c>
      <c r="M29" s="270">
        <v>781548.3</v>
      </c>
      <c r="N29" s="277">
        <v>0</v>
      </c>
      <c r="O29" s="277">
        <v>0</v>
      </c>
      <c r="P29" s="277">
        <v>0</v>
      </c>
      <c r="Q29" s="277">
        <f t="shared" si="1"/>
        <v>781548.3</v>
      </c>
      <c r="R29" s="277">
        <f t="shared" si="0"/>
        <v>609.48943304998841</v>
      </c>
      <c r="S29" s="277">
        <v>5115.04</v>
      </c>
      <c r="T29" s="310" t="s">
        <v>220</v>
      </c>
      <c r="V29" s="25"/>
      <c r="X29" s="20"/>
      <c r="Y29" s="106"/>
      <c r="Z29" s="41"/>
      <c r="AA29" s="163"/>
      <c r="AB29" s="163"/>
      <c r="AC29" s="38"/>
    </row>
    <row r="30" spans="1:29" s="24" customFormat="1" ht="37.5" customHeight="1">
      <c r="A30" s="269">
        <f t="shared" si="2"/>
        <v>11</v>
      </c>
      <c r="B30" s="313" t="s">
        <v>1234</v>
      </c>
      <c r="C30" s="138">
        <v>1959</v>
      </c>
      <c r="D30" s="138"/>
      <c r="E30" s="138" t="s">
        <v>221</v>
      </c>
      <c r="F30" s="184">
        <v>5</v>
      </c>
      <c r="G30" s="184">
        <v>4</v>
      </c>
      <c r="H30" s="283">
        <v>3724</v>
      </c>
      <c r="I30" s="283">
        <v>3045.1</v>
      </c>
      <c r="J30" s="283">
        <v>3045.1</v>
      </c>
      <c r="K30" s="315">
        <v>143</v>
      </c>
      <c r="L30" s="316" t="s">
        <v>33</v>
      </c>
      <c r="M30" s="270">
        <v>3381507.5</v>
      </c>
      <c r="N30" s="317">
        <v>0</v>
      </c>
      <c r="O30" s="317">
        <v>0</v>
      </c>
      <c r="P30" s="317">
        <v>0</v>
      </c>
      <c r="Q30" s="317">
        <f t="shared" si="1"/>
        <v>3381507.5</v>
      </c>
      <c r="R30" s="317">
        <f t="shared" si="0"/>
        <v>1110.4750254507242</v>
      </c>
      <c r="S30" s="317">
        <v>5115.04</v>
      </c>
      <c r="T30" s="318" t="s">
        <v>220</v>
      </c>
      <c r="V30" s="25"/>
      <c r="X30" s="20"/>
      <c r="Y30" s="106"/>
      <c r="Z30" s="41"/>
      <c r="AA30" s="163"/>
      <c r="AB30" s="163"/>
      <c r="AC30" s="38"/>
    </row>
    <row r="31" spans="1:29" s="24" customFormat="1" ht="37.5" customHeight="1">
      <c r="A31" s="269">
        <f t="shared" si="2"/>
        <v>12</v>
      </c>
      <c r="B31" s="313" t="s">
        <v>1235</v>
      </c>
      <c r="C31" s="138">
        <v>1962</v>
      </c>
      <c r="D31" s="138"/>
      <c r="E31" s="138" t="s">
        <v>221</v>
      </c>
      <c r="F31" s="184">
        <v>5</v>
      </c>
      <c r="G31" s="184">
        <v>1</v>
      </c>
      <c r="H31" s="283">
        <v>2856</v>
      </c>
      <c r="I31" s="283">
        <v>2756.4</v>
      </c>
      <c r="J31" s="283">
        <v>2756.4</v>
      </c>
      <c r="K31" s="315">
        <v>139</v>
      </c>
      <c r="L31" s="316" t="s">
        <v>226</v>
      </c>
      <c r="M31" s="270">
        <v>4709335</v>
      </c>
      <c r="N31" s="317">
        <v>0</v>
      </c>
      <c r="O31" s="317">
        <v>0</v>
      </c>
      <c r="P31" s="317">
        <v>0</v>
      </c>
      <c r="Q31" s="317">
        <f t="shared" si="1"/>
        <v>4709335</v>
      </c>
      <c r="R31" s="317">
        <f t="shared" si="0"/>
        <v>1708.5092874764184</v>
      </c>
      <c r="S31" s="317">
        <v>5115.04</v>
      </c>
      <c r="T31" s="318" t="s">
        <v>220</v>
      </c>
      <c r="V31" s="25"/>
      <c r="X31" s="20"/>
      <c r="Y31" s="106"/>
      <c r="Z31" s="41"/>
      <c r="AA31" s="163"/>
      <c r="AB31" s="163"/>
      <c r="AC31" s="38"/>
    </row>
    <row r="32" spans="1:29" s="24" customFormat="1" ht="37.5" customHeight="1">
      <c r="A32" s="269">
        <f t="shared" si="2"/>
        <v>13</v>
      </c>
      <c r="B32" s="313" t="s">
        <v>1236</v>
      </c>
      <c r="C32" s="138">
        <v>1987</v>
      </c>
      <c r="D32" s="138"/>
      <c r="E32" s="138" t="s">
        <v>221</v>
      </c>
      <c r="F32" s="184">
        <v>5</v>
      </c>
      <c r="G32" s="184">
        <v>1</v>
      </c>
      <c r="H32" s="283">
        <v>1767</v>
      </c>
      <c r="I32" s="283">
        <v>1767</v>
      </c>
      <c r="J32" s="283">
        <v>1692</v>
      </c>
      <c r="K32" s="315">
        <v>128</v>
      </c>
      <c r="L32" s="319" t="s">
        <v>30</v>
      </c>
      <c r="M32" s="270">
        <v>1297410.1800000002</v>
      </c>
      <c r="N32" s="317">
        <v>0</v>
      </c>
      <c r="O32" s="317">
        <v>0</v>
      </c>
      <c r="P32" s="317">
        <v>0</v>
      </c>
      <c r="Q32" s="317">
        <f t="shared" si="1"/>
        <v>1297410.1800000002</v>
      </c>
      <c r="R32" s="317">
        <f t="shared" si="0"/>
        <v>734.2445840407471</v>
      </c>
      <c r="S32" s="317">
        <v>5115.04</v>
      </c>
      <c r="T32" s="318" t="s">
        <v>220</v>
      </c>
      <c r="V32" s="25"/>
      <c r="X32" s="20"/>
      <c r="Y32" s="106"/>
      <c r="Z32" s="41"/>
      <c r="AA32" s="163"/>
      <c r="AB32" s="163"/>
      <c r="AC32" s="38"/>
    </row>
    <row r="33" spans="1:29" s="24" customFormat="1" ht="37.5" customHeight="1">
      <c r="A33" s="269">
        <f t="shared" si="2"/>
        <v>14</v>
      </c>
      <c r="B33" s="313" t="s">
        <v>1237</v>
      </c>
      <c r="C33" s="138">
        <v>1969</v>
      </c>
      <c r="D33" s="138"/>
      <c r="E33" s="138" t="s">
        <v>221</v>
      </c>
      <c r="F33" s="184">
        <v>5</v>
      </c>
      <c r="G33" s="184">
        <v>2</v>
      </c>
      <c r="H33" s="283">
        <v>1892</v>
      </c>
      <c r="I33" s="283">
        <v>1782</v>
      </c>
      <c r="J33" s="283">
        <v>1356</v>
      </c>
      <c r="K33" s="315">
        <v>61</v>
      </c>
      <c r="L33" s="319" t="s">
        <v>30</v>
      </c>
      <c r="M33" s="270">
        <v>919822.23</v>
      </c>
      <c r="N33" s="317">
        <v>0</v>
      </c>
      <c r="O33" s="317">
        <v>0</v>
      </c>
      <c r="P33" s="317">
        <v>0</v>
      </c>
      <c r="Q33" s="317">
        <f t="shared" si="1"/>
        <v>919822.23</v>
      </c>
      <c r="R33" s="317">
        <f t="shared" si="0"/>
        <v>516.17409090909086</v>
      </c>
      <c r="S33" s="317">
        <v>5115.04</v>
      </c>
      <c r="T33" s="318" t="s">
        <v>220</v>
      </c>
      <c r="V33" s="25"/>
      <c r="X33" s="20"/>
      <c r="Y33" s="106"/>
      <c r="Z33" s="41"/>
      <c r="AA33" s="163"/>
      <c r="AB33" s="163"/>
      <c r="AC33" s="38"/>
    </row>
    <row r="34" spans="1:29" s="24" customFormat="1" ht="37.5" customHeight="1">
      <c r="A34" s="269">
        <f t="shared" si="2"/>
        <v>15</v>
      </c>
      <c r="B34" s="313" t="s">
        <v>1238</v>
      </c>
      <c r="C34" s="138">
        <v>1973</v>
      </c>
      <c r="D34" s="125"/>
      <c r="E34" s="138" t="s">
        <v>221</v>
      </c>
      <c r="F34" s="184">
        <v>5</v>
      </c>
      <c r="G34" s="184">
        <v>4</v>
      </c>
      <c r="H34" s="283">
        <v>3400</v>
      </c>
      <c r="I34" s="283">
        <v>2267</v>
      </c>
      <c r="J34" s="283">
        <v>2267</v>
      </c>
      <c r="K34" s="315">
        <v>169</v>
      </c>
      <c r="L34" s="319" t="s">
        <v>30</v>
      </c>
      <c r="M34" s="270">
        <v>1839644.46</v>
      </c>
      <c r="N34" s="317">
        <v>0</v>
      </c>
      <c r="O34" s="317">
        <v>0</v>
      </c>
      <c r="P34" s="317">
        <v>0</v>
      </c>
      <c r="Q34" s="317">
        <f t="shared" si="1"/>
        <v>1839644.46</v>
      </c>
      <c r="R34" s="317">
        <f t="shared" si="0"/>
        <v>811.48851345390381</v>
      </c>
      <c r="S34" s="317">
        <v>5115.04</v>
      </c>
      <c r="T34" s="318" t="s">
        <v>220</v>
      </c>
      <c r="V34" s="25"/>
      <c r="X34" s="20"/>
      <c r="Y34" s="106"/>
      <c r="Z34" s="41"/>
      <c r="AA34" s="163"/>
      <c r="AB34" s="163"/>
      <c r="AC34" s="38"/>
    </row>
    <row r="35" spans="1:29" s="24" customFormat="1" ht="37.5" customHeight="1">
      <c r="A35" s="269">
        <f t="shared" si="2"/>
        <v>16</v>
      </c>
      <c r="B35" s="301" t="s">
        <v>1239</v>
      </c>
      <c r="C35" s="138">
        <v>1991</v>
      </c>
      <c r="D35" s="138"/>
      <c r="E35" s="138" t="s">
        <v>221</v>
      </c>
      <c r="F35" s="185">
        <v>5</v>
      </c>
      <c r="G35" s="185">
        <v>9</v>
      </c>
      <c r="H35" s="283">
        <v>6761</v>
      </c>
      <c r="I35" s="283">
        <v>6191.2</v>
      </c>
      <c r="J35" s="283">
        <v>6191.2</v>
      </c>
      <c r="K35" s="315">
        <v>264</v>
      </c>
      <c r="L35" s="320" t="s">
        <v>33</v>
      </c>
      <c r="M35" s="270">
        <v>3572610.0500000003</v>
      </c>
      <c r="N35" s="317">
        <v>0</v>
      </c>
      <c r="O35" s="317">
        <v>0</v>
      </c>
      <c r="P35" s="317">
        <v>0</v>
      </c>
      <c r="Q35" s="317">
        <f t="shared" si="1"/>
        <v>3572610.0500000003</v>
      </c>
      <c r="R35" s="317">
        <f t="shared" si="0"/>
        <v>577.0464611060861</v>
      </c>
      <c r="S35" s="317">
        <v>5115.04</v>
      </c>
      <c r="T35" s="318" t="s">
        <v>220</v>
      </c>
      <c r="V35" s="25"/>
      <c r="X35" s="20"/>
      <c r="Y35" s="106"/>
      <c r="Z35" s="41"/>
      <c r="AA35" s="163"/>
      <c r="AB35" s="163"/>
      <c r="AC35" s="38"/>
    </row>
    <row r="36" spans="1:29" s="24" customFormat="1" ht="37.5" customHeight="1">
      <c r="A36" s="269">
        <f t="shared" si="2"/>
        <v>17</v>
      </c>
      <c r="B36" s="313" t="s">
        <v>1240</v>
      </c>
      <c r="C36" s="138">
        <v>1969</v>
      </c>
      <c r="D36" s="125"/>
      <c r="E36" s="138" t="s">
        <v>221</v>
      </c>
      <c r="F36" s="184">
        <v>5</v>
      </c>
      <c r="G36" s="184">
        <v>6</v>
      </c>
      <c r="H36" s="283">
        <v>5664</v>
      </c>
      <c r="I36" s="283">
        <v>5258</v>
      </c>
      <c r="J36" s="283">
        <v>5258</v>
      </c>
      <c r="K36" s="315">
        <v>247</v>
      </c>
      <c r="L36" s="319" t="s">
        <v>33</v>
      </c>
      <c r="M36" s="270">
        <v>2615774.21</v>
      </c>
      <c r="N36" s="317">
        <v>0</v>
      </c>
      <c r="O36" s="317">
        <v>0</v>
      </c>
      <c r="P36" s="317">
        <v>0</v>
      </c>
      <c r="Q36" s="317">
        <f t="shared" si="1"/>
        <v>2615774.21</v>
      </c>
      <c r="R36" s="317">
        <f t="shared" si="0"/>
        <v>497.48463484214528</v>
      </c>
      <c r="S36" s="317">
        <v>5115.04</v>
      </c>
      <c r="T36" s="318" t="s">
        <v>220</v>
      </c>
      <c r="V36" s="25"/>
      <c r="X36" s="20"/>
      <c r="Y36" s="106"/>
      <c r="Z36" s="41"/>
      <c r="AA36" s="163"/>
      <c r="AB36" s="163"/>
      <c r="AC36" s="38"/>
    </row>
    <row r="37" spans="1:29" s="24" customFormat="1" ht="37.5" customHeight="1">
      <c r="A37" s="269">
        <f t="shared" si="2"/>
        <v>18</v>
      </c>
      <c r="B37" s="321" t="s">
        <v>1241</v>
      </c>
      <c r="C37" s="322">
        <v>1995</v>
      </c>
      <c r="D37" s="125"/>
      <c r="E37" s="138" t="s">
        <v>221</v>
      </c>
      <c r="F37" s="323">
        <v>5</v>
      </c>
      <c r="G37" s="323">
        <v>6</v>
      </c>
      <c r="H37" s="283">
        <v>4638</v>
      </c>
      <c r="I37" s="283">
        <v>4153</v>
      </c>
      <c r="J37" s="283">
        <v>4087</v>
      </c>
      <c r="K37" s="315">
        <v>212</v>
      </c>
      <c r="L37" s="320" t="s">
        <v>33</v>
      </c>
      <c r="M37" s="270">
        <v>2983975.15</v>
      </c>
      <c r="N37" s="317">
        <v>0</v>
      </c>
      <c r="O37" s="317">
        <v>0</v>
      </c>
      <c r="P37" s="317">
        <v>0</v>
      </c>
      <c r="Q37" s="317">
        <f t="shared" si="1"/>
        <v>2983975.15</v>
      </c>
      <c r="R37" s="317">
        <f t="shared" si="0"/>
        <v>718.51075126414639</v>
      </c>
      <c r="S37" s="317">
        <v>5115.04</v>
      </c>
      <c r="T37" s="318" t="s">
        <v>220</v>
      </c>
      <c r="V37" s="25"/>
      <c r="X37" s="20"/>
      <c r="Y37" s="106"/>
      <c r="Z37" s="41"/>
      <c r="AA37" s="163"/>
      <c r="AB37" s="163"/>
      <c r="AC37" s="38"/>
    </row>
    <row r="38" spans="1:29" s="24" customFormat="1" ht="37.5" customHeight="1">
      <c r="A38" s="269">
        <f t="shared" si="2"/>
        <v>19</v>
      </c>
      <c r="B38" s="313" t="s">
        <v>1242</v>
      </c>
      <c r="C38" s="138">
        <v>1997</v>
      </c>
      <c r="D38" s="125"/>
      <c r="E38" s="138" t="s">
        <v>217</v>
      </c>
      <c r="F38" s="185">
        <v>5</v>
      </c>
      <c r="G38" s="185">
        <v>5</v>
      </c>
      <c r="H38" s="283">
        <v>4443</v>
      </c>
      <c r="I38" s="283">
        <v>4065</v>
      </c>
      <c r="J38" s="283">
        <v>3616</v>
      </c>
      <c r="K38" s="315">
        <v>176</v>
      </c>
      <c r="L38" s="324" t="s">
        <v>33</v>
      </c>
      <c r="M38" s="270">
        <v>2815495.7800000003</v>
      </c>
      <c r="N38" s="317">
        <v>0</v>
      </c>
      <c r="O38" s="317">
        <v>0</v>
      </c>
      <c r="P38" s="317">
        <v>0</v>
      </c>
      <c r="Q38" s="317">
        <f t="shared" si="1"/>
        <v>2815495.7800000003</v>
      </c>
      <c r="R38" s="317">
        <f t="shared" si="0"/>
        <v>692.61888806888078</v>
      </c>
      <c r="S38" s="317">
        <v>5115.04</v>
      </c>
      <c r="T38" s="318" t="s">
        <v>220</v>
      </c>
      <c r="V38" s="25"/>
      <c r="X38" s="20"/>
      <c r="Y38" s="106"/>
      <c r="Z38" s="41"/>
      <c r="AA38" s="163"/>
      <c r="AB38" s="163"/>
      <c r="AC38" s="38"/>
    </row>
    <row r="39" spans="1:29" s="24" customFormat="1" ht="37.5" customHeight="1">
      <c r="A39" s="269">
        <f t="shared" si="2"/>
        <v>20</v>
      </c>
      <c r="B39" s="313" t="s">
        <v>1243</v>
      </c>
      <c r="C39" s="138">
        <v>1968</v>
      </c>
      <c r="D39" s="138"/>
      <c r="E39" s="138" t="s">
        <v>221</v>
      </c>
      <c r="F39" s="184">
        <v>3</v>
      </c>
      <c r="G39" s="184">
        <v>2</v>
      </c>
      <c r="H39" s="283">
        <v>1633</v>
      </c>
      <c r="I39" s="283">
        <v>1245</v>
      </c>
      <c r="J39" s="283">
        <v>1162</v>
      </c>
      <c r="K39" s="315">
        <v>61</v>
      </c>
      <c r="L39" s="319" t="s">
        <v>30</v>
      </c>
      <c r="M39" s="270">
        <v>449924</v>
      </c>
      <c r="N39" s="317">
        <v>0</v>
      </c>
      <c r="O39" s="317">
        <v>0</v>
      </c>
      <c r="P39" s="317">
        <v>0</v>
      </c>
      <c r="Q39" s="317">
        <f t="shared" si="1"/>
        <v>449924</v>
      </c>
      <c r="R39" s="317">
        <f t="shared" si="0"/>
        <v>361.38473895582331</v>
      </c>
      <c r="S39" s="317">
        <v>5115.04</v>
      </c>
      <c r="T39" s="318" t="s">
        <v>220</v>
      </c>
      <c r="V39" s="25"/>
      <c r="X39" s="20"/>
      <c r="Y39" s="106"/>
      <c r="Z39" s="41"/>
      <c r="AA39" s="163"/>
      <c r="AB39" s="163"/>
      <c r="AC39" s="38"/>
    </row>
    <row r="40" spans="1:29" s="24" customFormat="1" ht="37.5" customHeight="1">
      <c r="A40" s="269">
        <f t="shared" si="2"/>
        <v>21</v>
      </c>
      <c r="B40" s="301" t="s">
        <v>1244</v>
      </c>
      <c r="C40" s="138">
        <v>1978</v>
      </c>
      <c r="D40" s="125"/>
      <c r="E40" s="138" t="s">
        <v>221</v>
      </c>
      <c r="F40" s="184">
        <v>5</v>
      </c>
      <c r="G40" s="184">
        <v>11</v>
      </c>
      <c r="H40" s="283">
        <v>7121</v>
      </c>
      <c r="I40" s="283">
        <v>7121</v>
      </c>
      <c r="J40" s="283">
        <v>6579.4</v>
      </c>
      <c r="K40" s="315">
        <v>388</v>
      </c>
      <c r="L40" s="324" t="s">
        <v>33</v>
      </c>
      <c r="M40" s="270">
        <v>5572339.5700000003</v>
      </c>
      <c r="N40" s="317">
        <v>0</v>
      </c>
      <c r="O40" s="317">
        <v>0</v>
      </c>
      <c r="P40" s="317">
        <v>0</v>
      </c>
      <c r="Q40" s="317">
        <f t="shared" si="1"/>
        <v>5572339.5700000003</v>
      </c>
      <c r="R40" s="317">
        <f t="shared" si="0"/>
        <v>782.52205729532375</v>
      </c>
      <c r="S40" s="317">
        <v>5115.04</v>
      </c>
      <c r="T40" s="318" t="s">
        <v>220</v>
      </c>
      <c r="V40" s="25"/>
      <c r="X40" s="20"/>
      <c r="Y40" s="106"/>
      <c r="Z40" s="41"/>
      <c r="AA40" s="163"/>
      <c r="AB40" s="163"/>
      <c r="AC40" s="38"/>
    </row>
    <row r="41" spans="1:29" s="24" customFormat="1" ht="37.5" customHeight="1">
      <c r="A41" s="269">
        <f t="shared" si="2"/>
        <v>22</v>
      </c>
      <c r="B41" s="301" t="s">
        <v>1245</v>
      </c>
      <c r="C41" s="138">
        <v>1986</v>
      </c>
      <c r="D41" s="125"/>
      <c r="E41" s="138" t="s">
        <v>221</v>
      </c>
      <c r="F41" s="184">
        <v>3</v>
      </c>
      <c r="G41" s="184">
        <v>2</v>
      </c>
      <c r="H41" s="283">
        <v>1311</v>
      </c>
      <c r="I41" s="283">
        <v>1103.5</v>
      </c>
      <c r="J41" s="283">
        <v>1103.5</v>
      </c>
      <c r="K41" s="315">
        <v>74</v>
      </c>
      <c r="L41" s="324" t="s">
        <v>33</v>
      </c>
      <c r="M41" s="270">
        <v>3676992.12</v>
      </c>
      <c r="N41" s="317">
        <v>0</v>
      </c>
      <c r="O41" s="317">
        <v>0</v>
      </c>
      <c r="P41" s="317">
        <v>0</v>
      </c>
      <c r="Q41" s="317">
        <f t="shared" si="1"/>
        <v>3676992.12</v>
      </c>
      <c r="R41" s="317">
        <f t="shared" si="0"/>
        <v>3332.1179157227007</v>
      </c>
      <c r="S41" s="317">
        <v>5115.04</v>
      </c>
      <c r="T41" s="318" t="s">
        <v>220</v>
      </c>
      <c r="V41" s="25"/>
      <c r="X41" s="20"/>
      <c r="Y41" s="106"/>
      <c r="Z41" s="41"/>
      <c r="AA41" s="163"/>
      <c r="AB41" s="163"/>
      <c r="AC41" s="38"/>
    </row>
    <row r="42" spans="1:29" s="24" customFormat="1" ht="37.5" customHeight="1">
      <c r="A42" s="269">
        <f t="shared" si="2"/>
        <v>23</v>
      </c>
      <c r="B42" s="301" t="s">
        <v>1247</v>
      </c>
      <c r="C42" s="138">
        <v>1985</v>
      </c>
      <c r="D42" s="125"/>
      <c r="E42" s="138" t="s">
        <v>221</v>
      </c>
      <c r="F42" s="185">
        <v>5</v>
      </c>
      <c r="G42" s="185">
        <v>9</v>
      </c>
      <c r="H42" s="283">
        <v>6948</v>
      </c>
      <c r="I42" s="283">
        <v>6256.1</v>
      </c>
      <c r="J42" s="283">
        <v>6256.1</v>
      </c>
      <c r="K42" s="315">
        <v>256</v>
      </c>
      <c r="L42" s="324" t="s">
        <v>33</v>
      </c>
      <c r="M42" s="270">
        <v>4881069.5299999993</v>
      </c>
      <c r="N42" s="317">
        <v>0</v>
      </c>
      <c r="O42" s="317">
        <v>0</v>
      </c>
      <c r="P42" s="317">
        <v>0</v>
      </c>
      <c r="Q42" s="317">
        <f t="shared" si="1"/>
        <v>4881069.5299999993</v>
      </c>
      <c r="R42" s="317">
        <f t="shared" si="0"/>
        <v>780.20964019117321</v>
      </c>
      <c r="S42" s="317">
        <v>5115.04</v>
      </c>
      <c r="T42" s="318" t="s">
        <v>220</v>
      </c>
      <c r="V42" s="25"/>
      <c r="X42" s="20"/>
      <c r="Y42" s="106"/>
      <c r="Z42" s="41"/>
      <c r="AA42" s="163"/>
      <c r="AB42" s="163"/>
      <c r="AC42" s="38"/>
    </row>
    <row r="43" spans="1:29" s="24" customFormat="1" ht="37.5" customHeight="1">
      <c r="A43" s="269">
        <f t="shared" si="2"/>
        <v>24</v>
      </c>
      <c r="B43" s="301" t="s">
        <v>1248</v>
      </c>
      <c r="C43" s="138">
        <v>1958</v>
      </c>
      <c r="D43" s="138"/>
      <c r="E43" s="138" t="s">
        <v>221</v>
      </c>
      <c r="F43" s="185">
        <v>4</v>
      </c>
      <c r="G43" s="185">
        <v>2</v>
      </c>
      <c r="H43" s="283">
        <v>1496</v>
      </c>
      <c r="I43" s="283">
        <v>1196.2</v>
      </c>
      <c r="J43" s="283">
        <v>555.9</v>
      </c>
      <c r="K43" s="315">
        <v>56</v>
      </c>
      <c r="L43" s="319" t="s">
        <v>30</v>
      </c>
      <c r="M43" s="270">
        <v>480952.8</v>
      </c>
      <c r="N43" s="317">
        <v>0</v>
      </c>
      <c r="O43" s="317">
        <v>0</v>
      </c>
      <c r="P43" s="317">
        <v>0</v>
      </c>
      <c r="Q43" s="317">
        <f>M43</f>
        <v>480952.8</v>
      </c>
      <c r="R43" s="317">
        <f t="shared" si="0"/>
        <v>402.06721284066208</v>
      </c>
      <c r="S43" s="317">
        <v>5115.04</v>
      </c>
      <c r="T43" s="318" t="s">
        <v>220</v>
      </c>
      <c r="V43" s="25"/>
      <c r="X43" s="20"/>
      <c r="Y43" s="106"/>
      <c r="Z43" s="41"/>
      <c r="AA43" s="163"/>
      <c r="AB43" s="163"/>
      <c r="AC43" s="38"/>
    </row>
    <row r="44" spans="1:29" s="24" customFormat="1" ht="37.5" customHeight="1">
      <c r="A44" s="269">
        <f t="shared" si="2"/>
        <v>25</v>
      </c>
      <c r="B44" s="313" t="s">
        <v>1249</v>
      </c>
      <c r="C44" s="138">
        <v>1958</v>
      </c>
      <c r="D44" s="125"/>
      <c r="E44" s="138" t="s">
        <v>221</v>
      </c>
      <c r="F44" s="184">
        <v>4</v>
      </c>
      <c r="G44" s="184">
        <v>4</v>
      </c>
      <c r="H44" s="283">
        <v>3259</v>
      </c>
      <c r="I44" s="283">
        <v>2607.3000000000002</v>
      </c>
      <c r="J44" s="283">
        <v>2607.3000000000002</v>
      </c>
      <c r="K44" s="315">
        <v>108</v>
      </c>
      <c r="L44" s="319" t="s">
        <v>30</v>
      </c>
      <c r="M44" s="270">
        <v>961905.6</v>
      </c>
      <c r="N44" s="317">
        <v>0</v>
      </c>
      <c r="O44" s="317">
        <v>0</v>
      </c>
      <c r="P44" s="317">
        <v>0</v>
      </c>
      <c r="Q44" s="317">
        <f t="shared" si="1"/>
        <v>961905.6</v>
      </c>
      <c r="R44" s="317">
        <f t="shared" si="0"/>
        <v>368.92785640317567</v>
      </c>
      <c r="S44" s="317">
        <v>5115.04</v>
      </c>
      <c r="T44" s="318" t="s">
        <v>220</v>
      </c>
      <c r="V44" s="25"/>
      <c r="X44" s="20"/>
      <c r="Y44" s="106"/>
      <c r="Z44" s="41"/>
      <c r="AA44" s="163"/>
      <c r="AB44" s="163"/>
      <c r="AC44" s="38"/>
    </row>
    <row r="45" spans="1:29" s="24" customFormat="1" ht="37.5" customHeight="1">
      <c r="A45" s="269">
        <f t="shared" si="2"/>
        <v>26</v>
      </c>
      <c r="B45" s="313" t="s">
        <v>1250</v>
      </c>
      <c r="C45" s="138">
        <v>1959</v>
      </c>
      <c r="D45" s="125"/>
      <c r="E45" s="138" t="s">
        <v>221</v>
      </c>
      <c r="F45" s="184">
        <v>4</v>
      </c>
      <c r="G45" s="184">
        <v>2</v>
      </c>
      <c r="H45" s="283">
        <v>1624</v>
      </c>
      <c r="I45" s="283">
        <v>1300.3</v>
      </c>
      <c r="J45" s="283">
        <v>1300.3</v>
      </c>
      <c r="K45" s="315">
        <v>50</v>
      </c>
      <c r="L45" s="324" t="s">
        <v>33</v>
      </c>
      <c r="M45" s="270">
        <v>1773786.5</v>
      </c>
      <c r="N45" s="317">
        <v>0</v>
      </c>
      <c r="O45" s="317">
        <v>0</v>
      </c>
      <c r="P45" s="317">
        <v>0</v>
      </c>
      <c r="Q45" s="317">
        <f t="shared" si="1"/>
        <v>1773786.5</v>
      </c>
      <c r="R45" s="317">
        <f t="shared" si="0"/>
        <v>1364.1363531492732</v>
      </c>
      <c r="S45" s="317">
        <v>5115.04</v>
      </c>
      <c r="T45" s="318" t="s">
        <v>220</v>
      </c>
      <c r="V45" s="25"/>
      <c r="X45" s="20"/>
      <c r="Y45" s="106"/>
      <c r="Z45" s="41"/>
      <c r="AA45" s="163"/>
      <c r="AB45" s="163"/>
      <c r="AC45" s="38"/>
    </row>
    <row r="46" spans="1:29" s="24" customFormat="1" ht="37.5" customHeight="1">
      <c r="A46" s="269">
        <f t="shared" si="2"/>
        <v>27</v>
      </c>
      <c r="B46" s="313" t="s">
        <v>1251</v>
      </c>
      <c r="C46" s="138">
        <v>1986</v>
      </c>
      <c r="D46" s="125"/>
      <c r="E46" s="138" t="s">
        <v>221</v>
      </c>
      <c r="F46" s="184">
        <v>5</v>
      </c>
      <c r="G46" s="184">
        <v>3</v>
      </c>
      <c r="H46" s="283">
        <v>2328</v>
      </c>
      <c r="I46" s="283">
        <v>2112</v>
      </c>
      <c r="J46" s="283">
        <v>2013</v>
      </c>
      <c r="K46" s="315">
        <v>118</v>
      </c>
      <c r="L46" s="319" t="s">
        <v>33</v>
      </c>
      <c r="M46" s="270">
        <v>1610106.01</v>
      </c>
      <c r="N46" s="317">
        <v>0</v>
      </c>
      <c r="O46" s="317">
        <v>0</v>
      </c>
      <c r="P46" s="317">
        <v>0</v>
      </c>
      <c r="Q46" s="317">
        <f t="shared" si="1"/>
        <v>1610106.01</v>
      </c>
      <c r="R46" s="317">
        <f t="shared" si="0"/>
        <v>762.3608001893939</v>
      </c>
      <c r="S46" s="317">
        <v>5115.04</v>
      </c>
      <c r="T46" s="318" t="s">
        <v>220</v>
      </c>
      <c r="V46" s="25"/>
      <c r="X46" s="20"/>
      <c r="Y46" s="106"/>
      <c r="Z46" s="41"/>
      <c r="AA46" s="163"/>
      <c r="AB46" s="163"/>
      <c r="AC46" s="38"/>
    </row>
    <row r="47" spans="1:29" s="24" customFormat="1" ht="37.5" customHeight="1">
      <c r="A47" s="269">
        <f t="shared" si="2"/>
        <v>28</v>
      </c>
      <c r="B47" s="313" t="s">
        <v>1252</v>
      </c>
      <c r="C47" s="138">
        <v>1986</v>
      </c>
      <c r="D47" s="125"/>
      <c r="E47" s="138" t="s">
        <v>221</v>
      </c>
      <c r="F47" s="184">
        <v>5</v>
      </c>
      <c r="G47" s="184">
        <v>3</v>
      </c>
      <c r="H47" s="283">
        <v>2358</v>
      </c>
      <c r="I47" s="283">
        <v>2137</v>
      </c>
      <c r="J47" s="283">
        <v>1974</v>
      </c>
      <c r="K47" s="315">
        <v>128</v>
      </c>
      <c r="L47" s="324" t="s">
        <v>33</v>
      </c>
      <c r="M47" s="270">
        <v>1610106.01</v>
      </c>
      <c r="N47" s="317">
        <v>0</v>
      </c>
      <c r="O47" s="317">
        <v>0</v>
      </c>
      <c r="P47" s="317">
        <v>0</v>
      </c>
      <c r="Q47" s="317">
        <f t="shared" si="1"/>
        <v>1610106.01</v>
      </c>
      <c r="R47" s="317">
        <f t="shared" si="0"/>
        <v>753.44221338324758</v>
      </c>
      <c r="S47" s="317">
        <v>5115.04</v>
      </c>
      <c r="T47" s="318" t="s">
        <v>220</v>
      </c>
      <c r="V47" s="25"/>
      <c r="X47" s="20"/>
      <c r="Y47" s="106"/>
      <c r="Z47" s="41"/>
      <c r="AA47" s="163"/>
      <c r="AB47" s="163"/>
      <c r="AC47" s="38"/>
    </row>
    <row r="48" spans="1:29" s="24" customFormat="1" ht="37.5" customHeight="1">
      <c r="A48" s="269">
        <f t="shared" si="2"/>
        <v>29</v>
      </c>
      <c r="B48" s="301" t="s">
        <v>1253</v>
      </c>
      <c r="C48" s="138">
        <v>1976</v>
      </c>
      <c r="D48" s="125"/>
      <c r="E48" s="138" t="s">
        <v>221</v>
      </c>
      <c r="F48" s="184">
        <v>5</v>
      </c>
      <c r="G48" s="184">
        <v>4</v>
      </c>
      <c r="H48" s="283">
        <v>4175</v>
      </c>
      <c r="I48" s="283">
        <v>1845.3</v>
      </c>
      <c r="J48" s="283">
        <v>1792.8</v>
      </c>
      <c r="K48" s="315">
        <v>128</v>
      </c>
      <c r="L48" s="319" t="s">
        <v>33</v>
      </c>
      <c r="M48" s="270">
        <v>1665893.82</v>
      </c>
      <c r="N48" s="317">
        <v>0</v>
      </c>
      <c r="O48" s="317">
        <v>0</v>
      </c>
      <c r="P48" s="317">
        <v>0</v>
      </c>
      <c r="Q48" s="317">
        <f t="shared" si="1"/>
        <v>1665893.82</v>
      </c>
      <c r="R48" s="317">
        <f t="shared" si="0"/>
        <v>902.77668671760694</v>
      </c>
      <c r="S48" s="317">
        <v>5115.04</v>
      </c>
      <c r="T48" s="318" t="s">
        <v>220</v>
      </c>
      <c r="V48" s="25"/>
      <c r="X48" s="20"/>
      <c r="Y48" s="106"/>
      <c r="Z48" s="41"/>
      <c r="AA48" s="163"/>
      <c r="AB48" s="163"/>
      <c r="AC48" s="38"/>
    </row>
    <row r="49" spans="1:29" s="24" customFormat="1" ht="37.5" customHeight="1">
      <c r="A49" s="269">
        <f t="shared" si="2"/>
        <v>30</v>
      </c>
      <c r="B49" s="313" t="s">
        <v>1254</v>
      </c>
      <c r="C49" s="138">
        <v>1966</v>
      </c>
      <c r="D49" s="138"/>
      <c r="E49" s="138" t="s">
        <v>221</v>
      </c>
      <c r="F49" s="184">
        <v>5</v>
      </c>
      <c r="G49" s="184">
        <v>2</v>
      </c>
      <c r="H49" s="283">
        <v>3804</v>
      </c>
      <c r="I49" s="283">
        <v>3035</v>
      </c>
      <c r="J49" s="283">
        <v>2776</v>
      </c>
      <c r="K49" s="315">
        <v>214</v>
      </c>
      <c r="L49" s="319" t="s">
        <v>33</v>
      </c>
      <c r="M49" s="270">
        <v>2088422.42</v>
      </c>
      <c r="N49" s="317">
        <v>0</v>
      </c>
      <c r="O49" s="317">
        <v>0</v>
      </c>
      <c r="P49" s="317">
        <v>0</v>
      </c>
      <c r="Q49" s="317">
        <f t="shared" si="1"/>
        <v>2088422.42</v>
      </c>
      <c r="R49" s="317">
        <f t="shared" si="0"/>
        <v>688.11282372322898</v>
      </c>
      <c r="S49" s="317">
        <v>5115.04</v>
      </c>
      <c r="T49" s="318" t="s">
        <v>220</v>
      </c>
      <c r="V49" s="25"/>
      <c r="X49" s="20"/>
      <c r="Y49" s="106"/>
      <c r="Z49" s="41"/>
      <c r="AA49" s="163"/>
      <c r="AB49" s="163"/>
      <c r="AC49" s="38"/>
    </row>
    <row r="50" spans="1:29" s="24" customFormat="1" ht="37.5" customHeight="1">
      <c r="A50" s="269">
        <f t="shared" si="2"/>
        <v>31</v>
      </c>
      <c r="B50" s="313" t="s">
        <v>1255</v>
      </c>
      <c r="C50" s="138">
        <v>1966</v>
      </c>
      <c r="D50" s="138"/>
      <c r="E50" s="138" t="s">
        <v>221</v>
      </c>
      <c r="F50" s="184">
        <v>5</v>
      </c>
      <c r="G50" s="184">
        <v>2</v>
      </c>
      <c r="H50" s="283">
        <v>3577</v>
      </c>
      <c r="I50" s="283">
        <v>2872</v>
      </c>
      <c r="J50" s="283">
        <v>2435</v>
      </c>
      <c r="K50" s="315">
        <v>178</v>
      </c>
      <c r="L50" s="319" t="s">
        <v>33</v>
      </c>
      <c r="M50" s="270">
        <v>2088422.42</v>
      </c>
      <c r="N50" s="317">
        <v>0</v>
      </c>
      <c r="O50" s="317">
        <v>0</v>
      </c>
      <c r="P50" s="317">
        <v>0</v>
      </c>
      <c r="Q50" s="317">
        <f t="shared" si="1"/>
        <v>2088422.42</v>
      </c>
      <c r="R50" s="317">
        <f t="shared" si="0"/>
        <v>727.1665807799443</v>
      </c>
      <c r="S50" s="317">
        <v>5115.04</v>
      </c>
      <c r="T50" s="318" t="s">
        <v>220</v>
      </c>
      <c r="V50" s="25"/>
      <c r="X50" s="20"/>
      <c r="Y50" s="106"/>
      <c r="Z50" s="41"/>
      <c r="AA50" s="163"/>
      <c r="AB50" s="163"/>
      <c r="AC50" s="38"/>
    </row>
    <row r="51" spans="1:29" s="24" customFormat="1" ht="37.5" customHeight="1">
      <c r="A51" s="269">
        <f t="shared" si="2"/>
        <v>32</v>
      </c>
      <c r="B51" s="313" t="s">
        <v>1256</v>
      </c>
      <c r="C51" s="138">
        <v>1967</v>
      </c>
      <c r="D51" s="125"/>
      <c r="E51" s="138" t="s">
        <v>221</v>
      </c>
      <c r="F51" s="184">
        <v>5</v>
      </c>
      <c r="G51" s="184">
        <v>6</v>
      </c>
      <c r="H51" s="283">
        <v>5703</v>
      </c>
      <c r="I51" s="283">
        <v>4554</v>
      </c>
      <c r="J51" s="283">
        <v>4554</v>
      </c>
      <c r="K51" s="315">
        <v>280</v>
      </c>
      <c r="L51" s="324" t="s">
        <v>33</v>
      </c>
      <c r="M51" s="270">
        <v>6088305.5999999996</v>
      </c>
      <c r="N51" s="317">
        <v>0</v>
      </c>
      <c r="O51" s="317">
        <v>0</v>
      </c>
      <c r="P51" s="317">
        <v>0</v>
      </c>
      <c r="Q51" s="317">
        <f t="shared" si="1"/>
        <v>6088305.5999999996</v>
      </c>
      <c r="R51" s="317">
        <f t="shared" si="0"/>
        <v>1336.9138339920949</v>
      </c>
      <c r="S51" s="317">
        <v>5115.04</v>
      </c>
      <c r="T51" s="318" t="s">
        <v>220</v>
      </c>
      <c r="V51" s="25"/>
      <c r="X51" s="20"/>
      <c r="Y51" s="106"/>
      <c r="Z51" s="41"/>
      <c r="AA51" s="163"/>
      <c r="AB51" s="163"/>
      <c r="AC51" s="38"/>
    </row>
    <row r="52" spans="1:29" s="24" customFormat="1" ht="37.5" customHeight="1">
      <c r="A52" s="269">
        <f t="shared" si="2"/>
        <v>33</v>
      </c>
      <c r="B52" s="313" t="s">
        <v>1257</v>
      </c>
      <c r="C52" s="138">
        <v>1985</v>
      </c>
      <c r="D52" s="125"/>
      <c r="E52" s="138" t="s">
        <v>221</v>
      </c>
      <c r="F52" s="184">
        <v>5</v>
      </c>
      <c r="G52" s="184">
        <v>7</v>
      </c>
      <c r="H52" s="283">
        <v>5411</v>
      </c>
      <c r="I52" s="283">
        <v>4887</v>
      </c>
      <c r="J52" s="283">
        <v>4887</v>
      </c>
      <c r="K52" s="325">
        <v>211</v>
      </c>
      <c r="L52" s="326" t="s">
        <v>33</v>
      </c>
      <c r="M52" s="270">
        <v>3188681.76</v>
      </c>
      <c r="N52" s="317">
        <v>0</v>
      </c>
      <c r="O52" s="317">
        <v>0</v>
      </c>
      <c r="P52" s="317">
        <v>0</v>
      </c>
      <c r="Q52" s="317">
        <f t="shared" si="1"/>
        <v>3188681.76</v>
      </c>
      <c r="R52" s="317">
        <f t="shared" si="0"/>
        <v>652.48245549416811</v>
      </c>
      <c r="S52" s="317">
        <v>5115.04</v>
      </c>
      <c r="T52" s="318" t="s">
        <v>220</v>
      </c>
      <c r="V52" s="25"/>
      <c r="X52" s="20"/>
      <c r="Y52" s="106"/>
      <c r="Z52" s="41"/>
      <c r="AA52" s="163"/>
      <c r="AB52" s="163"/>
      <c r="AC52" s="38"/>
    </row>
    <row r="53" spans="1:29" s="24" customFormat="1" ht="37.5" customHeight="1">
      <c r="A53" s="269">
        <f t="shared" si="2"/>
        <v>34</v>
      </c>
      <c r="B53" s="327" t="s">
        <v>1258</v>
      </c>
      <c r="C53" s="138">
        <v>1974</v>
      </c>
      <c r="D53" s="125"/>
      <c r="E53" s="138" t="s">
        <v>221</v>
      </c>
      <c r="F53" s="184">
        <v>5</v>
      </c>
      <c r="G53" s="184">
        <v>6</v>
      </c>
      <c r="H53" s="283">
        <v>5791</v>
      </c>
      <c r="I53" s="283">
        <v>5311.6</v>
      </c>
      <c r="J53" s="283">
        <v>3805.4</v>
      </c>
      <c r="K53" s="185">
        <v>202</v>
      </c>
      <c r="L53" s="319" t="s">
        <v>226</v>
      </c>
      <c r="M53" s="270">
        <v>7822038</v>
      </c>
      <c r="N53" s="317">
        <v>0</v>
      </c>
      <c r="O53" s="317">
        <v>0</v>
      </c>
      <c r="P53" s="317">
        <v>0</v>
      </c>
      <c r="Q53" s="317">
        <f t="shared" si="1"/>
        <v>7822038</v>
      </c>
      <c r="R53" s="317">
        <f t="shared" si="0"/>
        <v>1472.6331049024775</v>
      </c>
      <c r="S53" s="317">
        <v>5115.04</v>
      </c>
      <c r="T53" s="318" t="s">
        <v>220</v>
      </c>
      <c r="V53" s="25"/>
      <c r="X53" s="20"/>
      <c r="Y53" s="106"/>
      <c r="Z53" s="41"/>
      <c r="AA53" s="163"/>
      <c r="AB53" s="163"/>
      <c r="AC53" s="38"/>
    </row>
    <row r="54" spans="1:29" s="24" customFormat="1" ht="37.5" customHeight="1">
      <c r="A54" s="269">
        <f t="shared" si="2"/>
        <v>35</v>
      </c>
      <c r="B54" s="327" t="s">
        <v>1259</v>
      </c>
      <c r="C54" s="138">
        <v>1975</v>
      </c>
      <c r="D54" s="125"/>
      <c r="E54" s="138" t="s">
        <v>221</v>
      </c>
      <c r="F54" s="184">
        <v>5</v>
      </c>
      <c r="G54" s="184">
        <v>6</v>
      </c>
      <c r="H54" s="283">
        <v>5780</v>
      </c>
      <c r="I54" s="283">
        <v>5090.2</v>
      </c>
      <c r="J54" s="283">
        <v>3834.4</v>
      </c>
      <c r="K54" s="185">
        <v>189</v>
      </c>
      <c r="L54" s="319" t="s">
        <v>226</v>
      </c>
      <c r="M54" s="270">
        <v>7822038</v>
      </c>
      <c r="N54" s="317">
        <v>0</v>
      </c>
      <c r="O54" s="317">
        <v>0</v>
      </c>
      <c r="P54" s="317">
        <v>0</v>
      </c>
      <c r="Q54" s="317">
        <f t="shared" si="1"/>
        <v>7822038</v>
      </c>
      <c r="R54" s="317">
        <f t="shared" si="0"/>
        <v>1536.685788377667</v>
      </c>
      <c r="S54" s="317">
        <v>5115.04</v>
      </c>
      <c r="T54" s="318" t="s">
        <v>220</v>
      </c>
      <c r="V54" s="25"/>
      <c r="X54" s="20"/>
      <c r="Y54" s="106"/>
      <c r="Z54" s="41"/>
      <c r="AA54" s="163"/>
      <c r="AB54" s="163"/>
      <c r="AC54" s="38"/>
    </row>
    <row r="55" spans="1:29" s="24" customFormat="1" ht="37.5" customHeight="1">
      <c r="A55" s="269">
        <f t="shared" si="2"/>
        <v>36</v>
      </c>
      <c r="B55" s="313" t="s">
        <v>1260</v>
      </c>
      <c r="C55" s="138">
        <v>1987</v>
      </c>
      <c r="D55" s="125"/>
      <c r="E55" s="138" t="s">
        <v>221</v>
      </c>
      <c r="F55" s="184">
        <v>5</v>
      </c>
      <c r="G55" s="184">
        <v>7</v>
      </c>
      <c r="H55" s="283">
        <v>5473</v>
      </c>
      <c r="I55" s="283">
        <v>4894</v>
      </c>
      <c r="J55" s="283">
        <v>4894</v>
      </c>
      <c r="K55" s="315">
        <v>229</v>
      </c>
      <c r="L55" s="319" t="s">
        <v>30</v>
      </c>
      <c r="M55" s="270">
        <v>2840627.47</v>
      </c>
      <c r="N55" s="317">
        <v>0</v>
      </c>
      <c r="O55" s="317">
        <v>0</v>
      </c>
      <c r="P55" s="317">
        <v>0</v>
      </c>
      <c r="Q55" s="317">
        <f t="shared" si="1"/>
        <v>2840627.47</v>
      </c>
      <c r="R55" s="317">
        <f t="shared" si="0"/>
        <v>580.43062321209652</v>
      </c>
      <c r="S55" s="317">
        <v>5115.04</v>
      </c>
      <c r="T55" s="318" t="s">
        <v>220</v>
      </c>
      <c r="V55" s="25"/>
      <c r="X55" s="20"/>
      <c r="Y55" s="106"/>
      <c r="Z55" s="41"/>
      <c r="AA55" s="163"/>
      <c r="AB55" s="163"/>
      <c r="AC55" s="38"/>
    </row>
    <row r="56" spans="1:29" s="24" customFormat="1" ht="37.5" customHeight="1">
      <c r="A56" s="269">
        <f t="shared" si="2"/>
        <v>37</v>
      </c>
      <c r="B56" s="313" t="s">
        <v>1261</v>
      </c>
      <c r="C56" s="138">
        <v>1986</v>
      </c>
      <c r="D56" s="125"/>
      <c r="E56" s="138" t="s">
        <v>221</v>
      </c>
      <c r="F56" s="184">
        <v>5</v>
      </c>
      <c r="G56" s="184">
        <v>7</v>
      </c>
      <c r="H56" s="283">
        <v>5526</v>
      </c>
      <c r="I56" s="283">
        <v>4885</v>
      </c>
      <c r="J56" s="283">
        <v>4670</v>
      </c>
      <c r="K56" s="315">
        <v>268</v>
      </c>
      <c r="L56" s="319" t="s">
        <v>30</v>
      </c>
      <c r="M56" s="270">
        <v>2840627.47</v>
      </c>
      <c r="N56" s="317">
        <v>0</v>
      </c>
      <c r="O56" s="317">
        <v>0</v>
      </c>
      <c r="P56" s="317">
        <v>0</v>
      </c>
      <c r="Q56" s="317">
        <f t="shared" si="1"/>
        <v>2840627.47</v>
      </c>
      <c r="R56" s="317">
        <f t="shared" si="0"/>
        <v>581.49999385875128</v>
      </c>
      <c r="S56" s="317">
        <v>5115.04</v>
      </c>
      <c r="T56" s="318" t="s">
        <v>220</v>
      </c>
      <c r="V56" s="25"/>
      <c r="X56" s="20"/>
      <c r="Y56" s="106"/>
      <c r="Z56" s="41"/>
      <c r="AA56" s="163"/>
      <c r="AB56" s="163"/>
      <c r="AC56" s="38"/>
    </row>
    <row r="57" spans="1:29" s="24" customFormat="1" ht="37.5" customHeight="1">
      <c r="A57" s="269">
        <f t="shared" si="2"/>
        <v>38</v>
      </c>
      <c r="B57" s="313" t="s">
        <v>1262</v>
      </c>
      <c r="C57" s="138">
        <v>1989</v>
      </c>
      <c r="D57" s="125"/>
      <c r="E57" s="138" t="s">
        <v>221</v>
      </c>
      <c r="F57" s="184">
        <v>3</v>
      </c>
      <c r="G57" s="184">
        <v>2</v>
      </c>
      <c r="H57" s="283">
        <v>1623</v>
      </c>
      <c r="I57" s="283">
        <v>511.4</v>
      </c>
      <c r="J57" s="283">
        <v>221.1</v>
      </c>
      <c r="K57" s="315">
        <v>77</v>
      </c>
      <c r="L57" s="319" t="s">
        <v>33</v>
      </c>
      <c r="M57" s="270">
        <v>1397877.49</v>
      </c>
      <c r="N57" s="317">
        <v>0</v>
      </c>
      <c r="O57" s="317">
        <v>0</v>
      </c>
      <c r="P57" s="317">
        <v>0</v>
      </c>
      <c r="Q57" s="317">
        <f t="shared" si="1"/>
        <v>1397877.49</v>
      </c>
      <c r="R57" s="317">
        <f t="shared" si="0"/>
        <v>2733.4327141181075</v>
      </c>
      <c r="S57" s="317">
        <v>5115.04</v>
      </c>
      <c r="T57" s="318" t="s">
        <v>220</v>
      </c>
      <c r="V57" s="25"/>
      <c r="X57" s="20"/>
      <c r="Y57" s="106"/>
      <c r="Z57" s="41"/>
      <c r="AA57" s="163"/>
      <c r="AB57" s="163"/>
      <c r="AC57" s="38"/>
    </row>
    <row r="58" spans="1:29" s="24" customFormat="1" ht="37.5" customHeight="1">
      <c r="A58" s="269">
        <f t="shared" si="2"/>
        <v>39</v>
      </c>
      <c r="B58" s="313" t="s">
        <v>1263</v>
      </c>
      <c r="C58" s="138">
        <v>1978</v>
      </c>
      <c r="D58" s="125"/>
      <c r="E58" s="138" t="s">
        <v>221</v>
      </c>
      <c r="F58" s="127">
        <v>5</v>
      </c>
      <c r="G58" s="127">
        <v>7</v>
      </c>
      <c r="H58" s="283">
        <v>5366</v>
      </c>
      <c r="I58" s="283">
        <v>4848</v>
      </c>
      <c r="J58" s="283">
        <v>4706.2</v>
      </c>
      <c r="K58" s="315">
        <v>223</v>
      </c>
      <c r="L58" s="328" t="s">
        <v>33</v>
      </c>
      <c r="M58" s="270">
        <v>3258656.01</v>
      </c>
      <c r="N58" s="317">
        <v>0</v>
      </c>
      <c r="O58" s="317">
        <v>0</v>
      </c>
      <c r="P58" s="317">
        <v>0</v>
      </c>
      <c r="Q58" s="317">
        <f t="shared" si="1"/>
        <v>3258656.01</v>
      </c>
      <c r="R58" s="317">
        <f t="shared" si="0"/>
        <v>672.16501856435639</v>
      </c>
      <c r="S58" s="317">
        <v>5115.04</v>
      </c>
      <c r="T58" s="318" t="s">
        <v>220</v>
      </c>
      <c r="V58" s="25"/>
      <c r="X58" s="20"/>
      <c r="Y58" s="106"/>
      <c r="Z58" s="41"/>
      <c r="AA58" s="163"/>
      <c r="AB58" s="163"/>
      <c r="AC58" s="38"/>
    </row>
    <row r="59" spans="1:29" s="24" customFormat="1" ht="37.5" customHeight="1">
      <c r="A59" s="269">
        <f t="shared" si="2"/>
        <v>40</v>
      </c>
      <c r="B59" s="120" t="s">
        <v>1264</v>
      </c>
      <c r="C59" s="138">
        <v>1994</v>
      </c>
      <c r="D59" s="125"/>
      <c r="E59" s="125" t="s">
        <v>221</v>
      </c>
      <c r="F59" s="185">
        <v>5</v>
      </c>
      <c r="G59" s="185">
        <v>1</v>
      </c>
      <c r="H59" s="283">
        <v>1705</v>
      </c>
      <c r="I59" s="283">
        <v>929.3</v>
      </c>
      <c r="J59" s="283">
        <v>929.3</v>
      </c>
      <c r="K59" s="185">
        <v>70</v>
      </c>
      <c r="L59" s="320" t="s">
        <v>33</v>
      </c>
      <c r="M59" s="270">
        <v>1073927.1199999999</v>
      </c>
      <c r="N59" s="317">
        <v>0</v>
      </c>
      <c r="O59" s="317">
        <v>0</v>
      </c>
      <c r="P59" s="317">
        <v>0</v>
      </c>
      <c r="Q59" s="317">
        <f t="shared" si="1"/>
        <v>1073927.1199999999</v>
      </c>
      <c r="R59" s="317">
        <f t="shared" si="0"/>
        <v>1155.6301732486818</v>
      </c>
      <c r="S59" s="317">
        <v>5115.04</v>
      </c>
      <c r="T59" s="318" t="s">
        <v>220</v>
      </c>
      <c r="V59" s="25"/>
      <c r="X59" s="20"/>
      <c r="Y59" s="106"/>
      <c r="Z59" s="41"/>
      <c r="AA59" s="163"/>
      <c r="AB59" s="163"/>
      <c r="AC59" s="38"/>
    </row>
    <row r="60" spans="1:29" s="24" customFormat="1" ht="37.5" customHeight="1">
      <c r="A60" s="269">
        <f t="shared" si="2"/>
        <v>41</v>
      </c>
      <c r="B60" s="120" t="s">
        <v>1265</v>
      </c>
      <c r="C60" s="138">
        <v>1990</v>
      </c>
      <c r="D60" s="286"/>
      <c r="E60" s="329" t="s">
        <v>221</v>
      </c>
      <c r="F60" s="185">
        <v>5</v>
      </c>
      <c r="G60" s="185">
        <v>2</v>
      </c>
      <c r="H60" s="283">
        <v>1424</v>
      </c>
      <c r="I60" s="283">
        <v>1420.5</v>
      </c>
      <c r="J60" s="300">
        <v>1289.4000000000001</v>
      </c>
      <c r="K60" s="287">
        <v>90</v>
      </c>
      <c r="L60" s="330" t="s">
        <v>33</v>
      </c>
      <c r="M60" s="270">
        <v>900497.83</v>
      </c>
      <c r="N60" s="317">
        <v>0</v>
      </c>
      <c r="O60" s="317">
        <v>0</v>
      </c>
      <c r="P60" s="317">
        <v>0</v>
      </c>
      <c r="Q60" s="317">
        <f t="shared" si="1"/>
        <v>900497.83</v>
      </c>
      <c r="R60" s="317">
        <f t="shared" si="0"/>
        <v>633.93018655403023</v>
      </c>
      <c r="S60" s="317">
        <v>5115.04</v>
      </c>
      <c r="T60" s="318" t="s">
        <v>220</v>
      </c>
      <c r="V60" s="25"/>
      <c r="X60" s="20"/>
      <c r="Y60" s="106"/>
      <c r="Z60" s="41"/>
      <c r="AA60" s="163"/>
      <c r="AB60" s="163"/>
      <c r="AC60" s="38"/>
    </row>
    <row r="61" spans="1:29" s="24" customFormat="1" ht="37.5" customHeight="1">
      <c r="A61" s="269">
        <f t="shared" si="2"/>
        <v>42</v>
      </c>
      <c r="B61" s="331" t="s">
        <v>1266</v>
      </c>
      <c r="C61" s="138">
        <v>1980</v>
      </c>
      <c r="D61" s="138"/>
      <c r="E61" s="125" t="s">
        <v>221</v>
      </c>
      <c r="F61" s="185">
        <v>5</v>
      </c>
      <c r="G61" s="185">
        <v>8</v>
      </c>
      <c r="H61" s="283">
        <v>5479</v>
      </c>
      <c r="I61" s="283">
        <v>5479</v>
      </c>
      <c r="J61" s="283">
        <v>5479</v>
      </c>
      <c r="K61" s="185">
        <v>253</v>
      </c>
      <c r="L61" s="324" t="s">
        <v>33</v>
      </c>
      <c r="M61" s="270">
        <v>3019579</v>
      </c>
      <c r="N61" s="317">
        <v>0</v>
      </c>
      <c r="O61" s="317">
        <v>0</v>
      </c>
      <c r="P61" s="317">
        <v>0</v>
      </c>
      <c r="Q61" s="317">
        <f t="shared" si="1"/>
        <v>3019579</v>
      </c>
      <c r="R61" s="317">
        <f t="shared" si="0"/>
        <v>551.11863478736996</v>
      </c>
      <c r="S61" s="317">
        <v>5115.04</v>
      </c>
      <c r="T61" s="318" t="s">
        <v>220</v>
      </c>
      <c r="V61" s="25"/>
      <c r="X61" s="20"/>
      <c r="Y61" s="106"/>
      <c r="Z61" s="41"/>
      <c r="AA61" s="163"/>
      <c r="AB61" s="163"/>
      <c r="AC61" s="38"/>
    </row>
    <row r="62" spans="1:29" s="24" customFormat="1" ht="37.5" customHeight="1">
      <c r="A62" s="269">
        <f t="shared" si="2"/>
        <v>43</v>
      </c>
      <c r="B62" s="331" t="s">
        <v>1267</v>
      </c>
      <c r="C62" s="138">
        <v>2001</v>
      </c>
      <c r="D62" s="125"/>
      <c r="E62" s="125" t="s">
        <v>221</v>
      </c>
      <c r="F62" s="185">
        <v>5</v>
      </c>
      <c r="G62" s="185">
        <v>2</v>
      </c>
      <c r="H62" s="283">
        <v>2928</v>
      </c>
      <c r="I62" s="283">
        <v>2217.6999999999998</v>
      </c>
      <c r="J62" s="283">
        <v>2104.9</v>
      </c>
      <c r="K62" s="185">
        <v>97</v>
      </c>
      <c r="L62" s="324" t="s">
        <v>33</v>
      </c>
      <c r="M62" s="270">
        <v>1509490.9</v>
      </c>
      <c r="N62" s="317">
        <v>0</v>
      </c>
      <c r="O62" s="317">
        <v>0</v>
      </c>
      <c r="P62" s="317">
        <v>0</v>
      </c>
      <c r="Q62" s="317">
        <f t="shared" si="1"/>
        <v>1509490.9</v>
      </c>
      <c r="R62" s="317">
        <f t="shared" si="0"/>
        <v>680.6560400414844</v>
      </c>
      <c r="S62" s="317">
        <v>5115.04</v>
      </c>
      <c r="T62" s="318" t="s">
        <v>220</v>
      </c>
      <c r="V62" s="25"/>
      <c r="X62" s="20"/>
      <c r="Y62" s="106"/>
      <c r="Z62" s="41"/>
      <c r="AA62" s="163"/>
      <c r="AB62" s="163"/>
      <c r="AC62" s="38"/>
    </row>
    <row r="63" spans="1:29" s="24" customFormat="1" ht="37.5" customHeight="1">
      <c r="A63" s="269">
        <f t="shared" si="2"/>
        <v>44</v>
      </c>
      <c r="B63" s="120" t="s">
        <v>1268</v>
      </c>
      <c r="C63" s="138">
        <v>1980</v>
      </c>
      <c r="D63" s="286"/>
      <c r="E63" s="329" t="s">
        <v>221</v>
      </c>
      <c r="F63" s="185">
        <v>5</v>
      </c>
      <c r="G63" s="185">
        <v>6</v>
      </c>
      <c r="H63" s="283">
        <v>5077</v>
      </c>
      <c r="I63" s="283">
        <v>5077</v>
      </c>
      <c r="J63" s="300">
        <v>4895.72</v>
      </c>
      <c r="K63" s="287">
        <v>213</v>
      </c>
      <c r="L63" s="330" t="s">
        <v>33</v>
      </c>
      <c r="M63" s="270">
        <v>3257268.81</v>
      </c>
      <c r="N63" s="317">
        <v>0</v>
      </c>
      <c r="O63" s="317">
        <v>0</v>
      </c>
      <c r="P63" s="317">
        <v>0</v>
      </c>
      <c r="Q63" s="317">
        <f t="shared" si="1"/>
        <v>3257268.81</v>
      </c>
      <c r="R63" s="317">
        <f t="shared" si="0"/>
        <v>641.57352964349025</v>
      </c>
      <c r="S63" s="317">
        <v>5115.04</v>
      </c>
      <c r="T63" s="318" t="s">
        <v>220</v>
      </c>
      <c r="V63" s="25"/>
      <c r="X63" s="20"/>
      <c r="Y63" s="106"/>
      <c r="Z63" s="41"/>
      <c r="AA63" s="163"/>
      <c r="AB63" s="163"/>
      <c r="AC63" s="38"/>
    </row>
    <row r="64" spans="1:29" s="24" customFormat="1" ht="37.5" customHeight="1">
      <c r="A64" s="269">
        <f t="shared" si="2"/>
        <v>45</v>
      </c>
      <c r="B64" s="120" t="s">
        <v>1269</v>
      </c>
      <c r="C64" s="138">
        <v>1982</v>
      </c>
      <c r="D64" s="286"/>
      <c r="E64" s="329" t="s">
        <v>221</v>
      </c>
      <c r="F64" s="185">
        <v>4</v>
      </c>
      <c r="G64" s="185">
        <v>1</v>
      </c>
      <c r="H64" s="283">
        <v>2089</v>
      </c>
      <c r="I64" s="283">
        <v>1638</v>
      </c>
      <c r="J64" s="300">
        <v>341</v>
      </c>
      <c r="K64" s="287">
        <v>49</v>
      </c>
      <c r="L64" s="330" t="s">
        <v>33</v>
      </c>
      <c r="M64" s="270">
        <v>2008223.46</v>
      </c>
      <c r="N64" s="317">
        <v>0</v>
      </c>
      <c r="O64" s="317">
        <v>0</v>
      </c>
      <c r="P64" s="317">
        <v>0</v>
      </c>
      <c r="Q64" s="317">
        <f t="shared" si="1"/>
        <v>2008223.46</v>
      </c>
      <c r="R64" s="317">
        <f t="shared" si="0"/>
        <v>1226.0216483516483</v>
      </c>
      <c r="S64" s="317">
        <v>5115.04</v>
      </c>
      <c r="T64" s="318" t="s">
        <v>220</v>
      </c>
      <c r="V64" s="25"/>
      <c r="X64" s="20"/>
      <c r="Y64" s="106"/>
      <c r="Z64" s="41"/>
      <c r="AA64" s="163"/>
      <c r="AB64" s="163"/>
      <c r="AC64" s="38"/>
    </row>
    <row r="65" spans="1:29" s="24" customFormat="1" ht="37.5" customHeight="1">
      <c r="A65" s="269">
        <f t="shared" si="2"/>
        <v>46</v>
      </c>
      <c r="B65" s="120" t="s">
        <v>1270</v>
      </c>
      <c r="C65" s="138">
        <v>1979</v>
      </c>
      <c r="D65" s="286"/>
      <c r="E65" s="329" t="s">
        <v>221</v>
      </c>
      <c r="F65" s="185">
        <v>5</v>
      </c>
      <c r="G65" s="185">
        <v>1</v>
      </c>
      <c r="H65" s="283">
        <v>4005</v>
      </c>
      <c r="I65" s="283">
        <v>2536</v>
      </c>
      <c r="J65" s="300">
        <v>2536</v>
      </c>
      <c r="K65" s="287">
        <v>333</v>
      </c>
      <c r="L65" s="330" t="s">
        <v>33</v>
      </c>
      <c r="M65" s="270">
        <v>2323001.83</v>
      </c>
      <c r="N65" s="317">
        <v>0</v>
      </c>
      <c r="O65" s="317">
        <v>0</v>
      </c>
      <c r="P65" s="317">
        <v>0</v>
      </c>
      <c r="Q65" s="317">
        <f t="shared" si="1"/>
        <v>2323001.83</v>
      </c>
      <c r="R65" s="317">
        <f t="shared" si="0"/>
        <v>916.01018533123033</v>
      </c>
      <c r="S65" s="317">
        <v>5115.04</v>
      </c>
      <c r="T65" s="318" t="s">
        <v>220</v>
      </c>
      <c r="V65" s="25"/>
      <c r="X65" s="20"/>
      <c r="Y65" s="106"/>
      <c r="Z65" s="41"/>
      <c r="AA65" s="163"/>
      <c r="AB65" s="163"/>
      <c r="AC65" s="38"/>
    </row>
    <row r="66" spans="1:29" s="24" customFormat="1" ht="37.5" customHeight="1">
      <c r="A66" s="269">
        <f t="shared" si="2"/>
        <v>47</v>
      </c>
      <c r="B66" s="120" t="s">
        <v>1271</v>
      </c>
      <c r="C66" s="138">
        <v>1983</v>
      </c>
      <c r="D66" s="286"/>
      <c r="E66" s="329" t="s">
        <v>221</v>
      </c>
      <c r="F66" s="185">
        <v>5</v>
      </c>
      <c r="G66" s="185">
        <v>3</v>
      </c>
      <c r="H66" s="283">
        <v>3812</v>
      </c>
      <c r="I66" s="283">
        <v>3812</v>
      </c>
      <c r="J66" s="300">
        <v>2881.3</v>
      </c>
      <c r="K66" s="287">
        <v>221</v>
      </c>
      <c r="L66" s="330" t="s">
        <v>33</v>
      </c>
      <c r="M66" s="270">
        <v>2089526.48</v>
      </c>
      <c r="N66" s="317">
        <v>0</v>
      </c>
      <c r="O66" s="317">
        <v>0</v>
      </c>
      <c r="P66" s="317">
        <v>0</v>
      </c>
      <c r="Q66" s="317">
        <f t="shared" si="1"/>
        <v>2089526.48</v>
      </c>
      <c r="R66" s="317">
        <f t="shared" si="0"/>
        <v>548.14440713536203</v>
      </c>
      <c r="S66" s="317">
        <v>5115.04</v>
      </c>
      <c r="T66" s="318" t="s">
        <v>220</v>
      </c>
      <c r="V66" s="25"/>
      <c r="X66" s="20"/>
      <c r="Y66" s="106"/>
      <c r="Z66" s="41"/>
      <c r="AA66" s="163"/>
      <c r="AB66" s="163"/>
      <c r="AC66" s="38"/>
    </row>
    <row r="67" spans="1:29" s="24" customFormat="1" ht="37.5" customHeight="1">
      <c r="A67" s="269">
        <f t="shared" si="2"/>
        <v>48</v>
      </c>
      <c r="B67" s="120" t="s">
        <v>1272</v>
      </c>
      <c r="C67" s="138">
        <v>1970</v>
      </c>
      <c r="D67" s="125"/>
      <c r="E67" s="125" t="s">
        <v>221</v>
      </c>
      <c r="F67" s="185">
        <v>5</v>
      </c>
      <c r="G67" s="185">
        <v>8</v>
      </c>
      <c r="H67" s="283">
        <v>6031</v>
      </c>
      <c r="I67" s="283">
        <v>4138</v>
      </c>
      <c r="J67" s="283">
        <v>4138</v>
      </c>
      <c r="K67" s="185">
        <v>307</v>
      </c>
      <c r="L67" s="320" t="s">
        <v>33</v>
      </c>
      <c r="M67" s="270">
        <v>3443596.46</v>
      </c>
      <c r="N67" s="317">
        <v>0</v>
      </c>
      <c r="O67" s="317">
        <v>0</v>
      </c>
      <c r="P67" s="317">
        <v>0</v>
      </c>
      <c r="Q67" s="317">
        <f t="shared" si="1"/>
        <v>3443596.46</v>
      </c>
      <c r="R67" s="317">
        <f t="shared" si="0"/>
        <v>832.18860802319955</v>
      </c>
      <c r="S67" s="317">
        <v>5115.04</v>
      </c>
      <c r="T67" s="318" t="s">
        <v>220</v>
      </c>
      <c r="V67" s="25"/>
      <c r="X67" s="20"/>
      <c r="Y67" s="106"/>
      <c r="Z67" s="41"/>
      <c r="AA67" s="163"/>
      <c r="AB67" s="163"/>
      <c r="AC67" s="38"/>
    </row>
    <row r="68" spans="1:29" s="24" customFormat="1" ht="37.5" customHeight="1">
      <c r="A68" s="269">
        <f t="shared" si="2"/>
        <v>49</v>
      </c>
      <c r="B68" s="120" t="s">
        <v>1273</v>
      </c>
      <c r="C68" s="138">
        <v>1963</v>
      </c>
      <c r="D68" s="286"/>
      <c r="E68" s="329" t="s">
        <v>221</v>
      </c>
      <c r="F68" s="185">
        <v>5</v>
      </c>
      <c r="G68" s="185">
        <v>6</v>
      </c>
      <c r="H68" s="283">
        <v>5927</v>
      </c>
      <c r="I68" s="283">
        <v>4414.1000000000004</v>
      </c>
      <c r="J68" s="300">
        <v>4414.1000000000004</v>
      </c>
      <c r="K68" s="287">
        <v>217</v>
      </c>
      <c r="L68" s="330" t="s">
        <v>33</v>
      </c>
      <c r="M68" s="270">
        <v>2655209.66</v>
      </c>
      <c r="N68" s="317">
        <v>0</v>
      </c>
      <c r="O68" s="317">
        <v>0</v>
      </c>
      <c r="P68" s="317">
        <v>0</v>
      </c>
      <c r="Q68" s="317">
        <f t="shared" si="1"/>
        <v>2655209.66</v>
      </c>
      <c r="R68" s="317">
        <f t="shared" si="0"/>
        <v>601.52911352257536</v>
      </c>
      <c r="S68" s="317">
        <v>5115.04</v>
      </c>
      <c r="T68" s="318" t="s">
        <v>220</v>
      </c>
      <c r="V68" s="25"/>
      <c r="X68" s="20"/>
      <c r="Y68" s="106"/>
      <c r="Z68" s="41"/>
      <c r="AA68" s="163"/>
      <c r="AB68" s="163"/>
      <c r="AC68" s="38"/>
    </row>
    <row r="69" spans="1:29" s="24" customFormat="1" ht="37.5" customHeight="1">
      <c r="A69" s="269">
        <f t="shared" si="2"/>
        <v>50</v>
      </c>
      <c r="B69" s="120" t="s">
        <v>1274</v>
      </c>
      <c r="C69" s="138">
        <v>1961</v>
      </c>
      <c r="D69" s="286"/>
      <c r="E69" s="329" t="s">
        <v>221</v>
      </c>
      <c r="F69" s="185">
        <v>5</v>
      </c>
      <c r="G69" s="185">
        <v>2</v>
      </c>
      <c r="H69" s="283">
        <v>1473</v>
      </c>
      <c r="I69" s="283">
        <v>1270.0999999999999</v>
      </c>
      <c r="J69" s="300">
        <v>1270.0999999999999</v>
      </c>
      <c r="K69" s="287">
        <v>63</v>
      </c>
      <c r="L69" s="330" t="s">
        <v>33</v>
      </c>
      <c r="M69" s="270">
        <v>1130251.4000000001</v>
      </c>
      <c r="N69" s="317">
        <v>0</v>
      </c>
      <c r="O69" s="317">
        <v>0</v>
      </c>
      <c r="P69" s="317">
        <v>0</v>
      </c>
      <c r="Q69" s="317">
        <f t="shared" si="1"/>
        <v>1130251.4000000001</v>
      </c>
      <c r="R69" s="317">
        <f t="shared" si="0"/>
        <v>889.89166207385267</v>
      </c>
      <c r="S69" s="317">
        <v>5115.04</v>
      </c>
      <c r="T69" s="318" t="s">
        <v>220</v>
      </c>
      <c r="V69" s="25"/>
      <c r="X69" s="20"/>
      <c r="Y69" s="106"/>
      <c r="Z69" s="41"/>
      <c r="AA69" s="163"/>
      <c r="AB69" s="163"/>
      <c r="AC69" s="38"/>
    </row>
    <row r="70" spans="1:29" s="24" customFormat="1" ht="37.5" customHeight="1">
      <c r="A70" s="269">
        <f t="shared" si="2"/>
        <v>51</v>
      </c>
      <c r="B70" s="120" t="s">
        <v>1275</v>
      </c>
      <c r="C70" s="138">
        <v>1961</v>
      </c>
      <c r="D70" s="286"/>
      <c r="E70" s="329" t="s">
        <v>221</v>
      </c>
      <c r="F70" s="185">
        <v>4</v>
      </c>
      <c r="G70" s="185">
        <v>4</v>
      </c>
      <c r="H70" s="283">
        <v>2735</v>
      </c>
      <c r="I70" s="283">
        <v>2505.5</v>
      </c>
      <c r="J70" s="300">
        <v>2505.5</v>
      </c>
      <c r="K70" s="287">
        <v>125</v>
      </c>
      <c r="L70" s="330" t="s">
        <v>33</v>
      </c>
      <c r="M70" s="270">
        <v>2873979.1100000003</v>
      </c>
      <c r="N70" s="317">
        <v>0</v>
      </c>
      <c r="O70" s="317">
        <v>0</v>
      </c>
      <c r="P70" s="317">
        <v>0</v>
      </c>
      <c r="Q70" s="317">
        <f t="shared" si="1"/>
        <v>2873979.1100000003</v>
      </c>
      <c r="R70" s="317">
        <f t="shared" si="0"/>
        <v>1147.068094192776</v>
      </c>
      <c r="S70" s="317">
        <v>5115.04</v>
      </c>
      <c r="T70" s="318" t="s">
        <v>220</v>
      </c>
      <c r="V70" s="25"/>
      <c r="X70" s="20"/>
      <c r="Y70" s="106"/>
      <c r="Z70" s="41"/>
      <c r="AA70" s="163"/>
      <c r="AB70" s="163"/>
      <c r="AC70" s="38"/>
    </row>
    <row r="71" spans="1:29" s="24" customFormat="1" ht="37.5" customHeight="1">
      <c r="A71" s="269">
        <f t="shared" si="2"/>
        <v>52</v>
      </c>
      <c r="B71" s="120" t="s">
        <v>1276</v>
      </c>
      <c r="C71" s="138">
        <v>1972</v>
      </c>
      <c r="D71" s="125"/>
      <c r="E71" s="125" t="s">
        <v>221</v>
      </c>
      <c r="F71" s="185">
        <v>5</v>
      </c>
      <c r="G71" s="185">
        <v>6</v>
      </c>
      <c r="H71" s="283">
        <v>4665</v>
      </c>
      <c r="I71" s="283">
        <v>4665</v>
      </c>
      <c r="J71" s="283">
        <v>4665</v>
      </c>
      <c r="K71" s="185">
        <v>193</v>
      </c>
      <c r="L71" s="320" t="s">
        <v>33</v>
      </c>
      <c r="M71" s="270">
        <v>2258562.6100000003</v>
      </c>
      <c r="N71" s="317">
        <v>0</v>
      </c>
      <c r="O71" s="317">
        <v>0</v>
      </c>
      <c r="P71" s="317">
        <v>0</v>
      </c>
      <c r="Q71" s="317">
        <f t="shared" si="1"/>
        <v>2258562.6100000003</v>
      </c>
      <c r="R71" s="317">
        <f t="shared" si="0"/>
        <v>484.15061307609869</v>
      </c>
      <c r="S71" s="317">
        <v>5115.04</v>
      </c>
      <c r="T71" s="318" t="s">
        <v>220</v>
      </c>
      <c r="V71" s="25"/>
      <c r="X71" s="20"/>
      <c r="Y71" s="106"/>
      <c r="Z71" s="41"/>
      <c r="AA71" s="163"/>
      <c r="AB71" s="163"/>
      <c r="AC71" s="38"/>
    </row>
    <row r="72" spans="1:29" s="24" customFormat="1" ht="37.5" customHeight="1">
      <c r="A72" s="269">
        <f t="shared" si="2"/>
        <v>53</v>
      </c>
      <c r="B72" s="120" t="s">
        <v>1277</v>
      </c>
      <c r="C72" s="138">
        <v>1962</v>
      </c>
      <c r="D72" s="286"/>
      <c r="E72" s="329" t="s">
        <v>221</v>
      </c>
      <c r="F72" s="185">
        <v>5</v>
      </c>
      <c r="G72" s="185">
        <v>4</v>
      </c>
      <c r="H72" s="283">
        <v>3882</v>
      </c>
      <c r="I72" s="283">
        <v>2903.6</v>
      </c>
      <c r="J72" s="300">
        <v>2903.6</v>
      </c>
      <c r="K72" s="287">
        <v>155</v>
      </c>
      <c r="L72" s="330" t="s">
        <v>33</v>
      </c>
      <c r="M72" s="270">
        <v>2848543.53</v>
      </c>
      <c r="N72" s="317">
        <v>0</v>
      </c>
      <c r="O72" s="317">
        <v>0</v>
      </c>
      <c r="P72" s="317">
        <v>0</v>
      </c>
      <c r="Q72" s="317">
        <f t="shared" si="1"/>
        <v>2848543.53</v>
      </c>
      <c r="R72" s="317">
        <f t="shared" si="0"/>
        <v>981.0385486981678</v>
      </c>
      <c r="S72" s="317">
        <v>5115.04</v>
      </c>
      <c r="T72" s="318" t="s">
        <v>220</v>
      </c>
      <c r="V72" s="25"/>
      <c r="X72" s="20"/>
      <c r="Y72" s="106"/>
      <c r="Z72" s="41"/>
      <c r="AA72" s="163"/>
      <c r="AB72" s="163"/>
      <c r="AC72" s="38"/>
    </row>
    <row r="73" spans="1:29" s="24" customFormat="1" ht="37.5" customHeight="1">
      <c r="A73" s="269">
        <f t="shared" si="2"/>
        <v>54</v>
      </c>
      <c r="B73" s="120" t="s">
        <v>1278</v>
      </c>
      <c r="C73" s="138">
        <v>1979</v>
      </c>
      <c r="D73" s="286"/>
      <c r="E73" s="329" t="s">
        <v>221</v>
      </c>
      <c r="F73" s="185">
        <v>5</v>
      </c>
      <c r="G73" s="185">
        <v>5</v>
      </c>
      <c r="H73" s="283">
        <v>4184</v>
      </c>
      <c r="I73" s="283">
        <v>4127.3999999999996</v>
      </c>
      <c r="J73" s="300">
        <v>3273</v>
      </c>
      <c r="K73" s="287">
        <v>249</v>
      </c>
      <c r="L73" s="330" t="s">
        <v>33</v>
      </c>
      <c r="M73" s="270">
        <v>2906057.2</v>
      </c>
      <c r="N73" s="317">
        <v>0</v>
      </c>
      <c r="O73" s="317">
        <v>0</v>
      </c>
      <c r="P73" s="317">
        <v>0</v>
      </c>
      <c r="Q73" s="317">
        <f t="shared" si="1"/>
        <v>2906057.2</v>
      </c>
      <c r="R73" s="317">
        <f t="shared" si="0"/>
        <v>704.08906333284892</v>
      </c>
      <c r="S73" s="317">
        <v>5115.04</v>
      </c>
      <c r="T73" s="318" t="s">
        <v>220</v>
      </c>
      <c r="V73" s="25"/>
      <c r="X73" s="20"/>
      <c r="Y73" s="106"/>
      <c r="Z73" s="41"/>
      <c r="AA73" s="163"/>
      <c r="AB73" s="163"/>
      <c r="AC73" s="38"/>
    </row>
    <row r="74" spans="1:29" s="24" customFormat="1" ht="37.5" customHeight="1">
      <c r="A74" s="269">
        <f t="shared" si="2"/>
        <v>55</v>
      </c>
      <c r="B74" s="120" t="s">
        <v>1279</v>
      </c>
      <c r="C74" s="138">
        <v>1989</v>
      </c>
      <c r="D74" s="286"/>
      <c r="E74" s="329" t="s">
        <v>221</v>
      </c>
      <c r="F74" s="185">
        <v>5</v>
      </c>
      <c r="G74" s="185">
        <v>3</v>
      </c>
      <c r="H74" s="283">
        <v>3435</v>
      </c>
      <c r="I74" s="283">
        <v>3435</v>
      </c>
      <c r="J74" s="283">
        <v>3435</v>
      </c>
      <c r="K74" s="287">
        <v>203</v>
      </c>
      <c r="L74" s="330" t="s">
        <v>33</v>
      </c>
      <c r="M74" s="270">
        <v>2675600.6500000004</v>
      </c>
      <c r="N74" s="317">
        <v>0</v>
      </c>
      <c r="O74" s="317">
        <v>0</v>
      </c>
      <c r="P74" s="317">
        <v>0</v>
      </c>
      <c r="Q74" s="317">
        <f t="shared" si="1"/>
        <v>2675600.6500000004</v>
      </c>
      <c r="R74" s="317">
        <f t="shared" si="0"/>
        <v>778.92304221251834</v>
      </c>
      <c r="S74" s="317">
        <v>5115.04</v>
      </c>
      <c r="T74" s="318" t="s">
        <v>220</v>
      </c>
      <c r="V74" s="25"/>
      <c r="X74" s="20"/>
      <c r="Y74" s="106"/>
      <c r="Z74" s="41"/>
      <c r="AA74" s="163"/>
      <c r="AB74" s="163"/>
      <c r="AC74" s="38"/>
    </row>
    <row r="75" spans="1:29" s="24" customFormat="1" ht="37.5" customHeight="1">
      <c r="A75" s="269">
        <f t="shared" si="2"/>
        <v>56</v>
      </c>
      <c r="B75" s="120" t="s">
        <v>1280</v>
      </c>
      <c r="C75" s="138">
        <v>1981</v>
      </c>
      <c r="D75" s="286"/>
      <c r="E75" s="329" t="s">
        <v>221</v>
      </c>
      <c r="F75" s="185">
        <v>5</v>
      </c>
      <c r="G75" s="185">
        <v>10</v>
      </c>
      <c r="H75" s="283">
        <v>6799</v>
      </c>
      <c r="I75" s="283">
        <v>6799</v>
      </c>
      <c r="J75" s="300">
        <v>5953.1</v>
      </c>
      <c r="K75" s="287">
        <v>358</v>
      </c>
      <c r="L75" s="330" t="s">
        <v>33</v>
      </c>
      <c r="M75" s="270">
        <v>4365089.8499999996</v>
      </c>
      <c r="N75" s="317">
        <v>0</v>
      </c>
      <c r="O75" s="317">
        <v>0</v>
      </c>
      <c r="P75" s="317">
        <v>0</v>
      </c>
      <c r="Q75" s="317">
        <f t="shared" si="1"/>
        <v>4365089.8499999996</v>
      </c>
      <c r="R75" s="317">
        <f t="shared" si="0"/>
        <v>642.01939255772902</v>
      </c>
      <c r="S75" s="317">
        <v>5115.04</v>
      </c>
      <c r="T75" s="318" t="s">
        <v>220</v>
      </c>
      <c r="V75" s="25"/>
      <c r="X75" s="20"/>
      <c r="Y75" s="106"/>
      <c r="Z75" s="41"/>
      <c r="AA75" s="163"/>
      <c r="AB75" s="163"/>
      <c r="AC75" s="38"/>
    </row>
    <row r="76" spans="1:29" s="24" customFormat="1" ht="37.5" customHeight="1">
      <c r="A76" s="269">
        <f t="shared" si="2"/>
        <v>57</v>
      </c>
      <c r="B76" s="120" t="s">
        <v>1281</v>
      </c>
      <c r="C76" s="138">
        <v>1985</v>
      </c>
      <c r="D76" s="286"/>
      <c r="E76" s="329" t="s">
        <v>221</v>
      </c>
      <c r="F76" s="185">
        <v>5</v>
      </c>
      <c r="G76" s="185">
        <v>4</v>
      </c>
      <c r="H76" s="283">
        <v>2745</v>
      </c>
      <c r="I76" s="283">
        <v>2745</v>
      </c>
      <c r="J76" s="300">
        <v>2469.8000000000002</v>
      </c>
      <c r="K76" s="287">
        <v>121</v>
      </c>
      <c r="L76" s="330" t="s">
        <v>33</v>
      </c>
      <c r="M76" s="270">
        <v>1827597.43</v>
      </c>
      <c r="N76" s="317">
        <v>0</v>
      </c>
      <c r="O76" s="317">
        <v>0</v>
      </c>
      <c r="P76" s="317">
        <v>0</v>
      </c>
      <c r="Q76" s="317">
        <f t="shared" si="1"/>
        <v>1827597.43</v>
      </c>
      <c r="R76" s="317">
        <f t="shared" si="0"/>
        <v>665.79141347905284</v>
      </c>
      <c r="S76" s="317">
        <v>5115.04</v>
      </c>
      <c r="T76" s="318" t="s">
        <v>220</v>
      </c>
      <c r="V76" s="25"/>
      <c r="X76" s="20"/>
      <c r="Y76" s="106"/>
      <c r="Z76" s="41"/>
      <c r="AA76" s="163"/>
      <c r="AB76" s="163"/>
      <c r="AC76" s="38"/>
    </row>
    <row r="77" spans="1:29" s="24" customFormat="1" ht="37.5" customHeight="1">
      <c r="A77" s="269">
        <f t="shared" si="2"/>
        <v>58</v>
      </c>
      <c r="B77" s="120" t="s">
        <v>1282</v>
      </c>
      <c r="C77" s="138">
        <v>1961</v>
      </c>
      <c r="D77" s="286"/>
      <c r="E77" s="329" t="s">
        <v>221</v>
      </c>
      <c r="F77" s="185">
        <v>5</v>
      </c>
      <c r="G77" s="185">
        <v>4</v>
      </c>
      <c r="H77" s="283">
        <v>2534</v>
      </c>
      <c r="I77" s="283">
        <v>2119.6</v>
      </c>
      <c r="J77" s="300">
        <v>2119.6</v>
      </c>
      <c r="K77" s="287">
        <v>133</v>
      </c>
      <c r="L77" s="330" t="s">
        <v>33</v>
      </c>
      <c r="M77" s="270">
        <v>2352768.21</v>
      </c>
      <c r="N77" s="317">
        <v>0</v>
      </c>
      <c r="O77" s="317">
        <v>0</v>
      </c>
      <c r="P77" s="317">
        <v>0</v>
      </c>
      <c r="Q77" s="317">
        <f t="shared" si="1"/>
        <v>2352768.21</v>
      </c>
      <c r="R77" s="317">
        <f t="shared" si="0"/>
        <v>1110.0057605208531</v>
      </c>
      <c r="S77" s="317">
        <v>5115.04</v>
      </c>
      <c r="T77" s="318" t="s">
        <v>220</v>
      </c>
      <c r="V77" s="25"/>
      <c r="X77" s="20"/>
      <c r="Y77" s="106"/>
      <c r="Z77" s="41"/>
      <c r="AA77" s="163"/>
      <c r="AB77" s="163"/>
      <c r="AC77" s="38"/>
    </row>
    <row r="78" spans="1:29" s="24" customFormat="1" ht="37.5" customHeight="1">
      <c r="A78" s="269">
        <f t="shared" si="2"/>
        <v>59</v>
      </c>
      <c r="B78" s="120" t="s">
        <v>1283</v>
      </c>
      <c r="C78" s="138">
        <v>1988</v>
      </c>
      <c r="D78" s="286"/>
      <c r="E78" s="329" t="s">
        <v>221</v>
      </c>
      <c r="F78" s="185">
        <v>5</v>
      </c>
      <c r="G78" s="185">
        <v>4</v>
      </c>
      <c r="H78" s="283">
        <v>2806</v>
      </c>
      <c r="I78" s="283">
        <v>2517.4</v>
      </c>
      <c r="J78" s="300">
        <v>2517.4</v>
      </c>
      <c r="K78" s="287">
        <v>126</v>
      </c>
      <c r="L78" s="330" t="s">
        <v>33</v>
      </c>
      <c r="M78" s="270">
        <v>1803535.3800000001</v>
      </c>
      <c r="N78" s="317">
        <v>0</v>
      </c>
      <c r="O78" s="317">
        <v>0</v>
      </c>
      <c r="P78" s="317">
        <v>0</v>
      </c>
      <c r="Q78" s="317">
        <f t="shared" si="1"/>
        <v>1803535.3800000001</v>
      </c>
      <c r="R78" s="317">
        <f t="shared" si="0"/>
        <v>716.42781441169461</v>
      </c>
      <c r="S78" s="317">
        <v>5115.04</v>
      </c>
      <c r="T78" s="318" t="s">
        <v>220</v>
      </c>
      <c r="V78" s="25"/>
      <c r="X78" s="20"/>
      <c r="Y78" s="106"/>
      <c r="Z78" s="41"/>
      <c r="AA78" s="163"/>
      <c r="AB78" s="163"/>
      <c r="AC78" s="38"/>
    </row>
    <row r="79" spans="1:29" s="24" customFormat="1" ht="37.5" customHeight="1">
      <c r="A79" s="269">
        <f t="shared" si="2"/>
        <v>60</v>
      </c>
      <c r="B79" s="120" t="s">
        <v>1284</v>
      </c>
      <c r="C79" s="138">
        <v>1993</v>
      </c>
      <c r="D79" s="286"/>
      <c r="E79" s="329" t="s">
        <v>221</v>
      </c>
      <c r="F79" s="185">
        <v>5</v>
      </c>
      <c r="G79" s="185">
        <v>2</v>
      </c>
      <c r="H79" s="283">
        <v>1627</v>
      </c>
      <c r="I79" s="283">
        <v>1502.5</v>
      </c>
      <c r="J79" s="300">
        <v>1323.7</v>
      </c>
      <c r="K79" s="287">
        <v>103</v>
      </c>
      <c r="L79" s="330" t="s">
        <v>224</v>
      </c>
      <c r="M79" s="270">
        <v>1080311.2299999997</v>
      </c>
      <c r="N79" s="317">
        <v>0</v>
      </c>
      <c r="O79" s="317">
        <v>0</v>
      </c>
      <c r="P79" s="317">
        <v>0</v>
      </c>
      <c r="Q79" s="317">
        <f t="shared" si="1"/>
        <v>1080311.2299999997</v>
      </c>
      <c r="R79" s="317">
        <f t="shared" si="0"/>
        <v>719.00913810316126</v>
      </c>
      <c r="S79" s="317">
        <v>5115.04</v>
      </c>
      <c r="T79" s="318" t="s">
        <v>220</v>
      </c>
      <c r="V79" s="25"/>
      <c r="X79" s="20"/>
      <c r="Y79" s="106"/>
      <c r="Z79" s="41"/>
      <c r="AA79" s="163"/>
      <c r="AB79" s="163"/>
      <c r="AC79" s="38"/>
    </row>
    <row r="80" spans="1:29" s="24" customFormat="1" ht="37.5" customHeight="1">
      <c r="A80" s="269">
        <f t="shared" si="2"/>
        <v>61</v>
      </c>
      <c r="B80" s="120" t="s">
        <v>1285</v>
      </c>
      <c r="C80" s="138">
        <v>1991</v>
      </c>
      <c r="D80" s="286"/>
      <c r="E80" s="329" t="s">
        <v>221</v>
      </c>
      <c r="F80" s="185">
        <v>5</v>
      </c>
      <c r="G80" s="185">
        <v>2</v>
      </c>
      <c r="H80" s="283">
        <v>1399</v>
      </c>
      <c r="I80" s="283">
        <v>1248</v>
      </c>
      <c r="J80" s="300">
        <v>1200.8</v>
      </c>
      <c r="K80" s="287">
        <v>78</v>
      </c>
      <c r="L80" s="330" t="s">
        <v>33</v>
      </c>
      <c r="M80" s="270">
        <v>1019092.5800000001</v>
      </c>
      <c r="N80" s="317">
        <v>0</v>
      </c>
      <c r="O80" s="317">
        <v>0</v>
      </c>
      <c r="P80" s="317">
        <v>0</v>
      </c>
      <c r="Q80" s="317">
        <f t="shared" si="1"/>
        <v>1019092.5800000001</v>
      </c>
      <c r="R80" s="317">
        <f>M80/I80</f>
        <v>816.58059294871805</v>
      </c>
      <c r="S80" s="317">
        <v>5115.04</v>
      </c>
      <c r="T80" s="318" t="s">
        <v>220</v>
      </c>
      <c r="V80" s="25"/>
      <c r="X80" s="20"/>
      <c r="Y80" s="106"/>
      <c r="Z80" s="41"/>
      <c r="AA80" s="163"/>
      <c r="AB80" s="163"/>
      <c r="AC80" s="38"/>
    </row>
    <row r="81" spans="1:29" s="24" customFormat="1" ht="37.5" customHeight="1">
      <c r="A81" s="269">
        <f t="shared" si="2"/>
        <v>62</v>
      </c>
      <c r="B81" s="120" t="s">
        <v>1286</v>
      </c>
      <c r="C81" s="138">
        <v>1993</v>
      </c>
      <c r="D81" s="286"/>
      <c r="E81" s="329" t="s">
        <v>221</v>
      </c>
      <c r="F81" s="185">
        <v>5</v>
      </c>
      <c r="G81" s="185">
        <v>2</v>
      </c>
      <c r="H81" s="283">
        <v>1409</v>
      </c>
      <c r="I81" s="283">
        <v>1293</v>
      </c>
      <c r="J81" s="300">
        <v>1154.5</v>
      </c>
      <c r="K81" s="287">
        <v>350</v>
      </c>
      <c r="L81" s="330" t="s">
        <v>33</v>
      </c>
      <c r="M81" s="270">
        <v>1014039.37</v>
      </c>
      <c r="N81" s="317">
        <v>0</v>
      </c>
      <c r="O81" s="317">
        <v>0</v>
      </c>
      <c r="P81" s="317">
        <v>0</v>
      </c>
      <c r="Q81" s="317">
        <f>M81</f>
        <v>1014039.37</v>
      </c>
      <c r="R81" s="317">
        <f>M81/I81</f>
        <v>784.25318638824444</v>
      </c>
      <c r="S81" s="317">
        <v>5115.04</v>
      </c>
      <c r="T81" s="318" t="s">
        <v>220</v>
      </c>
      <c r="V81" s="25"/>
      <c r="X81" s="20"/>
      <c r="Y81" s="106"/>
      <c r="Z81" s="41"/>
      <c r="AA81" s="163"/>
      <c r="AB81" s="163"/>
      <c r="AC81" s="38"/>
    </row>
    <row r="82" spans="1:29" s="24" customFormat="1" ht="57.95" customHeight="1">
      <c r="A82" s="269">
        <f t="shared" si="2"/>
        <v>63</v>
      </c>
      <c r="B82" s="331" t="s">
        <v>1287</v>
      </c>
      <c r="C82" s="332">
        <v>1984</v>
      </c>
      <c r="D82" s="332"/>
      <c r="E82" s="125" t="s">
        <v>221</v>
      </c>
      <c r="F82" s="184">
        <v>9</v>
      </c>
      <c r="G82" s="127">
        <v>3</v>
      </c>
      <c r="H82" s="333">
        <v>6488</v>
      </c>
      <c r="I82" s="333">
        <v>5912</v>
      </c>
      <c r="J82" s="333">
        <v>5802</v>
      </c>
      <c r="K82" s="334">
        <v>292</v>
      </c>
      <c r="L82" s="335" t="s">
        <v>3951</v>
      </c>
      <c r="M82" s="270">
        <v>15141796.74</v>
      </c>
      <c r="N82" s="317">
        <v>0</v>
      </c>
      <c r="O82" s="317">
        <v>0</v>
      </c>
      <c r="P82" s="317">
        <v>0</v>
      </c>
      <c r="Q82" s="317">
        <f>M82</f>
        <v>15141796.74</v>
      </c>
      <c r="R82" s="317">
        <f>M82/I82</f>
        <v>2561.1970128552098</v>
      </c>
      <c r="S82" s="317">
        <v>5115.04</v>
      </c>
      <c r="T82" s="318" t="s">
        <v>220</v>
      </c>
      <c r="V82" s="25"/>
      <c r="X82" s="20"/>
      <c r="Y82" s="106"/>
      <c r="Z82" s="41"/>
      <c r="AA82" s="163"/>
      <c r="AB82" s="163"/>
      <c r="AC82" s="38"/>
    </row>
    <row r="83" spans="1:29" s="24" customFormat="1" ht="37.5" customHeight="1">
      <c r="A83" s="269">
        <f t="shared" si="2"/>
        <v>64</v>
      </c>
      <c r="B83" s="331" t="s">
        <v>1288</v>
      </c>
      <c r="C83" s="125">
        <v>1977</v>
      </c>
      <c r="D83" s="125"/>
      <c r="E83" s="125" t="s">
        <v>221</v>
      </c>
      <c r="F83" s="184">
        <v>5</v>
      </c>
      <c r="G83" s="127">
        <v>8</v>
      </c>
      <c r="H83" s="283">
        <v>8331</v>
      </c>
      <c r="I83" s="283">
        <v>6802</v>
      </c>
      <c r="J83" s="283">
        <v>6802</v>
      </c>
      <c r="K83" s="185">
        <v>333</v>
      </c>
      <c r="L83" s="324" t="s">
        <v>33</v>
      </c>
      <c r="M83" s="270">
        <v>8415600</v>
      </c>
      <c r="N83" s="317">
        <v>0</v>
      </c>
      <c r="O83" s="317">
        <v>0</v>
      </c>
      <c r="P83" s="317">
        <v>0</v>
      </c>
      <c r="Q83" s="317">
        <f>M83</f>
        <v>8415600</v>
      </c>
      <c r="R83" s="317">
        <f>M83/I83</f>
        <v>1237.2243457806528</v>
      </c>
      <c r="S83" s="317">
        <v>5115.04</v>
      </c>
      <c r="T83" s="318" t="s">
        <v>220</v>
      </c>
      <c r="V83" s="25"/>
      <c r="X83" s="20"/>
      <c r="Y83" s="106"/>
      <c r="Z83" s="41"/>
      <c r="AA83" s="163"/>
      <c r="AB83" s="163"/>
      <c r="AC83" s="38"/>
    </row>
    <row r="84" spans="1:29" s="24" customFormat="1" ht="37.5" customHeight="1">
      <c r="A84" s="269">
        <f t="shared" si="2"/>
        <v>65</v>
      </c>
      <c r="B84" s="336" t="s">
        <v>3899</v>
      </c>
      <c r="C84" s="288">
        <v>1989</v>
      </c>
      <c r="D84" s="288"/>
      <c r="E84" s="30" t="s">
        <v>221</v>
      </c>
      <c r="F84" s="337">
        <v>9</v>
      </c>
      <c r="G84" s="337">
        <v>1</v>
      </c>
      <c r="H84" s="290">
        <v>3623.9</v>
      </c>
      <c r="I84" s="290">
        <v>3241.8</v>
      </c>
      <c r="J84" s="290">
        <v>2811.7</v>
      </c>
      <c r="K84" s="289">
        <v>158</v>
      </c>
      <c r="L84" s="298" t="s">
        <v>226</v>
      </c>
      <c r="M84" s="270">
        <v>7731150</v>
      </c>
      <c r="N84" s="317">
        <v>0</v>
      </c>
      <c r="O84" s="317">
        <v>0</v>
      </c>
      <c r="P84" s="317">
        <v>0</v>
      </c>
      <c r="Q84" s="317">
        <f t="shared" ref="Q84:Q99" si="3">M84</f>
        <v>7731150</v>
      </c>
      <c r="R84" s="291">
        <f t="shared" ref="R84:R99" si="4">M84/I84</f>
        <v>2384.8325004627059</v>
      </c>
      <c r="S84" s="291">
        <v>5115.04</v>
      </c>
      <c r="T84" s="292" t="s">
        <v>220</v>
      </c>
      <c r="V84" s="25"/>
      <c r="X84" s="20"/>
      <c r="Y84" s="106"/>
      <c r="Z84" s="41"/>
      <c r="AA84" s="163"/>
      <c r="AB84" s="163"/>
      <c r="AC84" s="38"/>
    </row>
    <row r="85" spans="1:29" s="24" customFormat="1" ht="37.5" customHeight="1">
      <c r="A85" s="269">
        <f t="shared" ref="A85:A104" si="5">A84+1</f>
        <v>66</v>
      </c>
      <c r="B85" s="336" t="s">
        <v>3900</v>
      </c>
      <c r="C85" s="288">
        <v>1984</v>
      </c>
      <c r="D85" s="288"/>
      <c r="E85" s="30" t="s">
        <v>221</v>
      </c>
      <c r="F85" s="337">
        <v>5</v>
      </c>
      <c r="G85" s="337">
        <v>2</v>
      </c>
      <c r="H85" s="290">
        <v>3074.7</v>
      </c>
      <c r="I85" s="290">
        <v>2894.7</v>
      </c>
      <c r="J85" s="290">
        <v>1599</v>
      </c>
      <c r="K85" s="289">
        <v>251</v>
      </c>
      <c r="L85" s="298" t="s">
        <v>226</v>
      </c>
      <c r="M85" s="270">
        <v>5799855</v>
      </c>
      <c r="N85" s="317">
        <v>0</v>
      </c>
      <c r="O85" s="317">
        <v>0</v>
      </c>
      <c r="P85" s="317">
        <v>0</v>
      </c>
      <c r="Q85" s="317">
        <f t="shared" si="3"/>
        <v>5799855</v>
      </c>
      <c r="R85" s="291">
        <f t="shared" si="4"/>
        <v>2003.6117732407504</v>
      </c>
      <c r="S85" s="291">
        <v>5115.04</v>
      </c>
      <c r="T85" s="292" t="s">
        <v>220</v>
      </c>
      <c r="V85" s="25"/>
      <c r="X85" s="20"/>
      <c r="Y85" s="106"/>
      <c r="Z85" s="41"/>
      <c r="AA85" s="163"/>
      <c r="AB85" s="163"/>
      <c r="AC85" s="38"/>
    </row>
    <row r="86" spans="1:29" s="24" customFormat="1" ht="37.5" customHeight="1">
      <c r="A86" s="269">
        <f t="shared" si="5"/>
        <v>67</v>
      </c>
      <c r="B86" s="336" t="s">
        <v>3901</v>
      </c>
      <c r="C86" s="288">
        <v>1968</v>
      </c>
      <c r="D86" s="288"/>
      <c r="E86" s="30" t="s">
        <v>221</v>
      </c>
      <c r="F86" s="337">
        <v>5</v>
      </c>
      <c r="G86" s="337">
        <v>6</v>
      </c>
      <c r="H86" s="290">
        <v>4620.6000000000004</v>
      </c>
      <c r="I86" s="290">
        <v>4127.6000000000004</v>
      </c>
      <c r="J86" s="290">
        <v>3783.4</v>
      </c>
      <c r="K86" s="289">
        <v>177</v>
      </c>
      <c r="L86" s="298" t="s">
        <v>226</v>
      </c>
      <c r="M86" s="270">
        <v>7890969</v>
      </c>
      <c r="N86" s="317">
        <v>0</v>
      </c>
      <c r="O86" s="317">
        <v>0</v>
      </c>
      <c r="P86" s="317">
        <v>0</v>
      </c>
      <c r="Q86" s="317">
        <f t="shared" si="3"/>
        <v>7890969</v>
      </c>
      <c r="R86" s="291">
        <f t="shared" si="4"/>
        <v>1911.7571954646767</v>
      </c>
      <c r="S86" s="291">
        <v>5115.04</v>
      </c>
      <c r="T86" s="292" t="s">
        <v>220</v>
      </c>
      <c r="V86" s="25"/>
      <c r="X86" s="20"/>
      <c r="Y86" s="106"/>
      <c r="Z86" s="41"/>
      <c r="AA86" s="163"/>
      <c r="AB86" s="163"/>
      <c r="AC86" s="38"/>
    </row>
    <row r="87" spans="1:29" s="24" customFormat="1" ht="37.5" customHeight="1">
      <c r="A87" s="269">
        <f t="shared" si="5"/>
        <v>68</v>
      </c>
      <c r="B87" s="336" t="s">
        <v>4070</v>
      </c>
      <c r="C87" s="288">
        <v>1968</v>
      </c>
      <c r="D87" s="288"/>
      <c r="E87" s="30" t="s">
        <v>221</v>
      </c>
      <c r="F87" s="337">
        <v>5</v>
      </c>
      <c r="G87" s="337">
        <v>6</v>
      </c>
      <c r="H87" s="290">
        <v>4956.7</v>
      </c>
      <c r="I87" s="290">
        <v>4454.3999999999996</v>
      </c>
      <c r="J87" s="290">
        <v>4047.5</v>
      </c>
      <c r="K87" s="289">
        <v>226</v>
      </c>
      <c r="L87" s="298" t="s">
        <v>226</v>
      </c>
      <c r="M87" s="270">
        <v>7890969</v>
      </c>
      <c r="N87" s="317">
        <v>0</v>
      </c>
      <c r="O87" s="317">
        <v>0</v>
      </c>
      <c r="P87" s="317">
        <v>0</v>
      </c>
      <c r="Q87" s="317">
        <f t="shared" si="3"/>
        <v>7890969</v>
      </c>
      <c r="R87" s="291">
        <f t="shared" si="4"/>
        <v>1771.4998653017242</v>
      </c>
      <c r="S87" s="291">
        <v>5115.04</v>
      </c>
      <c r="T87" s="292" t="s">
        <v>220</v>
      </c>
      <c r="V87" s="25"/>
      <c r="X87" s="20"/>
      <c r="Y87" s="106"/>
      <c r="Z87" s="41"/>
      <c r="AA87" s="163"/>
      <c r="AB87" s="163"/>
      <c r="AC87" s="38"/>
    </row>
    <row r="88" spans="1:29" s="24" customFormat="1" ht="37.5" customHeight="1">
      <c r="A88" s="269">
        <f t="shared" si="5"/>
        <v>69</v>
      </c>
      <c r="B88" s="338" t="s">
        <v>3588</v>
      </c>
      <c r="C88" s="288">
        <v>1976</v>
      </c>
      <c r="D88" s="288"/>
      <c r="E88" s="288" t="s">
        <v>217</v>
      </c>
      <c r="F88" s="289">
        <v>5</v>
      </c>
      <c r="G88" s="289">
        <v>4</v>
      </c>
      <c r="H88" s="290">
        <v>2944</v>
      </c>
      <c r="I88" s="290">
        <v>2656</v>
      </c>
      <c r="J88" s="290">
        <v>2439</v>
      </c>
      <c r="K88" s="289">
        <v>166</v>
      </c>
      <c r="L88" s="324" t="s">
        <v>33</v>
      </c>
      <c r="M88" s="270">
        <v>3554262.18</v>
      </c>
      <c r="N88" s="317">
        <v>0</v>
      </c>
      <c r="O88" s="317">
        <v>0</v>
      </c>
      <c r="P88" s="317">
        <v>0</v>
      </c>
      <c r="Q88" s="317">
        <f t="shared" si="3"/>
        <v>3554262.18</v>
      </c>
      <c r="R88" s="291">
        <f t="shared" si="4"/>
        <v>1338.2011219879519</v>
      </c>
      <c r="S88" s="291">
        <v>5115.04</v>
      </c>
      <c r="T88" s="292" t="s">
        <v>220</v>
      </c>
      <c r="U88" s="23"/>
      <c r="V88" s="23"/>
      <c r="W88" s="23"/>
      <c r="X88" s="20"/>
      <c r="Y88" s="106"/>
      <c r="Z88" s="41"/>
      <c r="AA88" s="163"/>
      <c r="AB88" s="163"/>
      <c r="AC88" s="38"/>
    </row>
    <row r="89" spans="1:29" s="24" customFormat="1" ht="37.5" customHeight="1">
      <c r="A89" s="269">
        <f t="shared" si="5"/>
        <v>70</v>
      </c>
      <c r="B89" s="297" t="s">
        <v>3589</v>
      </c>
      <c r="C89" s="339">
        <v>1974</v>
      </c>
      <c r="D89" s="288"/>
      <c r="E89" s="340" t="s">
        <v>221</v>
      </c>
      <c r="F89" s="341">
        <v>5</v>
      </c>
      <c r="G89" s="341">
        <v>4</v>
      </c>
      <c r="H89" s="290">
        <v>4264.7</v>
      </c>
      <c r="I89" s="290">
        <v>4204.7</v>
      </c>
      <c r="J89" s="290">
        <v>3229.6</v>
      </c>
      <c r="K89" s="289">
        <v>127</v>
      </c>
      <c r="L89" s="324" t="s">
        <v>33</v>
      </c>
      <c r="M89" s="270">
        <v>4478496.33</v>
      </c>
      <c r="N89" s="317">
        <v>0</v>
      </c>
      <c r="O89" s="317">
        <v>0</v>
      </c>
      <c r="P89" s="317">
        <v>0</v>
      </c>
      <c r="Q89" s="317">
        <f t="shared" si="3"/>
        <v>4478496.33</v>
      </c>
      <c r="R89" s="291">
        <f t="shared" si="4"/>
        <v>1065.1167336551955</v>
      </c>
      <c r="S89" s="291">
        <v>5115.04</v>
      </c>
      <c r="T89" s="292" t="s">
        <v>220</v>
      </c>
      <c r="U89" s="23"/>
      <c r="V89" s="23"/>
      <c r="W89" s="23"/>
      <c r="X89" s="20"/>
      <c r="Y89" s="106"/>
      <c r="Z89" s="41"/>
      <c r="AA89" s="163"/>
      <c r="AB89" s="163"/>
      <c r="AC89" s="38"/>
    </row>
    <row r="90" spans="1:29" s="24" customFormat="1" ht="37.5" customHeight="1">
      <c r="A90" s="269">
        <f t="shared" si="5"/>
        <v>71</v>
      </c>
      <c r="B90" s="338" t="s">
        <v>3590</v>
      </c>
      <c r="C90" s="288">
        <v>1983</v>
      </c>
      <c r="D90" s="288"/>
      <c r="E90" s="30" t="s">
        <v>221</v>
      </c>
      <c r="F90" s="289">
        <v>5</v>
      </c>
      <c r="G90" s="289">
        <v>1</v>
      </c>
      <c r="H90" s="290">
        <v>4096.7</v>
      </c>
      <c r="I90" s="290">
        <v>2701.7</v>
      </c>
      <c r="J90" s="290">
        <v>1481.4</v>
      </c>
      <c r="K90" s="289">
        <v>322</v>
      </c>
      <c r="L90" s="324" t="s">
        <v>33</v>
      </c>
      <c r="M90" s="270">
        <v>4680624.5599999996</v>
      </c>
      <c r="N90" s="317">
        <v>0</v>
      </c>
      <c r="O90" s="317">
        <v>0</v>
      </c>
      <c r="P90" s="317">
        <v>0</v>
      </c>
      <c r="Q90" s="317">
        <f t="shared" si="3"/>
        <v>4680624.5599999996</v>
      </c>
      <c r="R90" s="291">
        <f t="shared" si="4"/>
        <v>1732.4738349927823</v>
      </c>
      <c r="S90" s="291">
        <v>5115.04</v>
      </c>
      <c r="T90" s="292" t="s">
        <v>220</v>
      </c>
      <c r="U90" s="23"/>
      <c r="V90" s="23"/>
      <c r="W90" s="23"/>
      <c r="X90" s="20"/>
      <c r="Y90" s="106"/>
      <c r="Z90" s="41"/>
      <c r="AA90" s="163"/>
      <c r="AB90" s="163"/>
      <c r="AC90" s="38"/>
    </row>
    <row r="91" spans="1:29" s="24" customFormat="1" ht="37.5" customHeight="1">
      <c r="A91" s="269">
        <f t="shared" si="5"/>
        <v>72</v>
      </c>
      <c r="B91" s="338" t="s">
        <v>3592</v>
      </c>
      <c r="C91" s="288">
        <v>1960</v>
      </c>
      <c r="D91" s="288"/>
      <c r="E91" s="30" t="s">
        <v>221</v>
      </c>
      <c r="F91" s="289">
        <v>4</v>
      </c>
      <c r="G91" s="289">
        <v>4</v>
      </c>
      <c r="H91" s="290">
        <v>2736.3</v>
      </c>
      <c r="I91" s="290">
        <v>2736.3</v>
      </c>
      <c r="J91" s="290">
        <v>2338.4</v>
      </c>
      <c r="K91" s="289">
        <v>113</v>
      </c>
      <c r="L91" s="152" t="s">
        <v>30</v>
      </c>
      <c r="M91" s="270">
        <v>1616735.7</v>
      </c>
      <c r="N91" s="317">
        <v>0</v>
      </c>
      <c r="O91" s="317">
        <v>0</v>
      </c>
      <c r="P91" s="317">
        <v>0</v>
      </c>
      <c r="Q91" s="317">
        <f t="shared" si="3"/>
        <v>1616735.7</v>
      </c>
      <c r="R91" s="291">
        <f t="shared" si="4"/>
        <v>590.84738515513641</v>
      </c>
      <c r="S91" s="291">
        <v>5115.04</v>
      </c>
      <c r="T91" s="292" t="s">
        <v>220</v>
      </c>
      <c r="U91" s="23"/>
      <c r="X91" s="20"/>
      <c r="Y91" s="106"/>
      <c r="Z91" s="41"/>
      <c r="AA91" s="163"/>
      <c r="AB91" s="163"/>
      <c r="AC91" s="38"/>
    </row>
    <row r="92" spans="1:29" s="24" customFormat="1" ht="37.5" customHeight="1">
      <c r="A92" s="269">
        <f t="shared" si="5"/>
        <v>73</v>
      </c>
      <c r="B92" s="342" t="s">
        <v>3897</v>
      </c>
      <c r="C92" s="30">
        <v>1992</v>
      </c>
      <c r="D92" s="30"/>
      <c r="E92" s="30" t="s">
        <v>221</v>
      </c>
      <c r="F92" s="337">
        <v>7</v>
      </c>
      <c r="G92" s="337">
        <v>2</v>
      </c>
      <c r="H92" s="290">
        <v>2676.4</v>
      </c>
      <c r="I92" s="290">
        <f>2124.9+432.4</f>
        <v>2557.3000000000002</v>
      </c>
      <c r="J92" s="290">
        <v>432.4</v>
      </c>
      <c r="K92" s="289">
        <v>124</v>
      </c>
      <c r="L92" s="343" t="s">
        <v>219</v>
      </c>
      <c r="M92" s="270">
        <v>4081468.75</v>
      </c>
      <c r="N92" s="317">
        <v>0</v>
      </c>
      <c r="O92" s="317">
        <v>0</v>
      </c>
      <c r="P92" s="317">
        <v>0</v>
      </c>
      <c r="Q92" s="317">
        <f t="shared" si="3"/>
        <v>4081468.75</v>
      </c>
      <c r="R92" s="344">
        <f t="shared" si="4"/>
        <v>1596.0070191217299</v>
      </c>
      <c r="S92" s="344">
        <v>5115.04</v>
      </c>
      <c r="T92" s="345" t="s">
        <v>220</v>
      </c>
      <c r="V92" s="23"/>
      <c r="W92" s="23"/>
      <c r="X92" s="20"/>
      <c r="Y92" s="106"/>
      <c r="Z92" s="41"/>
      <c r="AA92" s="163"/>
      <c r="AB92" s="163"/>
      <c r="AC92" s="38"/>
    </row>
    <row r="93" spans="1:29" s="24" customFormat="1" ht="37.5" customHeight="1">
      <c r="A93" s="269">
        <f t="shared" si="5"/>
        <v>74</v>
      </c>
      <c r="B93" s="346" t="s">
        <v>3896</v>
      </c>
      <c r="C93" s="347">
        <v>1993</v>
      </c>
      <c r="D93" s="347"/>
      <c r="E93" s="347" t="s">
        <v>217</v>
      </c>
      <c r="F93" s="348">
        <v>9</v>
      </c>
      <c r="G93" s="348">
        <v>3</v>
      </c>
      <c r="H93" s="349">
        <v>6831</v>
      </c>
      <c r="I93" s="349">
        <v>3661.6</v>
      </c>
      <c r="J93" s="349">
        <v>3093.7</v>
      </c>
      <c r="K93" s="350">
        <v>292</v>
      </c>
      <c r="L93" s="351" t="s">
        <v>219</v>
      </c>
      <c r="M93" s="270">
        <v>6091762.5</v>
      </c>
      <c r="N93" s="317">
        <v>0</v>
      </c>
      <c r="O93" s="317">
        <v>0</v>
      </c>
      <c r="P93" s="317">
        <v>0</v>
      </c>
      <c r="Q93" s="317">
        <f t="shared" si="3"/>
        <v>6091762.5</v>
      </c>
      <c r="R93" s="344">
        <f t="shared" si="4"/>
        <v>1663.6886880052436</v>
      </c>
      <c r="S93" s="344">
        <v>5115.04</v>
      </c>
      <c r="T93" s="345" t="s">
        <v>220</v>
      </c>
      <c r="V93" s="23"/>
      <c r="W93" s="23"/>
      <c r="X93" s="20"/>
      <c r="Y93" s="106"/>
      <c r="Z93" s="41"/>
      <c r="AA93" s="163"/>
      <c r="AB93" s="163"/>
      <c r="AC93" s="38"/>
    </row>
    <row r="94" spans="1:29" s="24" customFormat="1" ht="37.5" customHeight="1">
      <c r="A94" s="269">
        <f t="shared" si="5"/>
        <v>75</v>
      </c>
      <c r="B94" s="346" t="s">
        <v>3895</v>
      </c>
      <c r="C94" s="347">
        <v>1993</v>
      </c>
      <c r="D94" s="347"/>
      <c r="E94" s="347" t="s">
        <v>217</v>
      </c>
      <c r="F94" s="348">
        <v>9</v>
      </c>
      <c r="G94" s="348">
        <v>3</v>
      </c>
      <c r="H94" s="349">
        <v>6262.1</v>
      </c>
      <c r="I94" s="349">
        <v>3702.9</v>
      </c>
      <c r="J94" s="349">
        <v>3492.1</v>
      </c>
      <c r="K94" s="350">
        <v>314</v>
      </c>
      <c r="L94" s="351" t="s">
        <v>219</v>
      </c>
      <c r="M94" s="270">
        <v>6091762.5</v>
      </c>
      <c r="N94" s="317">
        <v>0</v>
      </c>
      <c r="O94" s="317">
        <v>0</v>
      </c>
      <c r="P94" s="317">
        <v>0</v>
      </c>
      <c r="Q94" s="317">
        <f t="shared" si="3"/>
        <v>6091762.5</v>
      </c>
      <c r="R94" s="344">
        <f t="shared" si="4"/>
        <v>1645.1328688325366</v>
      </c>
      <c r="S94" s="344">
        <v>5115.04</v>
      </c>
      <c r="T94" s="345" t="s">
        <v>220</v>
      </c>
      <c r="V94" s="23"/>
      <c r="W94" s="23"/>
      <c r="X94" s="20"/>
      <c r="Y94" s="106"/>
      <c r="Z94" s="41"/>
      <c r="AA94" s="163"/>
      <c r="AB94" s="163"/>
      <c r="AC94" s="38"/>
    </row>
    <row r="95" spans="1:29" s="24" customFormat="1" ht="37.5" customHeight="1">
      <c r="A95" s="269">
        <f t="shared" si="5"/>
        <v>76</v>
      </c>
      <c r="B95" s="346" t="s">
        <v>2164</v>
      </c>
      <c r="C95" s="347">
        <v>1983</v>
      </c>
      <c r="D95" s="347"/>
      <c r="E95" s="347" t="s">
        <v>221</v>
      </c>
      <c r="F95" s="348">
        <v>9</v>
      </c>
      <c r="G95" s="348">
        <v>11</v>
      </c>
      <c r="H95" s="349">
        <v>25453.7</v>
      </c>
      <c r="I95" s="349">
        <v>22238.6</v>
      </c>
      <c r="J95" s="349">
        <v>21353.4</v>
      </c>
      <c r="K95" s="350">
        <v>1133</v>
      </c>
      <c r="L95" s="351" t="s">
        <v>219</v>
      </c>
      <c r="M95" s="270">
        <v>10112350</v>
      </c>
      <c r="N95" s="317">
        <v>0</v>
      </c>
      <c r="O95" s="317">
        <v>0</v>
      </c>
      <c r="P95" s="317">
        <v>0</v>
      </c>
      <c r="Q95" s="317">
        <f t="shared" si="3"/>
        <v>10112350</v>
      </c>
      <c r="R95" s="344">
        <f t="shared" si="4"/>
        <v>454.72062090239496</v>
      </c>
      <c r="S95" s="344">
        <v>5115.04</v>
      </c>
      <c r="T95" s="345" t="s">
        <v>220</v>
      </c>
      <c r="V95" s="23"/>
      <c r="W95" s="23"/>
      <c r="X95" s="20"/>
      <c r="Y95" s="106"/>
      <c r="Z95" s="41"/>
      <c r="AA95" s="163"/>
      <c r="AB95" s="163"/>
      <c r="AC95" s="38"/>
    </row>
    <row r="96" spans="1:29" s="24" customFormat="1" ht="37.5" customHeight="1">
      <c r="A96" s="269">
        <f t="shared" si="5"/>
        <v>77</v>
      </c>
      <c r="B96" s="346" t="s">
        <v>3893</v>
      </c>
      <c r="C96" s="347">
        <v>1982</v>
      </c>
      <c r="D96" s="347"/>
      <c r="E96" s="347" t="s">
        <v>221</v>
      </c>
      <c r="F96" s="348">
        <v>9</v>
      </c>
      <c r="G96" s="348">
        <v>4</v>
      </c>
      <c r="H96" s="349">
        <v>9502</v>
      </c>
      <c r="I96" s="349">
        <v>8330</v>
      </c>
      <c r="J96" s="349">
        <v>7734</v>
      </c>
      <c r="K96" s="350">
        <v>365</v>
      </c>
      <c r="L96" s="351" t="s">
        <v>219</v>
      </c>
      <c r="M96" s="270">
        <v>8102056.25</v>
      </c>
      <c r="N96" s="317">
        <v>0</v>
      </c>
      <c r="O96" s="317">
        <v>0</v>
      </c>
      <c r="P96" s="317">
        <v>0</v>
      </c>
      <c r="Q96" s="317">
        <f t="shared" si="3"/>
        <v>8102056.25</v>
      </c>
      <c r="R96" s="344">
        <f t="shared" si="4"/>
        <v>972.63580432172864</v>
      </c>
      <c r="S96" s="344">
        <v>5115.04</v>
      </c>
      <c r="T96" s="345" t="s">
        <v>220</v>
      </c>
      <c r="V96" s="23"/>
      <c r="W96" s="23"/>
      <c r="X96" s="20"/>
      <c r="Y96" s="106"/>
      <c r="Z96" s="41"/>
      <c r="AA96" s="163"/>
      <c r="AB96" s="163"/>
      <c r="AC96" s="38"/>
    </row>
    <row r="97" spans="1:29" s="24" customFormat="1" ht="37.5" customHeight="1">
      <c r="A97" s="352">
        <f t="shared" si="5"/>
        <v>78</v>
      </c>
      <c r="B97" s="346" t="s">
        <v>3892</v>
      </c>
      <c r="C97" s="347">
        <v>1982</v>
      </c>
      <c r="D97" s="347"/>
      <c r="E97" s="347" t="s">
        <v>221</v>
      </c>
      <c r="F97" s="348">
        <v>9</v>
      </c>
      <c r="G97" s="348">
        <v>5</v>
      </c>
      <c r="H97" s="349">
        <v>11183</v>
      </c>
      <c r="I97" s="349">
        <v>9820</v>
      </c>
      <c r="J97" s="349">
        <v>9360</v>
      </c>
      <c r="K97" s="350">
        <v>505</v>
      </c>
      <c r="L97" s="351" t="s">
        <v>219</v>
      </c>
      <c r="M97" s="344">
        <v>10112350</v>
      </c>
      <c r="N97" s="344">
        <v>0</v>
      </c>
      <c r="O97" s="344">
        <v>0</v>
      </c>
      <c r="P97" s="344">
        <v>0</v>
      </c>
      <c r="Q97" s="344">
        <f t="shared" si="3"/>
        <v>10112350</v>
      </c>
      <c r="R97" s="344">
        <f t="shared" si="4"/>
        <v>1029.7708757637474</v>
      </c>
      <c r="S97" s="344">
        <v>5115.04</v>
      </c>
      <c r="T97" s="345" t="s">
        <v>220</v>
      </c>
      <c r="V97" s="23"/>
      <c r="W97" s="23"/>
      <c r="X97" s="20"/>
      <c r="Y97" s="106"/>
      <c r="Z97" s="41"/>
      <c r="AA97" s="163"/>
      <c r="AB97" s="163"/>
      <c r="AC97" s="38"/>
    </row>
    <row r="98" spans="1:29" s="24" customFormat="1" ht="37.5" customHeight="1">
      <c r="A98" s="352">
        <f t="shared" si="5"/>
        <v>79</v>
      </c>
      <c r="B98" s="346" t="s">
        <v>3556</v>
      </c>
      <c r="C98" s="347">
        <v>1973</v>
      </c>
      <c r="D98" s="347"/>
      <c r="E98" s="347" t="s">
        <v>221</v>
      </c>
      <c r="F98" s="348">
        <v>9</v>
      </c>
      <c r="G98" s="348">
        <v>2</v>
      </c>
      <c r="H98" s="349">
        <v>6525</v>
      </c>
      <c r="I98" s="349">
        <v>5965</v>
      </c>
      <c r="J98" s="349">
        <v>4569</v>
      </c>
      <c r="K98" s="350">
        <v>244</v>
      </c>
      <c r="L98" s="351" t="s">
        <v>219</v>
      </c>
      <c r="M98" s="344">
        <v>4081468.75</v>
      </c>
      <c r="N98" s="344">
        <v>0</v>
      </c>
      <c r="O98" s="344">
        <v>0</v>
      </c>
      <c r="P98" s="344">
        <v>0</v>
      </c>
      <c r="Q98" s="344">
        <f t="shared" si="3"/>
        <v>4081468.75</v>
      </c>
      <c r="R98" s="344">
        <f t="shared" si="4"/>
        <v>684.23616932103937</v>
      </c>
      <c r="S98" s="344">
        <v>5115.04</v>
      </c>
      <c r="T98" s="345" t="s">
        <v>220</v>
      </c>
      <c r="V98" s="23"/>
      <c r="W98" s="23"/>
      <c r="X98" s="26"/>
      <c r="Y98" s="423"/>
      <c r="Z98" s="41"/>
      <c r="AA98" s="200"/>
      <c r="AB98" s="200"/>
      <c r="AC98" s="38"/>
    </row>
    <row r="99" spans="1:29" s="27" customFormat="1" ht="37.5" customHeight="1">
      <c r="A99" s="352">
        <f t="shared" si="5"/>
        <v>80</v>
      </c>
      <c r="B99" s="346" t="s">
        <v>3891</v>
      </c>
      <c r="C99" s="347">
        <v>1982</v>
      </c>
      <c r="D99" s="347"/>
      <c r="E99" s="347" t="s">
        <v>221</v>
      </c>
      <c r="F99" s="348">
        <v>12</v>
      </c>
      <c r="G99" s="348">
        <v>1</v>
      </c>
      <c r="H99" s="349">
        <v>3907.1</v>
      </c>
      <c r="I99" s="349">
        <v>3575</v>
      </c>
      <c r="J99" s="349">
        <v>3089.9</v>
      </c>
      <c r="K99" s="350">
        <v>156</v>
      </c>
      <c r="L99" s="351" t="s">
        <v>219</v>
      </c>
      <c r="M99" s="344">
        <v>4479468.75</v>
      </c>
      <c r="N99" s="344">
        <v>0</v>
      </c>
      <c r="O99" s="344">
        <v>0</v>
      </c>
      <c r="P99" s="344">
        <v>0</v>
      </c>
      <c r="Q99" s="344">
        <f t="shared" si="3"/>
        <v>4479468.75</v>
      </c>
      <c r="R99" s="344">
        <f t="shared" si="4"/>
        <v>1252.9982517482517</v>
      </c>
      <c r="S99" s="344">
        <v>5115.04</v>
      </c>
      <c r="T99" s="345" t="s">
        <v>220</v>
      </c>
      <c r="V99" s="42"/>
      <c r="W99" s="42"/>
      <c r="X99" s="26"/>
      <c r="Y99" s="423"/>
      <c r="Z99" s="41"/>
      <c r="AA99" s="200"/>
      <c r="AB99" s="200"/>
      <c r="AC99" s="38"/>
    </row>
    <row r="100" spans="1:29" s="27" customFormat="1" ht="37.5" customHeight="1">
      <c r="A100" s="352">
        <f t="shared" si="5"/>
        <v>81</v>
      </c>
      <c r="B100" s="353" t="s">
        <v>3894</v>
      </c>
      <c r="C100" s="347">
        <v>1989</v>
      </c>
      <c r="D100" s="347"/>
      <c r="E100" s="347" t="s">
        <v>217</v>
      </c>
      <c r="F100" s="348">
        <v>9</v>
      </c>
      <c r="G100" s="348">
        <v>3</v>
      </c>
      <c r="H100" s="349">
        <v>6712.8</v>
      </c>
      <c r="I100" s="349">
        <v>6039.6</v>
      </c>
      <c r="J100" s="349">
        <v>6039.6</v>
      </c>
      <c r="K100" s="350">
        <v>324</v>
      </c>
      <c r="L100" s="351" t="s">
        <v>219</v>
      </c>
      <c r="M100" s="344">
        <v>6091762.5</v>
      </c>
      <c r="N100" s="344">
        <v>0</v>
      </c>
      <c r="O100" s="344">
        <v>0</v>
      </c>
      <c r="P100" s="344">
        <v>0</v>
      </c>
      <c r="Q100" s="344">
        <f>M100</f>
        <v>6091762.5</v>
      </c>
      <c r="R100" s="344">
        <f t="shared" ref="R100:R105" si="6">M100/I100</f>
        <v>1008.6367474667196</v>
      </c>
      <c r="S100" s="344">
        <v>5115.04</v>
      </c>
      <c r="T100" s="345" t="s">
        <v>220</v>
      </c>
      <c r="V100" s="42"/>
      <c r="W100" s="42"/>
      <c r="X100" s="26"/>
      <c r="Y100" s="423"/>
      <c r="Z100" s="41"/>
      <c r="AA100" s="200"/>
      <c r="AB100" s="200"/>
      <c r="AC100" s="38"/>
    </row>
    <row r="101" spans="1:29" s="24" customFormat="1" ht="37.5" customHeight="1">
      <c r="A101" s="352">
        <f t="shared" si="5"/>
        <v>82</v>
      </c>
      <c r="B101" s="354" t="s">
        <v>3890</v>
      </c>
      <c r="C101" s="355">
        <v>1989</v>
      </c>
      <c r="D101" s="355"/>
      <c r="E101" s="261" t="s">
        <v>221</v>
      </c>
      <c r="F101" s="348">
        <v>5</v>
      </c>
      <c r="G101" s="348">
        <v>3</v>
      </c>
      <c r="H101" s="349">
        <v>2956.8</v>
      </c>
      <c r="I101" s="349">
        <v>2433.1999999999998</v>
      </c>
      <c r="J101" s="349">
        <v>1812.8</v>
      </c>
      <c r="K101" s="350">
        <v>456</v>
      </c>
      <c r="L101" s="356" t="s">
        <v>30</v>
      </c>
      <c r="M101" s="344">
        <v>2465156.79</v>
      </c>
      <c r="N101" s="344">
        <v>0</v>
      </c>
      <c r="O101" s="344">
        <v>0</v>
      </c>
      <c r="P101" s="344">
        <v>0</v>
      </c>
      <c r="Q101" s="344">
        <f>M101</f>
        <v>2465156.79</v>
      </c>
      <c r="R101" s="344">
        <f t="shared" si="6"/>
        <v>1013.1336470491535</v>
      </c>
      <c r="S101" s="344">
        <v>5115.04</v>
      </c>
      <c r="T101" s="345" t="s">
        <v>220</v>
      </c>
      <c r="V101" s="25"/>
      <c r="X101" s="26"/>
      <c r="Y101" s="423"/>
      <c r="Z101" s="41"/>
      <c r="AA101" s="200"/>
      <c r="AB101" s="200"/>
      <c r="AC101" s="38"/>
    </row>
    <row r="102" spans="1:29" s="154" customFormat="1" ht="37.5" customHeight="1">
      <c r="A102" s="352">
        <f t="shared" si="5"/>
        <v>83</v>
      </c>
      <c r="B102" s="361" t="s">
        <v>2189</v>
      </c>
      <c r="C102" s="179">
        <v>1974</v>
      </c>
      <c r="D102" s="179"/>
      <c r="E102" s="424" t="s">
        <v>221</v>
      </c>
      <c r="F102" s="175">
        <v>5</v>
      </c>
      <c r="G102" s="175">
        <v>4</v>
      </c>
      <c r="H102" s="262">
        <v>3340</v>
      </c>
      <c r="I102" s="262">
        <v>3340</v>
      </c>
      <c r="J102" s="262">
        <v>3340</v>
      </c>
      <c r="K102" s="218">
        <v>161</v>
      </c>
      <c r="L102" s="387" t="s">
        <v>30</v>
      </c>
      <c r="M102" s="344">
        <v>2121252.5</v>
      </c>
      <c r="N102" s="344">
        <v>0</v>
      </c>
      <c r="O102" s="344">
        <v>0</v>
      </c>
      <c r="P102" s="344">
        <v>0</v>
      </c>
      <c r="Q102" s="344">
        <f>M102</f>
        <v>2121252.5</v>
      </c>
      <c r="R102" s="344">
        <f t="shared" si="6"/>
        <v>635.10553892215569</v>
      </c>
      <c r="S102" s="359">
        <v>5115.04</v>
      </c>
      <c r="T102" s="177" t="s">
        <v>220</v>
      </c>
      <c r="V102" s="229"/>
      <c r="X102" s="20"/>
      <c r="Y102" s="106"/>
      <c r="Z102" s="178"/>
      <c r="AA102" s="163"/>
      <c r="AB102" s="163"/>
      <c r="AC102" s="247"/>
    </row>
    <row r="103" spans="1:29" s="154" customFormat="1" ht="37.5" customHeight="1">
      <c r="A103" s="174">
        <f t="shared" si="5"/>
        <v>84</v>
      </c>
      <c r="B103" s="361" t="s">
        <v>2218</v>
      </c>
      <c r="C103" s="179">
        <v>1957</v>
      </c>
      <c r="D103" s="389"/>
      <c r="E103" s="167" t="s">
        <v>221</v>
      </c>
      <c r="F103" s="218">
        <v>2</v>
      </c>
      <c r="G103" s="218">
        <v>2</v>
      </c>
      <c r="H103" s="262">
        <v>677</v>
      </c>
      <c r="I103" s="262">
        <v>501.1</v>
      </c>
      <c r="J103" s="262">
        <v>501.1</v>
      </c>
      <c r="K103" s="218">
        <v>28</v>
      </c>
      <c r="L103" s="360" t="s">
        <v>33</v>
      </c>
      <c r="M103" s="374">
        <v>2436265.94</v>
      </c>
      <c r="N103" s="358">
        <v>0</v>
      </c>
      <c r="O103" s="358">
        <v>0</v>
      </c>
      <c r="P103" s="358">
        <v>0</v>
      </c>
      <c r="Q103" s="359">
        <f>M103</f>
        <v>2436265.94</v>
      </c>
      <c r="R103" s="359">
        <f t="shared" si="6"/>
        <v>4861.835841149471</v>
      </c>
      <c r="S103" s="359">
        <v>5115.04</v>
      </c>
      <c r="T103" s="177" t="s">
        <v>220</v>
      </c>
      <c r="X103" s="20"/>
      <c r="Y103" s="106"/>
      <c r="Z103" s="178"/>
      <c r="AA103" s="163"/>
      <c r="AB103" s="163"/>
      <c r="AC103" s="247"/>
    </row>
    <row r="104" spans="1:29" s="154" customFormat="1" ht="37.5" customHeight="1">
      <c r="A104" s="160">
        <f t="shared" si="5"/>
        <v>85</v>
      </c>
      <c r="B104" s="272" t="s">
        <v>2233</v>
      </c>
      <c r="C104" s="273">
        <v>1956</v>
      </c>
      <c r="D104" s="295"/>
      <c r="E104" s="299" t="s">
        <v>221</v>
      </c>
      <c r="F104" s="275">
        <v>2</v>
      </c>
      <c r="G104" s="275">
        <v>2</v>
      </c>
      <c r="H104" s="274">
        <v>820</v>
      </c>
      <c r="I104" s="274">
        <v>656</v>
      </c>
      <c r="J104" s="285">
        <v>656</v>
      </c>
      <c r="K104" s="296">
        <v>28</v>
      </c>
      <c r="L104" s="278" t="s">
        <v>30</v>
      </c>
      <c r="M104" s="393">
        <v>459985.4</v>
      </c>
      <c r="N104" s="197">
        <v>0</v>
      </c>
      <c r="O104" s="197">
        <v>0</v>
      </c>
      <c r="P104" s="197">
        <v>0</v>
      </c>
      <c r="Q104" s="197">
        <f>M104</f>
        <v>459985.4</v>
      </c>
      <c r="R104" s="197">
        <f t="shared" si="6"/>
        <v>701.19725609756097</v>
      </c>
      <c r="S104" s="197">
        <v>5115.04</v>
      </c>
      <c r="T104" s="171" t="s">
        <v>220</v>
      </c>
      <c r="V104" s="229"/>
      <c r="X104" s="20"/>
      <c r="Y104" s="106"/>
      <c r="Z104" s="178"/>
      <c r="AA104" s="163"/>
      <c r="AB104" s="163"/>
      <c r="AC104" s="247"/>
    </row>
    <row r="105" spans="1:29" s="24" customFormat="1" ht="41.25" customHeight="1">
      <c r="A105" s="1306" t="s">
        <v>146</v>
      </c>
      <c r="B105" s="1306"/>
      <c r="C105" s="1306"/>
      <c r="D105" s="1306"/>
      <c r="E105" s="201" t="s">
        <v>28</v>
      </c>
      <c r="F105" s="159" t="s">
        <v>28</v>
      </c>
      <c r="G105" s="159" t="s">
        <v>28</v>
      </c>
      <c r="H105" s="161">
        <f>SUM(H20:H104)</f>
        <v>373768.1</v>
      </c>
      <c r="I105" s="161">
        <f>SUM(I20:I104)</f>
        <v>319464.39999999997</v>
      </c>
      <c r="J105" s="161">
        <f>SUM(J20:J104)</f>
        <v>294145.81999999995</v>
      </c>
      <c r="K105" s="159">
        <f>SUM(K20:K104)</f>
        <v>17683</v>
      </c>
      <c r="L105" s="151" t="s">
        <v>28</v>
      </c>
      <c r="M105" s="196">
        <v>316242546.92000008</v>
      </c>
      <c r="N105" s="196">
        <f>SUM(N20:N104)</f>
        <v>0</v>
      </c>
      <c r="O105" s="196">
        <f>SUM(O20:O104)</f>
        <v>0</v>
      </c>
      <c r="P105" s="196">
        <f>SUM(P20:P104)</f>
        <v>0</v>
      </c>
      <c r="Q105" s="196">
        <f>SUM(Q20:Q104)</f>
        <v>316242546.92000008</v>
      </c>
      <c r="R105" s="196">
        <f t="shared" si="6"/>
        <v>989.91482907015654</v>
      </c>
      <c r="S105" s="196">
        <v>5115.04</v>
      </c>
      <c r="T105" s="162" t="s">
        <v>220</v>
      </c>
      <c r="U105" s="39"/>
      <c r="V105" s="39"/>
      <c r="W105" s="39"/>
      <c r="X105" s="20"/>
      <c r="Z105" s="40"/>
      <c r="AC105" s="38"/>
    </row>
    <row r="106" spans="1:29" s="21" customFormat="1" ht="41.25" customHeight="1">
      <c r="A106" s="1305" t="s">
        <v>4365</v>
      </c>
      <c r="B106" s="1305"/>
      <c r="C106" s="1305"/>
      <c r="D106" s="1305"/>
      <c r="E106" s="1305"/>
      <c r="F106" s="1305"/>
      <c r="G106" s="1305"/>
      <c r="H106" s="1305"/>
      <c r="I106" s="1305"/>
      <c r="J106" s="1305"/>
      <c r="K106" s="1305"/>
      <c r="L106" s="1305"/>
      <c r="M106" s="1305"/>
      <c r="N106" s="1305"/>
      <c r="O106" s="1305"/>
      <c r="P106" s="1305"/>
      <c r="Q106" s="1305"/>
      <c r="R106" s="1305"/>
      <c r="S106" s="1305"/>
      <c r="T106" s="1305"/>
      <c r="V106" s="22"/>
      <c r="X106" s="20"/>
      <c r="Z106" s="43"/>
      <c r="AC106" s="46"/>
    </row>
    <row r="107" spans="1:29" s="21" customFormat="1" ht="37.5" customHeight="1">
      <c r="A107" s="174">
        <v>1</v>
      </c>
      <c r="B107" s="255" t="s">
        <v>2160</v>
      </c>
      <c r="C107" s="179">
        <v>1987</v>
      </c>
      <c r="D107" s="378"/>
      <c r="E107" s="176" t="s">
        <v>221</v>
      </c>
      <c r="F107" s="218">
        <v>12</v>
      </c>
      <c r="G107" s="218">
        <v>1</v>
      </c>
      <c r="H107" s="262">
        <v>4520</v>
      </c>
      <c r="I107" s="262">
        <v>3688.5</v>
      </c>
      <c r="J107" s="373">
        <v>3688.5</v>
      </c>
      <c r="K107" s="379">
        <v>206</v>
      </c>
      <c r="L107" s="108" t="s">
        <v>219</v>
      </c>
      <c r="M107" s="374">
        <v>4506250</v>
      </c>
      <c r="N107" s="359">
        <v>0</v>
      </c>
      <c r="O107" s="208">
        <f>'2.виды ремонта'!E96*1000000</f>
        <v>2000000</v>
      </c>
      <c r="P107" s="359">
        <v>0</v>
      </c>
      <c r="Q107" s="210">
        <f t="shared" ref="Q107:Q120" si="7">M107-N107-O107-P107</f>
        <v>2506250</v>
      </c>
      <c r="R107" s="359">
        <f t="shared" ref="R107:R126" si="8">M107/I107</f>
        <v>1221.702589128372</v>
      </c>
      <c r="S107" s="359">
        <v>5115.04</v>
      </c>
      <c r="T107" s="177" t="s">
        <v>232</v>
      </c>
      <c r="V107" s="22"/>
      <c r="X107" s="20"/>
      <c r="Y107" s="106"/>
      <c r="Z107" s="47"/>
      <c r="AA107" s="163"/>
      <c r="AB107" s="163"/>
      <c r="AC107" s="46"/>
    </row>
    <row r="108" spans="1:29" s="21" customFormat="1" ht="37.5" customHeight="1">
      <c r="A108" s="174">
        <f t="shared" ref="A108:A125" si="9">A107+1</f>
        <v>2</v>
      </c>
      <c r="B108" s="255" t="s">
        <v>2164</v>
      </c>
      <c r="C108" s="179">
        <v>1983</v>
      </c>
      <c r="D108" s="378"/>
      <c r="E108" s="176" t="s">
        <v>221</v>
      </c>
      <c r="F108" s="218">
        <v>9</v>
      </c>
      <c r="G108" s="218">
        <v>11</v>
      </c>
      <c r="H108" s="262">
        <v>25457</v>
      </c>
      <c r="I108" s="262">
        <v>22238.6</v>
      </c>
      <c r="J108" s="373">
        <v>21353.4</v>
      </c>
      <c r="K108" s="379">
        <v>1133</v>
      </c>
      <c r="L108" s="108" t="s">
        <v>219</v>
      </c>
      <c r="M108" s="374">
        <v>10170000</v>
      </c>
      <c r="N108" s="359">
        <v>0</v>
      </c>
      <c r="O108" s="208">
        <f>'2.виды ремонта'!E97*1000000</f>
        <v>5000000</v>
      </c>
      <c r="P108" s="359">
        <v>0</v>
      </c>
      <c r="Q108" s="210">
        <f t="shared" si="7"/>
        <v>5170000</v>
      </c>
      <c r="R108" s="359">
        <f t="shared" si="8"/>
        <v>457.31296034822338</v>
      </c>
      <c r="S108" s="359">
        <v>5115.04</v>
      </c>
      <c r="T108" s="177" t="s">
        <v>232</v>
      </c>
      <c r="V108" s="22"/>
      <c r="X108" s="20"/>
      <c r="Y108" s="106"/>
      <c r="Z108" s="47"/>
      <c r="AA108" s="163"/>
      <c r="AB108" s="163"/>
      <c r="AC108" s="46"/>
    </row>
    <row r="109" spans="1:29" s="21" customFormat="1" ht="37.5" customHeight="1">
      <c r="A109" s="174">
        <f t="shared" si="9"/>
        <v>3</v>
      </c>
      <c r="B109" s="255" t="s">
        <v>2183</v>
      </c>
      <c r="C109" s="179">
        <v>1988</v>
      </c>
      <c r="D109" s="378"/>
      <c r="E109" s="176" t="s">
        <v>221</v>
      </c>
      <c r="F109" s="218">
        <v>9</v>
      </c>
      <c r="G109" s="218">
        <v>1</v>
      </c>
      <c r="H109" s="262">
        <v>3218</v>
      </c>
      <c r="I109" s="373">
        <v>2696.13</v>
      </c>
      <c r="J109" s="373">
        <v>2696.13</v>
      </c>
      <c r="K109" s="379">
        <v>271</v>
      </c>
      <c r="L109" s="108" t="s">
        <v>219</v>
      </c>
      <c r="M109" s="374">
        <v>2085000</v>
      </c>
      <c r="N109" s="359">
        <v>0</v>
      </c>
      <c r="O109" s="208">
        <f>'2.виды ремонта'!E98*1000000</f>
        <v>1000000</v>
      </c>
      <c r="P109" s="359">
        <v>0</v>
      </c>
      <c r="Q109" s="210">
        <f t="shared" si="7"/>
        <v>1085000</v>
      </c>
      <c r="R109" s="359">
        <f t="shared" si="8"/>
        <v>773.33066283895801</v>
      </c>
      <c r="S109" s="359">
        <v>5115.04</v>
      </c>
      <c r="T109" s="177" t="s">
        <v>232</v>
      </c>
      <c r="V109" s="22"/>
      <c r="X109" s="20"/>
      <c r="Y109" s="106"/>
      <c r="Z109" s="47"/>
      <c r="AA109" s="163"/>
      <c r="AB109" s="163"/>
      <c r="AC109" s="46"/>
    </row>
    <row r="110" spans="1:29" s="21" customFormat="1" ht="37.5" customHeight="1">
      <c r="A110" s="174">
        <f t="shared" si="9"/>
        <v>4</v>
      </c>
      <c r="B110" s="255" t="s">
        <v>2199</v>
      </c>
      <c r="C110" s="179">
        <v>1988</v>
      </c>
      <c r="D110" s="378"/>
      <c r="E110" s="176" t="s">
        <v>221</v>
      </c>
      <c r="F110" s="218">
        <v>9</v>
      </c>
      <c r="G110" s="218">
        <v>5</v>
      </c>
      <c r="H110" s="262">
        <v>11046</v>
      </c>
      <c r="I110" s="262">
        <v>9691.7999999999993</v>
      </c>
      <c r="J110" s="373">
        <v>8877.2000000000007</v>
      </c>
      <c r="K110" s="379">
        <v>505</v>
      </c>
      <c r="L110" s="108" t="s">
        <v>219</v>
      </c>
      <c r="M110" s="374">
        <v>10170000</v>
      </c>
      <c r="N110" s="359">
        <v>0</v>
      </c>
      <c r="O110" s="208">
        <f>'2.виды ремонта'!E99*1000000</f>
        <v>5000000</v>
      </c>
      <c r="P110" s="359">
        <v>0</v>
      </c>
      <c r="Q110" s="210">
        <f t="shared" si="7"/>
        <v>5170000</v>
      </c>
      <c r="R110" s="359">
        <f t="shared" si="8"/>
        <v>1049.3406797498917</v>
      </c>
      <c r="S110" s="359">
        <v>5115.04</v>
      </c>
      <c r="T110" s="177" t="s">
        <v>232</v>
      </c>
      <c r="V110" s="22"/>
      <c r="X110" s="20"/>
      <c r="Y110" s="106"/>
      <c r="Z110" s="47"/>
      <c r="AA110" s="163"/>
      <c r="AB110" s="163"/>
      <c r="AC110" s="46"/>
    </row>
    <row r="111" spans="1:29" s="154" customFormat="1" ht="37.5" customHeight="1">
      <c r="A111" s="174">
        <f t="shared" si="9"/>
        <v>5</v>
      </c>
      <c r="B111" s="255" t="s">
        <v>4069</v>
      </c>
      <c r="C111" s="179">
        <v>1986</v>
      </c>
      <c r="D111" s="378"/>
      <c r="E111" s="176" t="s">
        <v>221</v>
      </c>
      <c r="F111" s="218">
        <v>9</v>
      </c>
      <c r="G111" s="218">
        <v>2</v>
      </c>
      <c r="H111" s="262">
        <v>4223</v>
      </c>
      <c r="I111" s="262">
        <v>3942.8</v>
      </c>
      <c r="J111" s="373">
        <v>3527.17</v>
      </c>
      <c r="K111" s="379">
        <v>242</v>
      </c>
      <c r="L111" s="108" t="s">
        <v>219</v>
      </c>
      <c r="M111" s="374">
        <v>4106250</v>
      </c>
      <c r="N111" s="359">
        <v>0</v>
      </c>
      <c r="O111" s="208">
        <f>'2.виды ремонта'!E100*1000000</f>
        <v>2000000</v>
      </c>
      <c r="P111" s="359">
        <v>0</v>
      </c>
      <c r="Q111" s="210">
        <f t="shared" si="7"/>
        <v>2106250</v>
      </c>
      <c r="R111" s="359">
        <f t="shared" si="8"/>
        <v>1041.4553109465355</v>
      </c>
      <c r="S111" s="359">
        <v>5115.04</v>
      </c>
      <c r="T111" s="177" t="s">
        <v>232</v>
      </c>
      <c r="V111" s="229"/>
      <c r="X111" s="112"/>
      <c r="Y111" s="422"/>
      <c r="Z111" s="178"/>
      <c r="AA111" s="170"/>
      <c r="AB111" s="170"/>
      <c r="AC111" s="247"/>
    </row>
    <row r="112" spans="1:29" s="21" customFormat="1" ht="57.95" customHeight="1">
      <c r="A112" s="174">
        <f t="shared" si="9"/>
        <v>6</v>
      </c>
      <c r="B112" s="255" t="s">
        <v>2220</v>
      </c>
      <c r="C112" s="179">
        <v>1988</v>
      </c>
      <c r="D112" s="378"/>
      <c r="E112" s="179" t="s">
        <v>217</v>
      </c>
      <c r="F112" s="218">
        <v>9</v>
      </c>
      <c r="G112" s="218">
        <v>5</v>
      </c>
      <c r="H112" s="262">
        <v>11583</v>
      </c>
      <c r="I112" s="262">
        <v>10036.200000000001</v>
      </c>
      <c r="J112" s="373">
        <v>9419.2999999999993</v>
      </c>
      <c r="K112" s="379">
        <v>561</v>
      </c>
      <c r="L112" s="108" t="s">
        <v>3639</v>
      </c>
      <c r="M112" s="374">
        <v>14081873</v>
      </c>
      <c r="N112" s="359">
        <v>0</v>
      </c>
      <c r="O112" s="208">
        <f>'2.виды ремонта'!E101*1000000</f>
        <v>5000000</v>
      </c>
      <c r="P112" s="359">
        <v>0</v>
      </c>
      <c r="Q112" s="210">
        <f t="shared" si="7"/>
        <v>9081873</v>
      </c>
      <c r="R112" s="359">
        <f t="shared" si="8"/>
        <v>1403.1080488631155</v>
      </c>
      <c r="S112" s="359">
        <v>5115.04</v>
      </c>
      <c r="T112" s="177" t="s">
        <v>232</v>
      </c>
      <c r="V112" s="22"/>
      <c r="X112" s="20"/>
      <c r="Y112" s="106"/>
      <c r="Z112" s="47"/>
      <c r="AA112" s="163"/>
      <c r="AB112" s="163"/>
      <c r="AC112" s="46"/>
    </row>
    <row r="113" spans="1:29" s="21" customFormat="1" ht="37.5" customHeight="1">
      <c r="A113" s="174">
        <f t="shared" si="9"/>
        <v>7</v>
      </c>
      <c r="B113" s="255" t="s">
        <v>2225</v>
      </c>
      <c r="C113" s="179">
        <v>1984</v>
      </c>
      <c r="D113" s="378"/>
      <c r="E113" s="176" t="s">
        <v>221</v>
      </c>
      <c r="F113" s="218">
        <v>9</v>
      </c>
      <c r="G113" s="218">
        <v>4</v>
      </c>
      <c r="H113" s="262">
        <v>9682</v>
      </c>
      <c r="I113" s="262">
        <v>8426</v>
      </c>
      <c r="J113" s="373">
        <v>6744</v>
      </c>
      <c r="K113" s="379">
        <v>358</v>
      </c>
      <c r="L113" s="108" t="s">
        <v>219</v>
      </c>
      <c r="M113" s="374">
        <v>8148750</v>
      </c>
      <c r="N113" s="359">
        <v>0</v>
      </c>
      <c r="O113" s="208">
        <f>'2.виды ремонта'!E102*1000000</f>
        <v>4000000</v>
      </c>
      <c r="P113" s="359">
        <v>0</v>
      </c>
      <c r="Q113" s="210">
        <f t="shared" si="7"/>
        <v>4148750</v>
      </c>
      <c r="R113" s="359">
        <f t="shared" si="8"/>
        <v>967.09589366247326</v>
      </c>
      <c r="S113" s="359">
        <v>5115.04</v>
      </c>
      <c r="T113" s="177" t="s">
        <v>232</v>
      </c>
      <c r="V113" s="22"/>
      <c r="X113" s="20"/>
      <c r="Y113" s="106"/>
      <c r="Z113" s="47"/>
      <c r="AA113" s="163"/>
      <c r="AB113" s="163"/>
      <c r="AC113" s="46"/>
    </row>
    <row r="114" spans="1:29" s="21" customFormat="1" ht="37.5" customHeight="1">
      <c r="A114" s="174">
        <f t="shared" si="9"/>
        <v>8</v>
      </c>
      <c r="B114" s="255" t="s">
        <v>2226</v>
      </c>
      <c r="C114" s="179">
        <v>1984</v>
      </c>
      <c r="D114" s="378"/>
      <c r="E114" s="176" t="s">
        <v>221</v>
      </c>
      <c r="F114" s="218">
        <v>9</v>
      </c>
      <c r="G114" s="218">
        <v>4</v>
      </c>
      <c r="H114" s="262">
        <v>8995</v>
      </c>
      <c r="I114" s="262">
        <v>7736.3</v>
      </c>
      <c r="J114" s="373">
        <v>6955.6</v>
      </c>
      <c r="K114" s="379">
        <v>359</v>
      </c>
      <c r="L114" s="108" t="s">
        <v>219</v>
      </c>
      <c r="M114" s="374">
        <v>8148750</v>
      </c>
      <c r="N114" s="359">
        <v>0</v>
      </c>
      <c r="O114" s="208">
        <f>'2.виды ремонта'!E103*1000000</f>
        <v>4000000</v>
      </c>
      <c r="P114" s="359">
        <v>0</v>
      </c>
      <c r="Q114" s="210">
        <f t="shared" si="7"/>
        <v>4148750</v>
      </c>
      <c r="R114" s="359">
        <f t="shared" si="8"/>
        <v>1053.3135995243204</v>
      </c>
      <c r="S114" s="359">
        <v>5115.04</v>
      </c>
      <c r="T114" s="177" t="s">
        <v>232</v>
      </c>
      <c r="V114" s="22"/>
      <c r="X114" s="20"/>
      <c r="Y114" s="106"/>
      <c r="Z114" s="47"/>
      <c r="AA114" s="163"/>
      <c r="AB114" s="163"/>
      <c r="AC114" s="46"/>
    </row>
    <row r="115" spans="1:29" s="21" customFormat="1" ht="37.5" customHeight="1">
      <c r="A115" s="174">
        <f t="shared" si="9"/>
        <v>9</v>
      </c>
      <c r="B115" s="255" t="s">
        <v>2228</v>
      </c>
      <c r="C115" s="179">
        <v>1986</v>
      </c>
      <c r="D115" s="378"/>
      <c r="E115" s="176" t="s">
        <v>221</v>
      </c>
      <c r="F115" s="218">
        <v>9</v>
      </c>
      <c r="G115" s="218">
        <v>1</v>
      </c>
      <c r="H115" s="262">
        <v>3615</v>
      </c>
      <c r="I115" s="262">
        <v>3288.1</v>
      </c>
      <c r="J115" s="373">
        <v>2960.6</v>
      </c>
      <c r="K115" s="379">
        <v>147</v>
      </c>
      <c r="L115" s="108" t="s">
        <v>219</v>
      </c>
      <c r="M115" s="374">
        <v>2085000</v>
      </c>
      <c r="N115" s="359">
        <v>0</v>
      </c>
      <c r="O115" s="208">
        <f>'2.виды ремонта'!E104*1000000</f>
        <v>1000000</v>
      </c>
      <c r="P115" s="359">
        <v>0</v>
      </c>
      <c r="Q115" s="210">
        <f t="shared" si="7"/>
        <v>1085000</v>
      </c>
      <c r="R115" s="359">
        <f t="shared" si="8"/>
        <v>634.10480216538429</v>
      </c>
      <c r="S115" s="359">
        <v>5115.04</v>
      </c>
      <c r="T115" s="177" t="s">
        <v>232</v>
      </c>
      <c r="V115" s="22"/>
      <c r="X115" s="20"/>
      <c r="Y115" s="106"/>
      <c r="Z115" s="47"/>
      <c r="AA115" s="163"/>
      <c r="AB115" s="163"/>
      <c r="AC115" s="46"/>
    </row>
    <row r="116" spans="1:29" s="21" customFormat="1" ht="57.95" customHeight="1">
      <c r="A116" s="174">
        <f t="shared" si="9"/>
        <v>10</v>
      </c>
      <c r="B116" s="255" t="s">
        <v>2231</v>
      </c>
      <c r="C116" s="179">
        <v>1988</v>
      </c>
      <c r="D116" s="378"/>
      <c r="E116" s="179" t="s">
        <v>217</v>
      </c>
      <c r="F116" s="218">
        <v>9</v>
      </c>
      <c r="G116" s="218">
        <v>4</v>
      </c>
      <c r="H116" s="262">
        <v>8968</v>
      </c>
      <c r="I116" s="262">
        <v>7841.1</v>
      </c>
      <c r="J116" s="373">
        <v>7658.1</v>
      </c>
      <c r="K116" s="379">
        <v>396</v>
      </c>
      <c r="L116" s="108" t="s">
        <v>3639</v>
      </c>
      <c r="M116" s="374">
        <v>11285954</v>
      </c>
      <c r="N116" s="359">
        <v>0</v>
      </c>
      <c r="O116" s="208">
        <f>'2.виды ремонта'!E105*1000000</f>
        <v>4000000</v>
      </c>
      <c r="P116" s="359">
        <v>0</v>
      </c>
      <c r="Q116" s="210">
        <f t="shared" si="7"/>
        <v>7285954</v>
      </c>
      <c r="R116" s="359">
        <f t="shared" si="8"/>
        <v>1439.3330017472038</v>
      </c>
      <c r="S116" s="359">
        <v>5115.04</v>
      </c>
      <c r="T116" s="177" t="s">
        <v>232</v>
      </c>
      <c r="V116" s="22"/>
      <c r="X116" s="20"/>
      <c r="Y116" s="106"/>
      <c r="Z116" s="47"/>
      <c r="AA116" s="163"/>
      <c r="AB116" s="163"/>
      <c r="AC116" s="46"/>
    </row>
    <row r="117" spans="1:29" s="21" customFormat="1" ht="37.5" customHeight="1">
      <c r="A117" s="174">
        <f t="shared" si="9"/>
        <v>11</v>
      </c>
      <c r="B117" s="255" t="s">
        <v>2245</v>
      </c>
      <c r="C117" s="179">
        <v>1987</v>
      </c>
      <c r="D117" s="378"/>
      <c r="E117" s="176" t="s">
        <v>221</v>
      </c>
      <c r="F117" s="218">
        <v>9</v>
      </c>
      <c r="G117" s="218">
        <v>2</v>
      </c>
      <c r="H117" s="262">
        <v>4282</v>
      </c>
      <c r="I117" s="262">
        <v>4085.4</v>
      </c>
      <c r="J117" s="373">
        <v>3696.5</v>
      </c>
      <c r="K117" s="379">
        <v>188</v>
      </c>
      <c r="L117" s="108" t="s">
        <v>219</v>
      </c>
      <c r="M117" s="374">
        <v>4106250</v>
      </c>
      <c r="N117" s="359">
        <v>0</v>
      </c>
      <c r="O117" s="208">
        <f>'2.виды ремонта'!E106*1000000</f>
        <v>2000000</v>
      </c>
      <c r="P117" s="359">
        <v>0</v>
      </c>
      <c r="Q117" s="210">
        <f t="shared" si="7"/>
        <v>2106250</v>
      </c>
      <c r="R117" s="359">
        <f t="shared" si="8"/>
        <v>1005.1035394331033</v>
      </c>
      <c r="S117" s="359">
        <v>5115.04</v>
      </c>
      <c r="T117" s="177" t="s">
        <v>232</v>
      </c>
      <c r="V117" s="22"/>
      <c r="X117" s="20"/>
      <c r="Y117" s="106"/>
      <c r="Z117" s="47"/>
      <c r="AA117" s="163"/>
      <c r="AB117" s="163"/>
      <c r="AC117" s="46"/>
    </row>
    <row r="118" spans="1:29" s="21" customFormat="1" ht="37.5" customHeight="1">
      <c r="A118" s="174">
        <f t="shared" si="9"/>
        <v>12</v>
      </c>
      <c r="B118" s="255" t="s">
        <v>2246</v>
      </c>
      <c r="C118" s="179">
        <v>1985</v>
      </c>
      <c r="D118" s="378"/>
      <c r="E118" s="176" t="s">
        <v>221</v>
      </c>
      <c r="F118" s="218">
        <v>9</v>
      </c>
      <c r="G118" s="218">
        <v>1</v>
      </c>
      <c r="H118" s="262">
        <v>4289</v>
      </c>
      <c r="I118" s="262">
        <v>3939.8</v>
      </c>
      <c r="J118" s="373">
        <v>3831.2</v>
      </c>
      <c r="K118" s="379">
        <v>190</v>
      </c>
      <c r="L118" s="108" t="s">
        <v>219</v>
      </c>
      <c r="M118" s="374">
        <v>2085000</v>
      </c>
      <c r="N118" s="359">
        <v>0</v>
      </c>
      <c r="O118" s="208">
        <f>'2.виды ремонта'!E107*1000000</f>
        <v>1000000</v>
      </c>
      <c r="P118" s="359">
        <v>0</v>
      </c>
      <c r="Q118" s="210">
        <f t="shared" si="7"/>
        <v>1085000</v>
      </c>
      <c r="R118" s="359">
        <f t="shared" si="8"/>
        <v>529.21468094827151</v>
      </c>
      <c r="S118" s="359">
        <v>5115.04</v>
      </c>
      <c r="T118" s="177" t="s">
        <v>232</v>
      </c>
      <c r="V118" s="22"/>
      <c r="X118" s="20"/>
      <c r="Y118" s="106"/>
      <c r="Z118" s="47"/>
      <c r="AA118" s="163"/>
      <c r="AB118" s="163"/>
      <c r="AC118" s="46"/>
    </row>
    <row r="119" spans="1:29" s="21" customFormat="1" ht="37.5" customHeight="1">
      <c r="A119" s="174">
        <f t="shared" si="9"/>
        <v>13</v>
      </c>
      <c r="B119" s="255" t="s">
        <v>2247</v>
      </c>
      <c r="C119" s="179">
        <v>1983</v>
      </c>
      <c r="D119" s="378"/>
      <c r="E119" s="176" t="s">
        <v>221</v>
      </c>
      <c r="F119" s="218">
        <v>9</v>
      </c>
      <c r="G119" s="218">
        <v>5</v>
      </c>
      <c r="H119" s="262">
        <v>11719</v>
      </c>
      <c r="I119" s="262">
        <v>8330</v>
      </c>
      <c r="J119" s="373">
        <v>7734</v>
      </c>
      <c r="K119" s="379">
        <v>365</v>
      </c>
      <c r="L119" s="108" t="s">
        <v>219</v>
      </c>
      <c r="M119" s="374">
        <v>8148750</v>
      </c>
      <c r="N119" s="359">
        <v>0</v>
      </c>
      <c r="O119" s="208">
        <f>'2.виды ремонта'!E108*1000000</f>
        <v>4000000</v>
      </c>
      <c r="P119" s="359">
        <v>0</v>
      </c>
      <c r="Q119" s="210">
        <f t="shared" si="7"/>
        <v>4148750</v>
      </c>
      <c r="R119" s="359">
        <f t="shared" si="8"/>
        <v>978.24129651860744</v>
      </c>
      <c r="S119" s="359">
        <v>5115.04</v>
      </c>
      <c r="T119" s="177" t="s">
        <v>232</v>
      </c>
      <c r="V119" s="22"/>
      <c r="X119" s="20"/>
      <c r="Y119" s="106"/>
      <c r="Z119" s="47"/>
      <c r="AA119" s="163"/>
      <c r="AB119" s="163"/>
      <c r="AC119" s="46"/>
    </row>
    <row r="120" spans="1:29" s="21" customFormat="1" ht="37.5" customHeight="1">
      <c r="A120" s="174">
        <f t="shared" si="9"/>
        <v>14</v>
      </c>
      <c r="B120" s="255" t="s">
        <v>2248</v>
      </c>
      <c r="C120" s="179">
        <v>1984</v>
      </c>
      <c r="D120" s="378"/>
      <c r="E120" s="176" t="s">
        <v>221</v>
      </c>
      <c r="F120" s="218">
        <v>9</v>
      </c>
      <c r="G120" s="218">
        <v>5</v>
      </c>
      <c r="H120" s="262">
        <v>11232</v>
      </c>
      <c r="I120" s="262">
        <v>9990.4</v>
      </c>
      <c r="J120" s="373">
        <v>9331.2999999999993</v>
      </c>
      <c r="K120" s="379">
        <v>425</v>
      </c>
      <c r="L120" s="108" t="s">
        <v>219</v>
      </c>
      <c r="M120" s="374">
        <v>10170000</v>
      </c>
      <c r="N120" s="359">
        <v>0</v>
      </c>
      <c r="O120" s="208">
        <f>'2.виды ремонта'!E109*1000000</f>
        <v>5000000</v>
      </c>
      <c r="P120" s="359">
        <v>0</v>
      </c>
      <c r="Q120" s="210">
        <f t="shared" si="7"/>
        <v>5170000</v>
      </c>
      <c r="R120" s="359">
        <f t="shared" si="8"/>
        <v>1017.9772581678411</v>
      </c>
      <c r="S120" s="359">
        <v>5115.04</v>
      </c>
      <c r="T120" s="177" t="s">
        <v>232</v>
      </c>
      <c r="V120" s="22"/>
      <c r="X120" s="20"/>
      <c r="Y120" s="106"/>
      <c r="Z120" s="47"/>
      <c r="AA120" s="163"/>
      <c r="AB120" s="163"/>
      <c r="AC120" s="46"/>
    </row>
    <row r="121" spans="1:29" ht="37.5" customHeight="1">
      <c r="A121" s="174">
        <f t="shared" si="9"/>
        <v>15</v>
      </c>
      <c r="B121" s="254" t="s">
        <v>3971</v>
      </c>
      <c r="C121" s="104">
        <v>1984</v>
      </c>
      <c r="D121" s="166"/>
      <c r="E121" s="183" t="s">
        <v>221</v>
      </c>
      <c r="F121" s="68">
        <v>9</v>
      </c>
      <c r="G121" s="68">
        <v>4</v>
      </c>
      <c r="H121" s="66">
        <v>13425.6</v>
      </c>
      <c r="I121" s="66">
        <v>8789</v>
      </c>
      <c r="J121" s="66">
        <v>8645</v>
      </c>
      <c r="K121" s="68">
        <v>417</v>
      </c>
      <c r="L121" s="95" t="s">
        <v>219</v>
      </c>
      <c r="M121" s="374">
        <v>8148750</v>
      </c>
      <c r="N121" s="210">
        <v>0</v>
      </c>
      <c r="O121" s="208">
        <f>'2.виды ремонта'!E110*1000000</f>
        <v>4000000</v>
      </c>
      <c r="P121" s="359">
        <v>0</v>
      </c>
      <c r="Q121" s="210">
        <f t="shared" ref="Q121:Q125" si="10">M121-N121-O121-P121</f>
        <v>4148750</v>
      </c>
      <c r="R121" s="359">
        <f t="shared" si="8"/>
        <v>927.15325975651388</v>
      </c>
      <c r="S121" s="74">
        <v>5115.04</v>
      </c>
      <c r="T121" s="182" t="s">
        <v>232</v>
      </c>
      <c r="X121" s="20"/>
      <c r="Y121" s="106"/>
      <c r="AA121" s="163"/>
      <c r="AB121" s="163"/>
    </row>
    <row r="122" spans="1:29" ht="37.5" customHeight="1">
      <c r="A122" s="174">
        <f t="shared" si="9"/>
        <v>16</v>
      </c>
      <c r="B122" s="258" t="s">
        <v>3972</v>
      </c>
      <c r="C122" s="88">
        <v>1971</v>
      </c>
      <c r="D122" s="166"/>
      <c r="E122" s="104" t="s">
        <v>221</v>
      </c>
      <c r="F122" s="76">
        <v>9</v>
      </c>
      <c r="G122" s="427">
        <v>6</v>
      </c>
      <c r="H122" s="66">
        <v>17190.099999999999</v>
      </c>
      <c r="I122" s="66">
        <v>12642.8</v>
      </c>
      <c r="J122" s="67">
        <v>12367.8</v>
      </c>
      <c r="K122" s="69">
        <v>544</v>
      </c>
      <c r="L122" s="95" t="s">
        <v>219</v>
      </c>
      <c r="M122" s="374">
        <v>4106250</v>
      </c>
      <c r="N122" s="359">
        <v>0</v>
      </c>
      <c r="O122" s="208">
        <f>'2.виды ремонта'!E111*1000000</f>
        <v>2000000</v>
      </c>
      <c r="P122" s="359">
        <v>0</v>
      </c>
      <c r="Q122" s="210">
        <f t="shared" si="10"/>
        <v>2106250</v>
      </c>
      <c r="R122" s="359">
        <f t="shared" si="8"/>
        <v>324.7896035688297</v>
      </c>
      <c r="S122" s="74">
        <v>5115.04</v>
      </c>
      <c r="T122" s="182" t="s">
        <v>232</v>
      </c>
      <c r="X122" s="20"/>
      <c r="Y122" s="106"/>
      <c r="AA122" s="163"/>
      <c r="AB122" s="163"/>
    </row>
    <row r="123" spans="1:29" ht="37.5" customHeight="1">
      <c r="A123" s="174">
        <f t="shared" si="9"/>
        <v>17</v>
      </c>
      <c r="B123" s="258" t="s">
        <v>3973</v>
      </c>
      <c r="C123" s="88">
        <v>1981</v>
      </c>
      <c r="D123" s="166"/>
      <c r="E123" s="104" t="s">
        <v>221</v>
      </c>
      <c r="F123" s="76">
        <v>9</v>
      </c>
      <c r="G123" s="427">
        <v>4</v>
      </c>
      <c r="H123" s="66">
        <v>9266.6</v>
      </c>
      <c r="I123" s="368">
        <v>8641</v>
      </c>
      <c r="J123" s="67">
        <v>7060.9</v>
      </c>
      <c r="K123" s="69">
        <v>362</v>
      </c>
      <c r="L123" s="95" t="s">
        <v>219</v>
      </c>
      <c r="M123" s="374">
        <v>6127500</v>
      </c>
      <c r="N123" s="359">
        <v>0</v>
      </c>
      <c r="O123" s="208">
        <f>'2.виды ремонта'!E112*1000000</f>
        <v>3000000</v>
      </c>
      <c r="P123" s="359">
        <v>0</v>
      </c>
      <c r="Q123" s="210">
        <f t="shared" si="10"/>
        <v>3127500</v>
      </c>
      <c r="R123" s="359">
        <f t="shared" si="8"/>
        <v>709.11931489410949</v>
      </c>
      <c r="S123" s="74">
        <v>5115.04</v>
      </c>
      <c r="T123" s="182" t="s">
        <v>232</v>
      </c>
      <c r="X123" s="20"/>
      <c r="Y123" s="106"/>
      <c r="AA123" s="163"/>
      <c r="AB123" s="163"/>
    </row>
    <row r="124" spans="1:29" ht="37.5" customHeight="1">
      <c r="A124" s="174">
        <f t="shared" si="9"/>
        <v>18</v>
      </c>
      <c r="B124" s="258" t="s">
        <v>3974</v>
      </c>
      <c r="C124" s="104">
        <v>1981</v>
      </c>
      <c r="D124" s="166"/>
      <c r="E124" s="104" t="s">
        <v>221</v>
      </c>
      <c r="F124" s="73">
        <v>9</v>
      </c>
      <c r="G124" s="428">
        <v>4</v>
      </c>
      <c r="H124" s="66">
        <v>9010.9</v>
      </c>
      <c r="I124" s="66">
        <v>8467.9</v>
      </c>
      <c r="J124" s="66">
        <v>7491.8</v>
      </c>
      <c r="K124" s="68">
        <v>363</v>
      </c>
      <c r="L124" s="95" t="s">
        <v>219</v>
      </c>
      <c r="M124" s="374">
        <v>4106250</v>
      </c>
      <c r="N124" s="359">
        <v>0</v>
      </c>
      <c r="O124" s="208">
        <f>'2.виды ремонта'!E113*1000000</f>
        <v>2000000</v>
      </c>
      <c r="P124" s="359">
        <v>0</v>
      </c>
      <c r="Q124" s="210">
        <f t="shared" si="10"/>
        <v>2106250</v>
      </c>
      <c r="R124" s="359">
        <f t="shared" si="8"/>
        <v>484.91951959753897</v>
      </c>
      <c r="S124" s="74">
        <v>5115.04</v>
      </c>
      <c r="T124" s="182" t="s">
        <v>232</v>
      </c>
      <c r="X124" s="20"/>
      <c r="Y124" s="106"/>
      <c r="AA124" s="163"/>
      <c r="AB124" s="163"/>
    </row>
    <row r="125" spans="1:29" ht="37.5" customHeight="1">
      <c r="A125" s="174">
        <f t="shared" si="9"/>
        <v>19</v>
      </c>
      <c r="B125" s="258" t="s">
        <v>3188</v>
      </c>
      <c r="C125" s="88">
        <v>1987</v>
      </c>
      <c r="D125" s="166"/>
      <c r="E125" s="166" t="s">
        <v>221</v>
      </c>
      <c r="F125" s="76">
        <v>9</v>
      </c>
      <c r="G125" s="429">
        <v>7</v>
      </c>
      <c r="H125" s="67">
        <v>17051</v>
      </c>
      <c r="I125" s="67">
        <v>14694.3</v>
      </c>
      <c r="J125" s="67">
        <v>12206.3</v>
      </c>
      <c r="K125" s="69">
        <v>599</v>
      </c>
      <c r="L125" s="95" t="s">
        <v>219</v>
      </c>
      <c r="M125" s="374">
        <v>10170000</v>
      </c>
      <c r="N125" s="359">
        <v>0</v>
      </c>
      <c r="O125" s="208">
        <f>'2.виды ремонта'!E114*1000000</f>
        <v>5000000</v>
      </c>
      <c r="P125" s="359">
        <v>0</v>
      </c>
      <c r="Q125" s="210">
        <f t="shared" si="10"/>
        <v>5170000</v>
      </c>
      <c r="R125" s="359">
        <f t="shared" si="8"/>
        <v>692.1051019783182</v>
      </c>
      <c r="S125" s="74">
        <v>5115.04</v>
      </c>
      <c r="T125" s="182" t="s">
        <v>232</v>
      </c>
      <c r="X125" s="20"/>
      <c r="Y125" s="106"/>
      <c r="AA125" s="163"/>
      <c r="AB125" s="163"/>
    </row>
    <row r="126" spans="1:29" s="154" customFormat="1" ht="27" customHeight="1">
      <c r="A126" s="151"/>
      <c r="B126" s="155" t="s">
        <v>4073</v>
      </c>
      <c r="C126" s="201" t="s">
        <v>28</v>
      </c>
      <c r="D126" s="201" t="s">
        <v>28</v>
      </c>
      <c r="E126" s="250" t="s">
        <v>28</v>
      </c>
      <c r="F126" s="156" t="s">
        <v>28</v>
      </c>
      <c r="G126" s="156" t="s">
        <v>28</v>
      </c>
      <c r="H126" s="161">
        <f>SUM(H107:H125)</f>
        <v>188773.2</v>
      </c>
      <c r="I126" s="161">
        <f>SUM(I107:I125)</f>
        <v>159166.12999999998</v>
      </c>
      <c r="J126" s="161">
        <f>SUM(J107:J125)</f>
        <v>146244.79999999999</v>
      </c>
      <c r="K126" s="159">
        <f>SUM(K107:K125)</f>
        <v>7631</v>
      </c>
      <c r="L126" s="151" t="s">
        <v>28</v>
      </c>
      <c r="M126" s="196">
        <v>131956577</v>
      </c>
      <c r="N126" s="196">
        <f>SUM(N107:N125)</f>
        <v>0</v>
      </c>
      <c r="O126" s="196">
        <f>SUM(O107:O125)</f>
        <v>61000000</v>
      </c>
      <c r="P126" s="196">
        <f>SUM(P107:P125)</f>
        <v>0</v>
      </c>
      <c r="Q126" s="196">
        <f>SUM(Q107:Q125)</f>
        <v>70956577</v>
      </c>
      <c r="R126" s="196">
        <f t="shared" si="8"/>
        <v>829.04935239676945</v>
      </c>
      <c r="S126" s="196">
        <v>5115.04</v>
      </c>
      <c r="T126" s="156" t="s">
        <v>232</v>
      </c>
      <c r="V126" s="229"/>
      <c r="X126" s="20"/>
      <c r="Z126" s="246"/>
      <c r="AA126" s="163"/>
      <c r="AB126" s="163"/>
      <c r="AC126" s="247"/>
    </row>
    <row r="127" spans="1:29" s="21" customFormat="1" ht="37.5" customHeight="1">
      <c r="A127" s="369">
        <v>20</v>
      </c>
      <c r="B127" s="370" t="s">
        <v>2155</v>
      </c>
      <c r="C127" s="363">
        <v>1961</v>
      </c>
      <c r="D127" s="380"/>
      <c r="E127" s="375" t="s">
        <v>221</v>
      </c>
      <c r="F127" s="364">
        <v>5</v>
      </c>
      <c r="G127" s="364">
        <v>4</v>
      </c>
      <c r="H127" s="365">
        <v>2557</v>
      </c>
      <c r="I127" s="365">
        <v>1720</v>
      </c>
      <c r="J127" s="365">
        <v>1720</v>
      </c>
      <c r="K127" s="381">
        <v>150</v>
      </c>
      <c r="L127" s="382" t="s">
        <v>224</v>
      </c>
      <c r="M127" s="376">
        <v>1462298.36</v>
      </c>
      <c r="N127" s="366">
        <v>0</v>
      </c>
      <c r="O127" s="366">
        <v>0</v>
      </c>
      <c r="P127" s="366">
        <v>0</v>
      </c>
      <c r="Q127" s="366">
        <f t="shared" ref="Q127:Q182" si="11">M127</f>
        <v>1462298.36</v>
      </c>
      <c r="R127" s="366">
        <f t="shared" ref="R127:R182" si="12">M127/I127</f>
        <v>850.17346511627909</v>
      </c>
      <c r="S127" s="366">
        <v>5115.04</v>
      </c>
      <c r="T127" s="367" t="s">
        <v>232</v>
      </c>
      <c r="V127" s="22"/>
      <c r="X127" s="20"/>
      <c r="Y127" s="106"/>
      <c r="Z127" s="47"/>
      <c r="AA127" s="163"/>
      <c r="AB127" s="163"/>
      <c r="AC127" s="46"/>
    </row>
    <row r="128" spans="1:29" s="21" customFormat="1" ht="37.5" customHeight="1">
      <c r="A128" s="174">
        <f t="shared" ref="A128:A184" si="13">A127+1</f>
        <v>21</v>
      </c>
      <c r="B128" s="308" t="s">
        <v>1237</v>
      </c>
      <c r="C128" s="179">
        <v>1969</v>
      </c>
      <c r="D128" s="179"/>
      <c r="E128" s="179" t="s">
        <v>221</v>
      </c>
      <c r="F128" s="175">
        <v>5</v>
      </c>
      <c r="G128" s="175">
        <v>2</v>
      </c>
      <c r="H128" s="262">
        <v>1892</v>
      </c>
      <c r="I128" s="262">
        <v>1782</v>
      </c>
      <c r="J128" s="262">
        <v>1356</v>
      </c>
      <c r="K128" s="218">
        <v>61</v>
      </c>
      <c r="L128" s="174" t="s">
        <v>226</v>
      </c>
      <c r="M128" s="374">
        <v>3266526</v>
      </c>
      <c r="N128" s="358">
        <v>0</v>
      </c>
      <c r="O128" s="358">
        <v>0</v>
      </c>
      <c r="P128" s="358">
        <v>0</v>
      </c>
      <c r="Q128" s="359">
        <f t="shared" si="11"/>
        <v>3266526</v>
      </c>
      <c r="R128" s="359">
        <f t="shared" si="12"/>
        <v>1833.06734006734</v>
      </c>
      <c r="S128" s="359">
        <v>5115.04</v>
      </c>
      <c r="T128" s="177" t="s">
        <v>232</v>
      </c>
      <c r="X128" s="20"/>
      <c r="Y128" s="106"/>
      <c r="Z128" s="47"/>
      <c r="AA128" s="163"/>
      <c r="AB128" s="163"/>
      <c r="AC128" s="46"/>
    </row>
    <row r="129" spans="1:29" s="21" customFormat="1" ht="37.5" customHeight="1">
      <c r="A129" s="174">
        <f t="shared" si="13"/>
        <v>22</v>
      </c>
      <c r="B129" s="361" t="s">
        <v>2156</v>
      </c>
      <c r="C129" s="179">
        <v>1995</v>
      </c>
      <c r="D129" s="179"/>
      <c r="E129" s="167" t="s">
        <v>221</v>
      </c>
      <c r="F129" s="175">
        <v>5</v>
      </c>
      <c r="G129" s="175">
        <v>2</v>
      </c>
      <c r="H129" s="262">
        <v>1393</v>
      </c>
      <c r="I129" s="262">
        <v>1114.4000000000001</v>
      </c>
      <c r="J129" s="262">
        <v>1114.4000000000001</v>
      </c>
      <c r="K129" s="218">
        <v>75</v>
      </c>
      <c r="L129" s="360" t="s">
        <v>33</v>
      </c>
      <c r="M129" s="374">
        <v>2041154</v>
      </c>
      <c r="N129" s="358">
        <v>0</v>
      </c>
      <c r="O129" s="358">
        <v>0</v>
      </c>
      <c r="P129" s="358">
        <v>0</v>
      </c>
      <c r="Q129" s="359">
        <f t="shared" si="11"/>
        <v>2041154</v>
      </c>
      <c r="R129" s="359">
        <f t="shared" si="12"/>
        <v>1831.6170136396265</v>
      </c>
      <c r="S129" s="359">
        <v>5115.04</v>
      </c>
      <c r="T129" s="177" t="s">
        <v>232</v>
      </c>
      <c r="V129" s="22"/>
      <c r="X129" s="20"/>
      <c r="Y129" s="106"/>
      <c r="Z129" s="47"/>
      <c r="AA129" s="163"/>
      <c r="AB129" s="163"/>
      <c r="AC129" s="46"/>
    </row>
    <row r="130" spans="1:29" s="21" customFormat="1" ht="37.5" customHeight="1">
      <c r="A130" s="174">
        <f t="shared" si="13"/>
        <v>23</v>
      </c>
      <c r="B130" s="255" t="s">
        <v>2157</v>
      </c>
      <c r="C130" s="179">
        <v>1967</v>
      </c>
      <c r="D130" s="378"/>
      <c r="E130" s="176" t="s">
        <v>221</v>
      </c>
      <c r="F130" s="218">
        <v>5</v>
      </c>
      <c r="G130" s="218">
        <v>8</v>
      </c>
      <c r="H130" s="262">
        <v>5069</v>
      </c>
      <c r="I130" s="262">
        <v>4188</v>
      </c>
      <c r="J130" s="373">
        <v>4188</v>
      </c>
      <c r="K130" s="379">
        <v>303</v>
      </c>
      <c r="L130" s="108" t="s">
        <v>33</v>
      </c>
      <c r="M130" s="374">
        <v>4268972</v>
      </c>
      <c r="N130" s="359">
        <v>0</v>
      </c>
      <c r="O130" s="359">
        <v>0</v>
      </c>
      <c r="P130" s="359">
        <v>0</v>
      </c>
      <c r="Q130" s="359">
        <f t="shared" si="11"/>
        <v>4268972</v>
      </c>
      <c r="R130" s="359">
        <f t="shared" si="12"/>
        <v>1019.334288443171</v>
      </c>
      <c r="S130" s="359">
        <v>5115.04</v>
      </c>
      <c r="T130" s="177" t="s">
        <v>232</v>
      </c>
      <c r="V130" s="22"/>
      <c r="X130" s="20"/>
      <c r="Y130" s="106"/>
      <c r="Z130" s="47"/>
      <c r="AA130" s="163"/>
      <c r="AB130" s="163"/>
      <c r="AC130" s="46"/>
    </row>
    <row r="131" spans="1:29" s="21" customFormat="1" ht="37.5" customHeight="1">
      <c r="A131" s="174">
        <f t="shared" si="13"/>
        <v>24</v>
      </c>
      <c r="B131" s="255" t="s">
        <v>2158</v>
      </c>
      <c r="C131" s="179">
        <v>1992</v>
      </c>
      <c r="D131" s="378"/>
      <c r="E131" s="176" t="s">
        <v>221</v>
      </c>
      <c r="F131" s="218">
        <v>5</v>
      </c>
      <c r="G131" s="218">
        <v>6</v>
      </c>
      <c r="H131" s="262">
        <v>4832</v>
      </c>
      <c r="I131" s="262">
        <v>4341</v>
      </c>
      <c r="J131" s="373">
        <v>4341</v>
      </c>
      <c r="K131" s="379">
        <v>202</v>
      </c>
      <c r="L131" s="108" t="s">
        <v>33</v>
      </c>
      <c r="M131" s="374">
        <v>3382705</v>
      </c>
      <c r="N131" s="359">
        <v>0</v>
      </c>
      <c r="O131" s="359">
        <v>0</v>
      </c>
      <c r="P131" s="359">
        <v>0</v>
      </c>
      <c r="Q131" s="359">
        <f t="shared" si="11"/>
        <v>3382705</v>
      </c>
      <c r="R131" s="359">
        <f t="shared" si="12"/>
        <v>779.24556553789455</v>
      </c>
      <c r="S131" s="359">
        <v>5115.04</v>
      </c>
      <c r="T131" s="177" t="s">
        <v>232</v>
      </c>
      <c r="V131" s="22"/>
      <c r="X131" s="20"/>
      <c r="Y131" s="106"/>
      <c r="Z131" s="47"/>
      <c r="AA131" s="163"/>
      <c r="AB131" s="163"/>
      <c r="AC131" s="46"/>
    </row>
    <row r="132" spans="1:29" s="21" customFormat="1" ht="37.5" customHeight="1">
      <c r="A132" s="174">
        <f t="shared" si="13"/>
        <v>25</v>
      </c>
      <c r="B132" s="255" t="s">
        <v>2159</v>
      </c>
      <c r="C132" s="179">
        <v>1969</v>
      </c>
      <c r="D132" s="378"/>
      <c r="E132" s="176" t="s">
        <v>221</v>
      </c>
      <c r="F132" s="218">
        <v>5</v>
      </c>
      <c r="G132" s="218">
        <v>4</v>
      </c>
      <c r="H132" s="262">
        <v>3426</v>
      </c>
      <c r="I132" s="262">
        <v>3143</v>
      </c>
      <c r="J132" s="373">
        <v>3016</v>
      </c>
      <c r="K132" s="379">
        <v>160</v>
      </c>
      <c r="L132" s="108" t="s">
        <v>33</v>
      </c>
      <c r="M132" s="374">
        <v>2374164</v>
      </c>
      <c r="N132" s="359">
        <v>0</v>
      </c>
      <c r="O132" s="359">
        <v>0</v>
      </c>
      <c r="P132" s="359">
        <v>0</v>
      </c>
      <c r="Q132" s="359">
        <f t="shared" si="11"/>
        <v>2374164</v>
      </c>
      <c r="R132" s="359">
        <f t="shared" si="12"/>
        <v>755.38148265987911</v>
      </c>
      <c r="S132" s="359">
        <v>5115.04</v>
      </c>
      <c r="T132" s="177" t="s">
        <v>232</v>
      </c>
      <c r="V132" s="22"/>
      <c r="X132" s="20"/>
      <c r="Y132" s="106"/>
      <c r="Z132" s="47"/>
      <c r="AA132" s="163"/>
      <c r="AB132" s="163"/>
      <c r="AC132" s="46"/>
    </row>
    <row r="133" spans="1:29" s="21" customFormat="1" ht="37.5" customHeight="1">
      <c r="A133" s="174">
        <f t="shared" si="13"/>
        <v>26</v>
      </c>
      <c r="B133" s="255" t="s">
        <v>2161</v>
      </c>
      <c r="C133" s="179">
        <v>1993</v>
      </c>
      <c r="D133" s="378"/>
      <c r="E133" s="176" t="s">
        <v>221</v>
      </c>
      <c r="F133" s="218">
        <v>5</v>
      </c>
      <c r="G133" s="218">
        <v>4</v>
      </c>
      <c r="H133" s="262">
        <v>3010</v>
      </c>
      <c r="I133" s="262">
        <v>2698</v>
      </c>
      <c r="J133" s="373">
        <v>2636</v>
      </c>
      <c r="K133" s="379">
        <v>131</v>
      </c>
      <c r="L133" s="108" t="s">
        <v>33</v>
      </c>
      <c r="M133" s="374">
        <v>2202323</v>
      </c>
      <c r="N133" s="359">
        <v>0</v>
      </c>
      <c r="O133" s="359">
        <v>0</v>
      </c>
      <c r="P133" s="359">
        <v>0</v>
      </c>
      <c r="Q133" s="359">
        <f t="shared" si="11"/>
        <v>2202323</v>
      </c>
      <c r="R133" s="359">
        <f t="shared" si="12"/>
        <v>816.27983691623422</v>
      </c>
      <c r="S133" s="359">
        <v>5115.04</v>
      </c>
      <c r="T133" s="177" t="s">
        <v>232</v>
      </c>
      <c r="V133" s="22"/>
      <c r="X133" s="20"/>
      <c r="Y133" s="106"/>
      <c r="Z133" s="47"/>
      <c r="AA133" s="163"/>
      <c r="AB133" s="163"/>
      <c r="AC133" s="46"/>
    </row>
    <row r="134" spans="1:29" s="21" customFormat="1" ht="37.5" customHeight="1">
      <c r="A134" s="174">
        <f t="shared" si="13"/>
        <v>27</v>
      </c>
      <c r="B134" s="255" t="s">
        <v>2162</v>
      </c>
      <c r="C134" s="179">
        <v>1999</v>
      </c>
      <c r="D134" s="378"/>
      <c r="E134" s="179" t="s">
        <v>217</v>
      </c>
      <c r="F134" s="218">
        <v>9</v>
      </c>
      <c r="G134" s="218">
        <v>2</v>
      </c>
      <c r="H134" s="262">
        <v>4868</v>
      </c>
      <c r="I134" s="262">
        <v>4180</v>
      </c>
      <c r="J134" s="373">
        <v>3816</v>
      </c>
      <c r="K134" s="379">
        <v>238</v>
      </c>
      <c r="L134" s="108" t="s">
        <v>33</v>
      </c>
      <c r="M134" s="374">
        <v>1576832</v>
      </c>
      <c r="N134" s="359">
        <v>0</v>
      </c>
      <c r="O134" s="359">
        <v>0</v>
      </c>
      <c r="P134" s="359">
        <v>0</v>
      </c>
      <c r="Q134" s="359">
        <f t="shared" si="11"/>
        <v>1576832</v>
      </c>
      <c r="R134" s="359">
        <f t="shared" si="12"/>
        <v>377.23253588516747</v>
      </c>
      <c r="S134" s="359">
        <v>5115.04</v>
      </c>
      <c r="T134" s="177" t="s">
        <v>232</v>
      </c>
      <c r="V134" s="22"/>
      <c r="X134" s="20"/>
      <c r="Y134" s="106"/>
      <c r="Z134" s="47"/>
      <c r="AA134" s="163"/>
      <c r="AB134" s="163"/>
      <c r="AC134" s="46"/>
    </row>
    <row r="135" spans="1:29" s="21" customFormat="1" ht="37.5" customHeight="1">
      <c r="A135" s="174">
        <f t="shared" si="13"/>
        <v>28</v>
      </c>
      <c r="B135" s="255" t="s">
        <v>2163</v>
      </c>
      <c r="C135" s="179">
        <v>2006</v>
      </c>
      <c r="D135" s="378"/>
      <c r="E135" s="176" t="s">
        <v>221</v>
      </c>
      <c r="F135" s="218">
        <v>9</v>
      </c>
      <c r="G135" s="218">
        <v>3</v>
      </c>
      <c r="H135" s="262">
        <v>7147</v>
      </c>
      <c r="I135" s="262">
        <v>6550</v>
      </c>
      <c r="J135" s="373">
        <v>5398</v>
      </c>
      <c r="K135" s="379">
        <v>198</v>
      </c>
      <c r="L135" s="108" t="s">
        <v>226</v>
      </c>
      <c r="M135" s="374">
        <v>2488500.65</v>
      </c>
      <c r="N135" s="359">
        <v>0</v>
      </c>
      <c r="O135" s="359">
        <v>0</v>
      </c>
      <c r="P135" s="359">
        <v>0</v>
      </c>
      <c r="Q135" s="359">
        <f t="shared" si="11"/>
        <v>2488500.65</v>
      </c>
      <c r="R135" s="359">
        <f t="shared" si="12"/>
        <v>379.92376335877861</v>
      </c>
      <c r="S135" s="359">
        <v>5115.04</v>
      </c>
      <c r="T135" s="177" t="s">
        <v>232</v>
      </c>
      <c r="V135" s="22"/>
      <c r="X135" s="20"/>
      <c r="Y135" s="106"/>
      <c r="Z135" s="47"/>
      <c r="AA135" s="163"/>
      <c r="AB135" s="163"/>
      <c r="AC135" s="46"/>
    </row>
    <row r="136" spans="1:29" s="21" customFormat="1" ht="37.5" customHeight="1">
      <c r="A136" s="174">
        <f t="shared" si="13"/>
        <v>29</v>
      </c>
      <c r="B136" s="255" t="s">
        <v>2165</v>
      </c>
      <c r="C136" s="179">
        <v>1976</v>
      </c>
      <c r="D136" s="378"/>
      <c r="E136" s="176" t="s">
        <v>221</v>
      </c>
      <c r="F136" s="218">
        <v>5</v>
      </c>
      <c r="G136" s="218">
        <v>4</v>
      </c>
      <c r="H136" s="262">
        <v>5033</v>
      </c>
      <c r="I136" s="262">
        <v>2318.1999999999998</v>
      </c>
      <c r="J136" s="373">
        <v>2153.6</v>
      </c>
      <c r="K136" s="379">
        <v>180</v>
      </c>
      <c r="L136" s="108" t="s">
        <v>33</v>
      </c>
      <c r="M136" s="374">
        <v>2283728</v>
      </c>
      <c r="N136" s="359">
        <v>0</v>
      </c>
      <c r="O136" s="359">
        <v>0</v>
      </c>
      <c r="P136" s="359">
        <v>0</v>
      </c>
      <c r="Q136" s="359">
        <f t="shared" si="11"/>
        <v>2283728</v>
      </c>
      <c r="R136" s="359">
        <f t="shared" si="12"/>
        <v>985.12984211888545</v>
      </c>
      <c r="S136" s="359">
        <v>5115.04</v>
      </c>
      <c r="T136" s="177" t="s">
        <v>232</v>
      </c>
      <c r="V136" s="22"/>
      <c r="X136" s="20"/>
      <c r="Y136" s="106"/>
      <c r="Z136" s="47"/>
      <c r="AA136" s="163"/>
      <c r="AB136" s="163"/>
      <c r="AC136" s="46"/>
    </row>
    <row r="137" spans="1:29" s="21" customFormat="1" ht="37.5" customHeight="1">
      <c r="A137" s="174">
        <f t="shared" si="13"/>
        <v>30</v>
      </c>
      <c r="B137" s="255" t="s">
        <v>2166</v>
      </c>
      <c r="C137" s="179">
        <v>1991</v>
      </c>
      <c r="D137" s="378"/>
      <c r="E137" s="179" t="s">
        <v>217</v>
      </c>
      <c r="F137" s="218">
        <v>9</v>
      </c>
      <c r="G137" s="218">
        <v>3</v>
      </c>
      <c r="H137" s="262">
        <v>7045</v>
      </c>
      <c r="I137" s="262">
        <v>6047.3</v>
      </c>
      <c r="J137" s="373">
        <v>5715.8</v>
      </c>
      <c r="K137" s="379">
        <v>282</v>
      </c>
      <c r="L137" s="108" t="s">
        <v>33</v>
      </c>
      <c r="M137" s="374">
        <v>2352587</v>
      </c>
      <c r="N137" s="359">
        <v>0</v>
      </c>
      <c r="O137" s="359">
        <v>0</v>
      </c>
      <c r="P137" s="359">
        <v>0</v>
      </c>
      <c r="Q137" s="359">
        <f t="shared" si="11"/>
        <v>2352587</v>
      </c>
      <c r="R137" s="359">
        <f t="shared" si="12"/>
        <v>389.03097250012399</v>
      </c>
      <c r="S137" s="359">
        <v>5115.04</v>
      </c>
      <c r="T137" s="177" t="s">
        <v>232</v>
      </c>
      <c r="V137" s="22"/>
      <c r="X137" s="20"/>
      <c r="Y137" s="106"/>
      <c r="Z137" s="47"/>
      <c r="AA137" s="163"/>
      <c r="AB137" s="163"/>
      <c r="AC137" s="46"/>
    </row>
    <row r="138" spans="1:29" s="21" customFormat="1" ht="37.5" customHeight="1">
      <c r="A138" s="174">
        <f t="shared" si="13"/>
        <v>31</v>
      </c>
      <c r="B138" s="255" t="s">
        <v>2167</v>
      </c>
      <c r="C138" s="179">
        <v>1992</v>
      </c>
      <c r="D138" s="378"/>
      <c r="E138" s="179" t="s">
        <v>217</v>
      </c>
      <c r="F138" s="218">
        <v>9</v>
      </c>
      <c r="G138" s="218">
        <v>3</v>
      </c>
      <c r="H138" s="262">
        <v>7152</v>
      </c>
      <c r="I138" s="262">
        <v>6304</v>
      </c>
      <c r="J138" s="373">
        <v>5951</v>
      </c>
      <c r="K138" s="379">
        <v>338</v>
      </c>
      <c r="L138" s="108" t="s">
        <v>33</v>
      </c>
      <c r="M138" s="374">
        <v>2436652</v>
      </c>
      <c r="N138" s="359">
        <v>0</v>
      </c>
      <c r="O138" s="359">
        <v>0</v>
      </c>
      <c r="P138" s="359">
        <v>0</v>
      </c>
      <c r="Q138" s="359">
        <f t="shared" si="11"/>
        <v>2436652</v>
      </c>
      <c r="R138" s="359">
        <f t="shared" si="12"/>
        <v>386.52474619289342</v>
      </c>
      <c r="S138" s="359">
        <v>5115.04</v>
      </c>
      <c r="T138" s="177" t="s">
        <v>232</v>
      </c>
      <c r="V138" s="22"/>
      <c r="X138" s="20"/>
      <c r="Y138" s="106"/>
      <c r="Z138" s="47"/>
      <c r="AA138" s="163"/>
      <c r="AB138" s="163"/>
      <c r="AC138" s="46"/>
    </row>
    <row r="139" spans="1:29" s="21" customFormat="1" ht="37.5" customHeight="1">
      <c r="A139" s="174">
        <f t="shared" si="13"/>
        <v>32</v>
      </c>
      <c r="B139" s="255" t="s">
        <v>2168</v>
      </c>
      <c r="C139" s="179">
        <v>1970</v>
      </c>
      <c r="D139" s="378"/>
      <c r="E139" s="176" t="s">
        <v>221</v>
      </c>
      <c r="F139" s="218">
        <v>5</v>
      </c>
      <c r="G139" s="218">
        <v>4</v>
      </c>
      <c r="H139" s="262">
        <v>3087</v>
      </c>
      <c r="I139" s="262">
        <v>2817</v>
      </c>
      <c r="J139" s="373">
        <v>2817</v>
      </c>
      <c r="K139" s="379">
        <v>131</v>
      </c>
      <c r="L139" s="108" t="s">
        <v>33</v>
      </c>
      <c r="M139" s="374">
        <v>2069653</v>
      </c>
      <c r="N139" s="359">
        <v>0</v>
      </c>
      <c r="O139" s="359">
        <v>0</v>
      </c>
      <c r="P139" s="359">
        <v>0</v>
      </c>
      <c r="Q139" s="359">
        <f t="shared" si="11"/>
        <v>2069653</v>
      </c>
      <c r="R139" s="359">
        <f t="shared" si="12"/>
        <v>734.70110046148386</v>
      </c>
      <c r="S139" s="359">
        <v>5115.04</v>
      </c>
      <c r="T139" s="177" t="s">
        <v>232</v>
      </c>
      <c r="V139" s="22"/>
      <c r="X139" s="20"/>
      <c r="Y139" s="106"/>
      <c r="Z139" s="47"/>
      <c r="AA139" s="163"/>
      <c r="AB139" s="163"/>
      <c r="AC139" s="46"/>
    </row>
    <row r="140" spans="1:29" s="21" customFormat="1" ht="37.5" customHeight="1">
      <c r="A140" s="174">
        <f t="shared" si="13"/>
        <v>33</v>
      </c>
      <c r="B140" s="255" t="s">
        <v>2169</v>
      </c>
      <c r="C140" s="179">
        <v>1975</v>
      </c>
      <c r="D140" s="378"/>
      <c r="E140" s="176" t="s">
        <v>221</v>
      </c>
      <c r="F140" s="218">
        <v>5</v>
      </c>
      <c r="G140" s="218">
        <v>4</v>
      </c>
      <c r="H140" s="262">
        <v>3617</v>
      </c>
      <c r="I140" s="262">
        <v>3357</v>
      </c>
      <c r="J140" s="373">
        <v>3185.1</v>
      </c>
      <c r="K140" s="379">
        <v>178</v>
      </c>
      <c r="L140" s="108" t="s">
        <v>33</v>
      </c>
      <c r="M140" s="374">
        <v>2271342</v>
      </c>
      <c r="N140" s="359">
        <v>0</v>
      </c>
      <c r="O140" s="359">
        <v>0</v>
      </c>
      <c r="P140" s="359">
        <v>0</v>
      </c>
      <c r="Q140" s="359">
        <f t="shared" si="11"/>
        <v>2271342</v>
      </c>
      <c r="R140" s="359">
        <f t="shared" si="12"/>
        <v>676.5987488829312</v>
      </c>
      <c r="S140" s="359">
        <v>5115.04</v>
      </c>
      <c r="T140" s="177" t="s">
        <v>232</v>
      </c>
      <c r="V140" s="22"/>
      <c r="X140" s="20"/>
      <c r="Y140" s="106"/>
      <c r="Z140" s="47"/>
      <c r="AA140" s="163"/>
      <c r="AB140" s="163"/>
      <c r="AC140" s="46"/>
    </row>
    <row r="141" spans="1:29" s="21" customFormat="1" ht="37.5" customHeight="1">
      <c r="A141" s="174">
        <f t="shared" si="13"/>
        <v>34</v>
      </c>
      <c r="B141" s="255" t="s">
        <v>2170</v>
      </c>
      <c r="C141" s="179">
        <v>1985</v>
      </c>
      <c r="D141" s="378"/>
      <c r="E141" s="176" t="s">
        <v>221</v>
      </c>
      <c r="F141" s="218">
        <v>5</v>
      </c>
      <c r="G141" s="218">
        <v>5</v>
      </c>
      <c r="H141" s="262">
        <v>3774</v>
      </c>
      <c r="I141" s="262">
        <v>3489.3</v>
      </c>
      <c r="J141" s="373">
        <v>3489.3</v>
      </c>
      <c r="K141" s="379">
        <v>194</v>
      </c>
      <c r="L141" s="108" t="s">
        <v>33</v>
      </c>
      <c r="M141" s="374">
        <v>2681667</v>
      </c>
      <c r="N141" s="359">
        <v>0</v>
      </c>
      <c r="O141" s="359">
        <v>0</v>
      </c>
      <c r="P141" s="359">
        <v>0</v>
      </c>
      <c r="Q141" s="359">
        <f t="shared" si="11"/>
        <v>2681667</v>
      </c>
      <c r="R141" s="359">
        <f t="shared" si="12"/>
        <v>768.54010833118389</v>
      </c>
      <c r="S141" s="359">
        <v>5115.04</v>
      </c>
      <c r="T141" s="177" t="s">
        <v>232</v>
      </c>
      <c r="V141" s="22"/>
      <c r="X141" s="20"/>
      <c r="Y141" s="106"/>
      <c r="Z141" s="47"/>
      <c r="AA141" s="163"/>
      <c r="AB141" s="163"/>
      <c r="AC141" s="46"/>
    </row>
    <row r="142" spans="1:29" s="21" customFormat="1" ht="37.5" customHeight="1">
      <c r="A142" s="174">
        <f t="shared" si="13"/>
        <v>35</v>
      </c>
      <c r="B142" s="255" t="s">
        <v>2171</v>
      </c>
      <c r="C142" s="179">
        <v>1986</v>
      </c>
      <c r="D142" s="378"/>
      <c r="E142" s="176" t="s">
        <v>221</v>
      </c>
      <c r="F142" s="218">
        <v>9</v>
      </c>
      <c r="G142" s="218">
        <v>1</v>
      </c>
      <c r="H142" s="262">
        <v>3605</v>
      </c>
      <c r="I142" s="262">
        <v>3272.9</v>
      </c>
      <c r="J142" s="373">
        <v>3171.8</v>
      </c>
      <c r="K142" s="379">
        <v>139</v>
      </c>
      <c r="L142" s="108" t="s">
        <v>33</v>
      </c>
      <c r="M142" s="374">
        <v>1243334</v>
      </c>
      <c r="N142" s="359">
        <v>0</v>
      </c>
      <c r="O142" s="359">
        <v>0</v>
      </c>
      <c r="P142" s="359">
        <v>0</v>
      </c>
      <c r="Q142" s="359">
        <f t="shared" si="11"/>
        <v>1243334</v>
      </c>
      <c r="R142" s="359">
        <f t="shared" si="12"/>
        <v>379.88756148981025</v>
      </c>
      <c r="S142" s="359">
        <v>5115.04</v>
      </c>
      <c r="T142" s="177" t="s">
        <v>232</v>
      </c>
      <c r="V142" s="22"/>
      <c r="X142" s="20"/>
      <c r="Y142" s="106"/>
      <c r="Z142" s="47"/>
      <c r="AA142" s="163"/>
      <c r="AB142" s="163"/>
      <c r="AC142" s="46"/>
    </row>
    <row r="143" spans="1:29" s="21" customFormat="1" ht="37.5" customHeight="1">
      <c r="A143" s="174">
        <f t="shared" si="13"/>
        <v>36</v>
      </c>
      <c r="B143" s="255" t="s">
        <v>2174</v>
      </c>
      <c r="C143" s="179">
        <v>1978</v>
      </c>
      <c r="D143" s="378"/>
      <c r="E143" s="176" t="s">
        <v>221</v>
      </c>
      <c r="F143" s="218">
        <v>5</v>
      </c>
      <c r="G143" s="218">
        <v>4</v>
      </c>
      <c r="H143" s="262">
        <v>3912</v>
      </c>
      <c r="I143" s="262">
        <v>3498.2</v>
      </c>
      <c r="J143" s="373">
        <v>2967.1</v>
      </c>
      <c r="K143" s="379">
        <v>174</v>
      </c>
      <c r="L143" s="108" t="s">
        <v>33</v>
      </c>
      <c r="M143" s="374">
        <v>2433069</v>
      </c>
      <c r="N143" s="359">
        <v>0</v>
      </c>
      <c r="O143" s="359">
        <v>0</v>
      </c>
      <c r="P143" s="359">
        <v>0</v>
      </c>
      <c r="Q143" s="359">
        <f t="shared" si="11"/>
        <v>2433069</v>
      </c>
      <c r="R143" s="359">
        <f t="shared" si="12"/>
        <v>695.52026756617693</v>
      </c>
      <c r="S143" s="359">
        <v>5115.04</v>
      </c>
      <c r="T143" s="177" t="s">
        <v>232</v>
      </c>
      <c r="V143" s="22"/>
      <c r="X143" s="20"/>
      <c r="Y143" s="106"/>
      <c r="Z143" s="47"/>
      <c r="AA143" s="163"/>
      <c r="AB143" s="163"/>
      <c r="AC143" s="46"/>
    </row>
    <row r="144" spans="1:29" s="21" customFormat="1" ht="37.5" customHeight="1">
      <c r="A144" s="174">
        <f t="shared" si="13"/>
        <v>37</v>
      </c>
      <c r="B144" s="255" t="s">
        <v>2175</v>
      </c>
      <c r="C144" s="179">
        <v>1977</v>
      </c>
      <c r="D144" s="378"/>
      <c r="E144" s="176" t="s">
        <v>221</v>
      </c>
      <c r="F144" s="218">
        <v>5</v>
      </c>
      <c r="G144" s="218">
        <v>4</v>
      </c>
      <c r="H144" s="262">
        <v>3880</v>
      </c>
      <c r="I144" s="262">
        <v>3563.9</v>
      </c>
      <c r="J144" s="373">
        <v>3050.2</v>
      </c>
      <c r="K144" s="379">
        <v>183</v>
      </c>
      <c r="L144" s="108" t="s">
        <v>33</v>
      </c>
      <c r="M144" s="374">
        <v>2351026</v>
      </c>
      <c r="N144" s="359">
        <v>0</v>
      </c>
      <c r="O144" s="359">
        <v>0</v>
      </c>
      <c r="P144" s="359">
        <v>0</v>
      </c>
      <c r="Q144" s="359">
        <f t="shared" si="11"/>
        <v>2351026</v>
      </c>
      <c r="R144" s="359">
        <f t="shared" si="12"/>
        <v>659.67788097309131</v>
      </c>
      <c r="S144" s="359">
        <v>5115.04</v>
      </c>
      <c r="T144" s="177" t="s">
        <v>232</v>
      </c>
      <c r="V144" s="22"/>
      <c r="X144" s="20"/>
      <c r="Y144" s="106"/>
      <c r="Z144" s="47"/>
      <c r="AA144" s="163"/>
      <c r="AB144" s="163"/>
      <c r="AC144" s="46"/>
    </row>
    <row r="145" spans="1:29" s="21" customFormat="1" ht="37.5" customHeight="1">
      <c r="A145" s="174">
        <f t="shared" si="13"/>
        <v>38</v>
      </c>
      <c r="B145" s="255" t="s">
        <v>2176</v>
      </c>
      <c r="C145" s="179">
        <v>1977</v>
      </c>
      <c r="D145" s="378"/>
      <c r="E145" s="176" t="s">
        <v>221</v>
      </c>
      <c r="F145" s="218">
        <v>5</v>
      </c>
      <c r="G145" s="218">
        <v>4</v>
      </c>
      <c r="H145" s="262">
        <v>3828</v>
      </c>
      <c r="I145" s="262">
        <v>3512.9</v>
      </c>
      <c r="J145" s="373">
        <v>3170.3</v>
      </c>
      <c r="K145" s="379">
        <v>164</v>
      </c>
      <c r="L145" s="108" t="s">
        <v>33</v>
      </c>
      <c r="M145" s="374">
        <v>2373071</v>
      </c>
      <c r="N145" s="359">
        <v>0</v>
      </c>
      <c r="O145" s="359">
        <v>0</v>
      </c>
      <c r="P145" s="359">
        <v>0</v>
      </c>
      <c r="Q145" s="359">
        <f t="shared" si="11"/>
        <v>2373071</v>
      </c>
      <c r="R145" s="359">
        <f t="shared" si="12"/>
        <v>675.53047339804721</v>
      </c>
      <c r="S145" s="359">
        <v>5115.04</v>
      </c>
      <c r="T145" s="177" t="s">
        <v>232</v>
      </c>
      <c r="V145" s="22"/>
      <c r="X145" s="20"/>
      <c r="Y145" s="106"/>
      <c r="Z145" s="47"/>
      <c r="AA145" s="163"/>
      <c r="AB145" s="163"/>
      <c r="AC145" s="46"/>
    </row>
    <row r="146" spans="1:29" s="21" customFormat="1" ht="37.5" customHeight="1">
      <c r="A146" s="174">
        <f t="shared" si="13"/>
        <v>39</v>
      </c>
      <c r="B146" s="255" t="s">
        <v>2177</v>
      </c>
      <c r="C146" s="179">
        <v>1993</v>
      </c>
      <c r="D146" s="378"/>
      <c r="E146" s="179" t="s">
        <v>217</v>
      </c>
      <c r="F146" s="218">
        <v>10</v>
      </c>
      <c r="G146" s="218">
        <v>5</v>
      </c>
      <c r="H146" s="262">
        <v>12554</v>
      </c>
      <c r="I146" s="262">
        <v>10630</v>
      </c>
      <c r="J146" s="373">
        <v>9560</v>
      </c>
      <c r="K146" s="379">
        <v>532</v>
      </c>
      <c r="L146" s="108" t="s">
        <v>33</v>
      </c>
      <c r="M146" s="374">
        <v>3698272</v>
      </c>
      <c r="N146" s="359">
        <v>0</v>
      </c>
      <c r="O146" s="359">
        <v>0</v>
      </c>
      <c r="P146" s="359">
        <v>0</v>
      </c>
      <c r="Q146" s="359">
        <f t="shared" si="11"/>
        <v>3698272</v>
      </c>
      <c r="R146" s="359">
        <f t="shared" si="12"/>
        <v>347.90893697083726</v>
      </c>
      <c r="S146" s="359">
        <v>5115.04</v>
      </c>
      <c r="T146" s="177" t="s">
        <v>232</v>
      </c>
      <c r="V146" s="22"/>
      <c r="X146" s="20"/>
      <c r="Y146" s="106"/>
      <c r="Z146" s="47"/>
      <c r="AA146" s="163"/>
      <c r="AB146" s="163"/>
      <c r="AC146" s="46"/>
    </row>
    <row r="147" spans="1:29" s="21" customFormat="1" ht="37.5" customHeight="1">
      <c r="A147" s="174">
        <f t="shared" si="13"/>
        <v>40</v>
      </c>
      <c r="B147" s="255" t="s">
        <v>2178</v>
      </c>
      <c r="C147" s="179">
        <v>2004</v>
      </c>
      <c r="D147" s="378"/>
      <c r="E147" s="176" t="s">
        <v>221</v>
      </c>
      <c r="F147" s="218">
        <v>5</v>
      </c>
      <c r="G147" s="218">
        <v>2</v>
      </c>
      <c r="H147" s="262">
        <v>4786</v>
      </c>
      <c r="I147" s="262">
        <v>3238</v>
      </c>
      <c r="J147" s="373">
        <v>3238</v>
      </c>
      <c r="K147" s="379">
        <v>183</v>
      </c>
      <c r="L147" s="108" t="s">
        <v>33</v>
      </c>
      <c r="M147" s="374">
        <v>2166330.75</v>
      </c>
      <c r="N147" s="359">
        <v>0</v>
      </c>
      <c r="O147" s="359">
        <v>0</v>
      </c>
      <c r="P147" s="359">
        <v>0</v>
      </c>
      <c r="Q147" s="359">
        <f t="shared" si="11"/>
        <v>2166330.75</v>
      </c>
      <c r="R147" s="359">
        <f t="shared" si="12"/>
        <v>669.03358554663373</v>
      </c>
      <c r="S147" s="359">
        <v>5115.04</v>
      </c>
      <c r="T147" s="177" t="s">
        <v>232</v>
      </c>
      <c r="V147" s="22"/>
      <c r="X147" s="20"/>
      <c r="Y147" s="106"/>
      <c r="Z147" s="47"/>
      <c r="AA147" s="163"/>
      <c r="AB147" s="163"/>
      <c r="AC147" s="46"/>
    </row>
    <row r="148" spans="1:29" s="21" customFormat="1" ht="37.5" customHeight="1">
      <c r="A148" s="174">
        <f t="shared" si="13"/>
        <v>41</v>
      </c>
      <c r="B148" s="255" t="s">
        <v>2179</v>
      </c>
      <c r="C148" s="179">
        <v>1960</v>
      </c>
      <c r="D148" s="167"/>
      <c r="E148" s="167" t="s">
        <v>221</v>
      </c>
      <c r="F148" s="218">
        <v>2</v>
      </c>
      <c r="G148" s="218">
        <v>1</v>
      </c>
      <c r="H148" s="262">
        <v>2513</v>
      </c>
      <c r="I148" s="262">
        <v>2440.8000000000002</v>
      </c>
      <c r="J148" s="262">
        <v>2440.8000000000002</v>
      </c>
      <c r="K148" s="218">
        <v>135</v>
      </c>
      <c r="L148" s="174" t="s">
        <v>33</v>
      </c>
      <c r="M148" s="374">
        <v>3309174.4</v>
      </c>
      <c r="N148" s="358">
        <v>0</v>
      </c>
      <c r="O148" s="358">
        <v>0</v>
      </c>
      <c r="P148" s="358">
        <v>0</v>
      </c>
      <c r="Q148" s="359">
        <f t="shared" si="11"/>
        <v>3309174.4</v>
      </c>
      <c r="R148" s="359">
        <f t="shared" si="12"/>
        <v>1355.7745001638805</v>
      </c>
      <c r="S148" s="359">
        <v>5115.04</v>
      </c>
      <c r="T148" s="177" t="s">
        <v>232</v>
      </c>
      <c r="X148" s="20"/>
      <c r="Y148" s="106"/>
      <c r="Z148" s="47"/>
      <c r="AA148" s="163"/>
      <c r="AB148" s="163"/>
      <c r="AC148" s="46"/>
    </row>
    <row r="149" spans="1:29" s="21" customFormat="1" ht="37.5" customHeight="1">
      <c r="A149" s="174">
        <f t="shared" si="13"/>
        <v>42</v>
      </c>
      <c r="B149" s="255" t="s">
        <v>2180</v>
      </c>
      <c r="C149" s="179">
        <v>1960</v>
      </c>
      <c r="D149" s="378"/>
      <c r="E149" s="176" t="s">
        <v>221</v>
      </c>
      <c r="F149" s="218">
        <v>4</v>
      </c>
      <c r="G149" s="218">
        <v>4</v>
      </c>
      <c r="H149" s="262">
        <v>3125</v>
      </c>
      <c r="I149" s="262">
        <v>2499.3000000000002</v>
      </c>
      <c r="J149" s="373">
        <v>2499.3000000000002</v>
      </c>
      <c r="K149" s="379">
        <v>126</v>
      </c>
      <c r="L149" s="108" t="s">
        <v>33</v>
      </c>
      <c r="M149" s="374">
        <v>3752360.92</v>
      </c>
      <c r="N149" s="359">
        <v>0</v>
      </c>
      <c r="O149" s="359">
        <v>0</v>
      </c>
      <c r="P149" s="359">
        <v>0</v>
      </c>
      <c r="Q149" s="359">
        <f t="shared" si="11"/>
        <v>3752360.92</v>
      </c>
      <c r="R149" s="359">
        <f t="shared" si="12"/>
        <v>1501.3647501300363</v>
      </c>
      <c r="S149" s="359">
        <v>5115.04</v>
      </c>
      <c r="T149" s="177" t="s">
        <v>232</v>
      </c>
      <c r="V149" s="22"/>
      <c r="X149" s="20"/>
      <c r="Y149" s="106"/>
      <c r="Z149" s="47"/>
      <c r="AA149" s="163"/>
      <c r="AB149" s="163"/>
      <c r="AC149" s="46"/>
    </row>
    <row r="150" spans="1:29" s="21" customFormat="1" ht="37.5" customHeight="1">
      <c r="A150" s="174">
        <f t="shared" si="13"/>
        <v>43</v>
      </c>
      <c r="B150" s="361" t="s">
        <v>2181</v>
      </c>
      <c r="C150" s="179">
        <v>1989</v>
      </c>
      <c r="D150" s="167"/>
      <c r="E150" s="167" t="s">
        <v>221</v>
      </c>
      <c r="F150" s="218">
        <v>5</v>
      </c>
      <c r="G150" s="218">
        <v>4</v>
      </c>
      <c r="H150" s="262">
        <v>2739</v>
      </c>
      <c r="I150" s="262">
        <v>2541.2999999999997</v>
      </c>
      <c r="J150" s="262">
        <v>2541.2999999999997</v>
      </c>
      <c r="K150" s="218">
        <v>153</v>
      </c>
      <c r="L150" s="383" t="s">
        <v>238</v>
      </c>
      <c r="M150" s="374">
        <v>2119421.7799999998</v>
      </c>
      <c r="N150" s="358">
        <v>0</v>
      </c>
      <c r="O150" s="358">
        <v>0</v>
      </c>
      <c r="P150" s="358">
        <v>0</v>
      </c>
      <c r="Q150" s="359">
        <f t="shared" si="11"/>
        <v>2119421.7799999998</v>
      </c>
      <c r="R150" s="359">
        <f t="shared" si="12"/>
        <v>833.99117774367448</v>
      </c>
      <c r="S150" s="359">
        <v>5115.04</v>
      </c>
      <c r="T150" s="177" t="s">
        <v>232</v>
      </c>
      <c r="X150" s="20"/>
      <c r="Y150" s="106"/>
      <c r="Z150" s="47"/>
      <c r="AA150" s="163"/>
      <c r="AB150" s="163"/>
      <c r="AC150" s="46"/>
    </row>
    <row r="151" spans="1:29" s="21" customFormat="1" ht="37.5" customHeight="1">
      <c r="A151" s="174">
        <f t="shared" si="13"/>
        <v>44</v>
      </c>
      <c r="B151" s="255" t="s">
        <v>2182</v>
      </c>
      <c r="C151" s="179">
        <v>1989</v>
      </c>
      <c r="D151" s="378"/>
      <c r="E151" s="176" t="s">
        <v>221</v>
      </c>
      <c r="F151" s="218">
        <v>9</v>
      </c>
      <c r="G151" s="218">
        <v>2</v>
      </c>
      <c r="H151" s="262">
        <v>4215</v>
      </c>
      <c r="I151" s="262">
        <v>3678</v>
      </c>
      <c r="J151" s="373">
        <v>3539</v>
      </c>
      <c r="K151" s="379">
        <v>215</v>
      </c>
      <c r="L151" s="108" t="s">
        <v>33</v>
      </c>
      <c r="M151" s="374">
        <v>1615195</v>
      </c>
      <c r="N151" s="359">
        <v>0</v>
      </c>
      <c r="O151" s="359">
        <v>0</v>
      </c>
      <c r="P151" s="359">
        <v>0</v>
      </c>
      <c r="Q151" s="359">
        <f t="shared" si="11"/>
        <v>1615195</v>
      </c>
      <c r="R151" s="359">
        <f t="shared" si="12"/>
        <v>439.15035345296354</v>
      </c>
      <c r="S151" s="359">
        <v>5115.04</v>
      </c>
      <c r="T151" s="177" t="s">
        <v>232</v>
      </c>
      <c r="V151" s="22"/>
      <c r="X151" s="20"/>
      <c r="Y151" s="106"/>
      <c r="Z151" s="47"/>
      <c r="AA151" s="163"/>
      <c r="AB151" s="163"/>
      <c r="AC151" s="46"/>
    </row>
    <row r="152" spans="1:29" s="21" customFormat="1" ht="37.5" customHeight="1">
      <c r="A152" s="174">
        <f t="shared" si="13"/>
        <v>45</v>
      </c>
      <c r="B152" s="255" t="s">
        <v>2184</v>
      </c>
      <c r="C152" s="179">
        <v>1964</v>
      </c>
      <c r="D152" s="378"/>
      <c r="E152" s="176" t="s">
        <v>221</v>
      </c>
      <c r="F152" s="218">
        <v>5</v>
      </c>
      <c r="G152" s="218">
        <v>4</v>
      </c>
      <c r="H152" s="262">
        <v>3902</v>
      </c>
      <c r="I152" s="262">
        <v>3121.7</v>
      </c>
      <c r="J152" s="373">
        <v>3121.7</v>
      </c>
      <c r="K152" s="379">
        <v>187</v>
      </c>
      <c r="L152" s="108" t="s">
        <v>33</v>
      </c>
      <c r="M152" s="374">
        <v>2326443</v>
      </c>
      <c r="N152" s="359">
        <v>0</v>
      </c>
      <c r="O152" s="359">
        <v>0</v>
      </c>
      <c r="P152" s="359">
        <v>0</v>
      </c>
      <c r="Q152" s="359">
        <f t="shared" si="11"/>
        <v>2326443</v>
      </c>
      <c r="R152" s="359">
        <f t="shared" si="12"/>
        <v>745.24874267226198</v>
      </c>
      <c r="S152" s="359">
        <v>5115.04</v>
      </c>
      <c r="T152" s="177" t="s">
        <v>232</v>
      </c>
      <c r="V152" s="22"/>
      <c r="X152" s="20"/>
      <c r="Y152" s="106"/>
      <c r="Z152" s="47"/>
      <c r="AA152" s="163"/>
      <c r="AB152" s="163"/>
      <c r="AC152" s="46"/>
    </row>
    <row r="153" spans="1:29" s="21" customFormat="1" ht="37.5" customHeight="1">
      <c r="A153" s="174">
        <f t="shared" si="13"/>
        <v>46</v>
      </c>
      <c r="B153" s="255" t="s">
        <v>2185</v>
      </c>
      <c r="C153" s="179">
        <v>1964</v>
      </c>
      <c r="D153" s="378"/>
      <c r="E153" s="176" t="s">
        <v>221</v>
      </c>
      <c r="F153" s="218">
        <v>5</v>
      </c>
      <c r="G153" s="218">
        <v>4</v>
      </c>
      <c r="H153" s="262">
        <v>3158</v>
      </c>
      <c r="I153" s="262">
        <v>3157.8</v>
      </c>
      <c r="J153" s="373">
        <v>3157.8</v>
      </c>
      <c r="K153" s="379">
        <v>185</v>
      </c>
      <c r="L153" s="108" t="s">
        <v>33</v>
      </c>
      <c r="M153" s="374">
        <v>2323993</v>
      </c>
      <c r="N153" s="359">
        <v>0</v>
      </c>
      <c r="O153" s="359">
        <v>0</v>
      </c>
      <c r="P153" s="359">
        <v>0</v>
      </c>
      <c r="Q153" s="359">
        <f t="shared" si="11"/>
        <v>2323993</v>
      </c>
      <c r="R153" s="359">
        <f t="shared" si="12"/>
        <v>735.95319526252445</v>
      </c>
      <c r="S153" s="359">
        <v>5115.04</v>
      </c>
      <c r="T153" s="177" t="s">
        <v>232</v>
      </c>
      <c r="V153" s="22"/>
      <c r="X153" s="20"/>
      <c r="Y153" s="106"/>
      <c r="Z153" s="47"/>
      <c r="AA153" s="163"/>
      <c r="AB153" s="163"/>
      <c r="AC153" s="46"/>
    </row>
    <row r="154" spans="1:29" s="21" customFormat="1" ht="37.5" customHeight="1">
      <c r="A154" s="174">
        <f t="shared" si="13"/>
        <v>47</v>
      </c>
      <c r="B154" s="255" t="s">
        <v>2186</v>
      </c>
      <c r="C154" s="179">
        <v>1986</v>
      </c>
      <c r="D154" s="378"/>
      <c r="E154" s="176" t="s">
        <v>221</v>
      </c>
      <c r="F154" s="218">
        <v>5</v>
      </c>
      <c r="G154" s="218">
        <v>4</v>
      </c>
      <c r="H154" s="262">
        <v>2128</v>
      </c>
      <c r="I154" s="262">
        <v>2128</v>
      </c>
      <c r="J154" s="262">
        <v>2128</v>
      </c>
      <c r="K154" s="379">
        <v>147</v>
      </c>
      <c r="L154" s="108" t="s">
        <v>33</v>
      </c>
      <c r="M154" s="374">
        <v>2292611</v>
      </c>
      <c r="N154" s="359">
        <v>0</v>
      </c>
      <c r="O154" s="359">
        <v>0</v>
      </c>
      <c r="P154" s="359">
        <v>0</v>
      </c>
      <c r="Q154" s="359">
        <f t="shared" si="11"/>
        <v>2292611</v>
      </c>
      <c r="R154" s="359">
        <f t="shared" si="12"/>
        <v>1077.3547932330828</v>
      </c>
      <c r="S154" s="359">
        <v>5115.04</v>
      </c>
      <c r="T154" s="177" t="s">
        <v>232</v>
      </c>
      <c r="V154" s="22"/>
      <c r="X154" s="20"/>
      <c r="Y154" s="106"/>
      <c r="Z154" s="47"/>
      <c r="AA154" s="163"/>
      <c r="AB154" s="163"/>
      <c r="AC154" s="46"/>
    </row>
    <row r="155" spans="1:29" s="21" customFormat="1" ht="37.5" customHeight="1">
      <c r="A155" s="174">
        <f t="shared" si="13"/>
        <v>48</v>
      </c>
      <c r="B155" s="255" t="s">
        <v>2187</v>
      </c>
      <c r="C155" s="179">
        <v>1963</v>
      </c>
      <c r="D155" s="378"/>
      <c r="E155" s="176" t="s">
        <v>221</v>
      </c>
      <c r="F155" s="218">
        <v>5</v>
      </c>
      <c r="G155" s="218">
        <v>4</v>
      </c>
      <c r="H155" s="262">
        <v>2519</v>
      </c>
      <c r="I155" s="262">
        <v>2519</v>
      </c>
      <c r="J155" s="262">
        <v>2519</v>
      </c>
      <c r="K155" s="379">
        <v>133</v>
      </c>
      <c r="L155" s="108" t="s">
        <v>33</v>
      </c>
      <c r="M155" s="374">
        <v>2331217</v>
      </c>
      <c r="N155" s="359">
        <v>0</v>
      </c>
      <c r="O155" s="359">
        <v>0</v>
      </c>
      <c r="P155" s="359">
        <v>0</v>
      </c>
      <c r="Q155" s="359">
        <f t="shared" si="11"/>
        <v>2331217</v>
      </c>
      <c r="R155" s="359">
        <f t="shared" si="12"/>
        <v>925.45335450575624</v>
      </c>
      <c r="S155" s="359">
        <v>5115.04</v>
      </c>
      <c r="T155" s="177" t="s">
        <v>232</v>
      </c>
      <c r="V155" s="22"/>
      <c r="X155" s="20"/>
      <c r="Y155" s="106"/>
      <c r="Z155" s="47"/>
      <c r="AA155" s="163"/>
      <c r="AB155" s="163"/>
      <c r="AC155" s="46"/>
    </row>
    <row r="156" spans="1:29" s="21" customFormat="1" ht="37.5" customHeight="1">
      <c r="A156" s="174">
        <f t="shared" si="13"/>
        <v>49</v>
      </c>
      <c r="B156" s="255" t="s">
        <v>2188</v>
      </c>
      <c r="C156" s="179">
        <v>1969</v>
      </c>
      <c r="D156" s="378"/>
      <c r="E156" s="176" t="s">
        <v>221</v>
      </c>
      <c r="F156" s="218">
        <v>5</v>
      </c>
      <c r="G156" s="218">
        <v>4</v>
      </c>
      <c r="H156" s="262">
        <v>3319</v>
      </c>
      <c r="I156" s="262">
        <v>3319</v>
      </c>
      <c r="J156" s="373">
        <v>3139.7</v>
      </c>
      <c r="K156" s="379">
        <v>180</v>
      </c>
      <c r="L156" s="108" t="s">
        <v>33</v>
      </c>
      <c r="M156" s="374">
        <v>2561141</v>
      </c>
      <c r="N156" s="359">
        <v>0</v>
      </c>
      <c r="O156" s="359">
        <v>0</v>
      </c>
      <c r="P156" s="359">
        <v>0</v>
      </c>
      <c r="Q156" s="359">
        <f t="shared" si="11"/>
        <v>2561141</v>
      </c>
      <c r="R156" s="359">
        <f t="shared" si="12"/>
        <v>771.66043989153354</v>
      </c>
      <c r="S156" s="359">
        <v>5115.04</v>
      </c>
      <c r="T156" s="177" t="s">
        <v>232</v>
      </c>
      <c r="V156" s="22"/>
      <c r="X156" s="20"/>
      <c r="Y156" s="106"/>
      <c r="Z156" s="47"/>
      <c r="AA156" s="163"/>
      <c r="AB156" s="163"/>
      <c r="AC156" s="46"/>
    </row>
    <row r="157" spans="1:29" s="21" customFormat="1" ht="37.5" customHeight="1">
      <c r="A157" s="174">
        <f t="shared" si="13"/>
        <v>50</v>
      </c>
      <c r="B157" s="384" t="s">
        <v>2190</v>
      </c>
      <c r="C157" s="279">
        <v>1979</v>
      </c>
      <c r="D157" s="167"/>
      <c r="E157" s="179" t="s">
        <v>221</v>
      </c>
      <c r="F157" s="172">
        <v>5</v>
      </c>
      <c r="G157" s="172">
        <v>6</v>
      </c>
      <c r="H157" s="280">
        <v>4705</v>
      </c>
      <c r="I157" s="280">
        <v>4330</v>
      </c>
      <c r="J157" s="280">
        <v>3763</v>
      </c>
      <c r="K157" s="385">
        <v>198</v>
      </c>
      <c r="L157" s="360" t="s">
        <v>33</v>
      </c>
      <c r="M157" s="374">
        <v>3209563</v>
      </c>
      <c r="N157" s="358">
        <v>0</v>
      </c>
      <c r="O157" s="358">
        <v>0</v>
      </c>
      <c r="P157" s="358">
        <v>0</v>
      </c>
      <c r="Q157" s="359">
        <f t="shared" si="11"/>
        <v>3209563</v>
      </c>
      <c r="R157" s="359">
        <f t="shared" si="12"/>
        <v>741.23856812933025</v>
      </c>
      <c r="S157" s="359">
        <v>5115.04</v>
      </c>
      <c r="T157" s="177" t="s">
        <v>232</v>
      </c>
      <c r="V157" s="22"/>
      <c r="X157" s="20"/>
      <c r="Y157" s="106"/>
      <c r="Z157" s="47"/>
      <c r="AA157" s="163"/>
      <c r="AB157" s="163"/>
      <c r="AC157" s="46"/>
    </row>
    <row r="158" spans="1:29" s="21" customFormat="1" ht="37.5" customHeight="1">
      <c r="A158" s="174">
        <f t="shared" si="13"/>
        <v>51</v>
      </c>
      <c r="B158" s="255" t="s">
        <v>2191</v>
      </c>
      <c r="C158" s="179">
        <v>1971</v>
      </c>
      <c r="D158" s="378"/>
      <c r="E158" s="176" t="s">
        <v>221</v>
      </c>
      <c r="F158" s="218">
        <v>5</v>
      </c>
      <c r="G158" s="218">
        <v>6</v>
      </c>
      <c r="H158" s="262">
        <v>4964</v>
      </c>
      <c r="I158" s="262">
        <v>4475.5</v>
      </c>
      <c r="J158" s="373">
        <v>4261.2</v>
      </c>
      <c r="K158" s="379">
        <v>277</v>
      </c>
      <c r="L158" s="108" t="s">
        <v>33</v>
      </c>
      <c r="M158" s="374">
        <v>3020378</v>
      </c>
      <c r="N158" s="359">
        <v>0</v>
      </c>
      <c r="O158" s="359">
        <v>0</v>
      </c>
      <c r="P158" s="359">
        <v>0</v>
      </c>
      <c r="Q158" s="359">
        <f t="shared" si="11"/>
        <v>3020378</v>
      </c>
      <c r="R158" s="359">
        <f t="shared" si="12"/>
        <v>674.86940006703162</v>
      </c>
      <c r="S158" s="359">
        <v>5115.04</v>
      </c>
      <c r="T158" s="177" t="s">
        <v>232</v>
      </c>
      <c r="V158" s="22"/>
      <c r="X158" s="20"/>
      <c r="Y158" s="106"/>
      <c r="Z158" s="47"/>
      <c r="AA158" s="163"/>
      <c r="AB158" s="163"/>
      <c r="AC158" s="46"/>
    </row>
    <row r="159" spans="1:29" s="21" customFormat="1" ht="37.5" customHeight="1">
      <c r="A159" s="174">
        <f t="shared" si="13"/>
        <v>52</v>
      </c>
      <c r="B159" s="255" t="s">
        <v>2192</v>
      </c>
      <c r="C159" s="179">
        <v>1990</v>
      </c>
      <c r="D159" s="378"/>
      <c r="E159" s="176" t="s">
        <v>221</v>
      </c>
      <c r="F159" s="218">
        <v>5</v>
      </c>
      <c r="G159" s="218">
        <v>2</v>
      </c>
      <c r="H159" s="262">
        <v>1519</v>
      </c>
      <c r="I159" s="262">
        <v>1336.8</v>
      </c>
      <c r="J159" s="373">
        <v>1261.9000000000001</v>
      </c>
      <c r="K159" s="379">
        <v>47</v>
      </c>
      <c r="L159" s="108" t="s">
        <v>33</v>
      </c>
      <c r="M159" s="374">
        <v>1100681</v>
      </c>
      <c r="N159" s="359">
        <v>0</v>
      </c>
      <c r="O159" s="359">
        <v>0</v>
      </c>
      <c r="P159" s="359">
        <v>0</v>
      </c>
      <c r="Q159" s="359">
        <f t="shared" si="11"/>
        <v>1100681</v>
      </c>
      <c r="R159" s="359">
        <f t="shared" si="12"/>
        <v>823.36998803111908</v>
      </c>
      <c r="S159" s="359">
        <v>5115.04</v>
      </c>
      <c r="T159" s="177" t="s">
        <v>232</v>
      </c>
      <c r="V159" s="22"/>
      <c r="X159" s="20"/>
      <c r="Y159" s="106"/>
      <c r="Z159" s="47"/>
      <c r="AA159" s="163"/>
      <c r="AB159" s="163"/>
      <c r="AC159" s="46"/>
    </row>
    <row r="160" spans="1:29" s="21" customFormat="1" ht="37.5" customHeight="1">
      <c r="A160" s="174">
        <f t="shared" si="13"/>
        <v>53</v>
      </c>
      <c r="B160" s="255" t="s">
        <v>2193</v>
      </c>
      <c r="C160" s="179">
        <v>1999</v>
      </c>
      <c r="D160" s="378"/>
      <c r="E160" s="176" t="s">
        <v>221</v>
      </c>
      <c r="F160" s="218">
        <v>5</v>
      </c>
      <c r="G160" s="218">
        <v>2</v>
      </c>
      <c r="H160" s="262">
        <v>3922</v>
      </c>
      <c r="I160" s="262">
        <v>3509.4</v>
      </c>
      <c r="J160" s="373">
        <v>3311.8</v>
      </c>
      <c r="K160" s="379">
        <v>121</v>
      </c>
      <c r="L160" s="108" t="s">
        <v>33</v>
      </c>
      <c r="M160" s="374">
        <v>2542173</v>
      </c>
      <c r="N160" s="359">
        <v>0</v>
      </c>
      <c r="O160" s="359">
        <v>0</v>
      </c>
      <c r="P160" s="359">
        <v>0</v>
      </c>
      <c r="Q160" s="359">
        <f t="shared" si="11"/>
        <v>2542173</v>
      </c>
      <c r="R160" s="359">
        <f t="shared" si="12"/>
        <v>724.38963925457347</v>
      </c>
      <c r="S160" s="359">
        <v>5115.04</v>
      </c>
      <c r="T160" s="177" t="s">
        <v>232</v>
      </c>
      <c r="V160" s="22"/>
      <c r="X160" s="20"/>
      <c r="Y160" s="106"/>
      <c r="Z160" s="47"/>
      <c r="AA160" s="163"/>
      <c r="AB160" s="163"/>
      <c r="AC160" s="46"/>
    </row>
    <row r="161" spans="1:29" s="21" customFormat="1" ht="37.5" customHeight="1">
      <c r="A161" s="174">
        <f t="shared" si="13"/>
        <v>54</v>
      </c>
      <c r="B161" s="255" t="s">
        <v>2194</v>
      </c>
      <c r="C161" s="179">
        <v>1960</v>
      </c>
      <c r="D161" s="378"/>
      <c r="E161" s="176" t="s">
        <v>221</v>
      </c>
      <c r="F161" s="218">
        <v>3</v>
      </c>
      <c r="G161" s="218">
        <v>1</v>
      </c>
      <c r="H161" s="262">
        <v>476</v>
      </c>
      <c r="I161" s="262">
        <v>421.2</v>
      </c>
      <c r="J161" s="373">
        <v>351</v>
      </c>
      <c r="K161" s="379">
        <v>26</v>
      </c>
      <c r="L161" s="108" t="s">
        <v>33</v>
      </c>
      <c r="M161" s="374">
        <v>529593.61</v>
      </c>
      <c r="N161" s="359">
        <v>0</v>
      </c>
      <c r="O161" s="359">
        <v>0</v>
      </c>
      <c r="P161" s="359">
        <v>0</v>
      </c>
      <c r="Q161" s="359">
        <f t="shared" si="11"/>
        <v>529593.61</v>
      </c>
      <c r="R161" s="359">
        <f t="shared" si="12"/>
        <v>1257.3447530864198</v>
      </c>
      <c r="S161" s="359">
        <v>5115.04</v>
      </c>
      <c r="T161" s="177" t="s">
        <v>232</v>
      </c>
      <c r="V161" s="22"/>
      <c r="X161" s="20"/>
      <c r="Y161" s="106"/>
      <c r="Z161" s="47"/>
      <c r="AA161" s="163"/>
      <c r="AB161" s="163"/>
      <c r="AC161" s="46"/>
    </row>
    <row r="162" spans="1:29" s="21" customFormat="1" ht="37.5" customHeight="1">
      <c r="A162" s="174">
        <f t="shared" si="13"/>
        <v>55</v>
      </c>
      <c r="B162" s="255" t="s">
        <v>2195</v>
      </c>
      <c r="C162" s="179">
        <v>1997</v>
      </c>
      <c r="D162" s="378"/>
      <c r="E162" s="176" t="s">
        <v>221</v>
      </c>
      <c r="F162" s="218">
        <v>9</v>
      </c>
      <c r="G162" s="218">
        <v>2</v>
      </c>
      <c r="H162" s="262">
        <v>4856</v>
      </c>
      <c r="I162" s="262">
        <v>4172</v>
      </c>
      <c r="J162" s="373">
        <v>4122</v>
      </c>
      <c r="K162" s="379">
        <v>203</v>
      </c>
      <c r="L162" s="108" t="s">
        <v>33</v>
      </c>
      <c r="M162" s="374">
        <v>1576832</v>
      </c>
      <c r="N162" s="359">
        <v>0</v>
      </c>
      <c r="O162" s="359">
        <v>0</v>
      </c>
      <c r="P162" s="359">
        <v>0</v>
      </c>
      <c r="Q162" s="359">
        <f t="shared" si="11"/>
        <v>1576832</v>
      </c>
      <c r="R162" s="359">
        <f t="shared" si="12"/>
        <v>377.95589645254074</v>
      </c>
      <c r="S162" s="359">
        <v>5115.04</v>
      </c>
      <c r="T162" s="177" t="s">
        <v>232</v>
      </c>
      <c r="V162" s="22"/>
      <c r="X162" s="20"/>
      <c r="Y162" s="106"/>
      <c r="Z162" s="47"/>
      <c r="AA162" s="163"/>
      <c r="AB162" s="163"/>
      <c r="AC162" s="46"/>
    </row>
    <row r="163" spans="1:29" s="21" customFormat="1" ht="37.5" customHeight="1">
      <c r="A163" s="174">
        <f t="shared" si="13"/>
        <v>56</v>
      </c>
      <c r="B163" s="255" t="s">
        <v>2196</v>
      </c>
      <c r="C163" s="179">
        <v>1973</v>
      </c>
      <c r="D163" s="378"/>
      <c r="E163" s="176" t="s">
        <v>221</v>
      </c>
      <c r="F163" s="218">
        <v>5</v>
      </c>
      <c r="G163" s="218">
        <v>4</v>
      </c>
      <c r="H163" s="262">
        <v>3403</v>
      </c>
      <c r="I163" s="262">
        <v>2270.6</v>
      </c>
      <c r="J163" s="373">
        <v>2199.8000000000002</v>
      </c>
      <c r="K163" s="379">
        <v>179</v>
      </c>
      <c r="L163" s="108" t="s">
        <v>224</v>
      </c>
      <c r="M163" s="374">
        <v>1585697.55</v>
      </c>
      <c r="N163" s="359">
        <v>0</v>
      </c>
      <c r="O163" s="359">
        <v>0</v>
      </c>
      <c r="P163" s="359">
        <v>0</v>
      </c>
      <c r="Q163" s="359">
        <f t="shared" si="11"/>
        <v>1585697.55</v>
      </c>
      <c r="R163" s="359">
        <f t="shared" si="12"/>
        <v>698.36058750990935</v>
      </c>
      <c r="S163" s="359">
        <v>5115.04</v>
      </c>
      <c r="T163" s="177" t="s">
        <v>232</v>
      </c>
      <c r="V163" s="22"/>
      <c r="X163" s="20"/>
      <c r="Y163" s="106"/>
      <c r="Z163" s="47"/>
      <c r="AA163" s="163"/>
      <c r="AB163" s="163"/>
      <c r="AC163" s="46"/>
    </row>
    <row r="164" spans="1:29" s="21" customFormat="1" ht="37.5" customHeight="1">
      <c r="A164" s="174">
        <f t="shared" si="13"/>
        <v>57</v>
      </c>
      <c r="B164" s="255" t="s">
        <v>2197</v>
      </c>
      <c r="C164" s="179">
        <v>1987</v>
      </c>
      <c r="D164" s="378"/>
      <c r="E164" s="176" t="s">
        <v>221</v>
      </c>
      <c r="F164" s="218">
        <v>5</v>
      </c>
      <c r="G164" s="218">
        <v>4</v>
      </c>
      <c r="H164" s="262">
        <v>3050</v>
      </c>
      <c r="I164" s="262">
        <v>2750.1</v>
      </c>
      <c r="J164" s="373">
        <v>2594.6</v>
      </c>
      <c r="K164" s="379">
        <v>157</v>
      </c>
      <c r="L164" s="108" t="s">
        <v>33</v>
      </c>
      <c r="M164" s="374">
        <v>1858343</v>
      </c>
      <c r="N164" s="359">
        <v>0</v>
      </c>
      <c r="O164" s="359">
        <v>0</v>
      </c>
      <c r="P164" s="359">
        <v>0</v>
      </c>
      <c r="Q164" s="359">
        <f t="shared" si="11"/>
        <v>1858343</v>
      </c>
      <c r="R164" s="359">
        <f t="shared" si="12"/>
        <v>675.73651867204831</v>
      </c>
      <c r="S164" s="359">
        <v>5115.04</v>
      </c>
      <c r="T164" s="177" t="s">
        <v>232</v>
      </c>
      <c r="V164" s="22"/>
      <c r="X164" s="20"/>
      <c r="Y164" s="106"/>
      <c r="Z164" s="47"/>
      <c r="AA164" s="163"/>
      <c r="AB164" s="163"/>
      <c r="AC164" s="46"/>
    </row>
    <row r="165" spans="1:29" s="21" customFormat="1" ht="37.5" customHeight="1">
      <c r="A165" s="174">
        <f t="shared" si="13"/>
        <v>58</v>
      </c>
      <c r="B165" s="255" t="s">
        <v>2198</v>
      </c>
      <c r="C165" s="179">
        <v>1967</v>
      </c>
      <c r="D165" s="378"/>
      <c r="E165" s="176" t="s">
        <v>221</v>
      </c>
      <c r="F165" s="218">
        <v>5</v>
      </c>
      <c r="G165" s="218">
        <v>4</v>
      </c>
      <c r="H165" s="262">
        <v>2853</v>
      </c>
      <c r="I165" s="262">
        <v>2619</v>
      </c>
      <c r="J165" s="373">
        <v>2619</v>
      </c>
      <c r="K165" s="379">
        <v>125</v>
      </c>
      <c r="L165" s="108" t="s">
        <v>226</v>
      </c>
      <c r="M165" s="374">
        <v>3484962</v>
      </c>
      <c r="N165" s="359">
        <v>0</v>
      </c>
      <c r="O165" s="359">
        <v>0</v>
      </c>
      <c r="P165" s="359">
        <v>0</v>
      </c>
      <c r="Q165" s="359">
        <f t="shared" si="11"/>
        <v>3484962</v>
      </c>
      <c r="R165" s="359">
        <f t="shared" si="12"/>
        <v>1330.6460481099657</v>
      </c>
      <c r="S165" s="359">
        <v>5115.04</v>
      </c>
      <c r="T165" s="177" t="s">
        <v>232</v>
      </c>
      <c r="V165" s="22"/>
      <c r="X165" s="20"/>
      <c r="Y165" s="106"/>
      <c r="Z165" s="47"/>
      <c r="AA165" s="163"/>
      <c r="AB165" s="163"/>
      <c r="AC165" s="46"/>
    </row>
    <row r="166" spans="1:29" s="21" customFormat="1" ht="37.5" customHeight="1">
      <c r="A166" s="174">
        <f t="shared" si="13"/>
        <v>59</v>
      </c>
      <c r="B166" s="255" t="s">
        <v>2201</v>
      </c>
      <c r="C166" s="179">
        <v>1974</v>
      </c>
      <c r="D166" s="378"/>
      <c r="E166" s="176" t="s">
        <v>221</v>
      </c>
      <c r="F166" s="218">
        <v>5</v>
      </c>
      <c r="G166" s="218">
        <v>4</v>
      </c>
      <c r="H166" s="262">
        <v>2892</v>
      </c>
      <c r="I166" s="262">
        <v>2615</v>
      </c>
      <c r="J166" s="373">
        <v>2507</v>
      </c>
      <c r="K166" s="379">
        <v>134</v>
      </c>
      <c r="L166" s="108" t="s">
        <v>33</v>
      </c>
      <c r="M166" s="374">
        <v>2201543</v>
      </c>
      <c r="N166" s="359">
        <v>0</v>
      </c>
      <c r="O166" s="359">
        <v>0</v>
      </c>
      <c r="P166" s="359">
        <v>0</v>
      </c>
      <c r="Q166" s="359">
        <f t="shared" si="11"/>
        <v>2201543</v>
      </c>
      <c r="R166" s="359">
        <f t="shared" si="12"/>
        <v>841.89024856596563</v>
      </c>
      <c r="S166" s="359">
        <v>5115.04</v>
      </c>
      <c r="T166" s="177" t="s">
        <v>232</v>
      </c>
      <c r="V166" s="22"/>
      <c r="X166" s="20"/>
      <c r="Y166" s="106"/>
      <c r="Z166" s="47"/>
      <c r="AA166" s="163"/>
      <c r="AB166" s="163"/>
      <c r="AC166" s="46"/>
    </row>
    <row r="167" spans="1:29" s="21" customFormat="1" ht="37.5" customHeight="1">
      <c r="A167" s="174">
        <f t="shared" si="13"/>
        <v>60</v>
      </c>
      <c r="B167" s="255" t="s">
        <v>2202</v>
      </c>
      <c r="C167" s="179">
        <v>1997</v>
      </c>
      <c r="D167" s="378"/>
      <c r="E167" s="176" t="s">
        <v>221</v>
      </c>
      <c r="F167" s="218">
        <v>9</v>
      </c>
      <c r="G167" s="218">
        <v>8</v>
      </c>
      <c r="H167" s="262">
        <v>19696</v>
      </c>
      <c r="I167" s="262">
        <v>17276.599999999999</v>
      </c>
      <c r="J167" s="373">
        <v>14152.9</v>
      </c>
      <c r="K167" s="379">
        <v>636</v>
      </c>
      <c r="L167" s="108" t="s">
        <v>33</v>
      </c>
      <c r="M167" s="374">
        <v>4891135</v>
      </c>
      <c r="N167" s="359">
        <v>0</v>
      </c>
      <c r="O167" s="359">
        <v>0</v>
      </c>
      <c r="P167" s="359">
        <v>0</v>
      </c>
      <c r="Q167" s="359">
        <f t="shared" si="11"/>
        <v>4891135</v>
      </c>
      <c r="R167" s="359">
        <f t="shared" si="12"/>
        <v>283.10749800307934</v>
      </c>
      <c r="S167" s="359">
        <v>5115.04</v>
      </c>
      <c r="T167" s="177" t="s">
        <v>232</v>
      </c>
      <c r="V167" s="22"/>
      <c r="X167" s="20"/>
      <c r="Y167" s="106"/>
      <c r="Z167" s="47"/>
      <c r="AA167" s="163"/>
      <c r="AB167" s="163"/>
      <c r="AC167" s="46"/>
    </row>
    <row r="168" spans="1:29" s="21" customFormat="1" ht="37.5" customHeight="1">
      <c r="A168" s="174">
        <f t="shared" si="13"/>
        <v>61</v>
      </c>
      <c r="B168" s="255" t="s">
        <v>2203</v>
      </c>
      <c r="C168" s="179">
        <v>1995</v>
      </c>
      <c r="D168" s="378"/>
      <c r="E168" s="179" t="s">
        <v>217</v>
      </c>
      <c r="F168" s="218">
        <v>9</v>
      </c>
      <c r="G168" s="218">
        <v>2</v>
      </c>
      <c r="H168" s="262">
        <v>4531</v>
      </c>
      <c r="I168" s="262">
        <v>3887</v>
      </c>
      <c r="J168" s="373">
        <v>3686</v>
      </c>
      <c r="K168" s="379">
        <v>221</v>
      </c>
      <c r="L168" s="108" t="s">
        <v>33</v>
      </c>
      <c r="M168" s="374">
        <v>1576832</v>
      </c>
      <c r="N168" s="359">
        <v>0</v>
      </c>
      <c r="O168" s="359">
        <v>0</v>
      </c>
      <c r="P168" s="359">
        <v>0</v>
      </c>
      <c r="Q168" s="359">
        <f t="shared" si="11"/>
        <v>1576832</v>
      </c>
      <c r="R168" s="359">
        <f t="shared" si="12"/>
        <v>405.66812451762286</v>
      </c>
      <c r="S168" s="359">
        <v>5115.04</v>
      </c>
      <c r="T168" s="177" t="s">
        <v>232</v>
      </c>
      <c r="V168" s="22"/>
      <c r="X168" s="20"/>
      <c r="Y168" s="106"/>
      <c r="Z168" s="47"/>
      <c r="AA168" s="163"/>
      <c r="AB168" s="163"/>
      <c r="AC168" s="46"/>
    </row>
    <row r="169" spans="1:29" s="21" customFormat="1" ht="37.5" customHeight="1">
      <c r="A169" s="174">
        <f t="shared" si="13"/>
        <v>62</v>
      </c>
      <c r="B169" s="308" t="s">
        <v>2204</v>
      </c>
      <c r="C169" s="179">
        <v>1957</v>
      </c>
      <c r="D169" s="179"/>
      <c r="E169" s="167" t="s">
        <v>221</v>
      </c>
      <c r="F169" s="218">
        <v>2</v>
      </c>
      <c r="G169" s="218">
        <v>1</v>
      </c>
      <c r="H169" s="262">
        <v>693</v>
      </c>
      <c r="I169" s="262">
        <v>553.79999999999995</v>
      </c>
      <c r="J169" s="262">
        <v>337.8</v>
      </c>
      <c r="K169" s="218">
        <v>71</v>
      </c>
      <c r="L169" s="174" t="s">
        <v>33</v>
      </c>
      <c r="M169" s="374">
        <v>1949810.1200000003</v>
      </c>
      <c r="N169" s="358">
        <v>0</v>
      </c>
      <c r="O169" s="358">
        <v>0</v>
      </c>
      <c r="P169" s="358">
        <v>0</v>
      </c>
      <c r="Q169" s="359">
        <f t="shared" si="11"/>
        <v>1949810.1200000003</v>
      </c>
      <c r="R169" s="359">
        <f t="shared" si="12"/>
        <v>3520.7838931022038</v>
      </c>
      <c r="S169" s="359">
        <v>5115.04</v>
      </c>
      <c r="T169" s="177" t="s">
        <v>232</v>
      </c>
      <c r="V169" s="22"/>
      <c r="X169" s="20"/>
      <c r="Y169" s="106"/>
      <c r="Z169" s="47"/>
      <c r="AA169" s="163"/>
      <c r="AB169" s="163"/>
      <c r="AC169" s="46"/>
    </row>
    <row r="170" spans="1:29" s="21" customFormat="1" ht="37.5" customHeight="1">
      <c r="A170" s="174">
        <f t="shared" si="13"/>
        <v>63</v>
      </c>
      <c r="B170" s="255" t="s">
        <v>2205</v>
      </c>
      <c r="C170" s="179">
        <v>1969</v>
      </c>
      <c r="D170" s="378"/>
      <c r="E170" s="176" t="s">
        <v>221</v>
      </c>
      <c r="F170" s="218">
        <v>5</v>
      </c>
      <c r="G170" s="218">
        <v>4</v>
      </c>
      <c r="H170" s="262">
        <v>3590</v>
      </c>
      <c r="I170" s="262">
        <v>3357</v>
      </c>
      <c r="J170" s="373">
        <v>2427</v>
      </c>
      <c r="K170" s="379">
        <v>147</v>
      </c>
      <c r="L170" s="108" t="s">
        <v>33</v>
      </c>
      <c r="M170" s="374">
        <v>2268942</v>
      </c>
      <c r="N170" s="359">
        <v>0</v>
      </c>
      <c r="O170" s="359">
        <v>0</v>
      </c>
      <c r="P170" s="359">
        <v>0</v>
      </c>
      <c r="Q170" s="359">
        <f t="shared" si="11"/>
        <v>2268942</v>
      </c>
      <c r="R170" s="359">
        <f t="shared" si="12"/>
        <v>675.88382484361034</v>
      </c>
      <c r="S170" s="359">
        <v>5115.04</v>
      </c>
      <c r="T170" s="177" t="s">
        <v>232</v>
      </c>
      <c r="V170" s="22"/>
      <c r="X170" s="20"/>
      <c r="Y170" s="106"/>
      <c r="Z170" s="47"/>
      <c r="AA170" s="163"/>
      <c r="AB170" s="163"/>
      <c r="AC170" s="46"/>
    </row>
    <row r="171" spans="1:29" s="21" customFormat="1" ht="37.5" customHeight="1">
      <c r="A171" s="174">
        <f t="shared" si="13"/>
        <v>64</v>
      </c>
      <c r="B171" s="255" t="s">
        <v>2206</v>
      </c>
      <c r="C171" s="179">
        <v>1966</v>
      </c>
      <c r="D171" s="378"/>
      <c r="E171" s="176" t="s">
        <v>221</v>
      </c>
      <c r="F171" s="218">
        <v>5</v>
      </c>
      <c r="G171" s="218">
        <v>4</v>
      </c>
      <c r="H171" s="262">
        <v>3626</v>
      </c>
      <c r="I171" s="262">
        <v>3376</v>
      </c>
      <c r="J171" s="373">
        <v>2461</v>
      </c>
      <c r="K171" s="379">
        <v>151</v>
      </c>
      <c r="L171" s="108" t="s">
        <v>33</v>
      </c>
      <c r="M171" s="374">
        <v>2299943</v>
      </c>
      <c r="N171" s="359">
        <v>0</v>
      </c>
      <c r="O171" s="359">
        <v>0</v>
      </c>
      <c r="P171" s="359">
        <v>0</v>
      </c>
      <c r="Q171" s="359">
        <f t="shared" si="11"/>
        <v>2299943</v>
      </c>
      <c r="R171" s="359">
        <f t="shared" si="12"/>
        <v>681.2627369668246</v>
      </c>
      <c r="S171" s="359">
        <v>5115.04</v>
      </c>
      <c r="T171" s="177" t="s">
        <v>232</v>
      </c>
      <c r="V171" s="22"/>
      <c r="X171" s="20"/>
      <c r="Y171" s="106"/>
      <c r="Z171" s="47"/>
      <c r="AA171" s="163"/>
      <c r="AB171" s="163"/>
      <c r="AC171" s="46"/>
    </row>
    <row r="172" spans="1:29" s="21" customFormat="1" ht="37.5" customHeight="1">
      <c r="A172" s="174">
        <f t="shared" si="13"/>
        <v>65</v>
      </c>
      <c r="B172" s="308" t="s">
        <v>2207</v>
      </c>
      <c r="C172" s="179">
        <v>1959</v>
      </c>
      <c r="D172" s="167"/>
      <c r="E172" s="179" t="s">
        <v>221</v>
      </c>
      <c r="F172" s="175">
        <v>4</v>
      </c>
      <c r="G172" s="175">
        <v>4</v>
      </c>
      <c r="H172" s="262">
        <v>3104</v>
      </c>
      <c r="I172" s="262">
        <v>2482.5</v>
      </c>
      <c r="J172" s="262">
        <v>1342.6</v>
      </c>
      <c r="K172" s="386">
        <v>153</v>
      </c>
      <c r="L172" s="387" t="s">
        <v>33</v>
      </c>
      <c r="M172" s="374">
        <v>2678172</v>
      </c>
      <c r="N172" s="358">
        <v>0</v>
      </c>
      <c r="O172" s="358">
        <v>0</v>
      </c>
      <c r="P172" s="358">
        <v>0</v>
      </c>
      <c r="Q172" s="359">
        <f t="shared" si="11"/>
        <v>2678172</v>
      </c>
      <c r="R172" s="359">
        <f t="shared" si="12"/>
        <v>1078.8205438066466</v>
      </c>
      <c r="S172" s="359">
        <v>5115.04</v>
      </c>
      <c r="T172" s="177" t="s">
        <v>232</v>
      </c>
      <c r="V172" s="22"/>
      <c r="X172" s="20"/>
      <c r="Y172" s="106"/>
      <c r="Z172" s="47"/>
      <c r="AA172" s="163"/>
      <c r="AB172" s="163"/>
      <c r="AC172" s="46"/>
    </row>
    <row r="173" spans="1:29" s="21" customFormat="1" ht="37.5" customHeight="1">
      <c r="A173" s="174">
        <f t="shared" si="13"/>
        <v>66</v>
      </c>
      <c r="B173" s="255" t="s">
        <v>2208</v>
      </c>
      <c r="C173" s="179">
        <v>1982</v>
      </c>
      <c r="D173" s="378"/>
      <c r="E173" s="176" t="s">
        <v>221</v>
      </c>
      <c r="F173" s="218">
        <v>5</v>
      </c>
      <c r="G173" s="218">
        <v>6</v>
      </c>
      <c r="H173" s="262">
        <v>4183</v>
      </c>
      <c r="I173" s="262">
        <v>4183</v>
      </c>
      <c r="J173" s="373">
        <v>3931.3</v>
      </c>
      <c r="K173" s="379">
        <v>205</v>
      </c>
      <c r="L173" s="108" t="s">
        <v>33</v>
      </c>
      <c r="M173" s="374">
        <v>3404299</v>
      </c>
      <c r="N173" s="359">
        <v>0</v>
      </c>
      <c r="O173" s="359">
        <v>0</v>
      </c>
      <c r="P173" s="359">
        <v>0</v>
      </c>
      <c r="Q173" s="359">
        <f t="shared" si="11"/>
        <v>3404299</v>
      </c>
      <c r="R173" s="359">
        <f t="shared" si="12"/>
        <v>813.8415013148458</v>
      </c>
      <c r="S173" s="359">
        <v>5115.04</v>
      </c>
      <c r="T173" s="177" t="s">
        <v>232</v>
      </c>
      <c r="V173" s="22"/>
      <c r="X173" s="20"/>
      <c r="Y173" s="106"/>
      <c r="Z173" s="47"/>
      <c r="AA173" s="163"/>
      <c r="AB173" s="163"/>
      <c r="AC173" s="46"/>
    </row>
    <row r="174" spans="1:29" s="21" customFormat="1" ht="37.5" customHeight="1">
      <c r="A174" s="174">
        <f t="shared" si="13"/>
        <v>67</v>
      </c>
      <c r="B174" s="255" t="s">
        <v>2209</v>
      </c>
      <c r="C174" s="179">
        <v>1972</v>
      </c>
      <c r="D174" s="378"/>
      <c r="E174" s="176" t="s">
        <v>221</v>
      </c>
      <c r="F174" s="218">
        <v>2</v>
      </c>
      <c r="G174" s="218">
        <v>2</v>
      </c>
      <c r="H174" s="262">
        <v>849</v>
      </c>
      <c r="I174" s="262">
        <v>775.7</v>
      </c>
      <c r="J174" s="373">
        <v>713.4</v>
      </c>
      <c r="K174" s="379">
        <v>52</v>
      </c>
      <c r="L174" s="108" t="s">
        <v>33</v>
      </c>
      <c r="M174" s="374">
        <v>1321295.3500000001</v>
      </c>
      <c r="N174" s="359">
        <v>0</v>
      </c>
      <c r="O174" s="359">
        <v>0</v>
      </c>
      <c r="P174" s="359">
        <v>0</v>
      </c>
      <c r="Q174" s="359">
        <f t="shared" si="11"/>
        <v>1321295.3500000001</v>
      </c>
      <c r="R174" s="359">
        <f t="shared" si="12"/>
        <v>1703.358708263504</v>
      </c>
      <c r="S174" s="359">
        <v>5115.04</v>
      </c>
      <c r="T174" s="177" t="s">
        <v>232</v>
      </c>
      <c r="V174" s="22"/>
      <c r="X174" s="20"/>
      <c r="Y174" s="106"/>
      <c r="Z174" s="47"/>
      <c r="AA174" s="163"/>
      <c r="AB174" s="163"/>
      <c r="AC174" s="46"/>
    </row>
    <row r="175" spans="1:29" s="21" customFormat="1" ht="37.5" customHeight="1">
      <c r="A175" s="174">
        <f t="shared" si="13"/>
        <v>68</v>
      </c>
      <c r="B175" s="255" t="s">
        <v>2210</v>
      </c>
      <c r="C175" s="179">
        <v>1972</v>
      </c>
      <c r="D175" s="378"/>
      <c r="E175" s="176" t="s">
        <v>221</v>
      </c>
      <c r="F175" s="218">
        <v>2</v>
      </c>
      <c r="G175" s="218">
        <v>2</v>
      </c>
      <c r="H175" s="262">
        <v>798</v>
      </c>
      <c r="I175" s="262">
        <v>734</v>
      </c>
      <c r="J175" s="373">
        <v>599</v>
      </c>
      <c r="K175" s="379">
        <v>32</v>
      </c>
      <c r="L175" s="108" t="s">
        <v>33</v>
      </c>
      <c r="M175" s="374">
        <v>1275413.1000000001</v>
      </c>
      <c r="N175" s="359">
        <v>0</v>
      </c>
      <c r="O175" s="359">
        <v>0</v>
      </c>
      <c r="P175" s="359">
        <v>0</v>
      </c>
      <c r="Q175" s="359">
        <f t="shared" si="11"/>
        <v>1275413.1000000001</v>
      </c>
      <c r="R175" s="359">
        <f t="shared" si="12"/>
        <v>1737.6200272479566</v>
      </c>
      <c r="S175" s="359">
        <v>5115.04</v>
      </c>
      <c r="T175" s="177" t="s">
        <v>232</v>
      </c>
      <c r="V175" s="22"/>
      <c r="X175" s="20"/>
      <c r="Y175" s="106"/>
      <c r="Z175" s="47"/>
      <c r="AA175" s="163"/>
      <c r="AB175" s="163"/>
      <c r="AC175" s="46"/>
    </row>
    <row r="176" spans="1:29" s="21" customFormat="1" ht="37.5" customHeight="1">
      <c r="A176" s="174">
        <f t="shared" si="13"/>
        <v>69</v>
      </c>
      <c r="B176" s="388" t="s">
        <v>2211</v>
      </c>
      <c r="C176" s="371">
        <v>1982</v>
      </c>
      <c r="D176" s="389"/>
      <c r="E176" s="167" t="s">
        <v>221</v>
      </c>
      <c r="F176" s="390">
        <v>5</v>
      </c>
      <c r="G176" s="390">
        <v>6</v>
      </c>
      <c r="H176" s="391">
        <v>4633</v>
      </c>
      <c r="I176" s="391">
        <v>4618.1000000000004</v>
      </c>
      <c r="J176" s="391">
        <v>4276.5</v>
      </c>
      <c r="K176" s="218">
        <v>251</v>
      </c>
      <c r="L176" s="360" t="s">
        <v>224</v>
      </c>
      <c r="M176" s="374">
        <v>2688637.48</v>
      </c>
      <c r="N176" s="358">
        <v>0</v>
      </c>
      <c r="O176" s="358">
        <v>0</v>
      </c>
      <c r="P176" s="358">
        <v>0</v>
      </c>
      <c r="Q176" s="359">
        <f t="shared" si="11"/>
        <v>2688637.48</v>
      </c>
      <c r="R176" s="359">
        <f t="shared" si="12"/>
        <v>582.19559559126037</v>
      </c>
      <c r="S176" s="359">
        <v>5115.04</v>
      </c>
      <c r="T176" s="177" t="s">
        <v>232</v>
      </c>
      <c r="X176" s="20"/>
      <c r="Y176" s="106"/>
      <c r="Z176" s="47"/>
      <c r="AA176" s="163"/>
      <c r="AB176" s="163"/>
      <c r="AC176" s="46"/>
    </row>
    <row r="177" spans="1:29" s="21" customFormat="1" ht="37.5" customHeight="1">
      <c r="A177" s="174">
        <f t="shared" si="13"/>
        <v>70</v>
      </c>
      <c r="B177" s="255" t="s">
        <v>2212</v>
      </c>
      <c r="C177" s="179">
        <v>1960</v>
      </c>
      <c r="D177" s="378"/>
      <c r="E177" s="176" t="s">
        <v>221</v>
      </c>
      <c r="F177" s="218">
        <v>3</v>
      </c>
      <c r="G177" s="218">
        <v>3</v>
      </c>
      <c r="H177" s="262">
        <v>1506</v>
      </c>
      <c r="I177" s="262">
        <v>1506</v>
      </c>
      <c r="J177" s="262">
        <v>1506</v>
      </c>
      <c r="K177" s="379">
        <v>72</v>
      </c>
      <c r="L177" s="108" t="s">
        <v>33</v>
      </c>
      <c r="M177" s="374">
        <v>2178305.04</v>
      </c>
      <c r="N177" s="359">
        <v>0</v>
      </c>
      <c r="O177" s="359">
        <v>0</v>
      </c>
      <c r="P177" s="359">
        <v>0</v>
      </c>
      <c r="Q177" s="359">
        <f t="shared" si="11"/>
        <v>2178305.04</v>
      </c>
      <c r="R177" s="359">
        <f t="shared" si="12"/>
        <v>1446.417689243028</v>
      </c>
      <c r="S177" s="359">
        <v>5115.04</v>
      </c>
      <c r="T177" s="177" t="s">
        <v>232</v>
      </c>
      <c r="V177" s="22"/>
      <c r="X177" s="20"/>
      <c r="Y177" s="106"/>
      <c r="Z177" s="47"/>
      <c r="AA177" s="163"/>
      <c r="AB177" s="163"/>
      <c r="AC177" s="46"/>
    </row>
    <row r="178" spans="1:29" s="21" customFormat="1" ht="37.5" customHeight="1">
      <c r="A178" s="174">
        <f t="shared" si="13"/>
        <v>71</v>
      </c>
      <c r="B178" s="255" t="s">
        <v>2213</v>
      </c>
      <c r="C178" s="179">
        <v>1959</v>
      </c>
      <c r="D178" s="378"/>
      <c r="E178" s="176" t="s">
        <v>221</v>
      </c>
      <c r="F178" s="218">
        <v>5</v>
      </c>
      <c r="G178" s="218">
        <v>4</v>
      </c>
      <c r="H178" s="262">
        <v>3844</v>
      </c>
      <c r="I178" s="262">
        <v>3075.9</v>
      </c>
      <c r="J178" s="373">
        <v>2982.1</v>
      </c>
      <c r="K178" s="379">
        <v>165</v>
      </c>
      <c r="L178" s="108" t="s">
        <v>33</v>
      </c>
      <c r="M178" s="374">
        <v>3248610</v>
      </c>
      <c r="N178" s="359">
        <v>0</v>
      </c>
      <c r="O178" s="359">
        <v>0</v>
      </c>
      <c r="P178" s="359">
        <v>0</v>
      </c>
      <c r="Q178" s="359">
        <f t="shared" si="11"/>
        <v>3248610</v>
      </c>
      <c r="R178" s="359">
        <f t="shared" si="12"/>
        <v>1056.1494196820443</v>
      </c>
      <c r="S178" s="359">
        <v>5115.04</v>
      </c>
      <c r="T178" s="177" t="s">
        <v>232</v>
      </c>
      <c r="V178" s="22"/>
      <c r="X178" s="20"/>
      <c r="Y178" s="106"/>
      <c r="Z178" s="47"/>
      <c r="AA178" s="163"/>
      <c r="AB178" s="163"/>
      <c r="AC178" s="46"/>
    </row>
    <row r="179" spans="1:29" s="21" customFormat="1" ht="37.5" customHeight="1">
      <c r="A179" s="174">
        <f t="shared" si="13"/>
        <v>72</v>
      </c>
      <c r="B179" s="255" t="s">
        <v>2214</v>
      </c>
      <c r="C179" s="179">
        <v>1960</v>
      </c>
      <c r="D179" s="378"/>
      <c r="E179" s="176" t="s">
        <v>221</v>
      </c>
      <c r="F179" s="218">
        <v>5</v>
      </c>
      <c r="G179" s="218">
        <v>4</v>
      </c>
      <c r="H179" s="262">
        <v>3105</v>
      </c>
      <c r="I179" s="262">
        <v>3105</v>
      </c>
      <c r="J179" s="373">
        <v>2940.9</v>
      </c>
      <c r="K179" s="379">
        <v>180</v>
      </c>
      <c r="L179" s="108" t="s">
        <v>33</v>
      </c>
      <c r="M179" s="374">
        <v>2562255</v>
      </c>
      <c r="N179" s="359">
        <v>0</v>
      </c>
      <c r="O179" s="359">
        <v>0</v>
      </c>
      <c r="P179" s="359">
        <v>0</v>
      </c>
      <c r="Q179" s="359">
        <f t="shared" si="11"/>
        <v>2562255</v>
      </c>
      <c r="R179" s="359">
        <f t="shared" si="12"/>
        <v>825.20289855072463</v>
      </c>
      <c r="S179" s="359">
        <v>5115.04</v>
      </c>
      <c r="T179" s="177" t="s">
        <v>232</v>
      </c>
      <c r="V179" s="22"/>
      <c r="X179" s="20"/>
      <c r="Y179" s="106"/>
      <c r="Z179" s="47"/>
      <c r="AA179" s="163"/>
      <c r="AB179" s="163"/>
      <c r="AC179" s="46"/>
    </row>
    <row r="180" spans="1:29" s="21" customFormat="1" ht="37.5" customHeight="1">
      <c r="A180" s="174">
        <f t="shared" si="13"/>
        <v>73</v>
      </c>
      <c r="B180" s="255" t="s">
        <v>2215</v>
      </c>
      <c r="C180" s="179">
        <v>1960</v>
      </c>
      <c r="D180" s="378"/>
      <c r="E180" s="176" t="s">
        <v>221</v>
      </c>
      <c r="F180" s="218">
        <v>5</v>
      </c>
      <c r="G180" s="218">
        <v>4</v>
      </c>
      <c r="H180" s="262">
        <v>3908</v>
      </c>
      <c r="I180" s="262">
        <v>3123.3</v>
      </c>
      <c r="J180" s="373">
        <v>2926.6</v>
      </c>
      <c r="K180" s="379">
        <v>165</v>
      </c>
      <c r="L180" s="108" t="s">
        <v>33</v>
      </c>
      <c r="M180" s="374">
        <v>2562255</v>
      </c>
      <c r="N180" s="359">
        <v>0</v>
      </c>
      <c r="O180" s="359">
        <v>0</v>
      </c>
      <c r="P180" s="359">
        <v>0</v>
      </c>
      <c r="Q180" s="359">
        <f t="shared" si="11"/>
        <v>2562255</v>
      </c>
      <c r="R180" s="359">
        <f t="shared" si="12"/>
        <v>820.36788012678892</v>
      </c>
      <c r="S180" s="359">
        <v>5115.04</v>
      </c>
      <c r="T180" s="177" t="s">
        <v>232</v>
      </c>
      <c r="V180" s="22"/>
      <c r="X180" s="20"/>
      <c r="Y180" s="106"/>
      <c r="Z180" s="47"/>
      <c r="AA180" s="163"/>
      <c r="AB180" s="163"/>
      <c r="AC180" s="46"/>
    </row>
    <row r="181" spans="1:29" s="21" customFormat="1" ht="37.5" customHeight="1">
      <c r="A181" s="174">
        <f t="shared" si="13"/>
        <v>74</v>
      </c>
      <c r="B181" s="361" t="s">
        <v>2216</v>
      </c>
      <c r="C181" s="179">
        <v>1958</v>
      </c>
      <c r="D181" s="167"/>
      <c r="E181" s="167" t="s">
        <v>221</v>
      </c>
      <c r="F181" s="218">
        <v>3</v>
      </c>
      <c r="G181" s="218">
        <v>3</v>
      </c>
      <c r="H181" s="262">
        <v>1774</v>
      </c>
      <c r="I181" s="262">
        <v>1419</v>
      </c>
      <c r="J181" s="262">
        <v>1210.0999999999999</v>
      </c>
      <c r="K181" s="218">
        <v>63</v>
      </c>
      <c r="L181" s="383" t="s">
        <v>33</v>
      </c>
      <c r="M181" s="374">
        <v>3720980.09</v>
      </c>
      <c r="N181" s="358">
        <v>0</v>
      </c>
      <c r="O181" s="358">
        <v>0</v>
      </c>
      <c r="P181" s="358">
        <v>0</v>
      </c>
      <c r="Q181" s="359">
        <f t="shared" si="11"/>
        <v>3720980.09</v>
      </c>
      <c r="R181" s="359">
        <f t="shared" si="12"/>
        <v>2622.2551726568004</v>
      </c>
      <c r="S181" s="359">
        <v>5115.04</v>
      </c>
      <c r="T181" s="177" t="s">
        <v>232</v>
      </c>
      <c r="X181" s="20"/>
      <c r="Y181" s="106"/>
      <c r="Z181" s="47"/>
      <c r="AA181" s="163"/>
      <c r="AB181" s="163"/>
      <c r="AC181" s="46"/>
    </row>
    <row r="182" spans="1:29" s="21" customFormat="1" ht="37.5" customHeight="1">
      <c r="A182" s="174">
        <f t="shared" si="13"/>
        <v>75</v>
      </c>
      <c r="B182" s="255" t="s">
        <v>2217</v>
      </c>
      <c r="C182" s="179">
        <v>1990</v>
      </c>
      <c r="D182" s="378"/>
      <c r="E182" s="176" t="s">
        <v>221</v>
      </c>
      <c r="F182" s="218">
        <v>5</v>
      </c>
      <c r="G182" s="218">
        <v>4</v>
      </c>
      <c r="H182" s="262">
        <v>2655</v>
      </c>
      <c r="I182" s="262">
        <v>2655</v>
      </c>
      <c r="J182" s="373">
        <v>2563.6999999999998</v>
      </c>
      <c r="K182" s="379">
        <v>129</v>
      </c>
      <c r="L182" s="108" t="s">
        <v>33</v>
      </c>
      <c r="M182" s="374">
        <v>2560844</v>
      </c>
      <c r="N182" s="359">
        <v>0</v>
      </c>
      <c r="O182" s="359">
        <v>0</v>
      </c>
      <c r="P182" s="359">
        <v>0</v>
      </c>
      <c r="Q182" s="359">
        <f t="shared" si="11"/>
        <v>2560844</v>
      </c>
      <c r="R182" s="359">
        <f t="shared" si="12"/>
        <v>964.53634651600748</v>
      </c>
      <c r="S182" s="359">
        <v>5115.04</v>
      </c>
      <c r="T182" s="177" t="s">
        <v>232</v>
      </c>
      <c r="V182" s="22"/>
      <c r="X182" s="20"/>
      <c r="Y182" s="106"/>
      <c r="Z182" s="47"/>
      <c r="AA182" s="163"/>
      <c r="AB182" s="163"/>
      <c r="AC182" s="46"/>
    </row>
    <row r="183" spans="1:29" s="21" customFormat="1" ht="37.5" customHeight="1">
      <c r="A183" s="174">
        <f t="shared" si="13"/>
        <v>76</v>
      </c>
      <c r="B183" s="255" t="s">
        <v>2222</v>
      </c>
      <c r="C183" s="179">
        <v>1990</v>
      </c>
      <c r="D183" s="378"/>
      <c r="E183" s="179" t="s">
        <v>217</v>
      </c>
      <c r="F183" s="218">
        <v>9</v>
      </c>
      <c r="G183" s="218">
        <v>4</v>
      </c>
      <c r="H183" s="262">
        <v>8795</v>
      </c>
      <c r="I183" s="262">
        <v>7768.5</v>
      </c>
      <c r="J183" s="373">
        <v>7512.4</v>
      </c>
      <c r="K183" s="379">
        <v>448</v>
      </c>
      <c r="L183" s="108" t="s">
        <v>33</v>
      </c>
      <c r="M183" s="374">
        <v>3092876</v>
      </c>
      <c r="N183" s="359">
        <v>0</v>
      </c>
      <c r="O183" s="359">
        <v>0</v>
      </c>
      <c r="P183" s="359">
        <v>0</v>
      </c>
      <c r="Q183" s="359">
        <f t="shared" ref="Q183:Q207" si="14">M183</f>
        <v>3092876</v>
      </c>
      <c r="R183" s="359">
        <f t="shared" ref="R183:R207" si="15">M183/I183</f>
        <v>398.13039840381026</v>
      </c>
      <c r="S183" s="359">
        <v>5115.04</v>
      </c>
      <c r="T183" s="177" t="s">
        <v>232</v>
      </c>
      <c r="V183" s="22"/>
      <c r="X183" s="20"/>
      <c r="Y183" s="106"/>
      <c r="Z183" s="47"/>
      <c r="AA183" s="163"/>
      <c r="AB183" s="163"/>
      <c r="AC183" s="46"/>
    </row>
    <row r="184" spans="1:29" s="21" customFormat="1" ht="37.5" customHeight="1">
      <c r="A184" s="174">
        <f t="shared" si="13"/>
        <v>77</v>
      </c>
      <c r="B184" s="255" t="s">
        <v>2223</v>
      </c>
      <c r="C184" s="179">
        <v>1959</v>
      </c>
      <c r="D184" s="378"/>
      <c r="E184" s="176" t="s">
        <v>221</v>
      </c>
      <c r="F184" s="218">
        <v>4</v>
      </c>
      <c r="G184" s="218">
        <v>4</v>
      </c>
      <c r="H184" s="262">
        <v>2558</v>
      </c>
      <c r="I184" s="262">
        <v>2047.8</v>
      </c>
      <c r="J184" s="373">
        <v>2047.8</v>
      </c>
      <c r="K184" s="379">
        <v>66</v>
      </c>
      <c r="L184" s="108" t="s">
        <v>246</v>
      </c>
      <c r="M184" s="374">
        <v>2317024</v>
      </c>
      <c r="N184" s="359">
        <v>0</v>
      </c>
      <c r="O184" s="359">
        <v>0</v>
      </c>
      <c r="P184" s="359">
        <v>0</v>
      </c>
      <c r="Q184" s="359">
        <f t="shared" si="14"/>
        <v>2317024</v>
      </c>
      <c r="R184" s="359">
        <f t="shared" si="15"/>
        <v>1131.4698701045024</v>
      </c>
      <c r="S184" s="359">
        <v>5115.04</v>
      </c>
      <c r="T184" s="177" t="s">
        <v>232</v>
      </c>
      <c r="V184" s="22"/>
      <c r="X184" s="20"/>
      <c r="Y184" s="106"/>
      <c r="Z184" s="47"/>
      <c r="AA184" s="163"/>
      <c r="AB184" s="163"/>
      <c r="AC184" s="46"/>
    </row>
    <row r="185" spans="1:29" s="21" customFormat="1" ht="37.5" customHeight="1">
      <c r="A185" s="174">
        <f t="shared" ref="A185:A211" si="16">A184+1</f>
        <v>78</v>
      </c>
      <c r="B185" s="255" t="s">
        <v>2224</v>
      </c>
      <c r="C185" s="179">
        <v>1958</v>
      </c>
      <c r="D185" s="378"/>
      <c r="E185" s="176" t="s">
        <v>221</v>
      </c>
      <c r="F185" s="218">
        <v>5</v>
      </c>
      <c r="G185" s="218">
        <v>4</v>
      </c>
      <c r="H185" s="262">
        <v>3106</v>
      </c>
      <c r="I185" s="262">
        <v>2484.4</v>
      </c>
      <c r="J185" s="373">
        <v>2484.4</v>
      </c>
      <c r="K185" s="379">
        <v>98</v>
      </c>
      <c r="L185" s="108" t="s">
        <v>33</v>
      </c>
      <c r="M185" s="374">
        <v>3893144</v>
      </c>
      <c r="N185" s="359">
        <v>0</v>
      </c>
      <c r="O185" s="359">
        <v>0</v>
      </c>
      <c r="P185" s="359">
        <v>0</v>
      </c>
      <c r="Q185" s="359">
        <f t="shared" si="14"/>
        <v>3893144</v>
      </c>
      <c r="R185" s="359">
        <f t="shared" si="15"/>
        <v>1567.0359040412172</v>
      </c>
      <c r="S185" s="359">
        <v>5115.04</v>
      </c>
      <c r="T185" s="177" t="s">
        <v>232</v>
      </c>
      <c r="V185" s="22"/>
      <c r="X185" s="20"/>
      <c r="Y185" s="106"/>
      <c r="Z185" s="47"/>
      <c r="AA185" s="163"/>
      <c r="AB185" s="163"/>
      <c r="AC185" s="46"/>
    </row>
    <row r="186" spans="1:29" s="21" customFormat="1" ht="37.5" customHeight="1">
      <c r="A186" s="174">
        <f t="shared" si="16"/>
        <v>79</v>
      </c>
      <c r="B186" s="361" t="s">
        <v>2227</v>
      </c>
      <c r="C186" s="179">
        <v>1999</v>
      </c>
      <c r="D186" s="179"/>
      <c r="E186" s="167" t="s">
        <v>221</v>
      </c>
      <c r="F186" s="218">
        <v>5</v>
      </c>
      <c r="G186" s="218">
        <v>4</v>
      </c>
      <c r="H186" s="262">
        <v>6415</v>
      </c>
      <c r="I186" s="262">
        <v>4908.5</v>
      </c>
      <c r="J186" s="262">
        <v>4908.5</v>
      </c>
      <c r="K186" s="218">
        <v>179</v>
      </c>
      <c r="L186" s="174" t="s">
        <v>33</v>
      </c>
      <c r="M186" s="374">
        <v>2378477</v>
      </c>
      <c r="N186" s="358">
        <v>0</v>
      </c>
      <c r="O186" s="358">
        <v>0</v>
      </c>
      <c r="P186" s="358">
        <v>0</v>
      </c>
      <c r="Q186" s="359">
        <f t="shared" si="14"/>
        <v>2378477</v>
      </c>
      <c r="R186" s="359">
        <f>M186/I186</f>
        <v>484.56290108994602</v>
      </c>
      <c r="S186" s="359">
        <v>5115.04</v>
      </c>
      <c r="T186" s="177" t="s">
        <v>232</v>
      </c>
      <c r="X186" s="20"/>
      <c r="Y186" s="106"/>
      <c r="Z186" s="47"/>
      <c r="AA186" s="163"/>
      <c r="AB186" s="163"/>
      <c r="AC186" s="46"/>
    </row>
    <row r="187" spans="1:29" s="21" customFormat="1" ht="37.5" customHeight="1">
      <c r="A187" s="174">
        <f t="shared" si="16"/>
        <v>80</v>
      </c>
      <c r="B187" s="255" t="s">
        <v>2229</v>
      </c>
      <c r="C187" s="179">
        <v>1957</v>
      </c>
      <c r="D187" s="378"/>
      <c r="E187" s="176" t="s">
        <v>221</v>
      </c>
      <c r="F187" s="218">
        <v>3</v>
      </c>
      <c r="G187" s="218">
        <v>3</v>
      </c>
      <c r="H187" s="262">
        <v>1449</v>
      </c>
      <c r="I187" s="262">
        <v>1159</v>
      </c>
      <c r="J187" s="373">
        <v>1159</v>
      </c>
      <c r="K187" s="379">
        <v>47</v>
      </c>
      <c r="L187" s="108" t="s">
        <v>238</v>
      </c>
      <c r="M187" s="374">
        <v>883079.09</v>
      </c>
      <c r="N187" s="359">
        <v>0</v>
      </c>
      <c r="O187" s="359">
        <v>0</v>
      </c>
      <c r="P187" s="359">
        <v>0</v>
      </c>
      <c r="Q187" s="359">
        <f t="shared" si="14"/>
        <v>883079.09</v>
      </c>
      <c r="R187" s="359">
        <f t="shared" si="15"/>
        <v>761.93191544434853</v>
      </c>
      <c r="S187" s="359">
        <v>5115.04</v>
      </c>
      <c r="T187" s="177" t="s">
        <v>232</v>
      </c>
      <c r="V187" s="22"/>
      <c r="X187" s="20"/>
      <c r="Y187" s="106"/>
      <c r="Z187" s="47"/>
      <c r="AA187" s="163"/>
      <c r="AB187" s="163"/>
      <c r="AC187" s="46"/>
    </row>
    <row r="188" spans="1:29" s="21" customFormat="1" ht="37.5" customHeight="1">
      <c r="A188" s="174">
        <f t="shared" si="16"/>
        <v>81</v>
      </c>
      <c r="B188" s="255" t="s">
        <v>2230</v>
      </c>
      <c r="C188" s="179">
        <v>1983</v>
      </c>
      <c r="D188" s="378"/>
      <c r="E188" s="176" t="s">
        <v>221</v>
      </c>
      <c r="F188" s="218">
        <v>5</v>
      </c>
      <c r="G188" s="218">
        <v>6</v>
      </c>
      <c r="H188" s="262">
        <v>6352</v>
      </c>
      <c r="I188" s="262">
        <v>6342.1</v>
      </c>
      <c r="J188" s="373">
        <v>5921.6</v>
      </c>
      <c r="K188" s="379">
        <v>296</v>
      </c>
      <c r="L188" s="108" t="s">
        <v>33</v>
      </c>
      <c r="M188" s="374">
        <v>4320841</v>
      </c>
      <c r="N188" s="359">
        <v>0</v>
      </c>
      <c r="O188" s="359">
        <v>0</v>
      </c>
      <c r="P188" s="359">
        <v>0</v>
      </c>
      <c r="Q188" s="359">
        <f t="shared" si="14"/>
        <v>4320841</v>
      </c>
      <c r="R188" s="359">
        <f t="shared" si="15"/>
        <v>681.29499692530862</v>
      </c>
      <c r="S188" s="359">
        <v>5115.04</v>
      </c>
      <c r="T188" s="177" t="s">
        <v>232</v>
      </c>
      <c r="V188" s="22"/>
      <c r="X188" s="20"/>
      <c r="Y188" s="106"/>
      <c r="Z188" s="47"/>
      <c r="AA188" s="163"/>
      <c r="AB188" s="163"/>
      <c r="AC188" s="46"/>
    </row>
    <row r="189" spans="1:29" s="21" customFormat="1" ht="37.5" customHeight="1">
      <c r="A189" s="174">
        <f t="shared" si="16"/>
        <v>82</v>
      </c>
      <c r="B189" s="255" t="s">
        <v>2232</v>
      </c>
      <c r="C189" s="179">
        <v>1987</v>
      </c>
      <c r="D189" s="378"/>
      <c r="E189" s="176" t="s">
        <v>221</v>
      </c>
      <c r="F189" s="218">
        <v>5</v>
      </c>
      <c r="G189" s="218">
        <v>3</v>
      </c>
      <c r="H189" s="262">
        <v>2418</v>
      </c>
      <c r="I189" s="262">
        <v>2149.8000000000002</v>
      </c>
      <c r="J189" s="373">
        <v>1930.2</v>
      </c>
      <c r="K189" s="379">
        <v>110</v>
      </c>
      <c r="L189" s="108" t="s">
        <v>33</v>
      </c>
      <c r="M189" s="374">
        <v>1682971</v>
      </c>
      <c r="N189" s="359">
        <v>0</v>
      </c>
      <c r="O189" s="359">
        <v>0</v>
      </c>
      <c r="P189" s="359">
        <v>0</v>
      </c>
      <c r="Q189" s="359">
        <f t="shared" si="14"/>
        <v>1682971</v>
      </c>
      <c r="R189" s="359">
        <f t="shared" si="15"/>
        <v>782.8500325611684</v>
      </c>
      <c r="S189" s="359">
        <v>5115.04</v>
      </c>
      <c r="T189" s="177" t="s">
        <v>232</v>
      </c>
      <c r="V189" s="22"/>
      <c r="X189" s="20"/>
      <c r="Y189" s="106"/>
      <c r="Z189" s="47"/>
      <c r="AA189" s="163"/>
      <c r="AB189" s="163"/>
      <c r="AC189" s="46"/>
    </row>
    <row r="190" spans="1:29" s="21" customFormat="1" ht="37.5" customHeight="1">
      <c r="A190" s="174">
        <f t="shared" si="16"/>
        <v>83</v>
      </c>
      <c r="B190" s="255" t="s">
        <v>2234</v>
      </c>
      <c r="C190" s="179">
        <v>1959</v>
      </c>
      <c r="D190" s="378"/>
      <c r="E190" s="176" t="s">
        <v>221</v>
      </c>
      <c r="F190" s="218">
        <v>2</v>
      </c>
      <c r="G190" s="218">
        <v>2</v>
      </c>
      <c r="H190" s="262">
        <v>781</v>
      </c>
      <c r="I190" s="262">
        <v>617.70000000000005</v>
      </c>
      <c r="J190" s="373">
        <v>617.70000000000005</v>
      </c>
      <c r="K190" s="379">
        <v>38</v>
      </c>
      <c r="L190" s="108" t="s">
        <v>33</v>
      </c>
      <c r="M190" s="374">
        <v>1546426.46</v>
      </c>
      <c r="N190" s="359">
        <v>0</v>
      </c>
      <c r="O190" s="359">
        <v>0</v>
      </c>
      <c r="P190" s="359">
        <v>0</v>
      </c>
      <c r="Q190" s="359">
        <f t="shared" si="14"/>
        <v>1546426.46</v>
      </c>
      <c r="R190" s="359">
        <f t="shared" si="15"/>
        <v>2503.5234903674923</v>
      </c>
      <c r="S190" s="359">
        <v>5115.04</v>
      </c>
      <c r="T190" s="177" t="s">
        <v>232</v>
      </c>
      <c r="V190" s="22"/>
      <c r="X190" s="20"/>
      <c r="Y190" s="106"/>
      <c r="Z190" s="47"/>
      <c r="AA190" s="163"/>
      <c r="AB190" s="163"/>
      <c r="AC190" s="46"/>
    </row>
    <row r="191" spans="1:29" s="21" customFormat="1" ht="37.5" customHeight="1">
      <c r="A191" s="174">
        <f t="shared" si="16"/>
        <v>84</v>
      </c>
      <c r="B191" s="306" t="s">
        <v>2235</v>
      </c>
      <c r="C191" s="179">
        <v>1957</v>
      </c>
      <c r="D191" s="179"/>
      <c r="E191" s="167" t="s">
        <v>221</v>
      </c>
      <c r="F191" s="218">
        <v>2</v>
      </c>
      <c r="G191" s="218">
        <v>1</v>
      </c>
      <c r="H191" s="262">
        <v>763</v>
      </c>
      <c r="I191" s="262">
        <v>555.9</v>
      </c>
      <c r="J191" s="262">
        <v>555.9</v>
      </c>
      <c r="K191" s="218">
        <v>56</v>
      </c>
      <c r="L191" s="174" t="s">
        <v>33</v>
      </c>
      <c r="M191" s="374">
        <v>1949213.76</v>
      </c>
      <c r="N191" s="358">
        <v>0</v>
      </c>
      <c r="O191" s="358">
        <v>0</v>
      </c>
      <c r="P191" s="358">
        <v>0</v>
      </c>
      <c r="Q191" s="359">
        <f t="shared" si="14"/>
        <v>1949213.76</v>
      </c>
      <c r="R191" s="359">
        <f t="shared" si="15"/>
        <v>3506.4107933081491</v>
      </c>
      <c r="S191" s="359">
        <v>5115.04</v>
      </c>
      <c r="T191" s="177" t="s">
        <v>232</v>
      </c>
      <c r="V191" s="22"/>
      <c r="X191" s="20"/>
      <c r="Y191" s="106"/>
      <c r="Z191" s="47"/>
      <c r="AA191" s="163"/>
      <c r="AB191" s="163"/>
      <c r="AC191" s="46"/>
    </row>
    <row r="192" spans="1:29" s="21" customFormat="1" ht="37.5" customHeight="1">
      <c r="A192" s="174">
        <f t="shared" si="16"/>
        <v>85</v>
      </c>
      <c r="B192" s="255" t="s">
        <v>2236</v>
      </c>
      <c r="C192" s="179">
        <v>1984</v>
      </c>
      <c r="D192" s="378"/>
      <c r="E192" s="176" t="s">
        <v>221</v>
      </c>
      <c r="F192" s="218">
        <v>5</v>
      </c>
      <c r="G192" s="218">
        <v>9</v>
      </c>
      <c r="H192" s="262">
        <v>5567</v>
      </c>
      <c r="I192" s="262">
        <v>5391.3</v>
      </c>
      <c r="J192" s="373">
        <v>5391.3</v>
      </c>
      <c r="K192" s="379">
        <v>282</v>
      </c>
      <c r="L192" s="108" t="s">
        <v>238</v>
      </c>
      <c r="M192" s="374">
        <v>3550143.18</v>
      </c>
      <c r="N192" s="358">
        <v>0</v>
      </c>
      <c r="O192" s="358">
        <v>0</v>
      </c>
      <c r="P192" s="358">
        <v>0</v>
      </c>
      <c r="Q192" s="359">
        <f t="shared" ref="Q192:Q197" si="17">M192</f>
        <v>3550143.18</v>
      </c>
      <c r="R192" s="359">
        <f t="shared" ref="R192:R197" si="18">M192/I192</f>
        <v>658.49483056034728</v>
      </c>
      <c r="S192" s="359">
        <v>5115.04</v>
      </c>
      <c r="T192" s="177" t="s">
        <v>232</v>
      </c>
      <c r="V192" s="22"/>
      <c r="X192" s="20"/>
      <c r="Y192" s="106"/>
      <c r="Z192" s="47"/>
      <c r="AA192" s="163"/>
      <c r="AB192" s="163"/>
      <c r="AC192" s="46"/>
    </row>
    <row r="193" spans="1:29" s="21" customFormat="1" ht="37.5" customHeight="1">
      <c r="A193" s="174">
        <f t="shared" si="16"/>
        <v>86</v>
      </c>
      <c r="B193" s="255" t="s">
        <v>2237</v>
      </c>
      <c r="C193" s="179">
        <v>1962</v>
      </c>
      <c r="D193" s="378"/>
      <c r="E193" s="176" t="s">
        <v>221</v>
      </c>
      <c r="F193" s="218">
        <v>5</v>
      </c>
      <c r="G193" s="218">
        <v>2</v>
      </c>
      <c r="H193" s="262">
        <v>1581</v>
      </c>
      <c r="I193" s="262">
        <v>1581</v>
      </c>
      <c r="J193" s="262">
        <v>1581</v>
      </c>
      <c r="K193" s="379">
        <v>123</v>
      </c>
      <c r="L193" s="108" t="s">
        <v>33</v>
      </c>
      <c r="M193" s="374">
        <v>1182153.6200000001</v>
      </c>
      <c r="N193" s="358">
        <v>0</v>
      </c>
      <c r="O193" s="358">
        <v>0</v>
      </c>
      <c r="P193" s="358">
        <v>0</v>
      </c>
      <c r="Q193" s="359">
        <f t="shared" si="17"/>
        <v>1182153.6200000001</v>
      </c>
      <c r="R193" s="359">
        <f t="shared" si="18"/>
        <v>747.72524984187226</v>
      </c>
      <c r="S193" s="359">
        <v>5115.04</v>
      </c>
      <c r="T193" s="177" t="s">
        <v>232</v>
      </c>
      <c r="V193" s="22"/>
      <c r="X193" s="20"/>
      <c r="Y193" s="106"/>
      <c r="Z193" s="47"/>
      <c r="AA193" s="163"/>
      <c r="AB193" s="163"/>
      <c r="AC193" s="46"/>
    </row>
    <row r="194" spans="1:29" s="154" customFormat="1" ht="37.5" customHeight="1">
      <c r="A194" s="174">
        <f t="shared" si="16"/>
        <v>87</v>
      </c>
      <c r="B194" s="190" t="s">
        <v>2251</v>
      </c>
      <c r="C194" s="240">
        <v>1978</v>
      </c>
      <c r="D194" s="186"/>
      <c r="E194" s="186" t="s">
        <v>221</v>
      </c>
      <c r="F194" s="217">
        <v>5</v>
      </c>
      <c r="G194" s="217">
        <v>6</v>
      </c>
      <c r="H194" s="426">
        <v>4532</v>
      </c>
      <c r="I194" s="426">
        <v>4193</v>
      </c>
      <c r="J194" s="426">
        <v>4193</v>
      </c>
      <c r="K194" s="217">
        <v>238</v>
      </c>
      <c r="L194" s="239" t="s">
        <v>30</v>
      </c>
      <c r="M194" s="374">
        <v>2855465</v>
      </c>
      <c r="N194" s="358">
        <v>0</v>
      </c>
      <c r="O194" s="358">
        <v>0</v>
      </c>
      <c r="P194" s="358">
        <v>0</v>
      </c>
      <c r="Q194" s="359">
        <f t="shared" si="17"/>
        <v>2855465</v>
      </c>
      <c r="R194" s="359">
        <f t="shared" si="18"/>
        <v>681.00763176723115</v>
      </c>
      <c r="S194" s="425">
        <v>5115.04</v>
      </c>
      <c r="T194" s="392" t="s">
        <v>232</v>
      </c>
      <c r="X194" s="112"/>
      <c r="Y194" s="422"/>
      <c r="Z194" s="178"/>
      <c r="AA194" s="170"/>
      <c r="AB194" s="170"/>
      <c r="AC194" s="247"/>
    </row>
    <row r="195" spans="1:29" s="21" customFormat="1" ht="37.5" customHeight="1">
      <c r="A195" s="174">
        <f t="shared" si="16"/>
        <v>88</v>
      </c>
      <c r="B195" s="388" t="s">
        <v>2239</v>
      </c>
      <c r="C195" s="371">
        <v>2001</v>
      </c>
      <c r="D195" s="389"/>
      <c r="E195" s="167" t="s">
        <v>221</v>
      </c>
      <c r="F195" s="390">
        <v>5</v>
      </c>
      <c r="G195" s="390">
        <v>2</v>
      </c>
      <c r="H195" s="391">
        <v>3398</v>
      </c>
      <c r="I195" s="391">
        <v>2567.3000000000002</v>
      </c>
      <c r="J195" s="391">
        <v>2494.6999999999998</v>
      </c>
      <c r="K195" s="218">
        <v>113</v>
      </c>
      <c r="L195" s="360" t="s">
        <v>238</v>
      </c>
      <c r="M195" s="374">
        <v>2115169.09</v>
      </c>
      <c r="N195" s="358">
        <v>0</v>
      </c>
      <c r="O195" s="358">
        <v>0</v>
      </c>
      <c r="P195" s="358">
        <v>0</v>
      </c>
      <c r="Q195" s="359">
        <f t="shared" si="17"/>
        <v>2115169.09</v>
      </c>
      <c r="R195" s="359">
        <f t="shared" si="18"/>
        <v>823.88855607057985</v>
      </c>
      <c r="S195" s="359">
        <v>5115.04</v>
      </c>
      <c r="T195" s="177" t="s">
        <v>232</v>
      </c>
      <c r="X195" s="20"/>
      <c r="Y195" s="106"/>
      <c r="Z195" s="47"/>
      <c r="AA195" s="163"/>
      <c r="AB195" s="163"/>
      <c r="AC195" s="46"/>
    </row>
    <row r="196" spans="1:29" s="21" customFormat="1" ht="37.5" customHeight="1">
      <c r="A196" s="174">
        <f t="shared" si="16"/>
        <v>89</v>
      </c>
      <c r="B196" s="255" t="s">
        <v>2240</v>
      </c>
      <c r="C196" s="179">
        <v>1966</v>
      </c>
      <c r="D196" s="378"/>
      <c r="E196" s="176" t="s">
        <v>221</v>
      </c>
      <c r="F196" s="218">
        <v>5</v>
      </c>
      <c r="G196" s="218">
        <v>6</v>
      </c>
      <c r="H196" s="262">
        <v>4490</v>
      </c>
      <c r="I196" s="262">
        <v>4487.2</v>
      </c>
      <c r="J196" s="373">
        <v>4203.8</v>
      </c>
      <c r="K196" s="379">
        <v>250</v>
      </c>
      <c r="L196" s="108" t="s">
        <v>30</v>
      </c>
      <c r="M196" s="374">
        <v>3055245</v>
      </c>
      <c r="N196" s="358">
        <v>0</v>
      </c>
      <c r="O196" s="358">
        <v>0</v>
      </c>
      <c r="P196" s="358">
        <v>0</v>
      </c>
      <c r="Q196" s="359">
        <f t="shared" si="17"/>
        <v>3055245</v>
      </c>
      <c r="R196" s="359">
        <f t="shared" si="18"/>
        <v>680.88005883401684</v>
      </c>
      <c r="S196" s="359">
        <v>5115.04</v>
      </c>
      <c r="T196" s="177" t="s">
        <v>232</v>
      </c>
      <c r="V196" s="22"/>
      <c r="X196" s="20"/>
      <c r="Y196" s="106"/>
      <c r="Z196" s="47"/>
      <c r="AA196" s="163"/>
      <c r="AB196" s="163"/>
      <c r="AC196" s="46"/>
    </row>
    <row r="197" spans="1:29" s="21" customFormat="1" ht="37.5" customHeight="1">
      <c r="A197" s="174">
        <f t="shared" si="16"/>
        <v>90</v>
      </c>
      <c r="B197" s="255" t="s">
        <v>2241</v>
      </c>
      <c r="C197" s="179">
        <v>1965</v>
      </c>
      <c r="D197" s="378"/>
      <c r="E197" s="176" t="s">
        <v>221</v>
      </c>
      <c r="F197" s="218">
        <v>5</v>
      </c>
      <c r="G197" s="218">
        <v>4</v>
      </c>
      <c r="H197" s="262">
        <v>3381</v>
      </c>
      <c r="I197" s="262">
        <v>3126</v>
      </c>
      <c r="J197" s="373">
        <v>2860</v>
      </c>
      <c r="K197" s="379">
        <v>180</v>
      </c>
      <c r="L197" s="108" t="s">
        <v>33</v>
      </c>
      <c r="M197" s="374">
        <v>2374957</v>
      </c>
      <c r="N197" s="358">
        <v>0</v>
      </c>
      <c r="O197" s="358">
        <v>0</v>
      </c>
      <c r="P197" s="358">
        <v>0</v>
      </c>
      <c r="Q197" s="359">
        <f t="shared" si="17"/>
        <v>2374957</v>
      </c>
      <c r="R197" s="359">
        <f t="shared" si="18"/>
        <v>759.74312220089575</v>
      </c>
      <c r="S197" s="359">
        <v>5115.04</v>
      </c>
      <c r="T197" s="177" t="s">
        <v>232</v>
      </c>
      <c r="V197" s="22"/>
      <c r="X197" s="20"/>
      <c r="Y197" s="106"/>
      <c r="Z197" s="47"/>
      <c r="AA197" s="163"/>
      <c r="AB197" s="163"/>
      <c r="AC197" s="46"/>
    </row>
    <row r="198" spans="1:29" s="21" customFormat="1" ht="37.5" customHeight="1">
      <c r="A198" s="174">
        <f t="shared" si="16"/>
        <v>91</v>
      </c>
      <c r="B198" s="255" t="s">
        <v>2242</v>
      </c>
      <c r="C198" s="179">
        <v>1964</v>
      </c>
      <c r="D198" s="378"/>
      <c r="E198" s="179" t="s">
        <v>217</v>
      </c>
      <c r="F198" s="218">
        <v>5</v>
      </c>
      <c r="G198" s="218">
        <v>4</v>
      </c>
      <c r="H198" s="262">
        <v>4530</v>
      </c>
      <c r="I198" s="262">
        <v>3443.1</v>
      </c>
      <c r="J198" s="373">
        <v>3443.1</v>
      </c>
      <c r="K198" s="379">
        <v>192</v>
      </c>
      <c r="L198" s="108" t="s">
        <v>33</v>
      </c>
      <c r="M198" s="374">
        <v>2562319</v>
      </c>
      <c r="N198" s="359">
        <v>0</v>
      </c>
      <c r="O198" s="359">
        <v>0</v>
      </c>
      <c r="P198" s="359">
        <v>0</v>
      </c>
      <c r="Q198" s="359">
        <f t="shared" si="14"/>
        <v>2562319</v>
      </c>
      <c r="R198" s="359">
        <f t="shared" si="15"/>
        <v>744.18953849728439</v>
      </c>
      <c r="S198" s="359">
        <v>5115.04</v>
      </c>
      <c r="T198" s="177" t="s">
        <v>232</v>
      </c>
      <c r="V198" s="22"/>
      <c r="X198" s="20"/>
      <c r="Y198" s="106"/>
      <c r="Z198" s="47"/>
      <c r="AA198" s="163"/>
      <c r="AB198" s="163"/>
      <c r="AC198" s="46"/>
    </row>
    <row r="199" spans="1:29" s="21" customFormat="1" ht="37.5" customHeight="1">
      <c r="A199" s="174">
        <f t="shared" si="16"/>
        <v>92</v>
      </c>
      <c r="B199" s="255" t="s">
        <v>2243</v>
      </c>
      <c r="C199" s="179">
        <v>1994</v>
      </c>
      <c r="D199" s="378"/>
      <c r="E199" s="176" t="s">
        <v>221</v>
      </c>
      <c r="F199" s="218">
        <v>5</v>
      </c>
      <c r="G199" s="218">
        <v>1</v>
      </c>
      <c r="H199" s="262">
        <v>1622</v>
      </c>
      <c r="I199" s="262">
        <v>888</v>
      </c>
      <c r="J199" s="373">
        <v>853</v>
      </c>
      <c r="K199" s="379">
        <v>61</v>
      </c>
      <c r="L199" s="108" t="s">
        <v>33</v>
      </c>
      <c r="M199" s="374">
        <v>1156386</v>
      </c>
      <c r="N199" s="359">
        <v>0</v>
      </c>
      <c r="O199" s="359">
        <v>0</v>
      </c>
      <c r="P199" s="359">
        <v>0</v>
      </c>
      <c r="Q199" s="359">
        <f t="shared" si="14"/>
        <v>1156386</v>
      </c>
      <c r="R199" s="359">
        <f t="shared" si="15"/>
        <v>1302.2364864864865</v>
      </c>
      <c r="S199" s="359">
        <v>5115.04</v>
      </c>
      <c r="T199" s="177" t="s">
        <v>232</v>
      </c>
      <c r="V199" s="22"/>
      <c r="X199" s="20"/>
      <c r="Y199" s="106"/>
      <c r="Z199" s="47"/>
      <c r="AA199" s="163"/>
      <c r="AB199" s="163"/>
      <c r="AC199" s="46"/>
    </row>
    <row r="200" spans="1:29" s="21" customFormat="1" ht="37.5" customHeight="1">
      <c r="A200" s="174">
        <f t="shared" si="16"/>
        <v>93</v>
      </c>
      <c r="B200" s="255" t="s">
        <v>2244</v>
      </c>
      <c r="C200" s="179">
        <v>1986</v>
      </c>
      <c r="D200" s="378"/>
      <c r="E200" s="176" t="s">
        <v>221</v>
      </c>
      <c r="F200" s="218">
        <v>5</v>
      </c>
      <c r="G200" s="218">
        <v>5</v>
      </c>
      <c r="H200" s="262">
        <v>3700</v>
      </c>
      <c r="I200" s="262">
        <v>3445.4</v>
      </c>
      <c r="J200" s="373">
        <v>3295.6</v>
      </c>
      <c r="K200" s="379">
        <v>139</v>
      </c>
      <c r="L200" s="108" t="s">
        <v>238</v>
      </c>
      <c r="M200" s="374">
        <v>2305068.71</v>
      </c>
      <c r="N200" s="359">
        <v>0</v>
      </c>
      <c r="O200" s="359">
        <v>0</v>
      </c>
      <c r="P200" s="359">
        <v>0</v>
      </c>
      <c r="Q200" s="359">
        <f t="shared" si="14"/>
        <v>2305068.71</v>
      </c>
      <c r="R200" s="359">
        <f t="shared" si="15"/>
        <v>669.02789516456721</v>
      </c>
      <c r="S200" s="359">
        <v>5115.04</v>
      </c>
      <c r="T200" s="177" t="s">
        <v>232</v>
      </c>
      <c r="V200" s="22"/>
      <c r="X200" s="20"/>
      <c r="Y200" s="106"/>
      <c r="Z200" s="47"/>
      <c r="AA200" s="163"/>
      <c r="AB200" s="163"/>
      <c r="AC200" s="46"/>
    </row>
    <row r="201" spans="1:29" s="21" customFormat="1" ht="37.5" customHeight="1">
      <c r="A201" s="174">
        <f t="shared" si="16"/>
        <v>94</v>
      </c>
      <c r="B201" s="255" t="s">
        <v>2249</v>
      </c>
      <c r="C201" s="179">
        <v>1968</v>
      </c>
      <c r="D201" s="378"/>
      <c r="E201" s="176" t="s">
        <v>221</v>
      </c>
      <c r="F201" s="218">
        <v>5</v>
      </c>
      <c r="G201" s="218">
        <v>6</v>
      </c>
      <c r="H201" s="262">
        <v>4913</v>
      </c>
      <c r="I201" s="262">
        <v>4499.3</v>
      </c>
      <c r="J201" s="373">
        <v>4329.8999999999996</v>
      </c>
      <c r="K201" s="379">
        <v>210</v>
      </c>
      <c r="L201" s="108" t="s">
        <v>238</v>
      </c>
      <c r="M201" s="374">
        <v>3355270.71</v>
      </c>
      <c r="N201" s="359">
        <v>0</v>
      </c>
      <c r="O201" s="359">
        <v>0</v>
      </c>
      <c r="P201" s="359">
        <v>0</v>
      </c>
      <c r="Q201" s="359">
        <f t="shared" si="14"/>
        <v>3355270.71</v>
      </c>
      <c r="R201" s="359">
        <f t="shared" si="15"/>
        <v>745.73171604471804</v>
      </c>
      <c r="S201" s="359">
        <v>5115.04</v>
      </c>
      <c r="T201" s="177" t="s">
        <v>232</v>
      </c>
      <c r="V201" s="22"/>
      <c r="X201" s="20"/>
      <c r="Y201" s="106"/>
      <c r="Z201" s="47"/>
      <c r="AA201" s="163"/>
      <c r="AB201" s="163"/>
      <c r="AC201" s="46"/>
    </row>
    <row r="202" spans="1:29" s="21" customFormat="1" ht="37.5" customHeight="1">
      <c r="A202" s="174">
        <f t="shared" si="16"/>
        <v>95</v>
      </c>
      <c r="B202" s="255" t="s">
        <v>2250</v>
      </c>
      <c r="C202" s="179">
        <v>2000</v>
      </c>
      <c r="D202" s="378"/>
      <c r="E202" s="176" t="s">
        <v>221</v>
      </c>
      <c r="F202" s="218">
        <v>5</v>
      </c>
      <c r="G202" s="218">
        <v>2</v>
      </c>
      <c r="H202" s="262">
        <v>4047</v>
      </c>
      <c r="I202" s="262">
        <v>3101.6</v>
      </c>
      <c r="J202" s="373">
        <v>3101.6</v>
      </c>
      <c r="K202" s="379">
        <v>70</v>
      </c>
      <c r="L202" s="108" t="s">
        <v>33</v>
      </c>
      <c r="M202" s="374">
        <v>1744413</v>
      </c>
      <c r="N202" s="359">
        <v>0</v>
      </c>
      <c r="O202" s="359">
        <v>0</v>
      </c>
      <c r="P202" s="359">
        <v>0</v>
      </c>
      <c r="Q202" s="359">
        <f t="shared" si="14"/>
        <v>1744413</v>
      </c>
      <c r="R202" s="359">
        <f t="shared" si="15"/>
        <v>562.42358782563838</v>
      </c>
      <c r="S202" s="359">
        <v>5115.04</v>
      </c>
      <c r="T202" s="177" t="s">
        <v>232</v>
      </c>
      <c r="V202" s="22"/>
      <c r="X202" s="20"/>
      <c r="Y202" s="106"/>
      <c r="Z202" s="47"/>
      <c r="AA202" s="163"/>
      <c r="AB202" s="163"/>
      <c r="AC202" s="46"/>
    </row>
    <row r="203" spans="1:29" s="21" customFormat="1" ht="37.5" customHeight="1">
      <c r="A203" s="174">
        <f t="shared" si="16"/>
        <v>96</v>
      </c>
      <c r="B203" s="255" t="s">
        <v>2252</v>
      </c>
      <c r="C203" s="179">
        <v>1960</v>
      </c>
      <c r="D203" s="378"/>
      <c r="E203" s="176" t="s">
        <v>221</v>
      </c>
      <c r="F203" s="218">
        <v>4</v>
      </c>
      <c r="G203" s="218">
        <v>3</v>
      </c>
      <c r="H203" s="262">
        <v>3084</v>
      </c>
      <c r="I203" s="262">
        <v>2884.5</v>
      </c>
      <c r="J203" s="262">
        <v>2884.5</v>
      </c>
      <c r="K203" s="379">
        <v>103</v>
      </c>
      <c r="L203" s="108" t="s">
        <v>224</v>
      </c>
      <c r="M203" s="374">
        <v>1098227.1499999999</v>
      </c>
      <c r="N203" s="359">
        <v>0</v>
      </c>
      <c r="O203" s="359">
        <v>0</v>
      </c>
      <c r="P203" s="359">
        <v>0</v>
      </c>
      <c r="Q203" s="359">
        <f t="shared" si="14"/>
        <v>1098227.1499999999</v>
      </c>
      <c r="R203" s="359">
        <f t="shared" si="15"/>
        <v>380.733974692321</v>
      </c>
      <c r="S203" s="359">
        <v>5115.04</v>
      </c>
      <c r="T203" s="177" t="s">
        <v>232</v>
      </c>
      <c r="V203" s="22"/>
      <c r="X203" s="20"/>
      <c r="Y203" s="106"/>
      <c r="Z203" s="47"/>
      <c r="AA203" s="163"/>
      <c r="AB203" s="163"/>
      <c r="AC203" s="46"/>
    </row>
    <row r="204" spans="1:29" s="21" customFormat="1" ht="37.5" customHeight="1">
      <c r="A204" s="174">
        <f t="shared" si="16"/>
        <v>97</v>
      </c>
      <c r="B204" s="255" t="s">
        <v>2254</v>
      </c>
      <c r="C204" s="179">
        <v>1962</v>
      </c>
      <c r="D204" s="167"/>
      <c r="E204" s="167" t="s">
        <v>221</v>
      </c>
      <c r="F204" s="218">
        <v>5</v>
      </c>
      <c r="G204" s="218">
        <v>4</v>
      </c>
      <c r="H204" s="262">
        <v>3131</v>
      </c>
      <c r="I204" s="262">
        <v>3131</v>
      </c>
      <c r="J204" s="262">
        <v>2946.9</v>
      </c>
      <c r="K204" s="218">
        <v>166</v>
      </c>
      <c r="L204" s="174" t="s">
        <v>33</v>
      </c>
      <c r="M204" s="374">
        <v>3007817</v>
      </c>
      <c r="N204" s="358">
        <v>0</v>
      </c>
      <c r="O204" s="358">
        <v>0</v>
      </c>
      <c r="P204" s="358">
        <v>0</v>
      </c>
      <c r="Q204" s="359">
        <f t="shared" si="14"/>
        <v>3007817</v>
      </c>
      <c r="R204" s="359">
        <f t="shared" si="15"/>
        <v>960.65697860108594</v>
      </c>
      <c r="S204" s="359">
        <v>5115.04</v>
      </c>
      <c r="T204" s="177" t="s">
        <v>232</v>
      </c>
      <c r="X204" s="20"/>
      <c r="Y204" s="106"/>
      <c r="Z204" s="47"/>
      <c r="AA204" s="163"/>
      <c r="AB204" s="163"/>
      <c r="AC204" s="46"/>
    </row>
    <row r="205" spans="1:29" s="21" customFormat="1" ht="37.5" customHeight="1">
      <c r="A205" s="174">
        <f t="shared" si="16"/>
        <v>98</v>
      </c>
      <c r="B205" s="255" t="s">
        <v>2255</v>
      </c>
      <c r="C205" s="179">
        <v>1984</v>
      </c>
      <c r="D205" s="378"/>
      <c r="E205" s="176" t="s">
        <v>221</v>
      </c>
      <c r="F205" s="218">
        <v>5</v>
      </c>
      <c r="G205" s="218">
        <v>9</v>
      </c>
      <c r="H205" s="262">
        <v>7725</v>
      </c>
      <c r="I205" s="262">
        <v>6178</v>
      </c>
      <c r="J205" s="373">
        <v>5934</v>
      </c>
      <c r="K205" s="379">
        <v>305</v>
      </c>
      <c r="L205" s="108" t="s">
        <v>33</v>
      </c>
      <c r="M205" s="374">
        <v>3765806</v>
      </c>
      <c r="N205" s="359">
        <v>0</v>
      </c>
      <c r="O205" s="359">
        <v>0</v>
      </c>
      <c r="P205" s="359">
        <v>0</v>
      </c>
      <c r="Q205" s="359">
        <f t="shared" si="14"/>
        <v>3765806</v>
      </c>
      <c r="R205" s="359">
        <f t="shared" si="15"/>
        <v>609.55098737455489</v>
      </c>
      <c r="S205" s="359">
        <v>5115.04</v>
      </c>
      <c r="T205" s="177" t="s">
        <v>232</v>
      </c>
      <c r="V205" s="22"/>
      <c r="X205" s="20"/>
      <c r="Y205" s="106"/>
      <c r="Z205" s="47"/>
      <c r="AA205" s="163"/>
      <c r="AB205" s="163"/>
      <c r="AC205" s="46"/>
    </row>
    <row r="206" spans="1:29" s="21" customFormat="1" ht="37.5" customHeight="1">
      <c r="A206" s="174">
        <f t="shared" si="16"/>
        <v>99</v>
      </c>
      <c r="B206" s="255" t="s">
        <v>2256</v>
      </c>
      <c r="C206" s="179">
        <v>1967</v>
      </c>
      <c r="D206" s="378"/>
      <c r="E206" s="176" t="s">
        <v>221</v>
      </c>
      <c r="F206" s="218">
        <v>5</v>
      </c>
      <c r="G206" s="218">
        <v>2</v>
      </c>
      <c r="H206" s="262">
        <v>4247</v>
      </c>
      <c r="I206" s="262">
        <v>3397.6</v>
      </c>
      <c r="J206" s="373">
        <v>3397.6</v>
      </c>
      <c r="K206" s="379">
        <v>247</v>
      </c>
      <c r="L206" s="108" t="s">
        <v>33</v>
      </c>
      <c r="M206" s="374">
        <v>2431884</v>
      </c>
      <c r="N206" s="359">
        <v>0</v>
      </c>
      <c r="O206" s="359">
        <v>0</v>
      </c>
      <c r="P206" s="359">
        <v>0</v>
      </c>
      <c r="Q206" s="359">
        <f t="shared" si="14"/>
        <v>2431884</v>
      </c>
      <c r="R206" s="359">
        <f t="shared" si="15"/>
        <v>715.76524605603959</v>
      </c>
      <c r="S206" s="359">
        <v>5115.04</v>
      </c>
      <c r="T206" s="177" t="s">
        <v>232</v>
      </c>
      <c r="V206" s="22"/>
      <c r="X206" s="20"/>
      <c r="Y206" s="106"/>
      <c r="Z206" s="47"/>
      <c r="AA206" s="163"/>
      <c r="AB206" s="163"/>
      <c r="AC206" s="46"/>
    </row>
    <row r="207" spans="1:29" s="21" customFormat="1" ht="37.5" customHeight="1">
      <c r="A207" s="174">
        <f t="shared" si="16"/>
        <v>100</v>
      </c>
      <c r="B207" s="255" t="s">
        <v>2257</v>
      </c>
      <c r="C207" s="179">
        <v>1980</v>
      </c>
      <c r="D207" s="378"/>
      <c r="E207" s="176" t="s">
        <v>221</v>
      </c>
      <c r="F207" s="218">
        <v>5</v>
      </c>
      <c r="G207" s="218">
        <v>12</v>
      </c>
      <c r="H207" s="262">
        <v>9452</v>
      </c>
      <c r="I207" s="262">
        <v>8508</v>
      </c>
      <c r="J207" s="373">
        <v>8105</v>
      </c>
      <c r="K207" s="379">
        <v>406</v>
      </c>
      <c r="L207" s="108" t="s">
        <v>33</v>
      </c>
      <c r="M207" s="374">
        <v>4519776</v>
      </c>
      <c r="N207" s="359">
        <v>0</v>
      </c>
      <c r="O207" s="359">
        <v>0</v>
      </c>
      <c r="P207" s="359">
        <v>0</v>
      </c>
      <c r="Q207" s="359">
        <f t="shared" si="14"/>
        <v>4519776</v>
      </c>
      <c r="R207" s="359">
        <f t="shared" si="15"/>
        <v>531.23836389280677</v>
      </c>
      <c r="S207" s="359">
        <v>5115.04</v>
      </c>
      <c r="T207" s="177" t="s">
        <v>232</v>
      </c>
      <c r="V207" s="22"/>
      <c r="X207" s="20"/>
      <c r="Y207" s="106"/>
      <c r="Z207" s="47"/>
      <c r="AA207" s="163"/>
      <c r="AB207" s="163"/>
      <c r="AC207" s="46"/>
    </row>
    <row r="208" spans="1:29" s="21" customFormat="1" ht="37.5" customHeight="1">
      <c r="A208" s="174">
        <f t="shared" si="16"/>
        <v>101</v>
      </c>
      <c r="B208" s="255" t="s">
        <v>2259</v>
      </c>
      <c r="C208" s="179">
        <v>1965</v>
      </c>
      <c r="D208" s="378"/>
      <c r="E208" s="176" t="s">
        <v>221</v>
      </c>
      <c r="F208" s="218">
        <v>5</v>
      </c>
      <c r="G208" s="218">
        <v>4</v>
      </c>
      <c r="H208" s="262">
        <v>3405</v>
      </c>
      <c r="I208" s="262">
        <v>3145.3</v>
      </c>
      <c r="J208" s="373">
        <v>2918.4</v>
      </c>
      <c r="K208" s="379">
        <v>186</v>
      </c>
      <c r="L208" s="108" t="s">
        <v>33</v>
      </c>
      <c r="M208" s="374">
        <v>2374450</v>
      </c>
      <c r="N208" s="359">
        <v>0</v>
      </c>
      <c r="O208" s="359">
        <v>0</v>
      </c>
      <c r="P208" s="359">
        <v>0</v>
      </c>
      <c r="Q208" s="359">
        <f t="shared" ref="Q208:Q211" si="19">M208</f>
        <v>2374450</v>
      </c>
      <c r="R208" s="359">
        <f t="shared" ref="R208:R213" si="20">M208/I208</f>
        <v>754.92003942390227</v>
      </c>
      <c r="S208" s="359">
        <v>5115.04</v>
      </c>
      <c r="T208" s="177" t="s">
        <v>232</v>
      </c>
      <c r="V208" s="22"/>
      <c r="X208" s="20"/>
      <c r="Y208" s="106"/>
      <c r="Z208" s="47"/>
      <c r="AA208" s="163"/>
      <c r="AB208" s="163"/>
      <c r="AC208" s="46"/>
    </row>
    <row r="209" spans="1:29" s="154" customFormat="1" ht="48.75" customHeight="1">
      <c r="A209" s="174">
        <f t="shared" si="16"/>
        <v>102</v>
      </c>
      <c r="B209" s="430" t="s">
        <v>4286</v>
      </c>
      <c r="C209" s="212">
        <v>1962</v>
      </c>
      <c r="D209" s="238"/>
      <c r="E209" s="212" t="s">
        <v>221</v>
      </c>
      <c r="F209" s="216">
        <v>5</v>
      </c>
      <c r="G209" s="216">
        <v>5</v>
      </c>
      <c r="H209" s="180">
        <v>5383</v>
      </c>
      <c r="I209" s="180">
        <v>3694.1</v>
      </c>
      <c r="J209" s="180">
        <v>2997.9</v>
      </c>
      <c r="K209" s="431">
        <v>351</v>
      </c>
      <c r="L209" s="169" t="s">
        <v>4310</v>
      </c>
      <c r="M209" s="374">
        <v>18753560</v>
      </c>
      <c r="N209" s="359">
        <v>0</v>
      </c>
      <c r="O209" s="359">
        <v>0</v>
      </c>
      <c r="P209" s="359">
        <v>0</v>
      </c>
      <c r="Q209" s="359">
        <f t="shared" si="19"/>
        <v>18753560</v>
      </c>
      <c r="R209" s="359">
        <f>M209/I209</f>
        <v>5076.6248883354538</v>
      </c>
      <c r="S209" s="270">
        <v>5115.04</v>
      </c>
      <c r="T209" s="271" t="s">
        <v>232</v>
      </c>
      <c r="V209" s="229"/>
      <c r="X209" s="112"/>
      <c r="Y209" s="422"/>
      <c r="Z209" s="124"/>
      <c r="AA209" s="170"/>
      <c r="AB209" s="170"/>
      <c r="AC209" s="247"/>
    </row>
    <row r="210" spans="1:29" s="154" customFormat="1" ht="37.5" customHeight="1">
      <c r="A210" s="174">
        <f t="shared" si="16"/>
        <v>103</v>
      </c>
      <c r="B210" s="313" t="s">
        <v>1246</v>
      </c>
      <c r="C210" s="138">
        <v>1954</v>
      </c>
      <c r="D210" s="138"/>
      <c r="E210" s="138" t="s">
        <v>221</v>
      </c>
      <c r="F210" s="184">
        <v>2</v>
      </c>
      <c r="G210" s="184">
        <v>2</v>
      </c>
      <c r="H210" s="283">
        <v>713</v>
      </c>
      <c r="I210" s="283">
        <v>693.3</v>
      </c>
      <c r="J210" s="283">
        <v>648.20000000000005</v>
      </c>
      <c r="K210" s="315">
        <v>44</v>
      </c>
      <c r="L210" s="319" t="s">
        <v>33</v>
      </c>
      <c r="M210" s="374">
        <v>2001298</v>
      </c>
      <c r="N210" s="359">
        <v>0</v>
      </c>
      <c r="O210" s="359">
        <v>0</v>
      </c>
      <c r="P210" s="359">
        <v>0</v>
      </c>
      <c r="Q210" s="359">
        <f t="shared" si="19"/>
        <v>2001298</v>
      </c>
      <c r="R210" s="359">
        <f t="shared" si="20"/>
        <v>2886.6262801096209</v>
      </c>
      <c r="S210" s="317">
        <v>5115.04</v>
      </c>
      <c r="T210" s="318" t="s">
        <v>232</v>
      </c>
      <c r="V210" s="229"/>
      <c r="X210" s="112"/>
      <c r="Y210" s="422"/>
      <c r="Z210" s="124"/>
      <c r="AA210" s="170"/>
      <c r="AB210" s="170"/>
      <c r="AC210" s="247"/>
    </row>
    <row r="211" spans="1:29" s="154" customFormat="1" ht="37.5" customHeight="1">
      <c r="A211" s="174">
        <f t="shared" si="16"/>
        <v>104</v>
      </c>
      <c r="B211" s="432" t="s">
        <v>1289</v>
      </c>
      <c r="C211" s="263">
        <v>1977</v>
      </c>
      <c r="D211" s="263"/>
      <c r="E211" s="263" t="s">
        <v>221</v>
      </c>
      <c r="F211" s="264">
        <v>9</v>
      </c>
      <c r="G211" s="264">
        <v>4</v>
      </c>
      <c r="H211" s="265">
        <v>9479</v>
      </c>
      <c r="I211" s="265">
        <v>8134</v>
      </c>
      <c r="J211" s="265">
        <v>7775</v>
      </c>
      <c r="K211" s="325">
        <v>377</v>
      </c>
      <c r="L211" s="252" t="s">
        <v>38</v>
      </c>
      <c r="M211" s="377">
        <v>9774241</v>
      </c>
      <c r="N211" s="199">
        <v>0</v>
      </c>
      <c r="O211" s="199">
        <v>0</v>
      </c>
      <c r="P211" s="199">
        <v>0</v>
      </c>
      <c r="Q211" s="199">
        <f t="shared" si="19"/>
        <v>9774241</v>
      </c>
      <c r="R211" s="199">
        <f t="shared" si="20"/>
        <v>1201.6524465207769</v>
      </c>
      <c r="S211" s="199">
        <v>5115.04</v>
      </c>
      <c r="T211" s="267" t="s">
        <v>232</v>
      </c>
      <c r="V211" s="229"/>
      <c r="X211" s="112"/>
      <c r="Y211" s="422"/>
      <c r="Z211" s="124"/>
      <c r="AA211" s="170"/>
      <c r="AB211" s="170"/>
      <c r="AC211" s="247"/>
    </row>
    <row r="212" spans="1:29" ht="27" customHeight="1">
      <c r="A212" s="151"/>
      <c r="B212" s="155" t="s">
        <v>4073</v>
      </c>
      <c r="C212" s="201" t="s">
        <v>28</v>
      </c>
      <c r="D212" s="201" t="s">
        <v>28</v>
      </c>
      <c r="E212" s="248" t="s">
        <v>28</v>
      </c>
      <c r="F212" s="157" t="s">
        <v>28</v>
      </c>
      <c r="G212" s="157" t="s">
        <v>28</v>
      </c>
      <c r="H212" s="433">
        <f>SUM(H127:H211)</f>
        <v>340237</v>
      </c>
      <c r="I212" s="433">
        <f>SUM(I127:I211)</f>
        <v>296320.19999999995</v>
      </c>
      <c r="J212" s="433">
        <f>SUM(J127:J211)</f>
        <v>276681.40000000008</v>
      </c>
      <c r="K212" s="434">
        <f>SUM(K127:K211)</f>
        <v>15198</v>
      </c>
      <c r="L212" s="147" t="s">
        <v>28</v>
      </c>
      <c r="M212" s="435">
        <v>232400959.97000003</v>
      </c>
      <c r="N212" s="436">
        <f>SUM(N127:N211)</f>
        <v>0</v>
      </c>
      <c r="O212" s="436">
        <f>SUM(O127:O211)</f>
        <v>0</v>
      </c>
      <c r="P212" s="436">
        <f>SUM(P127:P211)</f>
        <v>0</v>
      </c>
      <c r="Q212" s="435">
        <f>SUM(Q127:Q211)</f>
        <v>232400959.97000003</v>
      </c>
      <c r="R212" s="196">
        <f t="shared" si="20"/>
        <v>784.28996730563779</v>
      </c>
      <c r="S212" s="196">
        <v>5115.04</v>
      </c>
      <c r="T212" s="162" t="s">
        <v>232</v>
      </c>
      <c r="X212" s="20"/>
      <c r="AA212" s="163"/>
      <c r="AB212" s="163"/>
    </row>
    <row r="213" spans="1:29" s="21" customFormat="1" ht="41.25" customHeight="1">
      <c r="A213" s="1306" t="s">
        <v>146</v>
      </c>
      <c r="B213" s="1306"/>
      <c r="C213" s="1306"/>
      <c r="D213" s="1306"/>
      <c r="E213" s="201" t="s">
        <v>28</v>
      </c>
      <c r="F213" s="159" t="s">
        <v>28</v>
      </c>
      <c r="G213" s="159" t="s">
        <v>28</v>
      </c>
      <c r="H213" s="161">
        <f>H126+H212</f>
        <v>529010.19999999995</v>
      </c>
      <c r="I213" s="161">
        <f>I126+I212</f>
        <v>455486.32999999996</v>
      </c>
      <c r="J213" s="161">
        <f>J126+J212</f>
        <v>422926.20000000007</v>
      </c>
      <c r="K213" s="159">
        <f>K126+K212</f>
        <v>22829</v>
      </c>
      <c r="L213" s="151" t="s">
        <v>28</v>
      </c>
      <c r="M213" s="196">
        <v>364357536.97000003</v>
      </c>
      <c r="N213" s="196">
        <f>N126+N212</f>
        <v>0</v>
      </c>
      <c r="O213" s="196">
        <f>O126+O212</f>
        <v>61000000</v>
      </c>
      <c r="P213" s="196">
        <f>P126+P212</f>
        <v>0</v>
      </c>
      <c r="Q213" s="196">
        <f>Q126+Q212</f>
        <v>303357536.97000003</v>
      </c>
      <c r="R213" s="196">
        <f t="shared" si="20"/>
        <v>799.93078380639895</v>
      </c>
      <c r="S213" s="196">
        <v>5115.04</v>
      </c>
      <c r="T213" s="162" t="s">
        <v>232</v>
      </c>
      <c r="U213" s="45"/>
      <c r="V213" s="45"/>
      <c r="W213" s="45"/>
      <c r="X213" s="20"/>
      <c r="Z213" s="44"/>
      <c r="AC213" s="46"/>
    </row>
    <row r="214" spans="1:29" s="54" customFormat="1" ht="41.25" customHeight="1">
      <c r="A214" s="1305" t="s">
        <v>4366</v>
      </c>
      <c r="B214" s="1305"/>
      <c r="C214" s="1305"/>
      <c r="D214" s="1305"/>
      <c r="E214" s="1305"/>
      <c r="F214" s="1305"/>
      <c r="G214" s="1305"/>
      <c r="H214" s="1305"/>
      <c r="I214" s="1305"/>
      <c r="J214" s="1305"/>
      <c r="K214" s="1305"/>
      <c r="L214" s="1305"/>
      <c r="M214" s="1305"/>
      <c r="N214" s="1305"/>
      <c r="O214" s="1305"/>
      <c r="P214" s="1305"/>
      <c r="Q214" s="1305"/>
      <c r="R214" s="1305"/>
      <c r="S214" s="1305"/>
      <c r="T214" s="1305"/>
      <c r="V214" s="50"/>
      <c r="X214" s="20"/>
      <c r="Z214" s="48"/>
      <c r="AC214" s="52"/>
    </row>
    <row r="215" spans="1:29" s="54" customFormat="1" ht="37.5" customHeight="1">
      <c r="A215" s="251">
        <v>1</v>
      </c>
      <c r="B215" s="281" t="s">
        <v>3125</v>
      </c>
      <c r="C215" s="372">
        <v>1960</v>
      </c>
      <c r="D215" s="256"/>
      <c r="E215" s="256" t="s">
        <v>221</v>
      </c>
      <c r="F215" s="396">
        <v>5</v>
      </c>
      <c r="G215" s="396">
        <v>4</v>
      </c>
      <c r="H215" s="398">
        <v>3309</v>
      </c>
      <c r="I215" s="398">
        <v>2574.4</v>
      </c>
      <c r="J215" s="398">
        <v>2574.4</v>
      </c>
      <c r="K215" s="396">
        <v>126</v>
      </c>
      <c r="L215" s="399" t="s">
        <v>33</v>
      </c>
      <c r="M215" s="282">
        <v>3830114</v>
      </c>
      <c r="N215" s="282">
        <v>0</v>
      </c>
      <c r="O215" s="282">
        <v>0</v>
      </c>
      <c r="P215" s="282">
        <v>0</v>
      </c>
      <c r="Q215" s="282">
        <f>M215</f>
        <v>3830114</v>
      </c>
      <c r="R215" s="282">
        <f t="shared" ref="R215:R277" si="21">M215/I215</f>
        <v>1487.769577377253</v>
      </c>
      <c r="S215" s="282">
        <v>5115.04</v>
      </c>
      <c r="T215" s="397" t="s">
        <v>270</v>
      </c>
      <c r="V215" s="50"/>
      <c r="X215" s="20"/>
      <c r="Y215" s="106"/>
      <c r="Z215" s="55"/>
      <c r="AA215" s="163"/>
      <c r="AB215" s="163"/>
      <c r="AC215" s="52"/>
    </row>
    <row r="216" spans="1:29" s="54" customFormat="1" ht="37.5" customHeight="1">
      <c r="A216" s="293">
        <f>A215+1</f>
        <v>2</v>
      </c>
      <c r="B216" s="255" t="s">
        <v>3126</v>
      </c>
      <c r="C216" s="179">
        <v>1990</v>
      </c>
      <c r="D216" s="167"/>
      <c r="E216" s="167" t="s">
        <v>221</v>
      </c>
      <c r="F216" s="218">
        <v>5</v>
      </c>
      <c r="G216" s="218">
        <v>7</v>
      </c>
      <c r="H216" s="262">
        <v>4824</v>
      </c>
      <c r="I216" s="262">
        <v>4065.6</v>
      </c>
      <c r="J216" s="262">
        <v>4065.6</v>
      </c>
      <c r="K216" s="218">
        <v>292</v>
      </c>
      <c r="L216" s="109" t="s">
        <v>33</v>
      </c>
      <c r="M216" s="357">
        <v>4420374</v>
      </c>
      <c r="N216" s="276">
        <v>0</v>
      </c>
      <c r="O216" s="276">
        <v>0</v>
      </c>
      <c r="P216" s="276">
        <v>0</v>
      </c>
      <c r="Q216" s="276">
        <f t="shared" ref="Q216:Q279" si="22">M216</f>
        <v>4420374</v>
      </c>
      <c r="R216" s="276">
        <f t="shared" si="21"/>
        <v>1087.2623966942149</v>
      </c>
      <c r="S216" s="276">
        <v>5115.04</v>
      </c>
      <c r="T216" s="294" t="s">
        <v>270</v>
      </c>
      <c r="V216" s="50"/>
      <c r="X216" s="20"/>
      <c r="Y216" s="106"/>
      <c r="Z216" s="55"/>
      <c r="AA216" s="163"/>
      <c r="AB216" s="163"/>
      <c r="AC216" s="52"/>
    </row>
    <row r="217" spans="1:29" s="54" customFormat="1" ht="37.5" customHeight="1">
      <c r="A217" s="293">
        <f t="shared" ref="A217:A279" si="23">A216+1</f>
        <v>3</v>
      </c>
      <c r="B217" s="255" t="s">
        <v>3127</v>
      </c>
      <c r="C217" s="179">
        <v>1965</v>
      </c>
      <c r="D217" s="167"/>
      <c r="E217" s="167" t="s">
        <v>221</v>
      </c>
      <c r="F217" s="218">
        <v>5</v>
      </c>
      <c r="G217" s="218">
        <v>6</v>
      </c>
      <c r="H217" s="262">
        <v>5072</v>
      </c>
      <c r="I217" s="262">
        <v>4684</v>
      </c>
      <c r="J217" s="262">
        <v>4367.2</v>
      </c>
      <c r="K217" s="218">
        <v>291</v>
      </c>
      <c r="L217" s="109" t="s">
        <v>33</v>
      </c>
      <c r="M217" s="357">
        <v>3592782</v>
      </c>
      <c r="N217" s="276">
        <v>0</v>
      </c>
      <c r="O217" s="276">
        <v>0</v>
      </c>
      <c r="P217" s="276">
        <v>0</v>
      </c>
      <c r="Q217" s="276">
        <f t="shared" si="22"/>
        <v>3592782</v>
      </c>
      <c r="R217" s="276">
        <f t="shared" si="21"/>
        <v>767.03287788215198</v>
      </c>
      <c r="S217" s="276">
        <v>5115.04</v>
      </c>
      <c r="T217" s="294" t="s">
        <v>270</v>
      </c>
      <c r="V217" s="50"/>
      <c r="X217" s="20"/>
      <c r="Y217" s="106"/>
      <c r="Z217" s="55"/>
      <c r="AA217" s="163"/>
      <c r="AB217" s="163"/>
      <c r="AC217" s="52"/>
    </row>
    <row r="218" spans="1:29" s="54" customFormat="1" ht="37.5" customHeight="1">
      <c r="A218" s="293">
        <f t="shared" si="23"/>
        <v>4</v>
      </c>
      <c r="B218" s="255" t="s">
        <v>3128</v>
      </c>
      <c r="C218" s="179">
        <v>1964</v>
      </c>
      <c r="D218" s="167"/>
      <c r="E218" s="167" t="s">
        <v>221</v>
      </c>
      <c r="F218" s="218">
        <v>5</v>
      </c>
      <c r="G218" s="218">
        <v>4</v>
      </c>
      <c r="H218" s="262">
        <v>3369</v>
      </c>
      <c r="I218" s="262">
        <v>3114.4</v>
      </c>
      <c r="J218" s="262">
        <v>2987.8</v>
      </c>
      <c r="K218" s="218">
        <v>151</v>
      </c>
      <c r="L218" s="109" t="s">
        <v>33</v>
      </c>
      <c r="M218" s="357">
        <v>2303506</v>
      </c>
      <c r="N218" s="276">
        <v>0</v>
      </c>
      <c r="O218" s="276">
        <v>0</v>
      </c>
      <c r="P218" s="276">
        <v>0</v>
      </c>
      <c r="Q218" s="276">
        <f t="shared" si="22"/>
        <v>2303506</v>
      </c>
      <c r="R218" s="276">
        <f t="shared" si="21"/>
        <v>739.63074749550469</v>
      </c>
      <c r="S218" s="276">
        <v>5115.04</v>
      </c>
      <c r="T218" s="294" t="s">
        <v>270</v>
      </c>
      <c r="V218" s="50"/>
      <c r="X218" s="20"/>
      <c r="Y218" s="106"/>
      <c r="Z218" s="55"/>
      <c r="AA218" s="163"/>
      <c r="AB218" s="163"/>
      <c r="AC218" s="52"/>
    </row>
    <row r="219" spans="1:29" s="54" customFormat="1" ht="37.5" customHeight="1">
      <c r="A219" s="293">
        <f t="shared" si="23"/>
        <v>5</v>
      </c>
      <c r="B219" s="255" t="s">
        <v>3129</v>
      </c>
      <c r="C219" s="179">
        <v>1965</v>
      </c>
      <c r="D219" s="167"/>
      <c r="E219" s="167" t="s">
        <v>221</v>
      </c>
      <c r="F219" s="218">
        <v>5</v>
      </c>
      <c r="G219" s="218">
        <v>6</v>
      </c>
      <c r="H219" s="262">
        <v>5122</v>
      </c>
      <c r="I219" s="262">
        <v>4725.5</v>
      </c>
      <c r="J219" s="262">
        <v>4070.6</v>
      </c>
      <c r="K219" s="218">
        <v>221</v>
      </c>
      <c r="L219" s="109" t="s">
        <v>33</v>
      </c>
      <c r="M219" s="357">
        <v>3541211</v>
      </c>
      <c r="N219" s="276">
        <v>0</v>
      </c>
      <c r="O219" s="276">
        <v>0</v>
      </c>
      <c r="P219" s="276">
        <v>0</v>
      </c>
      <c r="Q219" s="276">
        <f t="shared" si="22"/>
        <v>3541211</v>
      </c>
      <c r="R219" s="276">
        <f t="shared" si="21"/>
        <v>749.38334567770607</v>
      </c>
      <c r="S219" s="276">
        <v>5115.04</v>
      </c>
      <c r="T219" s="294" t="s">
        <v>270</v>
      </c>
      <c r="V219" s="50"/>
      <c r="X219" s="20"/>
      <c r="Y219" s="106"/>
      <c r="Z219" s="55"/>
      <c r="AA219" s="163"/>
      <c r="AB219" s="163"/>
      <c r="AC219" s="52"/>
    </row>
    <row r="220" spans="1:29" s="54" customFormat="1" ht="37.5" customHeight="1">
      <c r="A220" s="293">
        <f t="shared" si="23"/>
        <v>6</v>
      </c>
      <c r="B220" s="255" t="s">
        <v>3130</v>
      </c>
      <c r="C220" s="179">
        <v>1968</v>
      </c>
      <c r="D220" s="167"/>
      <c r="E220" s="167" t="s">
        <v>221</v>
      </c>
      <c r="F220" s="218">
        <v>5</v>
      </c>
      <c r="G220" s="218">
        <v>6</v>
      </c>
      <c r="H220" s="262">
        <v>4878</v>
      </c>
      <c r="I220" s="262">
        <v>4508.8999999999996</v>
      </c>
      <c r="J220" s="262">
        <v>4248.3</v>
      </c>
      <c r="K220" s="218">
        <v>228</v>
      </c>
      <c r="L220" s="109" t="s">
        <v>238</v>
      </c>
      <c r="M220" s="357">
        <v>3410620</v>
      </c>
      <c r="N220" s="276">
        <v>0</v>
      </c>
      <c r="O220" s="276">
        <v>0</v>
      </c>
      <c r="P220" s="276">
        <v>0</v>
      </c>
      <c r="Q220" s="276">
        <f t="shared" si="22"/>
        <v>3410620</v>
      </c>
      <c r="R220" s="276">
        <f t="shared" si="21"/>
        <v>756.41952582669842</v>
      </c>
      <c r="S220" s="276">
        <v>5115.04</v>
      </c>
      <c r="T220" s="294" t="s">
        <v>270</v>
      </c>
      <c r="V220" s="50"/>
      <c r="X220" s="20"/>
      <c r="Y220" s="106"/>
      <c r="Z220" s="55"/>
      <c r="AA220" s="163"/>
      <c r="AB220" s="163"/>
      <c r="AC220" s="52"/>
    </row>
    <row r="221" spans="1:29" s="54" customFormat="1" ht="37.5" customHeight="1">
      <c r="A221" s="293">
        <f t="shared" si="23"/>
        <v>7</v>
      </c>
      <c r="B221" s="400" t="s">
        <v>3131</v>
      </c>
      <c r="C221" s="401">
        <v>1988</v>
      </c>
      <c r="D221" s="167"/>
      <c r="E221" s="167" t="s">
        <v>221</v>
      </c>
      <c r="F221" s="218">
        <v>9</v>
      </c>
      <c r="G221" s="218">
        <v>3</v>
      </c>
      <c r="H221" s="262">
        <v>8275</v>
      </c>
      <c r="I221" s="262">
        <v>7185.7</v>
      </c>
      <c r="J221" s="262">
        <v>6726.1</v>
      </c>
      <c r="K221" s="218">
        <v>303</v>
      </c>
      <c r="L221" s="109" t="s">
        <v>219</v>
      </c>
      <c r="M221" s="357">
        <v>6127500</v>
      </c>
      <c r="N221" s="276">
        <v>0</v>
      </c>
      <c r="O221" s="276">
        <v>1200000</v>
      </c>
      <c r="P221" s="276">
        <v>0</v>
      </c>
      <c r="Q221" s="198">
        <f>M221-N221-O221-P221</f>
        <v>4927500</v>
      </c>
      <c r="R221" s="276">
        <f t="shared" si="21"/>
        <v>852.73529370833739</v>
      </c>
      <c r="S221" s="276">
        <v>5115.04</v>
      </c>
      <c r="T221" s="294" t="s">
        <v>270</v>
      </c>
      <c r="V221" s="50"/>
      <c r="X221" s="20"/>
      <c r="Y221" s="106"/>
      <c r="Z221" s="55"/>
      <c r="AA221" s="163"/>
      <c r="AB221" s="163"/>
      <c r="AC221" s="52"/>
    </row>
    <row r="222" spans="1:29" s="54" customFormat="1" ht="37.5" customHeight="1">
      <c r="A222" s="293">
        <f t="shared" si="23"/>
        <v>8</v>
      </c>
      <c r="B222" s="400" t="s">
        <v>3132</v>
      </c>
      <c r="C222" s="401">
        <v>1988</v>
      </c>
      <c r="D222" s="167"/>
      <c r="E222" s="167" t="s">
        <v>221</v>
      </c>
      <c r="F222" s="218">
        <v>9</v>
      </c>
      <c r="G222" s="218">
        <v>3</v>
      </c>
      <c r="H222" s="262">
        <v>8253</v>
      </c>
      <c r="I222" s="262">
        <v>7156.9</v>
      </c>
      <c r="J222" s="262">
        <v>6745.4</v>
      </c>
      <c r="K222" s="218">
        <v>304</v>
      </c>
      <c r="L222" s="109" t="s">
        <v>219</v>
      </c>
      <c r="M222" s="357">
        <v>6127500</v>
      </c>
      <c r="N222" s="276">
        <v>0</v>
      </c>
      <c r="O222" s="276">
        <v>1200000</v>
      </c>
      <c r="P222" s="276">
        <v>0</v>
      </c>
      <c r="Q222" s="198">
        <f>M222-N222-O222-P222</f>
        <v>4927500</v>
      </c>
      <c r="R222" s="276">
        <f t="shared" si="21"/>
        <v>856.1667761181518</v>
      </c>
      <c r="S222" s="276">
        <v>5115.04</v>
      </c>
      <c r="T222" s="294" t="s">
        <v>270</v>
      </c>
      <c r="V222" s="50"/>
      <c r="X222" s="20"/>
      <c r="Y222" s="106"/>
      <c r="Z222" s="55"/>
      <c r="AA222" s="163"/>
      <c r="AB222" s="163"/>
      <c r="AC222" s="52"/>
    </row>
    <row r="223" spans="1:29" s="54" customFormat="1" ht="37.5" customHeight="1">
      <c r="A223" s="293">
        <f t="shared" si="23"/>
        <v>9</v>
      </c>
      <c r="B223" s="255" t="s">
        <v>3133</v>
      </c>
      <c r="C223" s="179">
        <v>1988</v>
      </c>
      <c r="D223" s="167"/>
      <c r="E223" s="167" t="s">
        <v>221</v>
      </c>
      <c r="F223" s="218">
        <v>9</v>
      </c>
      <c r="G223" s="218">
        <v>3</v>
      </c>
      <c r="H223" s="262">
        <v>8325</v>
      </c>
      <c r="I223" s="262">
        <v>7184.8</v>
      </c>
      <c r="J223" s="262">
        <v>6829.6</v>
      </c>
      <c r="K223" s="218">
        <v>339</v>
      </c>
      <c r="L223" s="109" t="s">
        <v>219</v>
      </c>
      <c r="M223" s="357">
        <v>6127500</v>
      </c>
      <c r="N223" s="276">
        <v>0</v>
      </c>
      <c r="O223" s="276">
        <v>1200000</v>
      </c>
      <c r="P223" s="276">
        <v>0</v>
      </c>
      <c r="Q223" s="198">
        <f>M223-N223-O223-P223</f>
        <v>4927500</v>
      </c>
      <c r="R223" s="276">
        <f t="shared" si="21"/>
        <v>852.84211112348294</v>
      </c>
      <c r="S223" s="276">
        <v>5115.04</v>
      </c>
      <c r="T223" s="294" t="s">
        <v>270</v>
      </c>
      <c r="V223" s="50"/>
      <c r="X223" s="20"/>
      <c r="Y223" s="106"/>
      <c r="Z223" s="55"/>
      <c r="AA223" s="163"/>
      <c r="AB223" s="163"/>
      <c r="AC223" s="52"/>
    </row>
    <row r="224" spans="1:29" s="54" customFormat="1" ht="37.5" customHeight="1">
      <c r="A224" s="293">
        <f t="shared" si="23"/>
        <v>10</v>
      </c>
      <c r="B224" s="255" t="s">
        <v>3134</v>
      </c>
      <c r="C224" s="179">
        <v>1994</v>
      </c>
      <c r="D224" s="167"/>
      <c r="E224" s="167" t="s">
        <v>217</v>
      </c>
      <c r="F224" s="218">
        <v>9</v>
      </c>
      <c r="G224" s="218">
        <v>2</v>
      </c>
      <c r="H224" s="262">
        <v>4835</v>
      </c>
      <c r="I224" s="262">
        <v>4088.3</v>
      </c>
      <c r="J224" s="262">
        <v>3910.7</v>
      </c>
      <c r="K224" s="218">
        <v>230</v>
      </c>
      <c r="L224" s="109" t="s">
        <v>33</v>
      </c>
      <c r="M224" s="357">
        <v>1566776</v>
      </c>
      <c r="N224" s="276">
        <v>0</v>
      </c>
      <c r="O224" s="276">
        <v>0</v>
      </c>
      <c r="P224" s="276">
        <v>0</v>
      </c>
      <c r="Q224" s="276">
        <f t="shared" si="22"/>
        <v>1566776</v>
      </c>
      <c r="R224" s="276">
        <f t="shared" si="21"/>
        <v>383.23410708607486</v>
      </c>
      <c r="S224" s="276">
        <v>5115.04</v>
      </c>
      <c r="T224" s="294" t="s">
        <v>270</v>
      </c>
      <c r="V224" s="50"/>
      <c r="X224" s="20"/>
      <c r="Y224" s="106"/>
      <c r="Z224" s="55"/>
      <c r="AA224" s="163"/>
      <c r="AB224" s="163"/>
      <c r="AC224" s="52"/>
    </row>
    <row r="225" spans="1:29" s="54" customFormat="1" ht="37.5" customHeight="1">
      <c r="A225" s="293">
        <f t="shared" si="23"/>
        <v>11</v>
      </c>
      <c r="B225" s="255" t="s">
        <v>3135</v>
      </c>
      <c r="C225" s="179">
        <v>2004</v>
      </c>
      <c r="D225" s="167"/>
      <c r="E225" s="167" t="s">
        <v>221</v>
      </c>
      <c r="F225" s="218">
        <v>9</v>
      </c>
      <c r="G225" s="218">
        <v>4</v>
      </c>
      <c r="H225" s="262">
        <v>9430</v>
      </c>
      <c r="I225" s="262">
        <v>7268</v>
      </c>
      <c r="J225" s="262">
        <v>7268</v>
      </c>
      <c r="K225" s="218">
        <v>248</v>
      </c>
      <c r="L225" s="109" t="s">
        <v>33</v>
      </c>
      <c r="M225" s="357">
        <v>2772557</v>
      </c>
      <c r="N225" s="276">
        <v>0</v>
      </c>
      <c r="O225" s="276">
        <v>0</v>
      </c>
      <c r="P225" s="276">
        <v>0</v>
      </c>
      <c r="Q225" s="276">
        <f t="shared" si="22"/>
        <v>2772557</v>
      </c>
      <c r="R225" s="276">
        <f t="shared" si="21"/>
        <v>381.47454595487068</v>
      </c>
      <c r="S225" s="276">
        <v>5115.04</v>
      </c>
      <c r="T225" s="294" t="s">
        <v>270</v>
      </c>
      <c r="V225" s="50"/>
      <c r="X225" s="20"/>
      <c r="Y225" s="106"/>
      <c r="Z225" s="55"/>
      <c r="AA225" s="163"/>
      <c r="AB225" s="163"/>
      <c r="AC225" s="52"/>
    </row>
    <row r="226" spans="1:29" s="54" customFormat="1" ht="37.5" customHeight="1">
      <c r="A226" s="293">
        <f t="shared" si="23"/>
        <v>12</v>
      </c>
      <c r="B226" s="255" t="s">
        <v>3136</v>
      </c>
      <c r="C226" s="179">
        <v>1991</v>
      </c>
      <c r="D226" s="167"/>
      <c r="E226" s="167" t="s">
        <v>217</v>
      </c>
      <c r="F226" s="218">
        <v>9</v>
      </c>
      <c r="G226" s="218">
        <v>3</v>
      </c>
      <c r="H226" s="262">
        <v>6784</v>
      </c>
      <c r="I226" s="262">
        <v>5961</v>
      </c>
      <c r="J226" s="262">
        <v>5833</v>
      </c>
      <c r="K226" s="218">
        <v>342</v>
      </c>
      <c r="L226" s="109" t="s">
        <v>33</v>
      </c>
      <c r="M226" s="357">
        <v>2347709</v>
      </c>
      <c r="N226" s="276">
        <v>0</v>
      </c>
      <c r="O226" s="276">
        <v>0</v>
      </c>
      <c r="P226" s="276">
        <v>0</v>
      </c>
      <c r="Q226" s="276">
        <f t="shared" si="22"/>
        <v>2347709</v>
      </c>
      <c r="R226" s="276">
        <f t="shared" si="21"/>
        <v>393.84482469384329</v>
      </c>
      <c r="S226" s="276">
        <v>5115.04</v>
      </c>
      <c r="T226" s="294" t="s">
        <v>270</v>
      </c>
      <c r="V226" s="50"/>
      <c r="X226" s="20"/>
      <c r="Y226" s="106"/>
      <c r="Z226" s="55"/>
      <c r="AA226" s="163"/>
      <c r="AB226" s="163"/>
      <c r="AC226" s="52"/>
    </row>
    <row r="227" spans="1:29" s="54" customFormat="1" ht="37.5" customHeight="1">
      <c r="A227" s="293">
        <f t="shared" si="23"/>
        <v>13</v>
      </c>
      <c r="B227" s="255" t="s">
        <v>3137</v>
      </c>
      <c r="C227" s="179">
        <v>1974</v>
      </c>
      <c r="D227" s="167"/>
      <c r="E227" s="167" t="s">
        <v>221</v>
      </c>
      <c r="F227" s="218">
        <v>5</v>
      </c>
      <c r="G227" s="218">
        <v>4</v>
      </c>
      <c r="H227" s="262">
        <v>3408</v>
      </c>
      <c r="I227" s="262">
        <v>3158.9</v>
      </c>
      <c r="J227" s="262">
        <v>2589.4</v>
      </c>
      <c r="K227" s="218">
        <v>130</v>
      </c>
      <c r="L227" s="109" t="s">
        <v>33</v>
      </c>
      <c r="M227" s="357">
        <v>2254391</v>
      </c>
      <c r="N227" s="276">
        <v>0</v>
      </c>
      <c r="O227" s="276">
        <v>0</v>
      </c>
      <c r="P227" s="276">
        <v>0</v>
      </c>
      <c r="Q227" s="276">
        <f t="shared" si="22"/>
        <v>2254391</v>
      </c>
      <c r="R227" s="276">
        <f t="shared" si="21"/>
        <v>713.66330051600244</v>
      </c>
      <c r="S227" s="276">
        <v>5115.04</v>
      </c>
      <c r="T227" s="294" t="s">
        <v>270</v>
      </c>
      <c r="V227" s="50"/>
      <c r="X227" s="20"/>
      <c r="Y227" s="106"/>
      <c r="Z227" s="55"/>
      <c r="AA227" s="163"/>
      <c r="AB227" s="163"/>
      <c r="AC227" s="52"/>
    </row>
    <row r="228" spans="1:29" s="54" customFormat="1" ht="37.5" customHeight="1">
      <c r="A228" s="293">
        <f>A227+1</f>
        <v>14</v>
      </c>
      <c r="B228" s="255" t="s">
        <v>3138</v>
      </c>
      <c r="C228" s="179">
        <v>1975</v>
      </c>
      <c r="D228" s="167"/>
      <c r="E228" s="167" t="s">
        <v>221</v>
      </c>
      <c r="F228" s="218">
        <v>5</v>
      </c>
      <c r="G228" s="218">
        <v>4</v>
      </c>
      <c r="H228" s="262">
        <v>3626</v>
      </c>
      <c r="I228" s="262">
        <v>3354.3</v>
      </c>
      <c r="J228" s="262">
        <v>3241</v>
      </c>
      <c r="K228" s="218">
        <v>171</v>
      </c>
      <c r="L228" s="109" t="s">
        <v>33</v>
      </c>
      <c r="M228" s="357">
        <v>2254391</v>
      </c>
      <c r="N228" s="276">
        <v>0</v>
      </c>
      <c r="O228" s="276">
        <v>0</v>
      </c>
      <c r="P228" s="276">
        <v>0</v>
      </c>
      <c r="Q228" s="276">
        <f t="shared" si="22"/>
        <v>2254391</v>
      </c>
      <c r="R228" s="276">
        <f t="shared" si="21"/>
        <v>672.08985481322475</v>
      </c>
      <c r="S228" s="276">
        <v>5115.04</v>
      </c>
      <c r="T228" s="294" t="s">
        <v>270</v>
      </c>
      <c r="V228" s="50"/>
      <c r="X228" s="20"/>
      <c r="Y228" s="106"/>
      <c r="Z228" s="55"/>
      <c r="AA228" s="163"/>
      <c r="AB228" s="163"/>
      <c r="AC228" s="52"/>
    </row>
    <row r="229" spans="1:29" s="54" customFormat="1" ht="37.5" customHeight="1">
      <c r="A229" s="293">
        <f t="shared" si="23"/>
        <v>15</v>
      </c>
      <c r="B229" s="255" t="s">
        <v>3139</v>
      </c>
      <c r="C229" s="179">
        <v>1970</v>
      </c>
      <c r="D229" s="167"/>
      <c r="E229" s="167" t="s">
        <v>221</v>
      </c>
      <c r="F229" s="218">
        <v>5</v>
      </c>
      <c r="G229" s="218">
        <v>4</v>
      </c>
      <c r="H229" s="262">
        <v>3072</v>
      </c>
      <c r="I229" s="262">
        <v>2811.3</v>
      </c>
      <c r="J229" s="262">
        <v>2811.3</v>
      </c>
      <c r="K229" s="218">
        <v>140</v>
      </c>
      <c r="L229" s="109" t="s">
        <v>33</v>
      </c>
      <c r="M229" s="357">
        <v>2075120</v>
      </c>
      <c r="N229" s="276">
        <v>0</v>
      </c>
      <c r="O229" s="276">
        <v>0</v>
      </c>
      <c r="P229" s="276">
        <v>0</v>
      </c>
      <c r="Q229" s="276">
        <f t="shared" si="22"/>
        <v>2075120</v>
      </c>
      <c r="R229" s="276">
        <f t="shared" si="21"/>
        <v>738.13538220751957</v>
      </c>
      <c r="S229" s="276">
        <v>5115.04</v>
      </c>
      <c r="T229" s="294" t="s">
        <v>270</v>
      </c>
      <c r="V229" s="50"/>
      <c r="X229" s="20"/>
      <c r="Y229" s="106"/>
      <c r="Z229" s="55"/>
      <c r="AA229" s="163"/>
      <c r="AB229" s="163"/>
      <c r="AC229" s="52"/>
    </row>
    <row r="230" spans="1:29" s="54" customFormat="1" ht="37.5" customHeight="1">
      <c r="A230" s="293">
        <f t="shared" si="23"/>
        <v>16</v>
      </c>
      <c r="B230" s="255" t="s">
        <v>3140</v>
      </c>
      <c r="C230" s="179">
        <v>1973</v>
      </c>
      <c r="D230" s="167"/>
      <c r="E230" s="167" t="s">
        <v>221</v>
      </c>
      <c r="F230" s="218">
        <v>5</v>
      </c>
      <c r="G230" s="218">
        <v>4</v>
      </c>
      <c r="H230" s="262">
        <v>3644</v>
      </c>
      <c r="I230" s="262">
        <v>3366.6</v>
      </c>
      <c r="J230" s="262">
        <v>3366.6</v>
      </c>
      <c r="K230" s="218">
        <v>175</v>
      </c>
      <c r="L230" s="109" t="s">
        <v>33</v>
      </c>
      <c r="M230" s="357">
        <v>2441029</v>
      </c>
      <c r="N230" s="276">
        <v>0</v>
      </c>
      <c r="O230" s="276">
        <v>0</v>
      </c>
      <c r="P230" s="276">
        <v>0</v>
      </c>
      <c r="Q230" s="276">
        <f t="shared" si="22"/>
        <v>2441029</v>
      </c>
      <c r="R230" s="276">
        <f t="shared" si="21"/>
        <v>725.07247668270657</v>
      </c>
      <c r="S230" s="276">
        <v>5115.04</v>
      </c>
      <c r="T230" s="294" t="s">
        <v>270</v>
      </c>
      <c r="V230" s="50"/>
      <c r="X230" s="20"/>
      <c r="Y230" s="106"/>
      <c r="Z230" s="55"/>
      <c r="AA230" s="163"/>
      <c r="AB230" s="163"/>
      <c r="AC230" s="52"/>
    </row>
    <row r="231" spans="1:29" s="54" customFormat="1" ht="37.5" customHeight="1">
      <c r="A231" s="293">
        <f t="shared" si="23"/>
        <v>17</v>
      </c>
      <c r="B231" s="255" t="s">
        <v>2171</v>
      </c>
      <c r="C231" s="179">
        <v>1986</v>
      </c>
      <c r="D231" s="167"/>
      <c r="E231" s="167" t="s">
        <v>221</v>
      </c>
      <c r="F231" s="218">
        <v>9</v>
      </c>
      <c r="G231" s="218">
        <v>1</v>
      </c>
      <c r="H231" s="262">
        <v>3605</v>
      </c>
      <c r="I231" s="262">
        <v>3272.9</v>
      </c>
      <c r="J231" s="262">
        <v>3171.8</v>
      </c>
      <c r="K231" s="218">
        <v>139</v>
      </c>
      <c r="L231" s="109" t="s">
        <v>219</v>
      </c>
      <c r="M231" s="357">
        <v>2085000</v>
      </c>
      <c r="N231" s="276">
        <v>0</v>
      </c>
      <c r="O231" s="276">
        <v>400000</v>
      </c>
      <c r="P231" s="276">
        <v>0</v>
      </c>
      <c r="Q231" s="198">
        <f>M231-N231-O231-P231</f>
        <v>1685000</v>
      </c>
      <c r="R231" s="276">
        <f t="shared" si="21"/>
        <v>637.04971126523878</v>
      </c>
      <c r="S231" s="276">
        <v>5115.04</v>
      </c>
      <c r="T231" s="294" t="s">
        <v>270</v>
      </c>
      <c r="V231" s="50"/>
      <c r="X231" s="20"/>
      <c r="Y231" s="106"/>
      <c r="Z231" s="55"/>
      <c r="AA231" s="163"/>
      <c r="AB231" s="163"/>
      <c r="AC231" s="52"/>
    </row>
    <row r="232" spans="1:29" s="54" customFormat="1" ht="37.5" customHeight="1">
      <c r="A232" s="293">
        <f t="shared" si="23"/>
        <v>18</v>
      </c>
      <c r="B232" s="255" t="s">
        <v>3141</v>
      </c>
      <c r="C232" s="179">
        <v>1957</v>
      </c>
      <c r="D232" s="167"/>
      <c r="E232" s="167" t="s">
        <v>221</v>
      </c>
      <c r="F232" s="218">
        <v>2</v>
      </c>
      <c r="G232" s="218">
        <v>2</v>
      </c>
      <c r="H232" s="262">
        <v>937</v>
      </c>
      <c r="I232" s="262">
        <v>667.8</v>
      </c>
      <c r="J232" s="262">
        <v>667.8</v>
      </c>
      <c r="K232" s="218">
        <v>45</v>
      </c>
      <c r="L232" s="109" t="s">
        <v>33</v>
      </c>
      <c r="M232" s="357">
        <v>2149773</v>
      </c>
      <c r="N232" s="276">
        <v>0</v>
      </c>
      <c r="O232" s="276">
        <v>0</v>
      </c>
      <c r="P232" s="276">
        <v>0</v>
      </c>
      <c r="Q232" s="276">
        <f t="shared" si="22"/>
        <v>2149773</v>
      </c>
      <c r="R232" s="276">
        <f t="shared" si="21"/>
        <v>3219.18688230009</v>
      </c>
      <c r="S232" s="276">
        <v>5115.04</v>
      </c>
      <c r="T232" s="294" t="s">
        <v>270</v>
      </c>
      <c r="V232" s="50"/>
      <c r="X232" s="20"/>
      <c r="Y232" s="106"/>
      <c r="Z232" s="55"/>
      <c r="AA232" s="163"/>
      <c r="AB232" s="163"/>
      <c r="AC232" s="52"/>
    </row>
    <row r="233" spans="1:29" s="54" customFormat="1" ht="37.5" customHeight="1">
      <c r="A233" s="293">
        <f t="shared" si="23"/>
        <v>19</v>
      </c>
      <c r="B233" s="255" t="s">
        <v>3142</v>
      </c>
      <c r="C233" s="179">
        <v>1974</v>
      </c>
      <c r="D233" s="167"/>
      <c r="E233" s="167" t="s">
        <v>221</v>
      </c>
      <c r="F233" s="218">
        <v>5</v>
      </c>
      <c r="G233" s="218">
        <v>2</v>
      </c>
      <c r="H233" s="262">
        <v>4194</v>
      </c>
      <c r="I233" s="262">
        <v>3266</v>
      </c>
      <c r="J233" s="262">
        <v>3266</v>
      </c>
      <c r="K233" s="218">
        <v>98</v>
      </c>
      <c r="L233" s="109" t="s">
        <v>226</v>
      </c>
      <c r="M233" s="357">
        <v>1253939</v>
      </c>
      <c r="N233" s="276">
        <v>0</v>
      </c>
      <c r="O233" s="276">
        <v>0</v>
      </c>
      <c r="P233" s="276">
        <v>0</v>
      </c>
      <c r="Q233" s="276">
        <f t="shared" si="22"/>
        <v>1253939</v>
      </c>
      <c r="R233" s="276">
        <f t="shared" si="21"/>
        <v>383.93723208818125</v>
      </c>
      <c r="S233" s="276">
        <v>5115.04</v>
      </c>
      <c r="T233" s="294" t="s">
        <v>270</v>
      </c>
      <c r="V233" s="50"/>
      <c r="X233" s="20"/>
      <c r="Y233" s="106"/>
      <c r="Z233" s="55"/>
      <c r="AA233" s="163"/>
      <c r="AB233" s="163"/>
      <c r="AC233" s="52"/>
    </row>
    <row r="234" spans="1:29" s="54" customFormat="1" ht="37.5" customHeight="1">
      <c r="A234" s="293">
        <f t="shared" si="23"/>
        <v>20</v>
      </c>
      <c r="B234" s="255" t="s">
        <v>3143</v>
      </c>
      <c r="C234" s="179">
        <v>1983</v>
      </c>
      <c r="D234" s="167"/>
      <c r="E234" s="167" t="s">
        <v>221</v>
      </c>
      <c r="F234" s="218">
        <v>5</v>
      </c>
      <c r="G234" s="218">
        <v>7</v>
      </c>
      <c r="H234" s="262">
        <v>4612</v>
      </c>
      <c r="I234" s="262">
        <v>3936.9</v>
      </c>
      <c r="J234" s="262">
        <v>3936.9</v>
      </c>
      <c r="K234" s="218">
        <v>251</v>
      </c>
      <c r="L234" s="109" t="s">
        <v>33</v>
      </c>
      <c r="M234" s="357">
        <v>3703291</v>
      </c>
      <c r="N234" s="276">
        <v>0</v>
      </c>
      <c r="O234" s="276">
        <v>0</v>
      </c>
      <c r="P234" s="276">
        <v>0</v>
      </c>
      <c r="Q234" s="276">
        <f t="shared" si="22"/>
        <v>3703291</v>
      </c>
      <c r="R234" s="276">
        <f t="shared" si="21"/>
        <v>940.66168813025479</v>
      </c>
      <c r="S234" s="276">
        <v>5115.04</v>
      </c>
      <c r="T234" s="294" t="s">
        <v>270</v>
      </c>
      <c r="V234" s="50"/>
      <c r="X234" s="20"/>
      <c r="Y234" s="106"/>
      <c r="Z234" s="55"/>
      <c r="AA234" s="163"/>
      <c r="AB234" s="163"/>
      <c r="AC234" s="52"/>
    </row>
    <row r="235" spans="1:29" s="54" customFormat="1" ht="37.5" customHeight="1">
      <c r="A235" s="293">
        <f>A234+1</f>
        <v>21</v>
      </c>
      <c r="B235" s="255" t="s">
        <v>3144</v>
      </c>
      <c r="C235" s="179">
        <v>1990</v>
      </c>
      <c r="D235" s="167"/>
      <c r="E235" s="167" t="s">
        <v>221</v>
      </c>
      <c r="F235" s="218">
        <v>9</v>
      </c>
      <c r="G235" s="218">
        <v>2</v>
      </c>
      <c r="H235" s="262">
        <v>4273</v>
      </c>
      <c r="I235" s="262">
        <v>3680</v>
      </c>
      <c r="J235" s="262">
        <v>3452</v>
      </c>
      <c r="K235" s="218">
        <v>189</v>
      </c>
      <c r="L235" s="109" t="s">
        <v>30</v>
      </c>
      <c r="M235" s="357">
        <v>2212704</v>
      </c>
      <c r="N235" s="276">
        <v>0</v>
      </c>
      <c r="O235" s="276">
        <v>0</v>
      </c>
      <c r="P235" s="276">
        <v>0</v>
      </c>
      <c r="Q235" s="276">
        <f t="shared" si="22"/>
        <v>2212704</v>
      </c>
      <c r="R235" s="276">
        <f t="shared" si="21"/>
        <v>601.2782608695652</v>
      </c>
      <c r="S235" s="276">
        <v>5115.04</v>
      </c>
      <c r="T235" s="294" t="s">
        <v>270</v>
      </c>
      <c r="V235" s="50"/>
      <c r="X235" s="20"/>
      <c r="Y235" s="106"/>
      <c r="Z235" s="55"/>
      <c r="AA235" s="163"/>
      <c r="AB235" s="163"/>
      <c r="AC235" s="52"/>
    </row>
    <row r="236" spans="1:29" s="54" customFormat="1" ht="37.5" customHeight="1">
      <c r="A236" s="293">
        <f t="shared" si="23"/>
        <v>22</v>
      </c>
      <c r="B236" s="255" t="s">
        <v>3145</v>
      </c>
      <c r="C236" s="179">
        <v>1989</v>
      </c>
      <c r="D236" s="167"/>
      <c r="E236" s="167" t="s">
        <v>221</v>
      </c>
      <c r="F236" s="218">
        <v>9</v>
      </c>
      <c r="G236" s="218">
        <v>2</v>
      </c>
      <c r="H236" s="262">
        <v>4517</v>
      </c>
      <c r="I236" s="262">
        <v>3939.7</v>
      </c>
      <c r="J236" s="262">
        <v>3627.8</v>
      </c>
      <c r="K236" s="218">
        <v>236</v>
      </c>
      <c r="L236" s="109" t="s">
        <v>219</v>
      </c>
      <c r="M236" s="357">
        <v>4106250</v>
      </c>
      <c r="N236" s="276">
        <v>0</v>
      </c>
      <c r="O236" s="276">
        <v>800000</v>
      </c>
      <c r="P236" s="276">
        <v>0</v>
      </c>
      <c r="Q236" s="198">
        <f>M236-N236-O236-P236</f>
        <v>3306250</v>
      </c>
      <c r="R236" s="276">
        <f t="shared" si="21"/>
        <v>1042.2747924968908</v>
      </c>
      <c r="S236" s="276">
        <v>5115.04</v>
      </c>
      <c r="T236" s="294" t="s">
        <v>270</v>
      </c>
      <c r="V236" s="50"/>
      <c r="X236" s="20"/>
      <c r="Y236" s="106"/>
      <c r="Z236" s="55"/>
      <c r="AA236" s="163"/>
      <c r="AB236" s="163"/>
      <c r="AC236" s="52"/>
    </row>
    <row r="237" spans="1:29" s="54" customFormat="1" ht="37.5" customHeight="1">
      <c r="A237" s="237">
        <f t="shared" si="23"/>
        <v>23</v>
      </c>
      <c r="B237" s="211" t="s">
        <v>2182</v>
      </c>
      <c r="C237" s="212">
        <v>1989</v>
      </c>
      <c r="D237" s="238"/>
      <c r="E237" s="238" t="s">
        <v>221</v>
      </c>
      <c r="F237" s="213">
        <v>9</v>
      </c>
      <c r="G237" s="213">
        <v>2</v>
      </c>
      <c r="H237" s="180">
        <v>4215</v>
      </c>
      <c r="I237" s="180">
        <v>3678</v>
      </c>
      <c r="J237" s="180">
        <v>3539</v>
      </c>
      <c r="K237" s="213">
        <v>215</v>
      </c>
      <c r="L237" s="165" t="s">
        <v>219</v>
      </c>
      <c r="M237" s="214">
        <v>4106250</v>
      </c>
      <c r="N237" s="214">
        <v>0</v>
      </c>
      <c r="O237" s="214">
        <v>800000</v>
      </c>
      <c r="P237" s="214">
        <v>0</v>
      </c>
      <c r="Q237" s="215">
        <f>M237-N237-O237-P237</f>
        <v>3306250</v>
      </c>
      <c r="R237" s="214">
        <f t="shared" si="21"/>
        <v>1116.4355628058727</v>
      </c>
      <c r="S237" s="214">
        <v>5115.04</v>
      </c>
      <c r="T237" s="181" t="s">
        <v>270</v>
      </c>
      <c r="V237" s="50"/>
      <c r="X237" s="20"/>
      <c r="Y237" s="106"/>
      <c r="Z237" s="55"/>
      <c r="AA237" s="163"/>
      <c r="AB237" s="163"/>
      <c r="AC237" s="52"/>
    </row>
    <row r="238" spans="1:29" s="54" customFormat="1" ht="37.5" customHeight="1">
      <c r="A238" s="237">
        <f t="shared" si="23"/>
        <v>24</v>
      </c>
      <c r="B238" s="211" t="s">
        <v>3146</v>
      </c>
      <c r="C238" s="212">
        <v>1988</v>
      </c>
      <c r="D238" s="238"/>
      <c r="E238" s="238" t="s">
        <v>221</v>
      </c>
      <c r="F238" s="213">
        <v>9</v>
      </c>
      <c r="G238" s="213">
        <v>2</v>
      </c>
      <c r="H238" s="180">
        <v>4463</v>
      </c>
      <c r="I238" s="180">
        <v>3904.3</v>
      </c>
      <c r="J238" s="180">
        <v>3655.1</v>
      </c>
      <c r="K238" s="213">
        <v>239</v>
      </c>
      <c r="L238" s="165" t="s">
        <v>219</v>
      </c>
      <c r="M238" s="214">
        <v>4106250</v>
      </c>
      <c r="N238" s="214">
        <v>0</v>
      </c>
      <c r="O238" s="214">
        <v>800000</v>
      </c>
      <c r="P238" s="214">
        <v>0</v>
      </c>
      <c r="Q238" s="215">
        <f>M238-N238-O238-P238</f>
        <v>3306250</v>
      </c>
      <c r="R238" s="214">
        <f t="shared" si="21"/>
        <v>1051.7250211305484</v>
      </c>
      <c r="S238" s="214">
        <v>5115.04</v>
      </c>
      <c r="T238" s="181" t="s">
        <v>270</v>
      </c>
      <c r="V238" s="50"/>
      <c r="X238" s="20"/>
      <c r="Y238" s="106"/>
      <c r="Z238" s="55"/>
      <c r="AA238" s="163"/>
      <c r="AB238" s="163"/>
      <c r="AC238" s="52"/>
    </row>
    <row r="239" spans="1:29" s="48" customFormat="1" ht="75" customHeight="1">
      <c r="A239" s="237">
        <f t="shared" si="23"/>
        <v>25</v>
      </c>
      <c r="B239" s="211" t="s">
        <v>3147</v>
      </c>
      <c r="C239" s="212">
        <v>1987</v>
      </c>
      <c r="D239" s="238"/>
      <c r="E239" s="238" t="s">
        <v>221</v>
      </c>
      <c r="F239" s="213">
        <v>9</v>
      </c>
      <c r="G239" s="213">
        <v>2</v>
      </c>
      <c r="H239" s="180">
        <v>4449</v>
      </c>
      <c r="I239" s="180">
        <v>3869.8</v>
      </c>
      <c r="J239" s="180">
        <v>3869.8</v>
      </c>
      <c r="K239" s="213">
        <v>354</v>
      </c>
      <c r="L239" s="165" t="s">
        <v>378</v>
      </c>
      <c r="M239" s="214">
        <v>7425306</v>
      </c>
      <c r="N239" s="214">
        <v>0</v>
      </c>
      <c r="O239" s="214">
        <v>800000</v>
      </c>
      <c r="P239" s="214">
        <v>0</v>
      </c>
      <c r="Q239" s="215">
        <f>M239-N239-O239-P239</f>
        <v>6625306</v>
      </c>
      <c r="R239" s="214">
        <f t="shared" si="21"/>
        <v>1918.7828828363222</v>
      </c>
      <c r="S239" s="214">
        <v>5115.04</v>
      </c>
      <c r="T239" s="181" t="s">
        <v>270</v>
      </c>
      <c r="V239" s="51"/>
      <c r="X239" s="19"/>
      <c r="Y239" s="37"/>
      <c r="Z239" s="55"/>
      <c r="AA239" s="207"/>
      <c r="AB239" s="207"/>
      <c r="AC239" s="49"/>
    </row>
    <row r="240" spans="1:29" s="54" customFormat="1" ht="37.5" customHeight="1">
      <c r="A240" s="237">
        <f t="shared" si="23"/>
        <v>26</v>
      </c>
      <c r="B240" s="211" t="s">
        <v>3148</v>
      </c>
      <c r="C240" s="212">
        <v>1988</v>
      </c>
      <c r="D240" s="238"/>
      <c r="E240" s="238" t="s">
        <v>221</v>
      </c>
      <c r="F240" s="213">
        <v>9</v>
      </c>
      <c r="G240" s="213">
        <v>1</v>
      </c>
      <c r="H240" s="180">
        <v>3683</v>
      </c>
      <c r="I240" s="180">
        <v>3531.43</v>
      </c>
      <c r="J240" s="180">
        <v>3531.43</v>
      </c>
      <c r="K240" s="213">
        <v>233</v>
      </c>
      <c r="L240" s="165" t="s">
        <v>219</v>
      </c>
      <c r="M240" s="214">
        <v>2085000</v>
      </c>
      <c r="N240" s="214">
        <v>0</v>
      </c>
      <c r="O240" s="214">
        <v>400000</v>
      </c>
      <c r="P240" s="214">
        <v>0</v>
      </c>
      <c r="Q240" s="215">
        <f>M240-N240-O240-P240</f>
        <v>1685000</v>
      </c>
      <c r="R240" s="214">
        <f t="shared" si="21"/>
        <v>590.41238251926279</v>
      </c>
      <c r="S240" s="214">
        <v>5115.04</v>
      </c>
      <c r="T240" s="181" t="s">
        <v>270</v>
      </c>
      <c r="V240" s="50"/>
      <c r="X240" s="20"/>
      <c r="Y240" s="106"/>
      <c r="Z240" s="55"/>
      <c r="AA240" s="163"/>
      <c r="AB240" s="163"/>
      <c r="AC240" s="52"/>
    </row>
    <row r="241" spans="1:29" s="54" customFormat="1" ht="37.5" customHeight="1">
      <c r="A241" s="237">
        <f t="shared" si="23"/>
        <v>27</v>
      </c>
      <c r="B241" s="211" t="s">
        <v>3149</v>
      </c>
      <c r="C241" s="212">
        <v>2000</v>
      </c>
      <c r="D241" s="238"/>
      <c r="E241" s="238" t="s">
        <v>221</v>
      </c>
      <c r="F241" s="213">
        <v>9</v>
      </c>
      <c r="G241" s="213">
        <v>2</v>
      </c>
      <c r="H241" s="180">
        <v>4533</v>
      </c>
      <c r="I241" s="180">
        <v>4025.1</v>
      </c>
      <c r="J241" s="180">
        <v>3665.4</v>
      </c>
      <c r="K241" s="213">
        <v>191</v>
      </c>
      <c r="L241" s="165" t="s">
        <v>33</v>
      </c>
      <c r="M241" s="214">
        <v>1731313</v>
      </c>
      <c r="N241" s="214">
        <v>0</v>
      </c>
      <c r="O241" s="214">
        <v>0</v>
      </c>
      <c r="P241" s="214">
        <v>0</v>
      </c>
      <c r="Q241" s="214">
        <f t="shared" si="22"/>
        <v>1731313</v>
      </c>
      <c r="R241" s="214">
        <f t="shared" si="21"/>
        <v>430.12918933691088</v>
      </c>
      <c r="S241" s="214">
        <v>5115.04</v>
      </c>
      <c r="T241" s="181" t="s">
        <v>270</v>
      </c>
      <c r="V241" s="50"/>
      <c r="X241" s="20"/>
      <c r="Y241" s="106"/>
      <c r="Z241" s="55"/>
      <c r="AA241" s="163"/>
      <c r="AB241" s="163"/>
      <c r="AC241" s="52"/>
    </row>
    <row r="242" spans="1:29" s="54" customFormat="1" ht="37.5" customHeight="1">
      <c r="A242" s="293">
        <f t="shared" si="23"/>
        <v>28</v>
      </c>
      <c r="B242" s="255" t="s">
        <v>3150</v>
      </c>
      <c r="C242" s="179">
        <v>2001</v>
      </c>
      <c r="D242" s="167"/>
      <c r="E242" s="167" t="s">
        <v>221</v>
      </c>
      <c r="F242" s="218">
        <v>9</v>
      </c>
      <c r="G242" s="218">
        <v>2</v>
      </c>
      <c r="H242" s="262">
        <v>4312</v>
      </c>
      <c r="I242" s="262">
        <v>3835.9</v>
      </c>
      <c r="J242" s="262">
        <v>3658.9</v>
      </c>
      <c r="K242" s="218">
        <v>198</v>
      </c>
      <c r="L242" s="109" t="s">
        <v>33</v>
      </c>
      <c r="M242" s="357">
        <v>1726402</v>
      </c>
      <c r="N242" s="276">
        <v>0</v>
      </c>
      <c r="O242" s="276">
        <v>0</v>
      </c>
      <c r="P242" s="276">
        <v>0</v>
      </c>
      <c r="Q242" s="276">
        <f t="shared" si="22"/>
        <v>1726402</v>
      </c>
      <c r="R242" s="276">
        <f t="shared" si="21"/>
        <v>450.0643916681874</v>
      </c>
      <c r="S242" s="276">
        <v>5115.04</v>
      </c>
      <c r="T242" s="294" t="s">
        <v>270</v>
      </c>
      <c r="V242" s="50"/>
      <c r="X242" s="20"/>
      <c r="Y242" s="106"/>
      <c r="Z242" s="55"/>
      <c r="AA242" s="163"/>
      <c r="AB242" s="163"/>
      <c r="AC242" s="52"/>
    </row>
    <row r="243" spans="1:29" s="54" customFormat="1" ht="37.5" customHeight="1">
      <c r="A243" s="293">
        <f t="shared" si="23"/>
        <v>29</v>
      </c>
      <c r="B243" s="255" t="s">
        <v>3151</v>
      </c>
      <c r="C243" s="179">
        <v>1963</v>
      </c>
      <c r="D243" s="167"/>
      <c r="E243" s="167" t="s">
        <v>221</v>
      </c>
      <c r="F243" s="218">
        <v>5</v>
      </c>
      <c r="G243" s="218">
        <v>4</v>
      </c>
      <c r="H243" s="262">
        <v>4017</v>
      </c>
      <c r="I243" s="262">
        <v>3004.5</v>
      </c>
      <c r="J243" s="262">
        <v>3004.5</v>
      </c>
      <c r="K243" s="218">
        <v>165</v>
      </c>
      <c r="L243" s="109" t="s">
        <v>33</v>
      </c>
      <c r="M243" s="357">
        <v>3824394</v>
      </c>
      <c r="N243" s="276">
        <v>0</v>
      </c>
      <c r="O243" s="276">
        <v>0</v>
      </c>
      <c r="P243" s="276">
        <v>0</v>
      </c>
      <c r="Q243" s="276">
        <f t="shared" si="22"/>
        <v>3824394</v>
      </c>
      <c r="R243" s="276">
        <f t="shared" si="21"/>
        <v>1272.8886669995009</v>
      </c>
      <c r="S243" s="276">
        <v>5115.04</v>
      </c>
      <c r="T243" s="294" t="s">
        <v>270</v>
      </c>
      <c r="V243" s="50"/>
      <c r="X243" s="20"/>
      <c r="Y243" s="106"/>
      <c r="Z243" s="55"/>
      <c r="AA243" s="163"/>
      <c r="AB243" s="163"/>
      <c r="AC243" s="52"/>
    </row>
    <row r="244" spans="1:29" s="54" customFormat="1" ht="37.5" customHeight="1">
      <c r="A244" s="293">
        <f t="shared" si="23"/>
        <v>30</v>
      </c>
      <c r="B244" s="255" t="s">
        <v>3152</v>
      </c>
      <c r="C244" s="179">
        <v>1960</v>
      </c>
      <c r="D244" s="167"/>
      <c r="E244" s="167" t="s">
        <v>221</v>
      </c>
      <c r="F244" s="218">
        <v>3</v>
      </c>
      <c r="G244" s="218">
        <v>3</v>
      </c>
      <c r="H244" s="262">
        <v>1804</v>
      </c>
      <c r="I244" s="262">
        <v>1241.8</v>
      </c>
      <c r="J244" s="262">
        <v>1241.8</v>
      </c>
      <c r="K244" s="218">
        <v>87</v>
      </c>
      <c r="L244" s="109" t="s">
        <v>33</v>
      </c>
      <c r="M244" s="357">
        <v>2575329</v>
      </c>
      <c r="N244" s="276">
        <v>0</v>
      </c>
      <c r="O244" s="276">
        <v>0</v>
      </c>
      <c r="P244" s="276">
        <v>0</v>
      </c>
      <c r="Q244" s="276">
        <f t="shared" si="22"/>
        <v>2575329</v>
      </c>
      <c r="R244" s="276">
        <f t="shared" si="21"/>
        <v>2073.8677725881785</v>
      </c>
      <c r="S244" s="276">
        <v>5115.04</v>
      </c>
      <c r="T244" s="294" t="s">
        <v>270</v>
      </c>
      <c r="V244" s="50"/>
      <c r="X244" s="20"/>
      <c r="Y244" s="106"/>
      <c r="Z244" s="55"/>
      <c r="AA244" s="163"/>
      <c r="AB244" s="163"/>
      <c r="AC244" s="52"/>
    </row>
    <row r="245" spans="1:29" s="54" customFormat="1" ht="37.5" customHeight="1">
      <c r="A245" s="293">
        <f t="shared" si="23"/>
        <v>31</v>
      </c>
      <c r="B245" s="255" t="s">
        <v>3153</v>
      </c>
      <c r="C245" s="179">
        <v>1995</v>
      </c>
      <c r="D245" s="167"/>
      <c r="E245" s="167" t="s">
        <v>221</v>
      </c>
      <c r="F245" s="218">
        <v>5</v>
      </c>
      <c r="G245" s="218">
        <v>5</v>
      </c>
      <c r="H245" s="262">
        <v>3475</v>
      </c>
      <c r="I245" s="262">
        <v>3475</v>
      </c>
      <c r="J245" s="262">
        <v>3145.5</v>
      </c>
      <c r="K245" s="218">
        <v>193</v>
      </c>
      <c r="L245" s="109" t="s">
        <v>33</v>
      </c>
      <c r="M245" s="357">
        <v>3221962</v>
      </c>
      <c r="N245" s="276">
        <v>0</v>
      </c>
      <c r="O245" s="276">
        <v>0</v>
      </c>
      <c r="P245" s="276">
        <v>0</v>
      </c>
      <c r="Q245" s="276">
        <f t="shared" si="22"/>
        <v>3221962</v>
      </c>
      <c r="R245" s="276">
        <f t="shared" si="21"/>
        <v>927.18330935251799</v>
      </c>
      <c r="S245" s="276">
        <v>5115.04</v>
      </c>
      <c r="T245" s="294" t="s">
        <v>270</v>
      </c>
      <c r="V245" s="50"/>
      <c r="X245" s="20"/>
      <c r="Y245" s="106"/>
      <c r="Z245" s="55"/>
      <c r="AA245" s="163"/>
      <c r="AB245" s="163"/>
      <c r="AC245" s="52"/>
    </row>
    <row r="246" spans="1:29" s="54" customFormat="1" ht="37.5" customHeight="1">
      <c r="A246" s="293">
        <f>A245+1</f>
        <v>32</v>
      </c>
      <c r="B246" s="255" t="s">
        <v>3154</v>
      </c>
      <c r="C246" s="179">
        <v>1963</v>
      </c>
      <c r="D246" s="167"/>
      <c r="E246" s="167" t="s">
        <v>221</v>
      </c>
      <c r="F246" s="218">
        <v>5</v>
      </c>
      <c r="G246" s="218">
        <v>4</v>
      </c>
      <c r="H246" s="262">
        <v>3015</v>
      </c>
      <c r="I246" s="262">
        <v>2858.4</v>
      </c>
      <c r="J246" s="262">
        <v>2858.4</v>
      </c>
      <c r="K246" s="218">
        <v>158</v>
      </c>
      <c r="L246" s="109" t="s">
        <v>33</v>
      </c>
      <c r="M246" s="357">
        <v>3824394</v>
      </c>
      <c r="N246" s="276">
        <v>0</v>
      </c>
      <c r="O246" s="276">
        <v>0</v>
      </c>
      <c r="P246" s="276">
        <v>0</v>
      </c>
      <c r="Q246" s="276">
        <f t="shared" si="22"/>
        <v>3824394</v>
      </c>
      <c r="R246" s="276">
        <f t="shared" si="21"/>
        <v>1337.9492023509656</v>
      </c>
      <c r="S246" s="276">
        <v>5115.04</v>
      </c>
      <c r="T246" s="294" t="s">
        <v>270</v>
      </c>
      <c r="V246" s="50"/>
      <c r="X246" s="20"/>
      <c r="Y246" s="106"/>
      <c r="Z246" s="55"/>
      <c r="AA246" s="163"/>
      <c r="AB246" s="163"/>
      <c r="AC246" s="52"/>
    </row>
    <row r="247" spans="1:29" s="54" customFormat="1" ht="37.5" customHeight="1">
      <c r="A247" s="293">
        <f t="shared" si="23"/>
        <v>33</v>
      </c>
      <c r="B247" s="255" t="s">
        <v>3155</v>
      </c>
      <c r="C247" s="179">
        <v>1963</v>
      </c>
      <c r="D247" s="167"/>
      <c r="E247" s="167" t="s">
        <v>221</v>
      </c>
      <c r="F247" s="218">
        <v>5</v>
      </c>
      <c r="G247" s="218">
        <v>8</v>
      </c>
      <c r="H247" s="262">
        <v>6223</v>
      </c>
      <c r="I247" s="262">
        <v>6223</v>
      </c>
      <c r="J247" s="262">
        <v>5753.2</v>
      </c>
      <c r="K247" s="218">
        <v>347</v>
      </c>
      <c r="L247" s="109" t="s">
        <v>33</v>
      </c>
      <c r="M247" s="357">
        <v>5157103</v>
      </c>
      <c r="N247" s="276">
        <v>0</v>
      </c>
      <c r="O247" s="276">
        <v>0</v>
      </c>
      <c r="P247" s="276">
        <v>0</v>
      </c>
      <c r="Q247" s="276">
        <f t="shared" si="22"/>
        <v>5157103</v>
      </c>
      <c r="R247" s="276">
        <f t="shared" si="21"/>
        <v>828.71653543307082</v>
      </c>
      <c r="S247" s="276">
        <v>5115.04</v>
      </c>
      <c r="T247" s="294" t="s">
        <v>270</v>
      </c>
      <c r="V247" s="50"/>
      <c r="X247" s="20"/>
      <c r="Y247" s="106"/>
      <c r="Z247" s="55"/>
      <c r="AA247" s="163"/>
      <c r="AB247" s="163"/>
      <c r="AC247" s="52"/>
    </row>
    <row r="248" spans="1:29" s="54" customFormat="1" ht="37.5" customHeight="1">
      <c r="A248" s="293">
        <f t="shared" si="23"/>
        <v>34</v>
      </c>
      <c r="B248" s="255" t="s">
        <v>3156</v>
      </c>
      <c r="C248" s="179">
        <v>1989</v>
      </c>
      <c r="D248" s="167"/>
      <c r="E248" s="167" t="s">
        <v>221</v>
      </c>
      <c r="F248" s="218">
        <v>5</v>
      </c>
      <c r="G248" s="218">
        <v>1</v>
      </c>
      <c r="H248" s="262">
        <v>996</v>
      </c>
      <c r="I248" s="262">
        <v>906</v>
      </c>
      <c r="J248" s="262">
        <v>906</v>
      </c>
      <c r="K248" s="218">
        <v>54</v>
      </c>
      <c r="L248" s="109" t="s">
        <v>30</v>
      </c>
      <c r="M248" s="357">
        <v>614640</v>
      </c>
      <c r="N248" s="276">
        <v>0</v>
      </c>
      <c r="O248" s="276">
        <v>0</v>
      </c>
      <c r="P248" s="276">
        <v>0</v>
      </c>
      <c r="Q248" s="276">
        <f t="shared" si="22"/>
        <v>614640</v>
      </c>
      <c r="R248" s="276">
        <f t="shared" si="21"/>
        <v>678.41059602649011</v>
      </c>
      <c r="S248" s="276">
        <v>5115.04</v>
      </c>
      <c r="T248" s="294" t="s">
        <v>270</v>
      </c>
      <c r="V248" s="50"/>
      <c r="X248" s="20"/>
      <c r="Y248" s="106"/>
      <c r="Z248" s="55"/>
      <c r="AA248" s="163"/>
      <c r="AB248" s="163"/>
      <c r="AC248" s="52"/>
    </row>
    <row r="249" spans="1:29" s="54" customFormat="1" ht="37.5" customHeight="1">
      <c r="A249" s="293">
        <f t="shared" si="23"/>
        <v>35</v>
      </c>
      <c r="B249" s="255" t="s">
        <v>3157</v>
      </c>
      <c r="C249" s="179">
        <v>1988</v>
      </c>
      <c r="D249" s="167"/>
      <c r="E249" s="167" t="s">
        <v>221</v>
      </c>
      <c r="F249" s="218">
        <v>5.0999999999999996</v>
      </c>
      <c r="G249" s="218">
        <v>1</v>
      </c>
      <c r="H249" s="262">
        <v>999</v>
      </c>
      <c r="I249" s="262">
        <v>995.4</v>
      </c>
      <c r="J249" s="262">
        <v>995.4</v>
      </c>
      <c r="K249" s="218">
        <v>63</v>
      </c>
      <c r="L249" s="109" t="s">
        <v>30</v>
      </c>
      <c r="M249" s="357">
        <v>614640</v>
      </c>
      <c r="N249" s="276">
        <v>0</v>
      </c>
      <c r="O249" s="276">
        <v>0</v>
      </c>
      <c r="P249" s="276">
        <v>0</v>
      </c>
      <c r="Q249" s="276">
        <f t="shared" si="22"/>
        <v>614640</v>
      </c>
      <c r="R249" s="276">
        <f t="shared" si="21"/>
        <v>617.48040988547314</v>
      </c>
      <c r="S249" s="276">
        <v>5115.04</v>
      </c>
      <c r="T249" s="294" t="s">
        <v>270</v>
      </c>
      <c r="V249" s="50"/>
      <c r="X249" s="20"/>
      <c r="Y249" s="106"/>
      <c r="Z249" s="55"/>
      <c r="AA249" s="163"/>
      <c r="AB249" s="163"/>
      <c r="AC249" s="52"/>
    </row>
    <row r="250" spans="1:29" s="54" customFormat="1" ht="37.5" customHeight="1">
      <c r="A250" s="293">
        <f t="shared" si="23"/>
        <v>36</v>
      </c>
      <c r="B250" s="255" t="s">
        <v>3158</v>
      </c>
      <c r="C250" s="179">
        <v>1989</v>
      </c>
      <c r="D250" s="167"/>
      <c r="E250" s="167" t="s">
        <v>221</v>
      </c>
      <c r="F250" s="218">
        <v>5</v>
      </c>
      <c r="G250" s="218">
        <v>1</v>
      </c>
      <c r="H250" s="262">
        <v>994</v>
      </c>
      <c r="I250" s="262">
        <v>990.9</v>
      </c>
      <c r="J250" s="262">
        <v>990.9</v>
      </c>
      <c r="K250" s="218">
        <v>63</v>
      </c>
      <c r="L250" s="109" t="s">
        <v>30</v>
      </c>
      <c r="M250" s="357">
        <v>614640</v>
      </c>
      <c r="N250" s="276">
        <v>0</v>
      </c>
      <c r="O250" s="276">
        <v>0</v>
      </c>
      <c r="P250" s="276">
        <v>0</v>
      </c>
      <c r="Q250" s="276">
        <f t="shared" si="22"/>
        <v>614640</v>
      </c>
      <c r="R250" s="276">
        <f t="shared" si="21"/>
        <v>620.28458976687864</v>
      </c>
      <c r="S250" s="276">
        <v>5115.04</v>
      </c>
      <c r="T250" s="294" t="s">
        <v>270</v>
      </c>
      <c r="V250" s="50"/>
      <c r="X250" s="20"/>
      <c r="Y250" s="106"/>
      <c r="Z250" s="55"/>
      <c r="AA250" s="163"/>
      <c r="AB250" s="163"/>
      <c r="AC250" s="52"/>
    </row>
    <row r="251" spans="1:29" s="54" customFormat="1" ht="37.5" customHeight="1">
      <c r="A251" s="293">
        <f t="shared" si="23"/>
        <v>37</v>
      </c>
      <c r="B251" s="255" t="s">
        <v>3159</v>
      </c>
      <c r="C251" s="179">
        <v>1964</v>
      </c>
      <c r="D251" s="167"/>
      <c r="E251" s="167" t="s">
        <v>221</v>
      </c>
      <c r="F251" s="218">
        <v>5</v>
      </c>
      <c r="G251" s="218">
        <v>4</v>
      </c>
      <c r="H251" s="262">
        <v>3935</v>
      </c>
      <c r="I251" s="262">
        <v>3147.8</v>
      </c>
      <c r="J251" s="262">
        <v>3147.8</v>
      </c>
      <c r="K251" s="218">
        <v>190</v>
      </c>
      <c r="L251" s="109" t="s">
        <v>33</v>
      </c>
      <c r="M251" s="357">
        <v>2340342</v>
      </c>
      <c r="N251" s="276">
        <v>0</v>
      </c>
      <c r="O251" s="276">
        <v>0</v>
      </c>
      <c r="P251" s="276">
        <v>0</v>
      </c>
      <c r="Q251" s="276">
        <f t="shared" si="22"/>
        <v>2340342</v>
      </c>
      <c r="R251" s="276">
        <f t="shared" si="21"/>
        <v>743.48497363237811</v>
      </c>
      <c r="S251" s="276">
        <v>5115.04</v>
      </c>
      <c r="T251" s="294" t="s">
        <v>270</v>
      </c>
      <c r="V251" s="50"/>
      <c r="X251" s="20"/>
      <c r="Y251" s="106"/>
      <c r="Z251" s="55"/>
      <c r="AA251" s="163"/>
      <c r="AB251" s="163"/>
      <c r="AC251" s="52"/>
    </row>
    <row r="252" spans="1:29" s="54" customFormat="1" ht="37.5" customHeight="1">
      <c r="A252" s="293">
        <f t="shared" si="23"/>
        <v>38</v>
      </c>
      <c r="B252" s="255" t="s">
        <v>3160</v>
      </c>
      <c r="C252" s="179">
        <v>1965</v>
      </c>
      <c r="D252" s="167"/>
      <c r="E252" s="167" t="s">
        <v>221</v>
      </c>
      <c r="F252" s="218">
        <v>5</v>
      </c>
      <c r="G252" s="218">
        <v>6</v>
      </c>
      <c r="H252" s="262">
        <v>4792</v>
      </c>
      <c r="I252" s="262">
        <v>4379.5</v>
      </c>
      <c r="J252" s="262">
        <v>4379.5</v>
      </c>
      <c r="K252" s="218">
        <v>270</v>
      </c>
      <c r="L252" s="109" t="s">
        <v>33</v>
      </c>
      <c r="M252" s="357">
        <v>3236450</v>
      </c>
      <c r="N252" s="276">
        <v>0</v>
      </c>
      <c r="O252" s="276">
        <v>0</v>
      </c>
      <c r="P252" s="276">
        <v>0</v>
      </c>
      <c r="Q252" s="276">
        <f t="shared" si="22"/>
        <v>3236450</v>
      </c>
      <c r="R252" s="276">
        <f t="shared" si="21"/>
        <v>738.99988583171591</v>
      </c>
      <c r="S252" s="276">
        <v>5115.04</v>
      </c>
      <c r="T252" s="294" t="s">
        <v>270</v>
      </c>
      <c r="V252" s="50"/>
      <c r="X252" s="20"/>
      <c r="Y252" s="106"/>
      <c r="Z252" s="55"/>
      <c r="AA252" s="163"/>
      <c r="AB252" s="163"/>
      <c r="AC252" s="52"/>
    </row>
    <row r="253" spans="1:29" s="54" customFormat="1" ht="37.5" customHeight="1">
      <c r="A253" s="293">
        <f t="shared" si="23"/>
        <v>39</v>
      </c>
      <c r="B253" s="255" t="s">
        <v>3161</v>
      </c>
      <c r="C253" s="179">
        <v>1965</v>
      </c>
      <c r="D253" s="167"/>
      <c r="E253" s="167" t="s">
        <v>221</v>
      </c>
      <c r="F253" s="218">
        <v>5</v>
      </c>
      <c r="G253" s="218">
        <v>6</v>
      </c>
      <c r="H253" s="262">
        <v>4748</v>
      </c>
      <c r="I253" s="262">
        <v>4706.8</v>
      </c>
      <c r="J253" s="262">
        <v>4642</v>
      </c>
      <c r="K253" s="218">
        <v>235</v>
      </c>
      <c r="L253" s="109" t="s">
        <v>33</v>
      </c>
      <c r="M253" s="357">
        <v>3237679</v>
      </c>
      <c r="N253" s="276">
        <v>0</v>
      </c>
      <c r="O253" s="276">
        <v>0</v>
      </c>
      <c r="P253" s="276">
        <v>0</v>
      </c>
      <c r="Q253" s="276">
        <f t="shared" si="22"/>
        <v>3237679</v>
      </c>
      <c r="R253" s="276">
        <f t="shared" si="21"/>
        <v>687.87265233279504</v>
      </c>
      <c r="S253" s="276">
        <v>5115.04</v>
      </c>
      <c r="T253" s="294" t="s">
        <v>270</v>
      </c>
      <c r="V253" s="50"/>
      <c r="X253" s="20"/>
      <c r="Y253" s="106"/>
      <c r="Z253" s="55"/>
      <c r="AA253" s="163"/>
      <c r="AB253" s="163"/>
      <c r="AC253" s="52"/>
    </row>
    <row r="254" spans="1:29" s="54" customFormat="1" ht="37.5" customHeight="1">
      <c r="A254" s="293">
        <f t="shared" si="23"/>
        <v>40</v>
      </c>
      <c r="B254" s="255" t="s">
        <v>3162</v>
      </c>
      <c r="C254" s="179">
        <v>1970</v>
      </c>
      <c r="D254" s="167"/>
      <c r="E254" s="167" t="s">
        <v>221</v>
      </c>
      <c r="F254" s="218">
        <v>5</v>
      </c>
      <c r="G254" s="218">
        <v>3</v>
      </c>
      <c r="H254" s="262">
        <v>3298</v>
      </c>
      <c r="I254" s="262">
        <v>2638.4</v>
      </c>
      <c r="J254" s="262">
        <v>2638.4</v>
      </c>
      <c r="K254" s="218">
        <v>129</v>
      </c>
      <c r="L254" s="109" t="s">
        <v>33</v>
      </c>
      <c r="M254" s="357">
        <v>1823158</v>
      </c>
      <c r="N254" s="276">
        <v>0</v>
      </c>
      <c r="O254" s="276">
        <v>0</v>
      </c>
      <c r="P254" s="276">
        <v>0</v>
      </c>
      <c r="Q254" s="276">
        <f t="shared" si="22"/>
        <v>1823158</v>
      </c>
      <c r="R254" s="276">
        <f t="shared" si="21"/>
        <v>691.0089448150394</v>
      </c>
      <c r="S254" s="276">
        <v>5115.04</v>
      </c>
      <c r="T254" s="294" t="s">
        <v>270</v>
      </c>
      <c r="V254" s="50"/>
      <c r="X254" s="20"/>
      <c r="Y254" s="106"/>
      <c r="Z254" s="55"/>
      <c r="AA254" s="163"/>
      <c r="AB254" s="163"/>
      <c r="AC254" s="52"/>
    </row>
    <row r="255" spans="1:29" s="54" customFormat="1" ht="37.5" customHeight="1">
      <c r="A255" s="293">
        <f t="shared" si="23"/>
        <v>41</v>
      </c>
      <c r="B255" s="255" t="s">
        <v>3163</v>
      </c>
      <c r="C255" s="179">
        <v>1969</v>
      </c>
      <c r="D255" s="167"/>
      <c r="E255" s="167" t="s">
        <v>221</v>
      </c>
      <c r="F255" s="218">
        <v>5</v>
      </c>
      <c r="G255" s="218">
        <v>6</v>
      </c>
      <c r="H255" s="262">
        <v>4442</v>
      </c>
      <c r="I255" s="262">
        <v>4440.3999999999996</v>
      </c>
      <c r="J255" s="262">
        <v>4440.3999999999996</v>
      </c>
      <c r="K255" s="218">
        <v>299</v>
      </c>
      <c r="L255" s="109" t="s">
        <v>33</v>
      </c>
      <c r="M255" s="357">
        <v>3077071</v>
      </c>
      <c r="N255" s="276">
        <v>0</v>
      </c>
      <c r="O255" s="276">
        <v>0</v>
      </c>
      <c r="P255" s="276">
        <v>0</v>
      </c>
      <c r="Q255" s="276">
        <f t="shared" si="22"/>
        <v>3077071</v>
      </c>
      <c r="R255" s="276">
        <f t="shared" si="21"/>
        <v>692.97157913701471</v>
      </c>
      <c r="S255" s="276">
        <v>5115.04</v>
      </c>
      <c r="T255" s="294" t="s">
        <v>270</v>
      </c>
      <c r="V255" s="50"/>
      <c r="X255" s="20"/>
      <c r="Y255" s="106"/>
      <c r="Z255" s="55"/>
      <c r="AA255" s="163"/>
      <c r="AB255" s="163"/>
      <c r="AC255" s="52"/>
    </row>
    <row r="256" spans="1:29" s="54" customFormat="1" ht="37.5" customHeight="1">
      <c r="A256" s="293">
        <f>A255+1</f>
        <v>42</v>
      </c>
      <c r="B256" s="255" t="s">
        <v>3164</v>
      </c>
      <c r="C256" s="179">
        <v>1957</v>
      </c>
      <c r="D256" s="167"/>
      <c r="E256" s="167" t="s">
        <v>221</v>
      </c>
      <c r="F256" s="218">
        <v>3</v>
      </c>
      <c r="G256" s="218">
        <v>4</v>
      </c>
      <c r="H256" s="262">
        <v>2962</v>
      </c>
      <c r="I256" s="262">
        <v>2369.1999999999998</v>
      </c>
      <c r="J256" s="262">
        <v>2040.8</v>
      </c>
      <c r="K256" s="218">
        <v>89</v>
      </c>
      <c r="L256" s="109" t="s">
        <v>33</v>
      </c>
      <c r="M256" s="357">
        <v>5131377</v>
      </c>
      <c r="N256" s="276">
        <v>0</v>
      </c>
      <c r="O256" s="276">
        <v>0</v>
      </c>
      <c r="P256" s="276">
        <v>0</v>
      </c>
      <c r="Q256" s="276">
        <f t="shared" si="22"/>
        <v>5131377</v>
      </c>
      <c r="R256" s="276">
        <f t="shared" si="21"/>
        <v>2165.8690697281786</v>
      </c>
      <c r="S256" s="276">
        <v>5115.04</v>
      </c>
      <c r="T256" s="294" t="s">
        <v>270</v>
      </c>
      <c r="V256" s="50"/>
      <c r="X256" s="20"/>
      <c r="Y256" s="106"/>
      <c r="Z256" s="55"/>
      <c r="AA256" s="163"/>
      <c r="AB256" s="163"/>
      <c r="AC256" s="52"/>
    </row>
    <row r="257" spans="1:29" s="54" customFormat="1" ht="37.5" customHeight="1">
      <c r="A257" s="293">
        <f t="shared" si="23"/>
        <v>43</v>
      </c>
      <c r="B257" s="255" t="s">
        <v>3165</v>
      </c>
      <c r="C257" s="179">
        <v>1958</v>
      </c>
      <c r="D257" s="167"/>
      <c r="E257" s="167" t="s">
        <v>221</v>
      </c>
      <c r="F257" s="218">
        <v>3</v>
      </c>
      <c r="G257" s="218">
        <v>3</v>
      </c>
      <c r="H257" s="262">
        <v>1752</v>
      </c>
      <c r="I257" s="262">
        <v>1400.6</v>
      </c>
      <c r="J257" s="262">
        <v>1400.6</v>
      </c>
      <c r="K257" s="218">
        <v>53</v>
      </c>
      <c r="L257" s="109" t="s">
        <v>33</v>
      </c>
      <c r="M257" s="357">
        <v>3670678</v>
      </c>
      <c r="N257" s="276">
        <v>0</v>
      </c>
      <c r="O257" s="276">
        <v>0</v>
      </c>
      <c r="P257" s="276">
        <v>0</v>
      </c>
      <c r="Q257" s="276">
        <f t="shared" si="22"/>
        <v>3670678</v>
      </c>
      <c r="R257" s="276">
        <f t="shared" si="21"/>
        <v>2620.7896615736113</v>
      </c>
      <c r="S257" s="276">
        <v>5115.04</v>
      </c>
      <c r="T257" s="294" t="s">
        <v>270</v>
      </c>
      <c r="V257" s="50"/>
      <c r="X257" s="20"/>
      <c r="Y257" s="106"/>
      <c r="Z257" s="55"/>
      <c r="AA257" s="163"/>
      <c r="AB257" s="163"/>
      <c r="AC257" s="52"/>
    </row>
    <row r="258" spans="1:29" s="54" customFormat="1" ht="37.5" customHeight="1">
      <c r="A258" s="293">
        <f t="shared" si="23"/>
        <v>44</v>
      </c>
      <c r="B258" s="255" t="s">
        <v>3166</v>
      </c>
      <c r="C258" s="179">
        <v>1957</v>
      </c>
      <c r="D258" s="167"/>
      <c r="E258" s="167" t="s">
        <v>221</v>
      </c>
      <c r="F258" s="218">
        <v>3</v>
      </c>
      <c r="G258" s="218">
        <v>2</v>
      </c>
      <c r="H258" s="262">
        <v>1073</v>
      </c>
      <c r="I258" s="262">
        <v>1073</v>
      </c>
      <c r="J258" s="262">
        <v>1073</v>
      </c>
      <c r="K258" s="218">
        <v>57</v>
      </c>
      <c r="L258" s="109" t="s">
        <v>33</v>
      </c>
      <c r="M258" s="357">
        <v>2498111</v>
      </c>
      <c r="N258" s="276">
        <v>0</v>
      </c>
      <c r="O258" s="276">
        <v>0</v>
      </c>
      <c r="P258" s="276">
        <v>0</v>
      </c>
      <c r="Q258" s="276">
        <f t="shared" si="22"/>
        <v>2498111</v>
      </c>
      <c r="R258" s="276">
        <f t="shared" si="21"/>
        <v>2328.1556383970178</v>
      </c>
      <c r="S258" s="276">
        <v>5115.04</v>
      </c>
      <c r="T258" s="294" t="s">
        <v>270</v>
      </c>
      <c r="V258" s="50"/>
      <c r="X258" s="20"/>
      <c r="Y258" s="106"/>
      <c r="Z258" s="55"/>
      <c r="AA258" s="163"/>
      <c r="AB258" s="163"/>
      <c r="AC258" s="52"/>
    </row>
    <row r="259" spans="1:29" s="54" customFormat="1" ht="37.5" customHeight="1">
      <c r="A259" s="293">
        <f t="shared" si="23"/>
        <v>45</v>
      </c>
      <c r="B259" s="255" t="s">
        <v>3167</v>
      </c>
      <c r="C259" s="179">
        <v>1973</v>
      </c>
      <c r="D259" s="167"/>
      <c r="E259" s="167" t="s">
        <v>221</v>
      </c>
      <c r="F259" s="218">
        <v>5</v>
      </c>
      <c r="G259" s="218">
        <v>4</v>
      </c>
      <c r="H259" s="262">
        <v>3526</v>
      </c>
      <c r="I259" s="262">
        <v>3315.8</v>
      </c>
      <c r="J259" s="262">
        <v>3016.1</v>
      </c>
      <c r="K259" s="218">
        <v>187</v>
      </c>
      <c r="L259" s="109" t="s">
        <v>33</v>
      </c>
      <c r="M259" s="357">
        <v>2362445</v>
      </c>
      <c r="N259" s="276">
        <v>0</v>
      </c>
      <c r="O259" s="276">
        <v>0</v>
      </c>
      <c r="P259" s="276">
        <v>0</v>
      </c>
      <c r="Q259" s="276">
        <f t="shared" si="22"/>
        <v>2362445</v>
      </c>
      <c r="R259" s="276">
        <f t="shared" si="21"/>
        <v>712.48115085348934</v>
      </c>
      <c r="S259" s="276">
        <v>5115.04</v>
      </c>
      <c r="T259" s="294" t="s">
        <v>270</v>
      </c>
      <c r="V259" s="50"/>
      <c r="X259" s="20"/>
      <c r="Y259" s="106"/>
      <c r="Z259" s="55"/>
      <c r="AA259" s="163"/>
      <c r="AB259" s="163"/>
      <c r="AC259" s="52"/>
    </row>
    <row r="260" spans="1:29" s="54" customFormat="1" ht="37.5" customHeight="1">
      <c r="A260" s="293">
        <f t="shared" si="23"/>
        <v>46</v>
      </c>
      <c r="B260" s="255" t="s">
        <v>3168</v>
      </c>
      <c r="C260" s="179">
        <v>2004</v>
      </c>
      <c r="D260" s="167"/>
      <c r="E260" s="167" t="s">
        <v>221</v>
      </c>
      <c r="F260" s="218">
        <v>9</v>
      </c>
      <c r="G260" s="218">
        <v>7</v>
      </c>
      <c r="H260" s="262">
        <v>25775</v>
      </c>
      <c r="I260" s="262">
        <v>18222.7</v>
      </c>
      <c r="J260" s="262">
        <v>18093.2</v>
      </c>
      <c r="K260" s="218">
        <v>378</v>
      </c>
      <c r="L260" s="109" t="s">
        <v>226</v>
      </c>
      <c r="M260" s="357">
        <v>3423281</v>
      </c>
      <c r="N260" s="276">
        <v>0</v>
      </c>
      <c r="O260" s="276">
        <v>0</v>
      </c>
      <c r="P260" s="276">
        <v>0</v>
      </c>
      <c r="Q260" s="276">
        <f t="shared" si="22"/>
        <v>3423281</v>
      </c>
      <c r="R260" s="276">
        <f t="shared" si="21"/>
        <v>187.85805616072261</v>
      </c>
      <c r="S260" s="276">
        <v>5115.04</v>
      </c>
      <c r="T260" s="294" t="s">
        <v>270</v>
      </c>
      <c r="V260" s="50"/>
      <c r="X260" s="20"/>
      <c r="Y260" s="106"/>
      <c r="Z260" s="55"/>
      <c r="AA260" s="163"/>
      <c r="AB260" s="163"/>
      <c r="AC260" s="52"/>
    </row>
    <row r="261" spans="1:29" s="54" customFormat="1" ht="37.5" customHeight="1">
      <c r="A261" s="293">
        <f t="shared" si="23"/>
        <v>47</v>
      </c>
      <c r="B261" s="255" t="s">
        <v>3169</v>
      </c>
      <c r="C261" s="179">
        <v>2004</v>
      </c>
      <c r="D261" s="167"/>
      <c r="E261" s="167" t="s">
        <v>221</v>
      </c>
      <c r="F261" s="218">
        <v>5</v>
      </c>
      <c r="G261" s="218">
        <v>4</v>
      </c>
      <c r="H261" s="262">
        <v>4701</v>
      </c>
      <c r="I261" s="262">
        <v>4041</v>
      </c>
      <c r="J261" s="262">
        <v>3238</v>
      </c>
      <c r="K261" s="218">
        <v>126</v>
      </c>
      <c r="L261" s="109" t="s">
        <v>259</v>
      </c>
      <c r="M261" s="357">
        <v>9313495</v>
      </c>
      <c r="N261" s="276">
        <v>0</v>
      </c>
      <c r="O261" s="276">
        <v>0</v>
      </c>
      <c r="P261" s="276">
        <v>0</v>
      </c>
      <c r="Q261" s="276">
        <f t="shared" si="22"/>
        <v>9313495</v>
      </c>
      <c r="R261" s="276">
        <f t="shared" si="21"/>
        <v>2304.7500618658746</v>
      </c>
      <c r="S261" s="276">
        <v>5115.04</v>
      </c>
      <c r="T261" s="294" t="s">
        <v>270</v>
      </c>
      <c r="V261" s="50"/>
      <c r="X261" s="20"/>
      <c r="Y261" s="106"/>
      <c r="Z261" s="55"/>
      <c r="AA261" s="163"/>
      <c r="AB261" s="163"/>
      <c r="AC261" s="52"/>
    </row>
    <row r="262" spans="1:29" s="54" customFormat="1" ht="37.5" customHeight="1">
      <c r="A262" s="293">
        <f t="shared" si="23"/>
        <v>48</v>
      </c>
      <c r="B262" s="308" t="s">
        <v>3170</v>
      </c>
      <c r="C262" s="179">
        <v>1980</v>
      </c>
      <c r="D262" s="402"/>
      <c r="E262" s="179" t="s">
        <v>221</v>
      </c>
      <c r="F262" s="175">
        <v>9</v>
      </c>
      <c r="G262" s="175">
        <v>4</v>
      </c>
      <c r="H262" s="262">
        <v>9393</v>
      </c>
      <c r="I262" s="262">
        <v>4756</v>
      </c>
      <c r="J262" s="262">
        <v>4297</v>
      </c>
      <c r="K262" s="403">
        <v>350</v>
      </c>
      <c r="L262" s="284" t="s">
        <v>30</v>
      </c>
      <c r="M262" s="357">
        <v>3955208</v>
      </c>
      <c r="N262" s="276">
        <v>0</v>
      </c>
      <c r="O262" s="276">
        <v>0</v>
      </c>
      <c r="P262" s="276">
        <v>0</v>
      </c>
      <c r="Q262" s="276">
        <f t="shared" si="22"/>
        <v>3955208</v>
      </c>
      <c r="R262" s="276">
        <f>M262/I262</f>
        <v>831.6248948696383</v>
      </c>
      <c r="S262" s="276">
        <v>5115.04</v>
      </c>
      <c r="T262" s="294" t="s">
        <v>270</v>
      </c>
      <c r="V262" s="50"/>
      <c r="X262" s="20"/>
      <c r="Y262" s="106"/>
      <c r="Z262" s="55"/>
      <c r="AA262" s="163"/>
      <c r="AB262" s="163"/>
      <c r="AC262" s="52"/>
    </row>
    <row r="263" spans="1:29" s="54" customFormat="1" ht="37.5" customHeight="1">
      <c r="A263" s="293">
        <f t="shared" si="23"/>
        <v>49</v>
      </c>
      <c r="B263" s="255" t="s">
        <v>3171</v>
      </c>
      <c r="C263" s="179">
        <v>1958</v>
      </c>
      <c r="D263" s="167"/>
      <c r="E263" s="167" t="s">
        <v>221</v>
      </c>
      <c r="F263" s="218">
        <v>3</v>
      </c>
      <c r="G263" s="218">
        <v>2</v>
      </c>
      <c r="H263" s="262">
        <v>1302</v>
      </c>
      <c r="I263" s="262">
        <v>1022.3</v>
      </c>
      <c r="J263" s="262">
        <v>1022.3</v>
      </c>
      <c r="K263" s="218">
        <v>137</v>
      </c>
      <c r="L263" s="109" t="s">
        <v>33</v>
      </c>
      <c r="M263" s="357">
        <v>1991905</v>
      </c>
      <c r="N263" s="276">
        <v>0</v>
      </c>
      <c r="O263" s="276">
        <v>0</v>
      </c>
      <c r="P263" s="276">
        <v>0</v>
      </c>
      <c r="Q263" s="276">
        <f t="shared" si="22"/>
        <v>1991905</v>
      </c>
      <c r="R263" s="276">
        <f t="shared" si="21"/>
        <v>1948.4544654211093</v>
      </c>
      <c r="S263" s="276">
        <v>5115.04</v>
      </c>
      <c r="T263" s="294" t="s">
        <v>270</v>
      </c>
      <c r="V263" s="50"/>
      <c r="X263" s="20"/>
      <c r="Y263" s="106"/>
      <c r="Z263" s="55"/>
      <c r="AA263" s="163"/>
      <c r="AB263" s="163"/>
      <c r="AC263" s="52"/>
    </row>
    <row r="264" spans="1:29" s="54" customFormat="1" ht="37.5" customHeight="1">
      <c r="A264" s="293">
        <f t="shared" si="23"/>
        <v>50</v>
      </c>
      <c r="B264" s="255" t="s">
        <v>3172</v>
      </c>
      <c r="C264" s="179">
        <v>1963</v>
      </c>
      <c r="D264" s="167"/>
      <c r="E264" s="167" t="s">
        <v>221</v>
      </c>
      <c r="F264" s="218">
        <v>5</v>
      </c>
      <c r="G264" s="218">
        <v>4</v>
      </c>
      <c r="H264" s="262">
        <v>3168</v>
      </c>
      <c r="I264" s="262">
        <v>2690</v>
      </c>
      <c r="J264" s="262">
        <v>2690</v>
      </c>
      <c r="K264" s="218">
        <v>131</v>
      </c>
      <c r="L264" s="109" t="s">
        <v>33</v>
      </c>
      <c r="M264" s="357">
        <v>3336778</v>
      </c>
      <c r="N264" s="276">
        <v>0</v>
      </c>
      <c r="O264" s="276">
        <v>0</v>
      </c>
      <c r="P264" s="276">
        <v>0</v>
      </c>
      <c r="Q264" s="276">
        <f t="shared" si="22"/>
        <v>3336778</v>
      </c>
      <c r="R264" s="276">
        <f t="shared" si="21"/>
        <v>1240.4379182156133</v>
      </c>
      <c r="S264" s="276">
        <v>5115.04</v>
      </c>
      <c r="T264" s="294" t="s">
        <v>270</v>
      </c>
      <c r="V264" s="50"/>
      <c r="X264" s="20"/>
      <c r="Y264" s="106"/>
      <c r="Z264" s="55"/>
      <c r="AA264" s="163"/>
      <c r="AB264" s="163"/>
      <c r="AC264" s="52"/>
    </row>
    <row r="265" spans="1:29" s="54" customFormat="1" ht="37.5" customHeight="1">
      <c r="A265" s="293">
        <f t="shared" si="23"/>
        <v>51</v>
      </c>
      <c r="B265" s="255" t="s">
        <v>3173</v>
      </c>
      <c r="C265" s="179">
        <v>1995</v>
      </c>
      <c r="D265" s="167"/>
      <c r="E265" s="167" t="s">
        <v>221</v>
      </c>
      <c r="F265" s="218">
        <v>5</v>
      </c>
      <c r="G265" s="218">
        <v>3</v>
      </c>
      <c r="H265" s="262">
        <v>3152</v>
      </c>
      <c r="I265" s="262">
        <v>2519.4</v>
      </c>
      <c r="J265" s="262">
        <v>2519.4</v>
      </c>
      <c r="K265" s="218">
        <v>97</v>
      </c>
      <c r="L265" s="109" t="s">
        <v>33</v>
      </c>
      <c r="M265" s="357">
        <v>2185629</v>
      </c>
      <c r="N265" s="276">
        <v>0</v>
      </c>
      <c r="O265" s="276">
        <v>0</v>
      </c>
      <c r="P265" s="276">
        <v>0</v>
      </c>
      <c r="Q265" s="276">
        <f t="shared" si="22"/>
        <v>2185629</v>
      </c>
      <c r="R265" s="276">
        <f t="shared" si="21"/>
        <v>867.51964753512743</v>
      </c>
      <c r="S265" s="276">
        <v>5115.04</v>
      </c>
      <c r="T265" s="294" t="s">
        <v>270</v>
      </c>
      <c r="V265" s="50"/>
      <c r="X265" s="20"/>
      <c r="Y265" s="106"/>
      <c r="Z265" s="55"/>
      <c r="AA265" s="163"/>
      <c r="AB265" s="163"/>
      <c r="AC265" s="52"/>
    </row>
    <row r="266" spans="1:29" s="54" customFormat="1" ht="37.5" customHeight="1">
      <c r="A266" s="293">
        <f t="shared" si="23"/>
        <v>52</v>
      </c>
      <c r="B266" s="255" t="s">
        <v>3174</v>
      </c>
      <c r="C266" s="179">
        <v>1969</v>
      </c>
      <c r="D266" s="167"/>
      <c r="E266" s="167" t="s">
        <v>221</v>
      </c>
      <c r="F266" s="218">
        <v>5</v>
      </c>
      <c r="G266" s="218">
        <v>4</v>
      </c>
      <c r="H266" s="262">
        <v>3631</v>
      </c>
      <c r="I266" s="262">
        <v>3350.7</v>
      </c>
      <c r="J266" s="262">
        <v>3181.2</v>
      </c>
      <c r="K266" s="218">
        <v>167</v>
      </c>
      <c r="L266" s="109" t="s">
        <v>33</v>
      </c>
      <c r="M266" s="357">
        <v>2278949</v>
      </c>
      <c r="N266" s="276">
        <v>0</v>
      </c>
      <c r="O266" s="276">
        <v>0</v>
      </c>
      <c r="P266" s="276">
        <v>0</v>
      </c>
      <c r="Q266" s="276">
        <f t="shared" si="22"/>
        <v>2278949</v>
      </c>
      <c r="R266" s="276">
        <f t="shared" si="21"/>
        <v>680.14116453278427</v>
      </c>
      <c r="S266" s="276">
        <v>5115.04</v>
      </c>
      <c r="T266" s="294" t="s">
        <v>270</v>
      </c>
      <c r="V266" s="50"/>
      <c r="X266" s="20"/>
      <c r="Y266" s="106"/>
      <c r="Z266" s="55"/>
      <c r="AA266" s="163"/>
      <c r="AB266" s="163"/>
      <c r="AC266" s="52"/>
    </row>
    <row r="267" spans="1:29" s="54" customFormat="1" ht="37.5" customHeight="1">
      <c r="A267" s="293">
        <f t="shared" si="23"/>
        <v>53</v>
      </c>
      <c r="B267" s="255" t="s">
        <v>3175</v>
      </c>
      <c r="C267" s="179">
        <v>1969</v>
      </c>
      <c r="D267" s="167"/>
      <c r="E267" s="167" t="s">
        <v>221</v>
      </c>
      <c r="F267" s="218">
        <v>5</v>
      </c>
      <c r="G267" s="218">
        <v>4</v>
      </c>
      <c r="H267" s="262">
        <v>3670</v>
      </c>
      <c r="I267" s="262">
        <v>3373.2</v>
      </c>
      <c r="J267" s="262">
        <v>3224.3</v>
      </c>
      <c r="K267" s="218">
        <v>175</v>
      </c>
      <c r="L267" s="109" t="s">
        <v>33</v>
      </c>
      <c r="M267" s="357">
        <v>2303506</v>
      </c>
      <c r="N267" s="276">
        <v>0</v>
      </c>
      <c r="O267" s="276">
        <v>0</v>
      </c>
      <c r="P267" s="276">
        <v>0</v>
      </c>
      <c r="Q267" s="276">
        <f t="shared" si="22"/>
        <v>2303506</v>
      </c>
      <c r="R267" s="276">
        <f t="shared" si="21"/>
        <v>682.88450136369033</v>
      </c>
      <c r="S267" s="276">
        <v>5115.04</v>
      </c>
      <c r="T267" s="294" t="s">
        <v>270</v>
      </c>
      <c r="V267" s="50"/>
      <c r="X267" s="20"/>
      <c r="Y267" s="106"/>
      <c r="Z267" s="55"/>
      <c r="AA267" s="163"/>
      <c r="AB267" s="163"/>
      <c r="AC267" s="52"/>
    </row>
    <row r="268" spans="1:29" s="54" customFormat="1" ht="37.5" customHeight="1">
      <c r="A268" s="293">
        <f t="shared" si="23"/>
        <v>54</v>
      </c>
      <c r="B268" s="255" t="s">
        <v>3176</v>
      </c>
      <c r="C268" s="179">
        <v>1985</v>
      </c>
      <c r="D268" s="167"/>
      <c r="E268" s="167" t="s">
        <v>221</v>
      </c>
      <c r="F268" s="218">
        <v>9</v>
      </c>
      <c r="G268" s="218">
        <v>3</v>
      </c>
      <c r="H268" s="262">
        <v>6638</v>
      </c>
      <c r="I268" s="262">
        <v>5924.6</v>
      </c>
      <c r="J268" s="262">
        <v>5609.2</v>
      </c>
      <c r="K268" s="218">
        <v>297</v>
      </c>
      <c r="L268" s="109" t="s">
        <v>219</v>
      </c>
      <c r="M268" s="357">
        <v>6127500</v>
      </c>
      <c r="N268" s="276">
        <v>0</v>
      </c>
      <c r="O268" s="276">
        <v>1200000</v>
      </c>
      <c r="P268" s="276">
        <v>0</v>
      </c>
      <c r="Q268" s="198">
        <f>M268-N268-O268-P268</f>
        <v>4927500</v>
      </c>
      <c r="R268" s="276">
        <f t="shared" si="21"/>
        <v>1034.247037774702</v>
      </c>
      <c r="S268" s="276">
        <v>5115.04</v>
      </c>
      <c r="T268" s="294" t="s">
        <v>270</v>
      </c>
      <c r="V268" s="50"/>
      <c r="X268" s="20"/>
      <c r="Y268" s="106"/>
      <c r="Z268" s="55"/>
      <c r="AA268" s="163"/>
      <c r="AB268" s="163"/>
      <c r="AC268" s="52"/>
    </row>
    <row r="269" spans="1:29" s="54" customFormat="1" ht="37.5" customHeight="1">
      <c r="A269" s="293">
        <f t="shared" si="23"/>
        <v>55</v>
      </c>
      <c r="B269" s="361" t="s">
        <v>3177</v>
      </c>
      <c r="C269" s="179">
        <v>1976</v>
      </c>
      <c r="D269" s="179"/>
      <c r="E269" s="167" t="s">
        <v>221</v>
      </c>
      <c r="F269" s="218">
        <v>9</v>
      </c>
      <c r="G269" s="218">
        <v>4</v>
      </c>
      <c r="H269" s="262">
        <v>11567</v>
      </c>
      <c r="I269" s="262">
        <v>10703</v>
      </c>
      <c r="J269" s="262">
        <v>8310</v>
      </c>
      <c r="K269" s="218">
        <v>414</v>
      </c>
      <c r="L269" s="109" t="s">
        <v>33</v>
      </c>
      <c r="M269" s="357">
        <v>4393652</v>
      </c>
      <c r="N269" s="276">
        <v>0</v>
      </c>
      <c r="O269" s="276">
        <v>0</v>
      </c>
      <c r="P269" s="276">
        <v>0</v>
      </c>
      <c r="Q269" s="276">
        <f t="shared" si="22"/>
        <v>4393652</v>
      </c>
      <c r="R269" s="276">
        <f t="shared" si="21"/>
        <v>410.50658693824164</v>
      </c>
      <c r="S269" s="276">
        <v>5115.04</v>
      </c>
      <c r="T269" s="294" t="s">
        <v>270</v>
      </c>
      <c r="X269" s="20"/>
      <c r="Y269" s="106"/>
      <c r="Z269" s="55"/>
      <c r="AA269" s="163"/>
      <c r="AB269" s="163"/>
      <c r="AC269" s="52"/>
    </row>
    <row r="270" spans="1:29" s="54" customFormat="1" ht="37.5" customHeight="1">
      <c r="A270" s="293">
        <f t="shared" si="23"/>
        <v>56</v>
      </c>
      <c r="B270" s="255" t="s">
        <v>3178</v>
      </c>
      <c r="C270" s="179">
        <v>1959</v>
      </c>
      <c r="D270" s="167"/>
      <c r="E270" s="167" t="s">
        <v>221</v>
      </c>
      <c r="F270" s="218">
        <v>4</v>
      </c>
      <c r="G270" s="218">
        <v>3</v>
      </c>
      <c r="H270" s="262">
        <v>3119</v>
      </c>
      <c r="I270" s="262">
        <v>2969.1</v>
      </c>
      <c r="J270" s="262">
        <v>2914.6</v>
      </c>
      <c r="K270" s="218">
        <v>106</v>
      </c>
      <c r="L270" s="109" t="s">
        <v>33</v>
      </c>
      <c r="M270" s="357">
        <v>2681146</v>
      </c>
      <c r="N270" s="276">
        <v>0</v>
      </c>
      <c r="O270" s="276">
        <v>0</v>
      </c>
      <c r="P270" s="276">
        <v>0</v>
      </c>
      <c r="Q270" s="276">
        <f t="shared" si="22"/>
        <v>2681146</v>
      </c>
      <c r="R270" s="276">
        <f t="shared" si="21"/>
        <v>903.01640227678422</v>
      </c>
      <c r="S270" s="276">
        <v>5115.04</v>
      </c>
      <c r="T270" s="294" t="s">
        <v>270</v>
      </c>
      <c r="V270" s="50"/>
      <c r="X270" s="20"/>
      <c r="Y270" s="106"/>
      <c r="Z270" s="55"/>
      <c r="AA270" s="163"/>
      <c r="AB270" s="163"/>
      <c r="AC270" s="52"/>
    </row>
    <row r="271" spans="1:29" s="54" customFormat="1" ht="37.5" customHeight="1">
      <c r="A271" s="293">
        <f t="shared" si="23"/>
        <v>57</v>
      </c>
      <c r="B271" s="255" t="s">
        <v>3179</v>
      </c>
      <c r="C271" s="179">
        <v>1982</v>
      </c>
      <c r="D271" s="167"/>
      <c r="E271" s="167" t="s">
        <v>221</v>
      </c>
      <c r="F271" s="218">
        <v>5</v>
      </c>
      <c r="G271" s="218">
        <v>7</v>
      </c>
      <c r="H271" s="262">
        <v>4781</v>
      </c>
      <c r="I271" s="262">
        <v>4781</v>
      </c>
      <c r="J271" s="262">
        <v>4781</v>
      </c>
      <c r="K271" s="218">
        <v>241</v>
      </c>
      <c r="L271" s="109" t="s">
        <v>238</v>
      </c>
      <c r="M271" s="357">
        <v>2993889</v>
      </c>
      <c r="N271" s="276">
        <v>0</v>
      </c>
      <c r="O271" s="276">
        <v>0</v>
      </c>
      <c r="P271" s="276">
        <v>0</v>
      </c>
      <c r="Q271" s="276">
        <f t="shared" si="22"/>
        <v>2993889</v>
      </c>
      <c r="R271" s="276">
        <f t="shared" si="21"/>
        <v>626.20560552185736</v>
      </c>
      <c r="S271" s="276">
        <v>5115.04</v>
      </c>
      <c r="T271" s="294" t="s">
        <v>270</v>
      </c>
      <c r="V271" s="50"/>
      <c r="X271" s="20"/>
      <c r="Y271" s="106"/>
      <c r="Z271" s="55"/>
      <c r="AA271" s="163"/>
      <c r="AB271" s="163"/>
      <c r="AC271" s="52"/>
    </row>
    <row r="272" spans="1:29" s="54" customFormat="1" ht="37.5" customHeight="1">
      <c r="A272" s="293">
        <f t="shared" si="23"/>
        <v>58</v>
      </c>
      <c r="B272" s="255" t="s">
        <v>3180</v>
      </c>
      <c r="C272" s="179">
        <v>1957</v>
      </c>
      <c r="D272" s="167"/>
      <c r="E272" s="167" t="s">
        <v>221</v>
      </c>
      <c r="F272" s="218">
        <v>2</v>
      </c>
      <c r="G272" s="218">
        <v>2</v>
      </c>
      <c r="H272" s="262">
        <v>689</v>
      </c>
      <c r="I272" s="262">
        <v>689</v>
      </c>
      <c r="J272" s="262">
        <v>689</v>
      </c>
      <c r="K272" s="218">
        <v>27</v>
      </c>
      <c r="L272" s="109" t="s">
        <v>30</v>
      </c>
      <c r="M272" s="357">
        <v>286832</v>
      </c>
      <c r="N272" s="276">
        <v>0</v>
      </c>
      <c r="O272" s="276">
        <v>0</v>
      </c>
      <c r="P272" s="276">
        <v>0</v>
      </c>
      <c r="Q272" s="276">
        <f t="shared" si="22"/>
        <v>286832</v>
      </c>
      <c r="R272" s="276">
        <f t="shared" si="21"/>
        <v>416.30188679245282</v>
      </c>
      <c r="S272" s="276">
        <v>5115.04</v>
      </c>
      <c r="T272" s="294" t="s">
        <v>270</v>
      </c>
      <c r="V272" s="50"/>
      <c r="X272" s="20"/>
      <c r="Y272" s="106"/>
      <c r="Z272" s="55"/>
      <c r="AA272" s="163"/>
      <c r="AB272" s="163"/>
      <c r="AC272" s="52"/>
    </row>
    <row r="273" spans="1:29" s="54" customFormat="1" ht="37.5" customHeight="1">
      <c r="A273" s="293">
        <f t="shared" si="23"/>
        <v>59</v>
      </c>
      <c r="B273" s="255" t="s">
        <v>3181</v>
      </c>
      <c r="C273" s="179">
        <v>1958</v>
      </c>
      <c r="D273" s="167"/>
      <c r="E273" s="167" t="s">
        <v>221</v>
      </c>
      <c r="F273" s="218">
        <v>2</v>
      </c>
      <c r="G273" s="218">
        <v>2</v>
      </c>
      <c r="H273" s="262">
        <v>711.1</v>
      </c>
      <c r="I273" s="262">
        <v>498.1</v>
      </c>
      <c r="J273" s="262">
        <v>498.1</v>
      </c>
      <c r="K273" s="218">
        <v>40</v>
      </c>
      <c r="L273" s="109" t="s">
        <v>33</v>
      </c>
      <c r="M273" s="357">
        <v>2375134</v>
      </c>
      <c r="N273" s="276">
        <v>0</v>
      </c>
      <c r="O273" s="276">
        <v>0</v>
      </c>
      <c r="P273" s="276">
        <v>0</v>
      </c>
      <c r="Q273" s="276">
        <f t="shared" si="22"/>
        <v>2375134</v>
      </c>
      <c r="R273" s="276">
        <f t="shared" si="21"/>
        <v>4768.3878739208994</v>
      </c>
      <c r="S273" s="276">
        <v>5115.04</v>
      </c>
      <c r="T273" s="294" t="s">
        <v>270</v>
      </c>
      <c r="V273" s="50"/>
      <c r="X273" s="20"/>
      <c r="Y273" s="106"/>
      <c r="Z273" s="55"/>
      <c r="AA273" s="163"/>
      <c r="AB273" s="163"/>
      <c r="AC273" s="52"/>
    </row>
    <row r="274" spans="1:29" s="54" customFormat="1" ht="37.5" customHeight="1">
      <c r="A274" s="293">
        <f t="shared" si="23"/>
        <v>60</v>
      </c>
      <c r="B274" s="255" t="s">
        <v>3182</v>
      </c>
      <c r="C274" s="179">
        <v>1988</v>
      </c>
      <c r="D274" s="167"/>
      <c r="E274" s="167" t="s">
        <v>221</v>
      </c>
      <c r="F274" s="218">
        <v>5</v>
      </c>
      <c r="G274" s="218">
        <v>4</v>
      </c>
      <c r="H274" s="262">
        <v>2646</v>
      </c>
      <c r="I274" s="262">
        <v>2509.6999999999998</v>
      </c>
      <c r="J274" s="262">
        <v>2509.6999999999998</v>
      </c>
      <c r="K274" s="218">
        <v>149</v>
      </c>
      <c r="L274" s="109" t="s">
        <v>33</v>
      </c>
      <c r="M274" s="357">
        <v>1775517</v>
      </c>
      <c r="N274" s="276">
        <v>0</v>
      </c>
      <c r="O274" s="276">
        <v>0</v>
      </c>
      <c r="P274" s="276">
        <v>0</v>
      </c>
      <c r="Q274" s="276">
        <f t="shared" si="22"/>
        <v>1775517</v>
      </c>
      <c r="R274" s="276">
        <f t="shared" si="21"/>
        <v>707.46184802964501</v>
      </c>
      <c r="S274" s="276">
        <v>5115.04</v>
      </c>
      <c r="T274" s="294" t="s">
        <v>270</v>
      </c>
      <c r="V274" s="50"/>
      <c r="X274" s="20"/>
      <c r="Y274" s="106"/>
      <c r="Z274" s="55"/>
      <c r="AA274" s="163"/>
      <c r="AB274" s="163"/>
      <c r="AC274" s="52"/>
    </row>
    <row r="275" spans="1:29" s="54" customFormat="1" ht="37.5" customHeight="1">
      <c r="A275" s="293">
        <f t="shared" si="23"/>
        <v>61</v>
      </c>
      <c r="B275" s="255" t="s">
        <v>3183</v>
      </c>
      <c r="C275" s="179">
        <v>1989</v>
      </c>
      <c r="D275" s="167"/>
      <c r="E275" s="167" t="s">
        <v>221</v>
      </c>
      <c r="F275" s="218">
        <v>9</v>
      </c>
      <c r="G275" s="218">
        <v>2</v>
      </c>
      <c r="H275" s="262">
        <v>4164</v>
      </c>
      <c r="I275" s="262">
        <v>3656.6</v>
      </c>
      <c r="J275" s="262">
        <v>3561</v>
      </c>
      <c r="K275" s="218">
        <v>196</v>
      </c>
      <c r="L275" s="109" t="s">
        <v>30</v>
      </c>
      <c r="M275" s="357">
        <v>2212704</v>
      </c>
      <c r="N275" s="276">
        <v>0</v>
      </c>
      <c r="O275" s="276">
        <v>0</v>
      </c>
      <c r="P275" s="276">
        <v>0</v>
      </c>
      <c r="Q275" s="276">
        <f t="shared" si="22"/>
        <v>2212704</v>
      </c>
      <c r="R275" s="276">
        <f t="shared" si="21"/>
        <v>605.12607340152056</v>
      </c>
      <c r="S275" s="276">
        <v>5115.04</v>
      </c>
      <c r="T275" s="294" t="s">
        <v>270</v>
      </c>
      <c r="V275" s="50"/>
      <c r="X275" s="20"/>
      <c r="Y275" s="106"/>
      <c r="Z275" s="55"/>
      <c r="AA275" s="163"/>
      <c r="AB275" s="163"/>
      <c r="AC275" s="52"/>
    </row>
    <row r="276" spans="1:29" s="54" customFormat="1" ht="37.5" customHeight="1">
      <c r="A276" s="293">
        <f t="shared" si="23"/>
        <v>62</v>
      </c>
      <c r="B276" s="255" t="s">
        <v>3184</v>
      </c>
      <c r="C276" s="179">
        <v>1959</v>
      </c>
      <c r="D276" s="167"/>
      <c r="E276" s="167" t="s">
        <v>221</v>
      </c>
      <c r="F276" s="218">
        <v>4</v>
      </c>
      <c r="G276" s="218">
        <v>4</v>
      </c>
      <c r="H276" s="262">
        <v>2538</v>
      </c>
      <c r="I276" s="262">
        <v>2212.9</v>
      </c>
      <c r="J276" s="262">
        <v>2212.9</v>
      </c>
      <c r="K276" s="218">
        <v>127</v>
      </c>
      <c r="L276" s="109" t="s">
        <v>30</v>
      </c>
      <c r="M276" s="357">
        <v>1311232</v>
      </c>
      <c r="N276" s="276">
        <v>0</v>
      </c>
      <c r="O276" s="276">
        <v>0</v>
      </c>
      <c r="P276" s="276">
        <v>0</v>
      </c>
      <c r="Q276" s="276">
        <f t="shared" si="22"/>
        <v>1311232</v>
      </c>
      <c r="R276" s="276">
        <f t="shared" si="21"/>
        <v>592.54010574359438</v>
      </c>
      <c r="S276" s="276">
        <v>5115.04</v>
      </c>
      <c r="T276" s="294" t="s">
        <v>270</v>
      </c>
      <c r="V276" s="50"/>
      <c r="X276" s="20"/>
      <c r="Y276" s="106"/>
      <c r="Z276" s="55"/>
      <c r="AA276" s="163"/>
      <c r="AB276" s="163"/>
      <c r="AC276" s="52"/>
    </row>
    <row r="277" spans="1:29" s="54" customFormat="1" ht="37.5" customHeight="1">
      <c r="A277" s="293">
        <f t="shared" si="23"/>
        <v>63</v>
      </c>
      <c r="B277" s="255" t="s">
        <v>3185</v>
      </c>
      <c r="C277" s="179">
        <v>1985</v>
      </c>
      <c r="D277" s="167"/>
      <c r="E277" s="167" t="s">
        <v>221</v>
      </c>
      <c r="F277" s="218">
        <v>5</v>
      </c>
      <c r="G277" s="218">
        <v>4</v>
      </c>
      <c r="H277" s="262">
        <v>3051</v>
      </c>
      <c r="I277" s="262">
        <v>2710.2</v>
      </c>
      <c r="J277" s="262">
        <v>2373.8000000000002</v>
      </c>
      <c r="K277" s="218">
        <v>151</v>
      </c>
      <c r="L277" s="109" t="s">
        <v>33</v>
      </c>
      <c r="M277" s="357">
        <v>2210187</v>
      </c>
      <c r="N277" s="276">
        <v>0</v>
      </c>
      <c r="O277" s="276">
        <v>0</v>
      </c>
      <c r="P277" s="276">
        <v>0</v>
      </c>
      <c r="Q277" s="276">
        <f t="shared" si="22"/>
        <v>2210187</v>
      </c>
      <c r="R277" s="276">
        <f t="shared" si="21"/>
        <v>815.50697365508086</v>
      </c>
      <c r="S277" s="276">
        <v>5115.04</v>
      </c>
      <c r="T277" s="294" t="s">
        <v>270</v>
      </c>
      <c r="V277" s="50"/>
      <c r="X277" s="20"/>
      <c r="Y277" s="106"/>
      <c r="Z277" s="55"/>
      <c r="AA277" s="163"/>
      <c r="AB277" s="163"/>
      <c r="AC277" s="52"/>
    </row>
    <row r="278" spans="1:29" s="54" customFormat="1" ht="37.5" customHeight="1">
      <c r="A278" s="293">
        <f t="shared" si="23"/>
        <v>64</v>
      </c>
      <c r="B278" s="255" t="s">
        <v>3186</v>
      </c>
      <c r="C278" s="179">
        <v>1985</v>
      </c>
      <c r="D278" s="167"/>
      <c r="E278" s="167" t="s">
        <v>221</v>
      </c>
      <c r="F278" s="218">
        <v>5</v>
      </c>
      <c r="G278" s="218">
        <v>5</v>
      </c>
      <c r="H278" s="262">
        <v>3904</v>
      </c>
      <c r="I278" s="262">
        <v>3472</v>
      </c>
      <c r="J278" s="262">
        <v>3234.8</v>
      </c>
      <c r="K278" s="218">
        <v>201</v>
      </c>
      <c r="L278" s="109" t="s">
        <v>33</v>
      </c>
      <c r="M278" s="357">
        <v>2298595</v>
      </c>
      <c r="N278" s="276">
        <v>0</v>
      </c>
      <c r="O278" s="276">
        <v>0</v>
      </c>
      <c r="P278" s="276">
        <v>0</v>
      </c>
      <c r="Q278" s="276">
        <f t="shared" si="22"/>
        <v>2298595</v>
      </c>
      <c r="R278" s="276">
        <f t="shared" ref="R278:R313" si="24">M278/I278</f>
        <v>662.03773041474653</v>
      </c>
      <c r="S278" s="276">
        <v>5115.04</v>
      </c>
      <c r="T278" s="294" t="s">
        <v>270</v>
      </c>
      <c r="V278" s="50"/>
      <c r="X278" s="20"/>
      <c r="Y278" s="106"/>
      <c r="Z278" s="55"/>
      <c r="AA278" s="163"/>
      <c r="AB278" s="163"/>
      <c r="AC278" s="52"/>
    </row>
    <row r="279" spans="1:29" s="54" customFormat="1" ht="37.5" customHeight="1">
      <c r="A279" s="293">
        <f t="shared" si="23"/>
        <v>65</v>
      </c>
      <c r="B279" s="255" t="s">
        <v>3187</v>
      </c>
      <c r="C279" s="179">
        <v>1978</v>
      </c>
      <c r="D279" s="167"/>
      <c r="E279" s="167" t="s">
        <v>221</v>
      </c>
      <c r="F279" s="218">
        <v>5</v>
      </c>
      <c r="G279" s="218">
        <v>8</v>
      </c>
      <c r="H279" s="262">
        <v>6384</v>
      </c>
      <c r="I279" s="262">
        <v>6384</v>
      </c>
      <c r="J279" s="262">
        <v>6384</v>
      </c>
      <c r="K279" s="218">
        <v>318</v>
      </c>
      <c r="L279" s="109" t="s">
        <v>33</v>
      </c>
      <c r="M279" s="357">
        <v>4616836</v>
      </c>
      <c r="N279" s="276">
        <v>0</v>
      </c>
      <c r="O279" s="276">
        <v>0</v>
      </c>
      <c r="P279" s="276">
        <v>0</v>
      </c>
      <c r="Q279" s="276">
        <f t="shared" si="22"/>
        <v>4616836</v>
      </c>
      <c r="R279" s="276">
        <f t="shared" si="24"/>
        <v>723.18859649122805</v>
      </c>
      <c r="S279" s="276">
        <v>5115.04</v>
      </c>
      <c r="T279" s="294" t="s">
        <v>270</v>
      </c>
      <c r="V279" s="50"/>
      <c r="X279" s="20"/>
      <c r="Y279" s="106"/>
      <c r="Z279" s="55"/>
      <c r="AA279" s="163"/>
      <c r="AB279" s="163"/>
      <c r="AC279" s="52"/>
    </row>
    <row r="280" spans="1:29" s="154" customFormat="1" ht="37.5" customHeight="1">
      <c r="A280" s="293">
        <f t="shared" ref="A280:A317" si="25">A279+1</f>
        <v>66</v>
      </c>
      <c r="B280" s="255" t="s">
        <v>3975</v>
      </c>
      <c r="C280" s="179">
        <v>1987</v>
      </c>
      <c r="D280" s="167"/>
      <c r="E280" s="167" t="s">
        <v>221</v>
      </c>
      <c r="F280" s="218">
        <v>9</v>
      </c>
      <c r="G280" s="218">
        <v>5</v>
      </c>
      <c r="H280" s="262">
        <v>12078.1</v>
      </c>
      <c r="I280" s="262">
        <v>10653.4</v>
      </c>
      <c r="J280" s="262">
        <v>10252</v>
      </c>
      <c r="K280" s="218">
        <v>542</v>
      </c>
      <c r="L280" s="109" t="s">
        <v>219</v>
      </c>
      <c r="M280" s="357">
        <v>10170000</v>
      </c>
      <c r="N280" s="276">
        <v>0</v>
      </c>
      <c r="O280" s="276">
        <v>2000000</v>
      </c>
      <c r="P280" s="276">
        <v>0</v>
      </c>
      <c r="Q280" s="198">
        <f>M280-N280-O280-P280</f>
        <v>8170000</v>
      </c>
      <c r="R280" s="276">
        <f t="shared" si="24"/>
        <v>954.6248146131752</v>
      </c>
      <c r="S280" s="276">
        <v>5115.04</v>
      </c>
      <c r="T280" s="294" t="s">
        <v>270</v>
      </c>
      <c r="V280" s="229"/>
      <c r="X280" s="112"/>
      <c r="Y280" s="422"/>
      <c r="Z280" s="124"/>
      <c r="AA280" s="170"/>
      <c r="AB280" s="170"/>
      <c r="AC280" s="247"/>
    </row>
    <row r="281" spans="1:29" s="54" customFormat="1" ht="37.5" customHeight="1">
      <c r="A281" s="293">
        <f t="shared" si="25"/>
        <v>67</v>
      </c>
      <c r="B281" s="255" t="s">
        <v>3189</v>
      </c>
      <c r="C281" s="179">
        <v>1991</v>
      </c>
      <c r="D281" s="167"/>
      <c r="E281" s="167" t="s">
        <v>221</v>
      </c>
      <c r="F281" s="218">
        <v>5</v>
      </c>
      <c r="G281" s="218">
        <v>1</v>
      </c>
      <c r="H281" s="262">
        <v>1001</v>
      </c>
      <c r="I281" s="262">
        <v>948.3</v>
      </c>
      <c r="J281" s="262">
        <v>948.3</v>
      </c>
      <c r="K281" s="218">
        <v>56</v>
      </c>
      <c r="L281" s="109" t="s">
        <v>224</v>
      </c>
      <c r="M281" s="357">
        <v>479416</v>
      </c>
      <c r="N281" s="276">
        <v>0</v>
      </c>
      <c r="O281" s="276">
        <v>0</v>
      </c>
      <c r="P281" s="276">
        <v>0</v>
      </c>
      <c r="Q281" s="276">
        <f t="shared" ref="Q281:Q313" si="26">M281</f>
        <v>479416</v>
      </c>
      <c r="R281" s="276">
        <f t="shared" si="24"/>
        <v>505.55309501212702</v>
      </c>
      <c r="S281" s="276">
        <v>5115.04</v>
      </c>
      <c r="T281" s="294" t="s">
        <v>270</v>
      </c>
      <c r="V281" s="50"/>
      <c r="X281" s="20"/>
      <c r="Y281" s="106"/>
      <c r="Z281" s="55"/>
      <c r="AA281" s="163"/>
      <c r="AB281" s="163"/>
      <c r="AC281" s="52"/>
    </row>
    <row r="282" spans="1:29" s="54" customFormat="1" ht="37.5" customHeight="1">
      <c r="A282" s="293">
        <f t="shared" si="25"/>
        <v>68</v>
      </c>
      <c r="B282" s="255" t="s">
        <v>3190</v>
      </c>
      <c r="C282" s="179">
        <v>1986</v>
      </c>
      <c r="D282" s="167"/>
      <c r="E282" s="167" t="s">
        <v>221</v>
      </c>
      <c r="F282" s="218">
        <v>5</v>
      </c>
      <c r="G282" s="218">
        <v>1</v>
      </c>
      <c r="H282" s="262">
        <v>2440</v>
      </c>
      <c r="I282" s="262">
        <v>2208</v>
      </c>
      <c r="J282" s="262">
        <v>2208</v>
      </c>
      <c r="K282" s="218">
        <v>140</v>
      </c>
      <c r="L282" s="109" t="s">
        <v>33</v>
      </c>
      <c r="M282" s="357">
        <v>1473458</v>
      </c>
      <c r="N282" s="276">
        <v>0</v>
      </c>
      <c r="O282" s="276">
        <v>0</v>
      </c>
      <c r="P282" s="276">
        <v>0</v>
      </c>
      <c r="Q282" s="276">
        <f t="shared" si="26"/>
        <v>1473458</v>
      </c>
      <c r="R282" s="276">
        <f t="shared" si="24"/>
        <v>667.32699275362324</v>
      </c>
      <c r="S282" s="276">
        <v>5115.04</v>
      </c>
      <c r="T282" s="294" t="s">
        <v>270</v>
      </c>
      <c r="V282" s="50"/>
      <c r="X282" s="20"/>
      <c r="Y282" s="106"/>
      <c r="Z282" s="55"/>
      <c r="AA282" s="163"/>
      <c r="AB282" s="163"/>
      <c r="AC282" s="52"/>
    </row>
    <row r="283" spans="1:29" s="54" customFormat="1" ht="37.5" customHeight="1">
      <c r="A283" s="293">
        <f t="shared" si="25"/>
        <v>69</v>
      </c>
      <c r="B283" s="255" t="s">
        <v>2228</v>
      </c>
      <c r="C283" s="179">
        <v>1986</v>
      </c>
      <c r="D283" s="378"/>
      <c r="E283" s="176" t="s">
        <v>221</v>
      </c>
      <c r="F283" s="218">
        <v>9</v>
      </c>
      <c r="G283" s="218">
        <v>1</v>
      </c>
      <c r="H283" s="262">
        <v>3615</v>
      </c>
      <c r="I283" s="262">
        <v>3288.1</v>
      </c>
      <c r="J283" s="262">
        <v>2960.6</v>
      </c>
      <c r="K283" s="218">
        <v>148</v>
      </c>
      <c r="L283" s="109" t="s">
        <v>30</v>
      </c>
      <c r="M283" s="357">
        <v>2181972</v>
      </c>
      <c r="N283" s="276">
        <v>0</v>
      </c>
      <c r="O283" s="276">
        <v>0</v>
      </c>
      <c r="P283" s="276">
        <v>0</v>
      </c>
      <c r="Q283" s="276">
        <f t="shared" si="26"/>
        <v>2181972</v>
      </c>
      <c r="R283" s="276">
        <f t="shared" si="24"/>
        <v>663.59660594264165</v>
      </c>
      <c r="S283" s="276">
        <v>5115.04</v>
      </c>
      <c r="T283" s="294" t="s">
        <v>270</v>
      </c>
      <c r="V283" s="50"/>
      <c r="X283" s="20"/>
      <c r="Y283" s="106"/>
      <c r="Z283" s="55"/>
      <c r="AA283" s="163"/>
      <c r="AB283" s="163"/>
      <c r="AC283" s="52"/>
    </row>
    <row r="284" spans="1:29" s="54" customFormat="1" ht="37.5" customHeight="1">
      <c r="A284" s="293">
        <f t="shared" si="25"/>
        <v>70</v>
      </c>
      <c r="B284" s="255" t="s">
        <v>3191</v>
      </c>
      <c r="C284" s="179">
        <v>1960</v>
      </c>
      <c r="D284" s="167"/>
      <c r="E284" s="167" t="s">
        <v>221</v>
      </c>
      <c r="F284" s="218">
        <v>5</v>
      </c>
      <c r="G284" s="218">
        <v>4</v>
      </c>
      <c r="H284" s="262">
        <v>3161</v>
      </c>
      <c r="I284" s="262">
        <v>3151.9</v>
      </c>
      <c r="J284" s="262">
        <v>3151.9</v>
      </c>
      <c r="K284" s="218">
        <v>240</v>
      </c>
      <c r="L284" s="109" t="s">
        <v>238</v>
      </c>
      <c r="M284" s="357">
        <v>2792780</v>
      </c>
      <c r="N284" s="276">
        <v>0</v>
      </c>
      <c r="O284" s="276">
        <v>0</v>
      </c>
      <c r="P284" s="276">
        <v>0</v>
      </c>
      <c r="Q284" s="276">
        <f t="shared" si="26"/>
        <v>2792780</v>
      </c>
      <c r="R284" s="276">
        <f t="shared" si="24"/>
        <v>886.06237507535138</v>
      </c>
      <c r="S284" s="276">
        <v>5115.04</v>
      </c>
      <c r="T284" s="294" t="s">
        <v>270</v>
      </c>
      <c r="V284" s="50"/>
      <c r="X284" s="20"/>
      <c r="Y284" s="106"/>
      <c r="Z284" s="55"/>
      <c r="AA284" s="163"/>
      <c r="AB284" s="163"/>
      <c r="AC284" s="52"/>
    </row>
    <row r="285" spans="1:29" s="54" customFormat="1" ht="37.5" customHeight="1">
      <c r="A285" s="293">
        <f t="shared" si="25"/>
        <v>71</v>
      </c>
      <c r="B285" s="255" t="s">
        <v>3192</v>
      </c>
      <c r="C285" s="179">
        <v>1960</v>
      </c>
      <c r="D285" s="167"/>
      <c r="E285" s="167" t="s">
        <v>221</v>
      </c>
      <c r="F285" s="218">
        <v>5</v>
      </c>
      <c r="G285" s="218">
        <v>2</v>
      </c>
      <c r="H285" s="262">
        <v>1561</v>
      </c>
      <c r="I285" s="262">
        <v>1561</v>
      </c>
      <c r="J285" s="262">
        <v>1561</v>
      </c>
      <c r="K285" s="218">
        <v>61</v>
      </c>
      <c r="L285" s="109" t="s">
        <v>238</v>
      </c>
      <c r="M285" s="357">
        <v>1562100</v>
      </c>
      <c r="N285" s="276">
        <v>0</v>
      </c>
      <c r="O285" s="276">
        <v>0</v>
      </c>
      <c r="P285" s="276">
        <v>0</v>
      </c>
      <c r="Q285" s="276">
        <f t="shared" si="26"/>
        <v>1562100</v>
      </c>
      <c r="R285" s="276">
        <f t="shared" si="24"/>
        <v>1000.7046764894299</v>
      </c>
      <c r="S285" s="276">
        <v>5115.04</v>
      </c>
      <c r="T285" s="294" t="s">
        <v>270</v>
      </c>
      <c r="V285" s="50"/>
      <c r="X285" s="20"/>
      <c r="Y285" s="106"/>
      <c r="Z285" s="55"/>
      <c r="AA285" s="163"/>
      <c r="AB285" s="163"/>
      <c r="AC285" s="52"/>
    </row>
    <row r="286" spans="1:29" s="54" customFormat="1" ht="37.5" customHeight="1">
      <c r="A286" s="293">
        <f t="shared" si="25"/>
        <v>72</v>
      </c>
      <c r="B286" s="255" t="s">
        <v>3193</v>
      </c>
      <c r="C286" s="179">
        <v>1980</v>
      </c>
      <c r="D286" s="167"/>
      <c r="E286" s="167" t="s">
        <v>221</v>
      </c>
      <c r="F286" s="218">
        <v>5</v>
      </c>
      <c r="G286" s="218">
        <v>9</v>
      </c>
      <c r="H286" s="262">
        <v>6309</v>
      </c>
      <c r="I286" s="262">
        <v>6309</v>
      </c>
      <c r="J286" s="262">
        <v>6309</v>
      </c>
      <c r="K286" s="218">
        <v>371</v>
      </c>
      <c r="L286" s="109" t="s">
        <v>238</v>
      </c>
      <c r="M286" s="357">
        <v>4181670</v>
      </c>
      <c r="N286" s="276">
        <v>0</v>
      </c>
      <c r="O286" s="276">
        <v>0</v>
      </c>
      <c r="P286" s="276">
        <v>0</v>
      </c>
      <c r="Q286" s="276">
        <f t="shared" si="26"/>
        <v>4181670</v>
      </c>
      <c r="R286" s="276">
        <f t="shared" si="24"/>
        <v>662.81027104136945</v>
      </c>
      <c r="S286" s="276">
        <v>5115.04</v>
      </c>
      <c r="T286" s="294" t="s">
        <v>270</v>
      </c>
      <c r="V286" s="50"/>
      <c r="X286" s="20"/>
      <c r="Y286" s="106"/>
      <c r="Z286" s="55"/>
      <c r="AA286" s="163"/>
      <c r="AB286" s="163"/>
      <c r="AC286" s="52"/>
    </row>
    <row r="287" spans="1:29" s="54" customFormat="1" ht="37.5" customHeight="1">
      <c r="A287" s="293">
        <f t="shared" si="25"/>
        <v>73</v>
      </c>
      <c r="B287" s="255" t="s">
        <v>3194</v>
      </c>
      <c r="C287" s="179">
        <v>1997</v>
      </c>
      <c r="D287" s="167"/>
      <c r="E287" s="167" t="s">
        <v>221</v>
      </c>
      <c r="F287" s="218">
        <v>6</v>
      </c>
      <c r="G287" s="218">
        <v>4</v>
      </c>
      <c r="H287" s="262">
        <v>4620</v>
      </c>
      <c r="I287" s="262">
        <v>2632</v>
      </c>
      <c r="J287" s="262">
        <v>2369</v>
      </c>
      <c r="K287" s="218">
        <v>169</v>
      </c>
      <c r="L287" s="109" t="s">
        <v>33</v>
      </c>
      <c r="M287" s="357">
        <v>4287763</v>
      </c>
      <c r="N287" s="276">
        <v>0</v>
      </c>
      <c r="O287" s="276">
        <v>0</v>
      </c>
      <c r="P287" s="276">
        <v>0</v>
      </c>
      <c r="Q287" s="276">
        <f t="shared" si="26"/>
        <v>4287763</v>
      </c>
      <c r="R287" s="276">
        <f t="shared" si="24"/>
        <v>1629.0892857142858</v>
      </c>
      <c r="S287" s="276">
        <v>5115.04</v>
      </c>
      <c r="T287" s="294" t="s">
        <v>270</v>
      </c>
      <c r="V287" s="50"/>
      <c r="X287" s="20"/>
      <c r="Y287" s="106"/>
      <c r="Z287" s="55"/>
      <c r="AA287" s="163"/>
      <c r="AB287" s="163"/>
      <c r="AC287" s="52"/>
    </row>
    <row r="288" spans="1:29" s="154" customFormat="1" ht="37.5" customHeight="1">
      <c r="A288" s="293">
        <f t="shared" si="25"/>
        <v>74</v>
      </c>
      <c r="B288" s="255" t="s">
        <v>2200</v>
      </c>
      <c r="C288" s="179">
        <v>1993</v>
      </c>
      <c r="D288" s="167"/>
      <c r="E288" s="167" t="s">
        <v>221</v>
      </c>
      <c r="F288" s="218">
        <v>5</v>
      </c>
      <c r="G288" s="218">
        <v>2</v>
      </c>
      <c r="H288" s="262">
        <v>4288</v>
      </c>
      <c r="I288" s="262">
        <v>3828.5</v>
      </c>
      <c r="J288" s="262">
        <v>3828.5</v>
      </c>
      <c r="K288" s="218">
        <v>150</v>
      </c>
      <c r="L288" s="109" t="s">
        <v>219</v>
      </c>
      <c r="M288" s="357">
        <v>4106250</v>
      </c>
      <c r="N288" s="276">
        <v>0</v>
      </c>
      <c r="O288" s="276">
        <v>800000</v>
      </c>
      <c r="P288" s="276">
        <v>0</v>
      </c>
      <c r="Q288" s="198">
        <f>M288-N288-O288-P288</f>
        <v>3306250</v>
      </c>
      <c r="R288" s="276">
        <f t="shared" si="24"/>
        <v>1072.5479952984197</v>
      </c>
      <c r="S288" s="276">
        <v>5115.04</v>
      </c>
      <c r="T288" s="294" t="s">
        <v>270</v>
      </c>
      <c r="V288" s="229"/>
      <c r="X288" s="112"/>
      <c r="Y288" s="422"/>
      <c r="Z288" s="124"/>
      <c r="AA288" s="170"/>
      <c r="AB288" s="170"/>
      <c r="AC288" s="247"/>
    </row>
    <row r="289" spans="1:29" s="54" customFormat="1" ht="37.5" customHeight="1">
      <c r="A289" s="293">
        <f t="shared" si="25"/>
        <v>75</v>
      </c>
      <c r="B289" s="255" t="s">
        <v>3195</v>
      </c>
      <c r="C289" s="179">
        <v>1987</v>
      </c>
      <c r="D289" s="167"/>
      <c r="E289" s="167" t="s">
        <v>221</v>
      </c>
      <c r="F289" s="218">
        <v>9</v>
      </c>
      <c r="G289" s="218">
        <v>1</v>
      </c>
      <c r="H289" s="262">
        <v>2539</v>
      </c>
      <c r="I289" s="262">
        <v>2349.1999999999998</v>
      </c>
      <c r="J289" s="262">
        <v>1596</v>
      </c>
      <c r="K289" s="218">
        <v>94</v>
      </c>
      <c r="L289" s="109" t="s">
        <v>219</v>
      </c>
      <c r="M289" s="357">
        <v>2085000</v>
      </c>
      <c r="N289" s="276">
        <v>0</v>
      </c>
      <c r="O289" s="276">
        <v>400000</v>
      </c>
      <c r="P289" s="276">
        <v>0</v>
      </c>
      <c r="Q289" s="198">
        <f>M289-N289-O289-P289</f>
        <v>1685000</v>
      </c>
      <c r="R289" s="276">
        <f t="shared" si="24"/>
        <v>887.53618253022307</v>
      </c>
      <c r="S289" s="276">
        <v>5115.04</v>
      </c>
      <c r="T289" s="294" t="s">
        <v>270</v>
      </c>
      <c r="V289" s="50"/>
      <c r="X289" s="20"/>
      <c r="Y289" s="106"/>
      <c r="Z289" s="55"/>
      <c r="AA289" s="163"/>
      <c r="AB289" s="163"/>
      <c r="AC289" s="52"/>
    </row>
    <row r="290" spans="1:29" s="54" customFormat="1" ht="57.95" customHeight="1">
      <c r="A290" s="293">
        <f t="shared" si="25"/>
        <v>76</v>
      </c>
      <c r="B290" s="255" t="s">
        <v>3196</v>
      </c>
      <c r="C290" s="179">
        <v>1987</v>
      </c>
      <c r="D290" s="167"/>
      <c r="E290" s="167" t="s">
        <v>221</v>
      </c>
      <c r="F290" s="218">
        <v>9</v>
      </c>
      <c r="G290" s="218">
        <v>1</v>
      </c>
      <c r="H290" s="262">
        <v>2574</v>
      </c>
      <c r="I290" s="262">
        <v>2401.3000000000002</v>
      </c>
      <c r="J290" s="262">
        <v>1677.3</v>
      </c>
      <c r="K290" s="218">
        <v>90</v>
      </c>
      <c r="L290" s="109" t="s">
        <v>3639</v>
      </c>
      <c r="M290" s="357">
        <v>3145890</v>
      </c>
      <c r="N290" s="276">
        <v>0</v>
      </c>
      <c r="O290" s="276">
        <v>400000</v>
      </c>
      <c r="P290" s="276">
        <v>0</v>
      </c>
      <c r="Q290" s="198">
        <f>M290-N290-O290-P290</f>
        <v>2745890</v>
      </c>
      <c r="R290" s="276">
        <f t="shared" si="24"/>
        <v>1310.0778744846541</v>
      </c>
      <c r="S290" s="276">
        <v>5115.04</v>
      </c>
      <c r="T290" s="294" t="s">
        <v>270</v>
      </c>
      <c r="V290" s="50"/>
      <c r="X290" s="20"/>
      <c r="Y290" s="106"/>
      <c r="Z290" s="55"/>
      <c r="AA290" s="163"/>
      <c r="AB290" s="163"/>
      <c r="AC290" s="52"/>
    </row>
    <row r="291" spans="1:29" s="54" customFormat="1" ht="37.5" customHeight="1">
      <c r="A291" s="293">
        <f t="shared" si="25"/>
        <v>77</v>
      </c>
      <c r="B291" s="255" t="s">
        <v>3197</v>
      </c>
      <c r="C291" s="179">
        <v>1959</v>
      </c>
      <c r="D291" s="167"/>
      <c r="E291" s="167" t="s">
        <v>239</v>
      </c>
      <c r="F291" s="218">
        <v>2</v>
      </c>
      <c r="G291" s="218">
        <v>1</v>
      </c>
      <c r="H291" s="262">
        <v>1003</v>
      </c>
      <c r="I291" s="262">
        <v>632.70000000000005</v>
      </c>
      <c r="J291" s="262">
        <v>403.5</v>
      </c>
      <c r="K291" s="218">
        <v>37</v>
      </c>
      <c r="L291" s="109" t="s">
        <v>33</v>
      </c>
      <c r="M291" s="357">
        <v>2296201</v>
      </c>
      <c r="N291" s="276">
        <v>0</v>
      </c>
      <c r="O291" s="276">
        <v>0</v>
      </c>
      <c r="P291" s="276">
        <v>0</v>
      </c>
      <c r="Q291" s="276">
        <f t="shared" si="26"/>
        <v>2296201</v>
      </c>
      <c r="R291" s="276">
        <f t="shared" si="24"/>
        <v>3629.209736051841</v>
      </c>
      <c r="S291" s="276">
        <v>5115.04</v>
      </c>
      <c r="T291" s="294" t="s">
        <v>270</v>
      </c>
      <c r="V291" s="50"/>
      <c r="X291" s="20"/>
      <c r="Y291" s="106"/>
      <c r="Z291" s="55"/>
      <c r="AA291" s="163"/>
      <c r="AB291" s="163"/>
      <c r="AC291" s="52"/>
    </row>
    <row r="292" spans="1:29" s="54" customFormat="1" ht="37.5" customHeight="1">
      <c r="A292" s="293">
        <f t="shared" si="25"/>
        <v>78</v>
      </c>
      <c r="B292" s="255" t="s">
        <v>3198</v>
      </c>
      <c r="C292" s="179">
        <v>1960</v>
      </c>
      <c r="D292" s="167"/>
      <c r="E292" s="167" t="s">
        <v>221</v>
      </c>
      <c r="F292" s="218">
        <v>4</v>
      </c>
      <c r="G292" s="218">
        <v>4</v>
      </c>
      <c r="H292" s="262">
        <v>3132</v>
      </c>
      <c r="I292" s="262">
        <v>2506.9</v>
      </c>
      <c r="J292" s="262">
        <v>2506.9</v>
      </c>
      <c r="K292" s="218">
        <v>132</v>
      </c>
      <c r="L292" s="109" t="s">
        <v>238</v>
      </c>
      <c r="M292" s="357">
        <v>2302508</v>
      </c>
      <c r="N292" s="276">
        <v>0</v>
      </c>
      <c r="O292" s="276">
        <v>0</v>
      </c>
      <c r="P292" s="276">
        <v>0</v>
      </c>
      <c r="Q292" s="276">
        <f t="shared" si="26"/>
        <v>2302508</v>
      </c>
      <c r="R292" s="276">
        <f t="shared" si="24"/>
        <v>918.4682276915712</v>
      </c>
      <c r="S292" s="276">
        <v>5115.04</v>
      </c>
      <c r="T292" s="294" t="s">
        <v>270</v>
      </c>
      <c r="V292" s="50"/>
      <c r="X292" s="20"/>
      <c r="Y292" s="106"/>
      <c r="Z292" s="55"/>
      <c r="AA292" s="163"/>
      <c r="AB292" s="163"/>
      <c r="AC292" s="52"/>
    </row>
    <row r="293" spans="1:29" s="54" customFormat="1" ht="37.5" customHeight="1">
      <c r="A293" s="293">
        <f t="shared" si="25"/>
        <v>79</v>
      </c>
      <c r="B293" s="255" t="s">
        <v>3199</v>
      </c>
      <c r="C293" s="179">
        <v>1956</v>
      </c>
      <c r="D293" s="167"/>
      <c r="E293" s="167" t="s">
        <v>221</v>
      </c>
      <c r="F293" s="218">
        <v>2</v>
      </c>
      <c r="G293" s="218">
        <v>2</v>
      </c>
      <c r="H293" s="262">
        <v>763</v>
      </c>
      <c r="I293" s="262">
        <v>672.9</v>
      </c>
      <c r="J293" s="262">
        <v>672.9</v>
      </c>
      <c r="K293" s="218">
        <v>34</v>
      </c>
      <c r="L293" s="109" t="s">
        <v>33</v>
      </c>
      <c r="M293" s="357">
        <v>2149773</v>
      </c>
      <c r="N293" s="276">
        <v>0</v>
      </c>
      <c r="O293" s="276">
        <v>0</v>
      </c>
      <c r="P293" s="276">
        <v>0</v>
      </c>
      <c r="Q293" s="276">
        <f t="shared" si="26"/>
        <v>2149773</v>
      </c>
      <c r="R293" s="276">
        <f t="shared" si="24"/>
        <v>3194.7882300490414</v>
      </c>
      <c r="S293" s="276">
        <v>5115.04</v>
      </c>
      <c r="T293" s="294" t="s">
        <v>270</v>
      </c>
      <c r="V293" s="50"/>
      <c r="X293" s="20"/>
      <c r="Y293" s="106"/>
      <c r="Z293" s="55"/>
      <c r="AA293" s="163"/>
      <c r="AB293" s="163"/>
      <c r="AC293" s="52"/>
    </row>
    <row r="294" spans="1:29" s="54" customFormat="1" ht="37.5" customHeight="1">
      <c r="A294" s="293">
        <f t="shared" si="25"/>
        <v>80</v>
      </c>
      <c r="B294" s="255" t="s">
        <v>3200</v>
      </c>
      <c r="C294" s="179">
        <v>1967</v>
      </c>
      <c r="D294" s="167"/>
      <c r="E294" s="167" t="s">
        <v>221</v>
      </c>
      <c r="F294" s="218">
        <v>5</v>
      </c>
      <c r="G294" s="218">
        <v>6</v>
      </c>
      <c r="H294" s="262">
        <v>4512</v>
      </c>
      <c r="I294" s="262">
        <v>4508.8999999999996</v>
      </c>
      <c r="J294" s="262">
        <v>4086.8</v>
      </c>
      <c r="K294" s="218">
        <v>247</v>
      </c>
      <c r="L294" s="109" t="s">
        <v>30</v>
      </c>
      <c r="M294" s="357">
        <v>3073200</v>
      </c>
      <c r="N294" s="276">
        <v>0</v>
      </c>
      <c r="O294" s="276">
        <v>0</v>
      </c>
      <c r="P294" s="276">
        <v>0</v>
      </c>
      <c r="Q294" s="276">
        <f t="shared" si="26"/>
        <v>3073200</v>
      </c>
      <c r="R294" s="276">
        <f t="shared" si="24"/>
        <v>681.58530905542375</v>
      </c>
      <c r="S294" s="276">
        <v>5115.04</v>
      </c>
      <c r="T294" s="294" t="s">
        <v>270</v>
      </c>
      <c r="V294" s="50"/>
      <c r="X294" s="20"/>
      <c r="Y294" s="106"/>
      <c r="Z294" s="55"/>
      <c r="AA294" s="163"/>
      <c r="AB294" s="163"/>
      <c r="AC294" s="52"/>
    </row>
    <row r="295" spans="1:29" s="54" customFormat="1" ht="37.5" customHeight="1">
      <c r="A295" s="293">
        <f t="shared" si="25"/>
        <v>81</v>
      </c>
      <c r="B295" s="255" t="s">
        <v>3201</v>
      </c>
      <c r="C295" s="179">
        <v>1977</v>
      </c>
      <c r="D295" s="167"/>
      <c r="E295" s="167" t="s">
        <v>221</v>
      </c>
      <c r="F295" s="218">
        <v>5</v>
      </c>
      <c r="G295" s="218">
        <v>6</v>
      </c>
      <c r="H295" s="262">
        <v>4508</v>
      </c>
      <c r="I295" s="262">
        <v>3013.4</v>
      </c>
      <c r="J295" s="262">
        <v>2938.6</v>
      </c>
      <c r="K295" s="218">
        <v>234</v>
      </c>
      <c r="L295" s="109" t="s">
        <v>33</v>
      </c>
      <c r="M295" s="357">
        <v>3121275</v>
      </c>
      <c r="N295" s="276">
        <v>0</v>
      </c>
      <c r="O295" s="276">
        <v>0</v>
      </c>
      <c r="P295" s="276">
        <v>0</v>
      </c>
      <c r="Q295" s="276">
        <f t="shared" si="26"/>
        <v>3121275</v>
      </c>
      <c r="R295" s="276">
        <f t="shared" si="24"/>
        <v>1035.798433662972</v>
      </c>
      <c r="S295" s="276">
        <v>5115.04</v>
      </c>
      <c r="T295" s="294" t="s">
        <v>270</v>
      </c>
      <c r="V295" s="50"/>
      <c r="X295" s="20"/>
      <c r="Y295" s="106"/>
      <c r="Z295" s="55"/>
      <c r="AA295" s="163"/>
      <c r="AB295" s="163"/>
      <c r="AC295" s="52"/>
    </row>
    <row r="296" spans="1:29" s="54" customFormat="1" ht="37.5" customHeight="1">
      <c r="A296" s="293">
        <f t="shared" si="25"/>
        <v>82</v>
      </c>
      <c r="B296" s="255" t="s">
        <v>3202</v>
      </c>
      <c r="C296" s="179">
        <v>1969</v>
      </c>
      <c r="D296" s="167"/>
      <c r="E296" s="167" t="s">
        <v>221</v>
      </c>
      <c r="F296" s="218">
        <v>5</v>
      </c>
      <c r="G296" s="218">
        <v>4</v>
      </c>
      <c r="H296" s="262">
        <v>2686</v>
      </c>
      <c r="I296" s="262">
        <v>2686</v>
      </c>
      <c r="J296" s="262">
        <v>2686</v>
      </c>
      <c r="K296" s="218">
        <v>132</v>
      </c>
      <c r="L296" s="109" t="s">
        <v>33</v>
      </c>
      <c r="M296" s="357">
        <v>2316031</v>
      </c>
      <c r="N296" s="276">
        <v>0</v>
      </c>
      <c r="O296" s="276">
        <v>0</v>
      </c>
      <c r="P296" s="276">
        <v>0</v>
      </c>
      <c r="Q296" s="276">
        <f t="shared" si="26"/>
        <v>2316031</v>
      </c>
      <c r="R296" s="276">
        <f t="shared" si="24"/>
        <v>862.26023827252425</v>
      </c>
      <c r="S296" s="276">
        <v>5115.04</v>
      </c>
      <c r="T296" s="294" t="s">
        <v>270</v>
      </c>
      <c r="V296" s="50"/>
      <c r="X296" s="20"/>
      <c r="Y296" s="106"/>
      <c r="Z296" s="55"/>
      <c r="AA296" s="163"/>
      <c r="AB296" s="163"/>
      <c r="AC296" s="52"/>
    </row>
    <row r="297" spans="1:29" s="54" customFormat="1" ht="37.5" customHeight="1">
      <c r="A297" s="293">
        <f t="shared" si="25"/>
        <v>83</v>
      </c>
      <c r="B297" s="255" t="s">
        <v>3203</v>
      </c>
      <c r="C297" s="179">
        <v>1988</v>
      </c>
      <c r="D297" s="167"/>
      <c r="E297" s="167" t="s">
        <v>221</v>
      </c>
      <c r="F297" s="218">
        <v>3</v>
      </c>
      <c r="G297" s="218">
        <v>2</v>
      </c>
      <c r="H297" s="262">
        <v>1414</v>
      </c>
      <c r="I297" s="262">
        <v>1301.5</v>
      </c>
      <c r="J297" s="262">
        <v>1099.2</v>
      </c>
      <c r="K297" s="218">
        <v>70</v>
      </c>
      <c r="L297" s="404" t="s">
        <v>226</v>
      </c>
      <c r="M297" s="357">
        <v>2696263</v>
      </c>
      <c r="N297" s="276">
        <v>0</v>
      </c>
      <c r="O297" s="276">
        <v>0</v>
      </c>
      <c r="P297" s="276">
        <v>0</v>
      </c>
      <c r="Q297" s="276">
        <f t="shared" si="26"/>
        <v>2696263</v>
      </c>
      <c r="R297" s="276">
        <f t="shared" si="24"/>
        <v>2071.6580868228966</v>
      </c>
      <c r="S297" s="276">
        <v>5115.04</v>
      </c>
      <c r="T297" s="294" t="s">
        <v>270</v>
      </c>
      <c r="X297" s="20"/>
      <c r="Y297" s="106"/>
      <c r="Z297" s="55"/>
      <c r="AA297" s="163"/>
      <c r="AB297" s="163"/>
      <c r="AC297" s="52"/>
    </row>
    <row r="298" spans="1:29" s="54" customFormat="1" ht="37.5" customHeight="1">
      <c r="A298" s="293">
        <f t="shared" si="25"/>
        <v>84</v>
      </c>
      <c r="B298" s="255" t="s">
        <v>3204</v>
      </c>
      <c r="C298" s="179">
        <v>1966</v>
      </c>
      <c r="D298" s="167"/>
      <c r="E298" s="167" t="s">
        <v>221</v>
      </c>
      <c r="F298" s="218">
        <v>5</v>
      </c>
      <c r="G298" s="218">
        <v>4</v>
      </c>
      <c r="H298" s="262">
        <v>3999</v>
      </c>
      <c r="I298" s="262">
        <v>3051.2</v>
      </c>
      <c r="J298" s="262">
        <v>3051.2</v>
      </c>
      <c r="K298" s="218">
        <v>156</v>
      </c>
      <c r="L298" s="109" t="s">
        <v>33</v>
      </c>
      <c r="M298" s="357">
        <v>2173105</v>
      </c>
      <c r="N298" s="276">
        <v>0</v>
      </c>
      <c r="O298" s="276">
        <v>0</v>
      </c>
      <c r="P298" s="276">
        <v>0</v>
      </c>
      <c r="Q298" s="276">
        <f t="shared" si="26"/>
        <v>2173105</v>
      </c>
      <c r="R298" s="276">
        <f t="shared" si="24"/>
        <v>712.21322758259055</v>
      </c>
      <c r="S298" s="276">
        <v>5115.04</v>
      </c>
      <c r="T298" s="294" t="s">
        <v>270</v>
      </c>
      <c r="V298" s="50"/>
      <c r="X298" s="20"/>
      <c r="Y298" s="106"/>
      <c r="Z298" s="55"/>
      <c r="AA298" s="163"/>
      <c r="AB298" s="163"/>
      <c r="AC298" s="52"/>
    </row>
    <row r="299" spans="1:29" s="54" customFormat="1" ht="37.5" customHeight="1">
      <c r="A299" s="293">
        <f t="shared" si="25"/>
        <v>85</v>
      </c>
      <c r="B299" s="255" t="s">
        <v>3205</v>
      </c>
      <c r="C299" s="179">
        <v>1995</v>
      </c>
      <c r="D299" s="167"/>
      <c r="E299" s="167" t="s">
        <v>221</v>
      </c>
      <c r="F299" s="218">
        <v>5</v>
      </c>
      <c r="G299" s="218">
        <v>1</v>
      </c>
      <c r="H299" s="262">
        <v>1703</v>
      </c>
      <c r="I299" s="262">
        <v>919</v>
      </c>
      <c r="J299" s="262">
        <v>919</v>
      </c>
      <c r="K299" s="218">
        <v>46</v>
      </c>
      <c r="L299" s="109" t="s">
        <v>33</v>
      </c>
      <c r="M299" s="357">
        <v>1072678</v>
      </c>
      <c r="N299" s="276">
        <v>0</v>
      </c>
      <c r="O299" s="276">
        <v>0</v>
      </c>
      <c r="P299" s="276">
        <v>0</v>
      </c>
      <c r="Q299" s="276">
        <f t="shared" si="26"/>
        <v>1072678</v>
      </c>
      <c r="R299" s="276">
        <f t="shared" si="24"/>
        <v>1167.2230685527747</v>
      </c>
      <c r="S299" s="276">
        <v>5115.04</v>
      </c>
      <c r="T299" s="294" t="s">
        <v>270</v>
      </c>
      <c r="V299" s="50"/>
      <c r="X299" s="20"/>
      <c r="Y299" s="106"/>
      <c r="Z299" s="55"/>
      <c r="AA299" s="163"/>
      <c r="AB299" s="163"/>
      <c r="AC299" s="52"/>
    </row>
    <row r="300" spans="1:29" s="54" customFormat="1" ht="37.5" customHeight="1">
      <c r="A300" s="293">
        <f t="shared" si="25"/>
        <v>86</v>
      </c>
      <c r="B300" s="255" t="s">
        <v>3206</v>
      </c>
      <c r="C300" s="179">
        <v>1994</v>
      </c>
      <c r="D300" s="167"/>
      <c r="E300" s="167" t="s">
        <v>221</v>
      </c>
      <c r="F300" s="218">
        <v>5</v>
      </c>
      <c r="G300" s="218">
        <v>1</v>
      </c>
      <c r="H300" s="262">
        <v>1699</v>
      </c>
      <c r="I300" s="262">
        <v>914</v>
      </c>
      <c r="J300" s="262">
        <v>914</v>
      </c>
      <c r="K300" s="218">
        <v>50</v>
      </c>
      <c r="L300" s="109" t="s">
        <v>30</v>
      </c>
      <c r="M300" s="357">
        <v>614640</v>
      </c>
      <c r="N300" s="276">
        <v>0</v>
      </c>
      <c r="O300" s="276">
        <v>0</v>
      </c>
      <c r="P300" s="276">
        <v>0</v>
      </c>
      <c r="Q300" s="276">
        <f t="shared" si="26"/>
        <v>614640</v>
      </c>
      <c r="R300" s="276">
        <f t="shared" si="24"/>
        <v>672.47264770240702</v>
      </c>
      <c r="S300" s="276">
        <v>5115.04</v>
      </c>
      <c r="T300" s="294" t="s">
        <v>270</v>
      </c>
      <c r="V300" s="50"/>
      <c r="X300" s="20"/>
      <c r="Y300" s="106"/>
      <c r="Z300" s="55"/>
      <c r="AA300" s="163"/>
      <c r="AB300" s="163"/>
      <c r="AC300" s="52"/>
    </row>
    <row r="301" spans="1:29" s="54" customFormat="1" ht="37.5" customHeight="1">
      <c r="A301" s="293">
        <f t="shared" si="25"/>
        <v>87</v>
      </c>
      <c r="B301" s="255" t="s">
        <v>3207</v>
      </c>
      <c r="C301" s="179">
        <v>1994</v>
      </c>
      <c r="D301" s="167"/>
      <c r="E301" s="167" t="s">
        <v>221</v>
      </c>
      <c r="F301" s="218">
        <v>5</v>
      </c>
      <c r="G301" s="218">
        <v>1</v>
      </c>
      <c r="H301" s="262">
        <v>2017</v>
      </c>
      <c r="I301" s="262">
        <v>866</v>
      </c>
      <c r="J301" s="262">
        <v>866</v>
      </c>
      <c r="K301" s="218">
        <v>71</v>
      </c>
      <c r="L301" s="109" t="s">
        <v>33</v>
      </c>
      <c r="M301" s="357">
        <v>1068256</v>
      </c>
      <c r="N301" s="276">
        <v>0</v>
      </c>
      <c r="O301" s="276">
        <v>0</v>
      </c>
      <c r="P301" s="276">
        <v>0</v>
      </c>
      <c r="Q301" s="276">
        <f t="shared" si="26"/>
        <v>1068256</v>
      </c>
      <c r="R301" s="276">
        <f t="shared" si="24"/>
        <v>1233.5519630484989</v>
      </c>
      <c r="S301" s="276">
        <v>5115.04</v>
      </c>
      <c r="T301" s="294" t="s">
        <v>270</v>
      </c>
      <c r="V301" s="50"/>
      <c r="X301" s="20"/>
      <c r="Y301" s="106"/>
      <c r="Z301" s="55"/>
      <c r="AA301" s="163"/>
      <c r="AB301" s="163"/>
      <c r="AC301" s="52"/>
    </row>
    <row r="302" spans="1:29" s="54" customFormat="1" ht="37.5" customHeight="1">
      <c r="A302" s="293">
        <f t="shared" si="25"/>
        <v>88</v>
      </c>
      <c r="B302" s="361" t="s">
        <v>3208</v>
      </c>
      <c r="C302" s="179">
        <v>1958</v>
      </c>
      <c r="D302" s="179"/>
      <c r="E302" s="405" t="s">
        <v>221</v>
      </c>
      <c r="F302" s="175">
        <v>3</v>
      </c>
      <c r="G302" s="175">
        <v>2</v>
      </c>
      <c r="H302" s="262">
        <v>1475</v>
      </c>
      <c r="I302" s="262">
        <v>1050</v>
      </c>
      <c r="J302" s="262">
        <v>1050</v>
      </c>
      <c r="K302" s="218">
        <v>163</v>
      </c>
      <c r="L302" s="109" t="s">
        <v>33</v>
      </c>
      <c r="M302" s="357">
        <v>1557197</v>
      </c>
      <c r="N302" s="276">
        <v>0</v>
      </c>
      <c r="O302" s="276">
        <v>0</v>
      </c>
      <c r="P302" s="276">
        <v>0</v>
      </c>
      <c r="Q302" s="276">
        <f t="shared" si="26"/>
        <v>1557197</v>
      </c>
      <c r="R302" s="276">
        <f t="shared" si="24"/>
        <v>1483.0447619047618</v>
      </c>
      <c r="S302" s="276">
        <v>5115.04</v>
      </c>
      <c r="T302" s="294" t="s">
        <v>270</v>
      </c>
      <c r="V302" s="50"/>
      <c r="X302" s="20"/>
      <c r="Y302" s="106"/>
      <c r="Z302" s="55"/>
      <c r="AA302" s="163"/>
      <c r="AB302" s="163"/>
      <c r="AC302" s="52"/>
    </row>
    <row r="303" spans="1:29" s="54" customFormat="1" ht="37.5" customHeight="1">
      <c r="A303" s="293">
        <f t="shared" si="25"/>
        <v>89</v>
      </c>
      <c r="B303" s="255" t="s">
        <v>3209</v>
      </c>
      <c r="C303" s="179">
        <v>1986</v>
      </c>
      <c r="D303" s="167"/>
      <c r="E303" s="167" t="s">
        <v>221</v>
      </c>
      <c r="F303" s="218">
        <v>9</v>
      </c>
      <c r="G303" s="218">
        <v>2</v>
      </c>
      <c r="H303" s="262">
        <v>4867</v>
      </c>
      <c r="I303" s="262">
        <v>4567.3999999999996</v>
      </c>
      <c r="J303" s="262">
        <v>3411.7</v>
      </c>
      <c r="K303" s="218">
        <v>158</v>
      </c>
      <c r="L303" s="109" t="s">
        <v>219</v>
      </c>
      <c r="M303" s="357">
        <v>4106250</v>
      </c>
      <c r="N303" s="276">
        <v>0</v>
      </c>
      <c r="O303" s="276">
        <v>800000</v>
      </c>
      <c r="P303" s="276">
        <v>0</v>
      </c>
      <c r="Q303" s="198">
        <f>M303-N303-O303-P303</f>
        <v>3306250</v>
      </c>
      <c r="R303" s="276">
        <f t="shared" si="24"/>
        <v>899.03446161930208</v>
      </c>
      <c r="S303" s="276">
        <v>5115.04</v>
      </c>
      <c r="T303" s="294" t="s">
        <v>270</v>
      </c>
      <c r="V303" s="50"/>
      <c r="X303" s="20"/>
      <c r="Y303" s="106"/>
      <c r="Z303" s="55"/>
      <c r="AA303" s="163"/>
      <c r="AB303" s="163"/>
      <c r="AC303" s="52"/>
    </row>
    <row r="304" spans="1:29" s="54" customFormat="1" ht="37.5" customHeight="1">
      <c r="A304" s="293">
        <f t="shared" si="25"/>
        <v>90</v>
      </c>
      <c r="B304" s="255" t="s">
        <v>3210</v>
      </c>
      <c r="C304" s="179">
        <v>1977</v>
      </c>
      <c r="D304" s="167"/>
      <c r="E304" s="167" t="s">
        <v>221</v>
      </c>
      <c r="F304" s="218">
        <v>5</v>
      </c>
      <c r="G304" s="218">
        <v>14</v>
      </c>
      <c r="H304" s="262">
        <v>9759</v>
      </c>
      <c r="I304" s="262">
        <v>9759</v>
      </c>
      <c r="J304" s="262">
        <v>9138.9</v>
      </c>
      <c r="K304" s="218">
        <v>436</v>
      </c>
      <c r="L304" s="109" t="s">
        <v>33</v>
      </c>
      <c r="M304" s="357">
        <v>8104019</v>
      </c>
      <c r="N304" s="276">
        <v>0</v>
      </c>
      <c r="O304" s="276">
        <v>0</v>
      </c>
      <c r="P304" s="276">
        <v>0</v>
      </c>
      <c r="Q304" s="276">
        <f t="shared" si="26"/>
        <v>8104019</v>
      </c>
      <c r="R304" s="276">
        <f t="shared" si="24"/>
        <v>830.41489906752736</v>
      </c>
      <c r="S304" s="276">
        <v>5115.04</v>
      </c>
      <c r="T304" s="294" t="s">
        <v>270</v>
      </c>
      <c r="V304" s="50"/>
      <c r="X304" s="20"/>
      <c r="Y304" s="106"/>
      <c r="Z304" s="55"/>
      <c r="AA304" s="163"/>
      <c r="AB304" s="163"/>
      <c r="AC304" s="52"/>
    </row>
    <row r="305" spans="1:29" s="54" customFormat="1" ht="37.5" customHeight="1">
      <c r="A305" s="293">
        <f t="shared" si="25"/>
        <v>91</v>
      </c>
      <c r="B305" s="255" t="s">
        <v>3211</v>
      </c>
      <c r="C305" s="179">
        <v>1959</v>
      </c>
      <c r="D305" s="167"/>
      <c r="E305" s="167" t="s">
        <v>221</v>
      </c>
      <c r="F305" s="218">
        <v>4</v>
      </c>
      <c r="G305" s="218">
        <v>4</v>
      </c>
      <c r="H305" s="262">
        <v>2513</v>
      </c>
      <c r="I305" s="262">
        <v>2104.1</v>
      </c>
      <c r="J305" s="262">
        <v>2104.1</v>
      </c>
      <c r="K305" s="218">
        <v>127</v>
      </c>
      <c r="L305" s="109" t="s">
        <v>30</v>
      </c>
      <c r="M305" s="357">
        <v>1311232</v>
      </c>
      <c r="N305" s="276">
        <v>0</v>
      </c>
      <c r="O305" s="276">
        <v>0</v>
      </c>
      <c r="P305" s="276">
        <v>0</v>
      </c>
      <c r="Q305" s="276">
        <f t="shared" si="26"/>
        <v>1311232</v>
      </c>
      <c r="R305" s="276">
        <f t="shared" si="24"/>
        <v>623.17950667743935</v>
      </c>
      <c r="S305" s="276">
        <v>5115.04</v>
      </c>
      <c r="T305" s="294" t="s">
        <v>270</v>
      </c>
      <c r="V305" s="50"/>
      <c r="X305" s="20"/>
      <c r="Y305" s="106"/>
      <c r="Z305" s="55"/>
      <c r="AA305" s="163"/>
      <c r="AB305" s="163"/>
      <c r="AC305" s="52"/>
    </row>
    <row r="306" spans="1:29" s="54" customFormat="1" ht="37.5" customHeight="1">
      <c r="A306" s="237">
        <f t="shared" si="25"/>
        <v>92</v>
      </c>
      <c r="B306" s="211" t="s">
        <v>3212</v>
      </c>
      <c r="C306" s="212">
        <v>1960</v>
      </c>
      <c r="D306" s="238"/>
      <c r="E306" s="238" t="s">
        <v>221</v>
      </c>
      <c r="F306" s="213">
        <v>4</v>
      </c>
      <c r="G306" s="213">
        <v>2</v>
      </c>
      <c r="H306" s="180">
        <v>1248</v>
      </c>
      <c r="I306" s="180">
        <v>1128.3</v>
      </c>
      <c r="J306" s="180">
        <v>1128.3</v>
      </c>
      <c r="K306" s="213">
        <v>64</v>
      </c>
      <c r="L306" s="165" t="s">
        <v>30</v>
      </c>
      <c r="M306" s="214">
        <v>655616</v>
      </c>
      <c r="N306" s="214">
        <v>0</v>
      </c>
      <c r="O306" s="214">
        <v>0</v>
      </c>
      <c r="P306" s="214">
        <v>0</v>
      </c>
      <c r="Q306" s="214">
        <f t="shared" si="26"/>
        <v>655616</v>
      </c>
      <c r="R306" s="214">
        <f t="shared" si="24"/>
        <v>581.06531950722331</v>
      </c>
      <c r="S306" s="214">
        <v>5115.04</v>
      </c>
      <c r="T306" s="181" t="s">
        <v>270</v>
      </c>
      <c r="V306" s="50"/>
      <c r="X306" s="20"/>
      <c r="Y306" s="106"/>
      <c r="Z306" s="55"/>
      <c r="AA306" s="163"/>
      <c r="AB306" s="163"/>
      <c r="AC306" s="52"/>
    </row>
    <row r="307" spans="1:29" s="54" customFormat="1" ht="37.5" customHeight="1">
      <c r="A307" s="237">
        <f t="shared" si="25"/>
        <v>93</v>
      </c>
      <c r="B307" s="211" t="s">
        <v>3213</v>
      </c>
      <c r="C307" s="212">
        <v>1961</v>
      </c>
      <c r="D307" s="238"/>
      <c r="E307" s="238" t="s">
        <v>221</v>
      </c>
      <c r="F307" s="213">
        <v>5</v>
      </c>
      <c r="G307" s="213">
        <v>4</v>
      </c>
      <c r="H307" s="180">
        <v>3095</v>
      </c>
      <c r="I307" s="180">
        <v>2695</v>
      </c>
      <c r="J307" s="180">
        <v>2695</v>
      </c>
      <c r="K307" s="213">
        <v>152</v>
      </c>
      <c r="L307" s="165" t="s">
        <v>33</v>
      </c>
      <c r="M307" s="214">
        <v>2836407</v>
      </c>
      <c r="N307" s="214">
        <v>0</v>
      </c>
      <c r="O307" s="214">
        <v>0</v>
      </c>
      <c r="P307" s="214">
        <v>0</v>
      </c>
      <c r="Q307" s="214">
        <f t="shared" si="26"/>
        <v>2836407</v>
      </c>
      <c r="R307" s="214">
        <f t="shared" si="24"/>
        <v>1052.4701298701298</v>
      </c>
      <c r="S307" s="214">
        <v>5115.04</v>
      </c>
      <c r="T307" s="181" t="s">
        <v>270</v>
      </c>
      <c r="V307" s="50"/>
      <c r="X307" s="20"/>
      <c r="Y307" s="106"/>
      <c r="Z307" s="55"/>
      <c r="AA307" s="163"/>
      <c r="AB307" s="163"/>
      <c r="AC307" s="52"/>
    </row>
    <row r="308" spans="1:29" s="48" customFormat="1" ht="75" customHeight="1">
      <c r="A308" s="237">
        <f t="shared" si="25"/>
        <v>94</v>
      </c>
      <c r="B308" s="211" t="s">
        <v>3214</v>
      </c>
      <c r="C308" s="212">
        <v>1987</v>
      </c>
      <c r="D308" s="238"/>
      <c r="E308" s="238" t="s">
        <v>221</v>
      </c>
      <c r="F308" s="213">
        <v>9</v>
      </c>
      <c r="G308" s="213">
        <v>2</v>
      </c>
      <c r="H308" s="180">
        <v>5033</v>
      </c>
      <c r="I308" s="180">
        <v>4643.2</v>
      </c>
      <c r="J308" s="180">
        <v>3381.6</v>
      </c>
      <c r="K308" s="213">
        <v>175</v>
      </c>
      <c r="L308" s="165" t="s">
        <v>378</v>
      </c>
      <c r="M308" s="214">
        <v>5876413</v>
      </c>
      <c r="N308" s="214">
        <v>0</v>
      </c>
      <c r="O308" s="214">
        <v>800000</v>
      </c>
      <c r="P308" s="214">
        <v>0</v>
      </c>
      <c r="Q308" s="215">
        <f>M308-N308-O308-P308</f>
        <v>5076413</v>
      </c>
      <c r="R308" s="214">
        <f t="shared" si="24"/>
        <v>1265.5954944865609</v>
      </c>
      <c r="S308" s="214">
        <v>5115.04</v>
      </c>
      <c r="T308" s="181" t="s">
        <v>270</v>
      </c>
      <c r="V308" s="51"/>
      <c r="X308" s="19"/>
      <c r="Y308" s="37"/>
      <c r="Z308" s="55"/>
      <c r="AA308" s="207"/>
      <c r="AB308" s="207"/>
      <c r="AC308" s="49"/>
    </row>
    <row r="309" spans="1:29" s="54" customFormat="1" ht="37.5" customHeight="1">
      <c r="A309" s="237">
        <f t="shared" si="25"/>
        <v>95</v>
      </c>
      <c r="B309" s="211" t="s">
        <v>3215</v>
      </c>
      <c r="C309" s="212">
        <v>1975</v>
      </c>
      <c r="D309" s="238"/>
      <c r="E309" s="238" t="s">
        <v>221</v>
      </c>
      <c r="F309" s="213">
        <v>5</v>
      </c>
      <c r="G309" s="213">
        <v>4</v>
      </c>
      <c r="H309" s="180">
        <v>3345</v>
      </c>
      <c r="I309" s="180">
        <v>3007.5</v>
      </c>
      <c r="J309" s="180">
        <v>3007.5</v>
      </c>
      <c r="K309" s="213">
        <v>178</v>
      </c>
      <c r="L309" s="165" t="s">
        <v>33</v>
      </c>
      <c r="M309" s="214">
        <v>3094262</v>
      </c>
      <c r="N309" s="214">
        <v>0</v>
      </c>
      <c r="O309" s="214">
        <v>0</v>
      </c>
      <c r="P309" s="214">
        <v>0</v>
      </c>
      <c r="Q309" s="214">
        <f t="shared" si="26"/>
        <v>3094262</v>
      </c>
      <c r="R309" s="214">
        <f t="shared" si="24"/>
        <v>1028.8485453034082</v>
      </c>
      <c r="S309" s="214">
        <v>5115.04</v>
      </c>
      <c r="T309" s="181" t="s">
        <v>270</v>
      </c>
      <c r="V309" s="50"/>
      <c r="X309" s="20"/>
      <c r="Y309" s="106"/>
      <c r="Z309" s="55"/>
      <c r="AA309" s="163"/>
      <c r="AB309" s="163"/>
      <c r="AC309" s="52"/>
    </row>
    <row r="310" spans="1:29" s="54" customFormat="1" ht="37.5" customHeight="1">
      <c r="A310" s="237">
        <f t="shared" si="25"/>
        <v>96</v>
      </c>
      <c r="B310" s="211" t="s">
        <v>3216</v>
      </c>
      <c r="C310" s="212">
        <v>1975</v>
      </c>
      <c r="D310" s="238"/>
      <c r="E310" s="238" t="s">
        <v>221</v>
      </c>
      <c r="F310" s="213">
        <v>5</v>
      </c>
      <c r="G310" s="213">
        <v>4</v>
      </c>
      <c r="H310" s="180">
        <v>4166</v>
      </c>
      <c r="I310" s="180">
        <v>3333.7</v>
      </c>
      <c r="J310" s="180">
        <v>3333.7</v>
      </c>
      <c r="K310" s="213">
        <v>176</v>
      </c>
      <c r="L310" s="165" t="s">
        <v>33</v>
      </c>
      <c r="M310" s="214">
        <v>2527963</v>
      </c>
      <c r="N310" s="214">
        <v>0</v>
      </c>
      <c r="O310" s="214">
        <v>0</v>
      </c>
      <c r="P310" s="214">
        <v>0</v>
      </c>
      <c r="Q310" s="214">
        <f t="shared" si="26"/>
        <v>2527963</v>
      </c>
      <c r="R310" s="214">
        <f t="shared" si="24"/>
        <v>758.30548639649646</v>
      </c>
      <c r="S310" s="214">
        <v>5115.04</v>
      </c>
      <c r="T310" s="181" t="s">
        <v>270</v>
      </c>
      <c r="V310" s="50"/>
      <c r="X310" s="20"/>
      <c r="Y310" s="106"/>
      <c r="Z310" s="55"/>
      <c r="AA310" s="163"/>
      <c r="AB310" s="163"/>
      <c r="AC310" s="52"/>
    </row>
    <row r="311" spans="1:29" s="54" customFormat="1" ht="37.5" customHeight="1">
      <c r="A311" s="237">
        <f t="shared" si="25"/>
        <v>97</v>
      </c>
      <c r="B311" s="211" t="s">
        <v>3217</v>
      </c>
      <c r="C311" s="212">
        <v>1988</v>
      </c>
      <c r="D311" s="238"/>
      <c r="E311" s="238" t="s">
        <v>221</v>
      </c>
      <c r="F311" s="213">
        <v>5</v>
      </c>
      <c r="G311" s="213">
        <v>4</v>
      </c>
      <c r="H311" s="180">
        <v>2789</v>
      </c>
      <c r="I311" s="180">
        <v>2789</v>
      </c>
      <c r="J311" s="180">
        <v>2789</v>
      </c>
      <c r="K311" s="213">
        <v>140</v>
      </c>
      <c r="L311" s="165" t="s">
        <v>33</v>
      </c>
      <c r="M311" s="214">
        <v>2170770</v>
      </c>
      <c r="N311" s="214">
        <v>0</v>
      </c>
      <c r="O311" s="214">
        <v>0</v>
      </c>
      <c r="P311" s="214">
        <v>0</v>
      </c>
      <c r="Q311" s="214">
        <f t="shared" si="26"/>
        <v>2170770</v>
      </c>
      <c r="R311" s="214">
        <f t="shared" si="24"/>
        <v>778.33273574757982</v>
      </c>
      <c r="S311" s="214">
        <v>5115.04</v>
      </c>
      <c r="T311" s="181" t="s">
        <v>270</v>
      </c>
      <c r="V311" s="50"/>
      <c r="X311" s="20"/>
      <c r="Y311" s="106"/>
      <c r="Z311" s="55"/>
      <c r="AA311" s="163"/>
      <c r="AB311" s="163"/>
      <c r="AC311" s="52"/>
    </row>
    <row r="312" spans="1:29" s="54" customFormat="1" ht="37.5" customHeight="1">
      <c r="A312" s="293">
        <f t="shared" si="25"/>
        <v>98</v>
      </c>
      <c r="B312" s="255" t="s">
        <v>3218</v>
      </c>
      <c r="C312" s="179">
        <v>1964</v>
      </c>
      <c r="D312" s="167"/>
      <c r="E312" s="167" t="s">
        <v>221</v>
      </c>
      <c r="F312" s="218">
        <v>5</v>
      </c>
      <c r="G312" s="218">
        <v>4</v>
      </c>
      <c r="H312" s="262">
        <v>3372</v>
      </c>
      <c r="I312" s="262">
        <v>3124.2</v>
      </c>
      <c r="J312" s="262">
        <v>2960.7</v>
      </c>
      <c r="K312" s="218">
        <v>180</v>
      </c>
      <c r="L312" s="109" t="s">
        <v>33</v>
      </c>
      <c r="M312" s="357">
        <v>2377179</v>
      </c>
      <c r="N312" s="276">
        <v>0</v>
      </c>
      <c r="O312" s="276">
        <v>0</v>
      </c>
      <c r="P312" s="276">
        <v>0</v>
      </c>
      <c r="Q312" s="276">
        <f t="shared" si="26"/>
        <v>2377179</v>
      </c>
      <c r="R312" s="276">
        <f t="shared" si="24"/>
        <v>760.89206836950268</v>
      </c>
      <c r="S312" s="276">
        <v>5115.04</v>
      </c>
      <c r="T312" s="294" t="s">
        <v>270</v>
      </c>
      <c r="V312" s="50"/>
      <c r="X312" s="20"/>
      <c r="Y312" s="106"/>
      <c r="Z312" s="55"/>
      <c r="AA312" s="163"/>
      <c r="AB312" s="163"/>
      <c r="AC312" s="52"/>
    </row>
    <row r="313" spans="1:29" s="54" customFormat="1" ht="37.5" customHeight="1">
      <c r="A313" s="293">
        <f t="shared" si="25"/>
        <v>99</v>
      </c>
      <c r="B313" s="255" t="s">
        <v>3219</v>
      </c>
      <c r="C313" s="179">
        <v>1964</v>
      </c>
      <c r="D313" s="167"/>
      <c r="E313" s="167" t="s">
        <v>221</v>
      </c>
      <c r="F313" s="218">
        <v>5</v>
      </c>
      <c r="G313" s="218">
        <v>4</v>
      </c>
      <c r="H313" s="262">
        <v>3413</v>
      </c>
      <c r="I313" s="262">
        <v>3145.4</v>
      </c>
      <c r="J313" s="262">
        <v>3042</v>
      </c>
      <c r="K313" s="218">
        <v>168</v>
      </c>
      <c r="L313" s="109" t="s">
        <v>33</v>
      </c>
      <c r="M313" s="357">
        <v>2359988</v>
      </c>
      <c r="N313" s="276">
        <v>0</v>
      </c>
      <c r="O313" s="276">
        <v>0</v>
      </c>
      <c r="P313" s="276">
        <v>0</v>
      </c>
      <c r="Q313" s="276">
        <f t="shared" si="26"/>
        <v>2359988</v>
      </c>
      <c r="R313" s="276">
        <f t="shared" si="24"/>
        <v>750.29821326381375</v>
      </c>
      <c r="S313" s="276">
        <v>5115.04</v>
      </c>
      <c r="T313" s="294" t="s">
        <v>270</v>
      </c>
      <c r="V313" s="50"/>
      <c r="X313" s="20"/>
      <c r="Y313" s="106"/>
      <c r="Z313" s="55"/>
      <c r="AA313" s="163"/>
      <c r="AB313" s="163"/>
      <c r="AC313" s="52"/>
    </row>
    <row r="314" spans="1:29" s="54" customFormat="1" ht="37.5" customHeight="1">
      <c r="A314" s="293">
        <f t="shared" si="25"/>
        <v>100</v>
      </c>
      <c r="B314" s="255" t="s">
        <v>3220</v>
      </c>
      <c r="C314" s="179">
        <v>1972</v>
      </c>
      <c r="D314" s="167"/>
      <c r="E314" s="167" t="s">
        <v>221</v>
      </c>
      <c r="F314" s="218">
        <v>5</v>
      </c>
      <c r="G314" s="218">
        <v>1</v>
      </c>
      <c r="H314" s="262">
        <v>3358</v>
      </c>
      <c r="I314" s="262">
        <v>3358</v>
      </c>
      <c r="J314" s="262">
        <v>3358</v>
      </c>
      <c r="K314" s="218">
        <v>278</v>
      </c>
      <c r="L314" s="109" t="s">
        <v>33</v>
      </c>
      <c r="M314" s="357">
        <v>2585919</v>
      </c>
      <c r="N314" s="276">
        <v>0</v>
      </c>
      <c r="O314" s="276">
        <v>0</v>
      </c>
      <c r="P314" s="276">
        <v>0</v>
      </c>
      <c r="Q314" s="276">
        <f>M314</f>
        <v>2585919</v>
      </c>
      <c r="R314" s="276">
        <f>M314/I314</f>
        <v>770.07712924359737</v>
      </c>
      <c r="S314" s="276">
        <v>5115.04</v>
      </c>
      <c r="T314" s="294" t="s">
        <v>270</v>
      </c>
      <c r="V314" s="50"/>
      <c r="X314" s="20"/>
      <c r="Y314" s="106"/>
      <c r="Z314" s="55"/>
      <c r="AA314" s="163"/>
      <c r="AB314" s="163"/>
      <c r="AC314" s="52"/>
    </row>
    <row r="315" spans="1:29" s="54" customFormat="1" ht="37.5" customHeight="1">
      <c r="A315" s="293">
        <f t="shared" si="25"/>
        <v>101</v>
      </c>
      <c r="B315" s="255" t="s">
        <v>3221</v>
      </c>
      <c r="C315" s="179">
        <v>1990</v>
      </c>
      <c r="D315" s="167"/>
      <c r="E315" s="167" t="s">
        <v>221</v>
      </c>
      <c r="F315" s="218">
        <v>5</v>
      </c>
      <c r="G315" s="218">
        <v>5</v>
      </c>
      <c r="H315" s="262">
        <v>3448</v>
      </c>
      <c r="I315" s="262">
        <v>3284.5</v>
      </c>
      <c r="J315" s="262">
        <v>2823.3</v>
      </c>
      <c r="K315" s="218">
        <v>187</v>
      </c>
      <c r="L315" s="109" t="s">
        <v>33</v>
      </c>
      <c r="M315" s="357">
        <v>2534348</v>
      </c>
      <c r="N315" s="276">
        <v>0</v>
      </c>
      <c r="O315" s="276">
        <v>0</v>
      </c>
      <c r="P315" s="276">
        <v>0</v>
      </c>
      <c r="Q315" s="276">
        <f>M315</f>
        <v>2534348</v>
      </c>
      <c r="R315" s="276">
        <f t="shared" ref="R315:R320" si="27">M315/I315</f>
        <v>771.60846399756429</v>
      </c>
      <c r="S315" s="276">
        <v>5115.04</v>
      </c>
      <c r="T315" s="294" t="s">
        <v>270</v>
      </c>
      <c r="V315" s="50"/>
      <c r="X315" s="20"/>
      <c r="Y315" s="106"/>
      <c r="Z315" s="55"/>
      <c r="AA315" s="163"/>
      <c r="AB315" s="163"/>
      <c r="AC315" s="52"/>
    </row>
    <row r="316" spans="1:29" s="154" customFormat="1" ht="37.5" customHeight="1">
      <c r="A316" s="293">
        <f t="shared" si="25"/>
        <v>102</v>
      </c>
      <c r="B316" s="258" t="s">
        <v>3978</v>
      </c>
      <c r="C316" s="104">
        <v>1989</v>
      </c>
      <c r="D316" s="166"/>
      <c r="E316" s="166" t="s">
        <v>221</v>
      </c>
      <c r="F316" s="68">
        <v>9</v>
      </c>
      <c r="G316" s="68">
        <v>2</v>
      </c>
      <c r="H316" s="66">
        <v>4501.7</v>
      </c>
      <c r="I316" s="66">
        <v>3886.2</v>
      </c>
      <c r="J316" s="66">
        <v>3495.8</v>
      </c>
      <c r="K316" s="68">
        <v>254</v>
      </c>
      <c r="L316" s="95" t="s">
        <v>219</v>
      </c>
      <c r="M316" s="357">
        <v>4106250</v>
      </c>
      <c r="N316" s="276">
        <v>0</v>
      </c>
      <c r="O316" s="276">
        <v>800000</v>
      </c>
      <c r="P316" s="276">
        <v>0</v>
      </c>
      <c r="Q316" s="198">
        <f t="shared" ref="Q316:Q326" si="28">M316-N316-O316-P316</f>
        <v>3306250</v>
      </c>
      <c r="R316" s="276">
        <f t="shared" si="27"/>
        <v>1056.6234367762854</v>
      </c>
      <c r="S316" s="74">
        <v>5115.04</v>
      </c>
      <c r="T316" s="182" t="s">
        <v>270</v>
      </c>
      <c r="V316" s="229"/>
      <c r="X316" s="20"/>
      <c r="Y316" s="106"/>
      <c r="Z316" s="124"/>
      <c r="AA316" s="163"/>
      <c r="AB316" s="163"/>
      <c r="AC316" s="247"/>
    </row>
    <row r="317" spans="1:29" s="154" customFormat="1" ht="37.5" customHeight="1">
      <c r="A317" s="293">
        <f t="shared" si="25"/>
        <v>103</v>
      </c>
      <c r="B317" s="258" t="s">
        <v>3979</v>
      </c>
      <c r="C317" s="104">
        <v>1988</v>
      </c>
      <c r="D317" s="166"/>
      <c r="E317" s="166" t="s">
        <v>221</v>
      </c>
      <c r="F317" s="68">
        <v>9</v>
      </c>
      <c r="G317" s="68">
        <v>2</v>
      </c>
      <c r="H317" s="66">
        <v>4058.6</v>
      </c>
      <c r="I317" s="66">
        <v>3668.6</v>
      </c>
      <c r="J317" s="66">
        <v>3593.5</v>
      </c>
      <c r="K317" s="68">
        <v>205</v>
      </c>
      <c r="L317" s="95" t="s">
        <v>219</v>
      </c>
      <c r="M317" s="357">
        <v>4106250</v>
      </c>
      <c r="N317" s="276">
        <v>0</v>
      </c>
      <c r="O317" s="276">
        <v>800000</v>
      </c>
      <c r="P317" s="276">
        <v>0</v>
      </c>
      <c r="Q317" s="198">
        <f t="shared" si="28"/>
        <v>3306250</v>
      </c>
      <c r="R317" s="276">
        <f t="shared" si="27"/>
        <v>1119.2961892820149</v>
      </c>
      <c r="S317" s="74">
        <v>5115.04</v>
      </c>
      <c r="T317" s="182" t="s">
        <v>270</v>
      </c>
      <c r="V317" s="229"/>
      <c r="X317" s="20"/>
      <c r="Y317" s="106"/>
      <c r="Z317" s="124"/>
      <c r="AA317" s="163"/>
      <c r="AB317" s="163"/>
      <c r="AC317" s="247"/>
    </row>
    <row r="318" spans="1:29" s="154" customFormat="1" ht="37.5" customHeight="1">
      <c r="A318" s="77">
        <f t="shared" ref="A318:A327" si="29">A317+1</f>
        <v>104</v>
      </c>
      <c r="B318" s="258" t="s">
        <v>3980</v>
      </c>
      <c r="C318" s="104">
        <v>1988</v>
      </c>
      <c r="D318" s="166"/>
      <c r="E318" s="166" t="s">
        <v>221</v>
      </c>
      <c r="F318" s="68">
        <v>9</v>
      </c>
      <c r="G318" s="68">
        <v>3</v>
      </c>
      <c r="H318" s="66">
        <v>6309</v>
      </c>
      <c r="I318" s="66">
        <v>5792.4</v>
      </c>
      <c r="J318" s="66">
        <v>5615.7</v>
      </c>
      <c r="K318" s="68">
        <v>289</v>
      </c>
      <c r="L318" s="95" t="s">
        <v>219</v>
      </c>
      <c r="M318" s="357">
        <v>6127500</v>
      </c>
      <c r="N318" s="276">
        <v>0</v>
      </c>
      <c r="O318" s="276">
        <v>1200000</v>
      </c>
      <c r="P318" s="276">
        <v>0</v>
      </c>
      <c r="Q318" s="198">
        <f t="shared" si="28"/>
        <v>4927500</v>
      </c>
      <c r="R318" s="276">
        <f t="shared" si="27"/>
        <v>1057.8516677025068</v>
      </c>
      <c r="S318" s="74">
        <v>5115.04</v>
      </c>
      <c r="T318" s="182" t="s">
        <v>270</v>
      </c>
      <c r="V318" s="229"/>
      <c r="X318" s="20"/>
      <c r="Y318" s="106"/>
      <c r="Z318" s="124"/>
      <c r="AA318" s="163"/>
      <c r="AB318" s="163"/>
      <c r="AC318" s="247"/>
    </row>
    <row r="319" spans="1:29" s="154" customFormat="1" ht="37.5" customHeight="1">
      <c r="A319" s="77">
        <f t="shared" si="29"/>
        <v>105</v>
      </c>
      <c r="B319" s="258" t="s">
        <v>3981</v>
      </c>
      <c r="C319" s="104">
        <v>1988</v>
      </c>
      <c r="D319" s="166"/>
      <c r="E319" s="166" t="s">
        <v>221</v>
      </c>
      <c r="F319" s="68">
        <v>9</v>
      </c>
      <c r="G319" s="68">
        <v>2</v>
      </c>
      <c r="H319" s="66">
        <v>4272</v>
      </c>
      <c r="I319" s="66">
        <v>3673</v>
      </c>
      <c r="J319" s="66">
        <v>3545.3</v>
      </c>
      <c r="K319" s="68">
        <v>197</v>
      </c>
      <c r="L319" s="95" t="s">
        <v>219</v>
      </c>
      <c r="M319" s="357">
        <v>4106250</v>
      </c>
      <c r="N319" s="276">
        <v>0</v>
      </c>
      <c r="O319" s="276">
        <v>800000</v>
      </c>
      <c r="P319" s="276">
        <v>0</v>
      </c>
      <c r="Q319" s="198">
        <f t="shared" si="28"/>
        <v>3306250</v>
      </c>
      <c r="R319" s="276">
        <f t="shared" si="27"/>
        <v>1117.9553498502587</v>
      </c>
      <c r="S319" s="74">
        <v>5115.04</v>
      </c>
      <c r="T319" s="182" t="s">
        <v>270</v>
      </c>
      <c r="V319" s="229"/>
      <c r="X319" s="20"/>
      <c r="Y319" s="106"/>
      <c r="Z319" s="124"/>
      <c r="AA319" s="163"/>
      <c r="AB319" s="163"/>
      <c r="AC319" s="247"/>
    </row>
    <row r="320" spans="1:29" s="154" customFormat="1" ht="37.5" customHeight="1">
      <c r="A320" s="77">
        <f t="shared" si="29"/>
        <v>106</v>
      </c>
      <c r="B320" s="258" t="s">
        <v>3560</v>
      </c>
      <c r="C320" s="104">
        <v>1988</v>
      </c>
      <c r="D320" s="166"/>
      <c r="E320" s="166" t="s">
        <v>221</v>
      </c>
      <c r="F320" s="68">
        <v>9</v>
      </c>
      <c r="G320" s="68">
        <v>3</v>
      </c>
      <c r="H320" s="66">
        <v>6583.7</v>
      </c>
      <c r="I320" s="66">
        <v>5729.7</v>
      </c>
      <c r="J320" s="66">
        <v>5511.1</v>
      </c>
      <c r="K320" s="68">
        <v>274</v>
      </c>
      <c r="L320" s="95" t="s">
        <v>219</v>
      </c>
      <c r="M320" s="357">
        <v>6127500</v>
      </c>
      <c r="N320" s="276">
        <v>0</v>
      </c>
      <c r="O320" s="276">
        <v>1200000</v>
      </c>
      <c r="P320" s="276">
        <v>0</v>
      </c>
      <c r="Q320" s="198">
        <f t="shared" si="28"/>
        <v>4927500</v>
      </c>
      <c r="R320" s="276">
        <f t="shared" si="27"/>
        <v>1069.4277187287294</v>
      </c>
      <c r="S320" s="74">
        <v>5115.04</v>
      </c>
      <c r="T320" s="182" t="s">
        <v>270</v>
      </c>
      <c r="V320" s="229"/>
      <c r="X320" s="20"/>
      <c r="Y320" s="106"/>
      <c r="Z320" s="124"/>
      <c r="AA320" s="163"/>
      <c r="AB320" s="163"/>
      <c r="AC320" s="247"/>
    </row>
    <row r="321" spans="1:29" s="154" customFormat="1" ht="37.5" customHeight="1">
      <c r="A321" s="77">
        <f t="shared" si="29"/>
        <v>107</v>
      </c>
      <c r="B321" s="258" t="s">
        <v>3982</v>
      </c>
      <c r="C321" s="104">
        <v>1988</v>
      </c>
      <c r="D321" s="166"/>
      <c r="E321" s="166" t="s">
        <v>221</v>
      </c>
      <c r="F321" s="68">
        <v>9</v>
      </c>
      <c r="G321" s="68">
        <v>2</v>
      </c>
      <c r="H321" s="66">
        <v>4831.3999999999996</v>
      </c>
      <c r="I321" s="66">
        <v>4180.3999999999996</v>
      </c>
      <c r="J321" s="66">
        <v>3974.6</v>
      </c>
      <c r="K321" s="68">
        <v>218</v>
      </c>
      <c r="L321" s="95" t="s">
        <v>219</v>
      </c>
      <c r="M321" s="357">
        <v>4106250</v>
      </c>
      <c r="N321" s="276">
        <v>0</v>
      </c>
      <c r="O321" s="276">
        <v>800000</v>
      </c>
      <c r="P321" s="276">
        <v>0</v>
      </c>
      <c r="Q321" s="198">
        <f t="shared" si="28"/>
        <v>3306250</v>
      </c>
      <c r="R321" s="276">
        <f t="shared" ref="R321:R327" si="30">M321/I321</f>
        <v>982.26246292220844</v>
      </c>
      <c r="S321" s="74">
        <v>5115.04</v>
      </c>
      <c r="T321" s="182" t="s">
        <v>270</v>
      </c>
      <c r="V321" s="229"/>
      <c r="X321" s="20"/>
      <c r="Y321" s="106"/>
      <c r="Z321" s="124"/>
      <c r="AA321" s="163"/>
      <c r="AB321" s="163"/>
      <c r="AC321" s="247"/>
    </row>
    <row r="322" spans="1:29" s="154" customFormat="1" ht="37.5" customHeight="1">
      <c r="A322" s="77">
        <f t="shared" si="29"/>
        <v>108</v>
      </c>
      <c r="B322" s="258" t="s">
        <v>3983</v>
      </c>
      <c r="C322" s="104">
        <v>1989</v>
      </c>
      <c r="D322" s="166"/>
      <c r="E322" s="166" t="s">
        <v>221</v>
      </c>
      <c r="F322" s="68">
        <v>9</v>
      </c>
      <c r="G322" s="68">
        <v>2</v>
      </c>
      <c r="H322" s="66">
        <v>5104.5</v>
      </c>
      <c r="I322" s="66">
        <v>4161.1000000000004</v>
      </c>
      <c r="J322" s="66">
        <v>3709.6</v>
      </c>
      <c r="K322" s="68">
        <v>218</v>
      </c>
      <c r="L322" s="95" t="s">
        <v>219</v>
      </c>
      <c r="M322" s="357">
        <v>4106250</v>
      </c>
      <c r="N322" s="276">
        <v>0</v>
      </c>
      <c r="O322" s="276">
        <v>800000</v>
      </c>
      <c r="P322" s="276">
        <v>0</v>
      </c>
      <c r="Q322" s="198">
        <f t="shared" si="28"/>
        <v>3306250</v>
      </c>
      <c r="R322" s="276">
        <f t="shared" si="30"/>
        <v>986.81838936819577</v>
      </c>
      <c r="S322" s="74">
        <v>5115.04</v>
      </c>
      <c r="T322" s="182" t="s">
        <v>270</v>
      </c>
      <c r="V322" s="229"/>
      <c r="X322" s="20"/>
      <c r="Y322" s="106"/>
      <c r="Z322" s="124"/>
      <c r="AA322" s="163"/>
      <c r="AB322" s="163"/>
      <c r="AC322" s="247"/>
    </row>
    <row r="323" spans="1:29" s="154" customFormat="1" ht="37.5" customHeight="1">
      <c r="A323" s="77">
        <f t="shared" si="29"/>
        <v>109</v>
      </c>
      <c r="B323" s="258" t="s">
        <v>3984</v>
      </c>
      <c r="C323" s="104">
        <v>1988</v>
      </c>
      <c r="D323" s="166"/>
      <c r="E323" s="166" t="s">
        <v>221</v>
      </c>
      <c r="F323" s="68">
        <v>9</v>
      </c>
      <c r="G323" s="68">
        <v>3</v>
      </c>
      <c r="H323" s="66">
        <v>6842.7000000000007</v>
      </c>
      <c r="I323" s="66">
        <v>5848.1</v>
      </c>
      <c r="J323" s="66">
        <v>5545.3</v>
      </c>
      <c r="K323" s="68">
        <v>305</v>
      </c>
      <c r="L323" s="95" t="s">
        <v>219</v>
      </c>
      <c r="M323" s="357">
        <v>6127500</v>
      </c>
      <c r="N323" s="276">
        <v>0</v>
      </c>
      <c r="O323" s="276">
        <v>1200000</v>
      </c>
      <c r="P323" s="276">
        <v>0</v>
      </c>
      <c r="Q323" s="198">
        <f t="shared" si="28"/>
        <v>4927500</v>
      </c>
      <c r="R323" s="276">
        <f t="shared" si="30"/>
        <v>1047.7762008173595</v>
      </c>
      <c r="S323" s="74">
        <v>5115.04</v>
      </c>
      <c r="T323" s="182" t="s">
        <v>270</v>
      </c>
      <c r="V323" s="229"/>
      <c r="X323" s="20"/>
      <c r="Y323" s="106"/>
      <c r="Z323" s="124"/>
      <c r="AA323" s="163"/>
      <c r="AB323" s="163"/>
      <c r="AC323" s="247"/>
    </row>
    <row r="324" spans="1:29" s="154" customFormat="1" ht="37.5" customHeight="1">
      <c r="A324" s="77">
        <f t="shared" si="29"/>
        <v>110</v>
      </c>
      <c r="B324" s="258" t="s">
        <v>3985</v>
      </c>
      <c r="C324" s="104">
        <v>1987</v>
      </c>
      <c r="D324" s="166"/>
      <c r="E324" s="166" t="s">
        <v>221</v>
      </c>
      <c r="F324" s="68">
        <v>9</v>
      </c>
      <c r="G324" s="68">
        <v>1</v>
      </c>
      <c r="H324" s="66">
        <v>2747.7999999999997</v>
      </c>
      <c r="I324" s="66">
        <v>2525.6999999999998</v>
      </c>
      <c r="J324" s="66">
        <v>1940.1</v>
      </c>
      <c r="K324" s="68">
        <v>102</v>
      </c>
      <c r="L324" s="95" t="s">
        <v>219</v>
      </c>
      <c r="M324" s="357">
        <v>2085000</v>
      </c>
      <c r="N324" s="276">
        <v>0</v>
      </c>
      <c r="O324" s="276">
        <v>400000</v>
      </c>
      <c r="P324" s="276">
        <v>0</v>
      </c>
      <c r="Q324" s="198">
        <f t="shared" si="28"/>
        <v>1685000</v>
      </c>
      <c r="R324" s="276">
        <f t="shared" si="30"/>
        <v>825.51371896899877</v>
      </c>
      <c r="S324" s="74">
        <v>5115.04</v>
      </c>
      <c r="T324" s="182" t="s">
        <v>270</v>
      </c>
      <c r="V324" s="229"/>
      <c r="X324" s="20"/>
      <c r="Y324" s="106"/>
      <c r="Z324" s="124"/>
      <c r="AA324" s="163"/>
      <c r="AB324" s="163"/>
      <c r="AC324" s="247"/>
    </row>
    <row r="325" spans="1:29" s="154" customFormat="1" ht="37.5" customHeight="1">
      <c r="A325" s="77">
        <f t="shared" si="29"/>
        <v>111</v>
      </c>
      <c r="B325" s="258" t="s">
        <v>3986</v>
      </c>
      <c r="C325" s="104">
        <v>1985</v>
      </c>
      <c r="D325" s="166"/>
      <c r="E325" s="166" t="s">
        <v>221</v>
      </c>
      <c r="F325" s="68">
        <v>9</v>
      </c>
      <c r="G325" s="68">
        <v>1</v>
      </c>
      <c r="H325" s="66">
        <v>2304.7000000000003</v>
      </c>
      <c r="I325" s="66">
        <v>2004.9</v>
      </c>
      <c r="J325" s="66">
        <v>1855</v>
      </c>
      <c r="K325" s="68">
        <v>77</v>
      </c>
      <c r="L325" s="95" t="s">
        <v>219</v>
      </c>
      <c r="M325" s="357">
        <v>2085000</v>
      </c>
      <c r="N325" s="276">
        <v>0</v>
      </c>
      <c r="O325" s="276">
        <v>400000</v>
      </c>
      <c r="P325" s="276">
        <v>0</v>
      </c>
      <c r="Q325" s="198">
        <f t="shared" si="28"/>
        <v>1685000</v>
      </c>
      <c r="R325" s="276">
        <f t="shared" si="30"/>
        <v>1039.9521173125841</v>
      </c>
      <c r="S325" s="74">
        <v>5115.04</v>
      </c>
      <c r="T325" s="182" t="s">
        <v>270</v>
      </c>
      <c r="V325" s="229"/>
      <c r="X325" s="20"/>
      <c r="Y325" s="106"/>
      <c r="Z325" s="124"/>
      <c r="AA325" s="163"/>
      <c r="AB325" s="163"/>
      <c r="AC325" s="247"/>
    </row>
    <row r="326" spans="1:29" s="154" customFormat="1" ht="37.5" customHeight="1">
      <c r="A326" s="77">
        <f t="shared" si="29"/>
        <v>112</v>
      </c>
      <c r="B326" s="253" t="s">
        <v>3987</v>
      </c>
      <c r="C326" s="263">
        <v>1990</v>
      </c>
      <c r="D326" s="146"/>
      <c r="E326" s="146" t="s">
        <v>217</v>
      </c>
      <c r="F326" s="266">
        <v>9</v>
      </c>
      <c r="G326" s="266">
        <v>2</v>
      </c>
      <c r="H326" s="265">
        <v>3636.4</v>
      </c>
      <c r="I326" s="265">
        <v>2013.7</v>
      </c>
      <c r="J326" s="265">
        <v>1911</v>
      </c>
      <c r="K326" s="266">
        <v>213</v>
      </c>
      <c r="L326" s="110" t="s">
        <v>219</v>
      </c>
      <c r="M326" s="357">
        <v>4106250</v>
      </c>
      <c r="N326" s="276">
        <v>0</v>
      </c>
      <c r="O326" s="276">
        <v>800000</v>
      </c>
      <c r="P326" s="276">
        <v>0</v>
      </c>
      <c r="Q326" s="198">
        <f t="shared" si="28"/>
        <v>3306250</v>
      </c>
      <c r="R326" s="199">
        <f>M326/I326</f>
        <v>2039.1567760838257</v>
      </c>
      <c r="S326" s="199">
        <v>5115.04</v>
      </c>
      <c r="T326" s="267" t="s">
        <v>270</v>
      </c>
      <c r="V326" s="229"/>
      <c r="X326" s="20"/>
      <c r="Y326" s="106"/>
      <c r="Z326" s="124"/>
      <c r="AA326" s="163"/>
      <c r="AB326" s="163"/>
      <c r="AC326" s="247"/>
    </row>
    <row r="327" spans="1:29" s="154" customFormat="1" ht="37.5" customHeight="1">
      <c r="A327" s="77">
        <f t="shared" si="29"/>
        <v>113</v>
      </c>
      <c r="B327" s="253" t="s">
        <v>4287</v>
      </c>
      <c r="C327" s="263">
        <v>1996</v>
      </c>
      <c r="D327" s="146"/>
      <c r="E327" s="146" t="s">
        <v>221</v>
      </c>
      <c r="F327" s="266">
        <v>5</v>
      </c>
      <c r="G327" s="266">
        <v>5</v>
      </c>
      <c r="H327" s="265">
        <v>7255</v>
      </c>
      <c r="I327" s="265">
        <v>6348</v>
      </c>
      <c r="J327" s="265">
        <v>5819.6</v>
      </c>
      <c r="K327" s="266">
        <v>231</v>
      </c>
      <c r="L327" s="110" t="s">
        <v>33</v>
      </c>
      <c r="M327" s="199">
        <v>4334800</v>
      </c>
      <c r="N327" s="199">
        <v>0</v>
      </c>
      <c r="O327" s="199">
        <v>0</v>
      </c>
      <c r="P327" s="199">
        <v>0</v>
      </c>
      <c r="Q327" s="199">
        <f>M327-N327-O327-P327</f>
        <v>4334800</v>
      </c>
      <c r="R327" s="199">
        <f t="shared" si="30"/>
        <v>682.86074354127288</v>
      </c>
      <c r="S327" s="199">
        <v>5115.04</v>
      </c>
      <c r="T327" s="267" t="s">
        <v>270</v>
      </c>
      <c r="V327" s="229"/>
      <c r="X327" s="20"/>
      <c r="Y327" s="106"/>
      <c r="Z327" s="124"/>
      <c r="AA327" s="163"/>
      <c r="AB327" s="163"/>
      <c r="AC327" s="247"/>
    </row>
    <row r="328" spans="1:29" s="54" customFormat="1" ht="41.25" customHeight="1">
      <c r="A328" s="1306" t="s">
        <v>146</v>
      </c>
      <c r="B328" s="1306"/>
      <c r="C328" s="1306"/>
      <c r="D328" s="1306"/>
      <c r="E328" s="201" t="s">
        <v>28</v>
      </c>
      <c r="F328" s="159" t="s">
        <v>28</v>
      </c>
      <c r="G328" s="159" t="s">
        <v>28</v>
      </c>
      <c r="H328" s="161">
        <f>SUM(H215:H327)</f>
        <v>473004.7</v>
      </c>
      <c r="I328" s="161">
        <f>SUM(I215:I327)</f>
        <v>408692.73000000021</v>
      </c>
      <c r="J328" s="161">
        <f>SUM(J215:J327)</f>
        <v>386440.82999999978</v>
      </c>
      <c r="K328" s="159">
        <f>SUM(K215:K327)</f>
        <v>20981</v>
      </c>
      <c r="L328" s="151" t="s">
        <v>28</v>
      </c>
      <c r="M328" s="196">
        <v>354753538</v>
      </c>
      <c r="N328" s="196">
        <f>SUM(N215:N327)</f>
        <v>0</v>
      </c>
      <c r="O328" s="196">
        <f>SUM(O215:O327)</f>
        <v>23200000</v>
      </c>
      <c r="P328" s="196">
        <f>SUM(P215:P327)</f>
        <v>0</v>
      </c>
      <c r="Q328" s="196">
        <f>SUM(Q215:Q327)</f>
        <v>331553538</v>
      </c>
      <c r="R328" s="196">
        <f>M328/I328</f>
        <v>868.02018230174986</v>
      </c>
      <c r="S328" s="196">
        <v>5115.04</v>
      </c>
      <c r="T328" s="162" t="s">
        <v>270</v>
      </c>
      <c r="U328" s="53"/>
      <c r="V328" s="53"/>
      <c r="W328" s="53"/>
      <c r="X328" s="20"/>
      <c r="Z328" s="49"/>
      <c r="AC328" s="52"/>
    </row>
    <row r="329" spans="1:29" s="12" customFormat="1" ht="39.75" customHeight="1">
      <c r="A329" s="1318" t="s">
        <v>90</v>
      </c>
      <c r="B329" s="1319"/>
      <c r="C329" s="1319"/>
      <c r="D329" s="1319"/>
      <c r="E329" s="1319"/>
      <c r="F329" s="1319"/>
      <c r="G329" s="1319"/>
      <c r="H329" s="1319"/>
      <c r="I329" s="1319"/>
      <c r="J329" s="1319"/>
      <c r="K329" s="1319"/>
      <c r="L329" s="1319"/>
      <c r="M329" s="1319"/>
      <c r="N329" s="1319"/>
      <c r="O329" s="1319"/>
      <c r="P329" s="1319"/>
      <c r="Q329" s="1319"/>
      <c r="R329" s="1319"/>
      <c r="S329" s="1319"/>
      <c r="T329" s="1320"/>
      <c r="V329" s="13"/>
      <c r="W329" s="13"/>
      <c r="X329" s="20"/>
      <c r="Z329" s="62"/>
      <c r="AC329" s="63"/>
    </row>
    <row r="330" spans="1:29" s="59" customFormat="1" ht="41.25" customHeight="1">
      <c r="A330" s="1305" t="s">
        <v>145</v>
      </c>
      <c r="B330" s="1305"/>
      <c r="C330" s="1305"/>
      <c r="D330" s="1305"/>
      <c r="E330" s="1305"/>
      <c r="F330" s="1305"/>
      <c r="G330" s="1305"/>
      <c r="H330" s="1305"/>
      <c r="I330" s="1305"/>
      <c r="J330" s="1305"/>
      <c r="K330" s="1305"/>
      <c r="L330" s="1305"/>
      <c r="M330" s="1305"/>
      <c r="N330" s="1305"/>
      <c r="O330" s="1305"/>
      <c r="P330" s="1305"/>
      <c r="Q330" s="1305"/>
      <c r="R330" s="1305"/>
      <c r="S330" s="1305"/>
      <c r="T330" s="1305"/>
      <c r="V330" s="57"/>
      <c r="X330" s="20"/>
      <c r="Z330" s="56"/>
      <c r="AC330" s="33"/>
    </row>
    <row r="331" spans="1:29" s="59" customFormat="1" ht="37.5" customHeight="1">
      <c r="A331" s="293">
        <v>1</v>
      </c>
      <c r="B331" s="417" t="s">
        <v>3549</v>
      </c>
      <c r="C331" s="408">
        <v>1974</v>
      </c>
      <c r="D331" s="408"/>
      <c r="E331" s="409" t="s">
        <v>221</v>
      </c>
      <c r="F331" s="410">
        <v>5</v>
      </c>
      <c r="G331" s="410">
        <v>6</v>
      </c>
      <c r="H331" s="411">
        <v>4966</v>
      </c>
      <c r="I331" s="411">
        <v>4547.5</v>
      </c>
      <c r="J331" s="411">
        <v>4410.2</v>
      </c>
      <c r="K331" s="410">
        <v>241</v>
      </c>
      <c r="L331" s="293" t="s">
        <v>33</v>
      </c>
      <c r="M331" s="412">
        <v>3429691</v>
      </c>
      <c r="N331" s="395">
        <v>0</v>
      </c>
      <c r="O331" s="395">
        <v>0</v>
      </c>
      <c r="P331" s="395">
        <v>0</v>
      </c>
      <c r="Q331" s="208">
        <f>M331</f>
        <v>3429691</v>
      </c>
      <c r="R331" s="276">
        <f t="shared" ref="R331:R349" si="31">M331/I331</f>
        <v>754.19263331500827</v>
      </c>
      <c r="S331" s="276">
        <v>5115.04</v>
      </c>
      <c r="T331" s="294" t="s">
        <v>358</v>
      </c>
      <c r="X331" s="20"/>
      <c r="Y331" s="106"/>
      <c r="Z331" s="60"/>
      <c r="AA331" s="163"/>
      <c r="AB331" s="163"/>
      <c r="AC331" s="33"/>
    </row>
    <row r="332" spans="1:29" s="59" customFormat="1" ht="37.5" customHeight="1">
      <c r="A332" s="293">
        <f>A331+1</f>
        <v>2</v>
      </c>
      <c r="B332" s="417" t="s">
        <v>2160</v>
      </c>
      <c r="C332" s="408">
        <v>1987</v>
      </c>
      <c r="D332" s="418"/>
      <c r="E332" s="419" t="s">
        <v>221</v>
      </c>
      <c r="F332" s="410">
        <v>12</v>
      </c>
      <c r="G332" s="410">
        <v>1</v>
      </c>
      <c r="H332" s="411">
        <v>4520</v>
      </c>
      <c r="I332" s="411">
        <v>3688.5</v>
      </c>
      <c r="J332" s="411">
        <v>3688.5</v>
      </c>
      <c r="K332" s="410">
        <v>206</v>
      </c>
      <c r="L332" s="293" t="s">
        <v>30</v>
      </c>
      <c r="M332" s="412">
        <v>2129728</v>
      </c>
      <c r="N332" s="395">
        <v>0</v>
      </c>
      <c r="O332" s="395">
        <v>0</v>
      </c>
      <c r="P332" s="395">
        <v>0</v>
      </c>
      <c r="Q332" s="208">
        <f t="shared" ref="Q332:Q349" si="32">M332</f>
        <v>2129728</v>
      </c>
      <c r="R332" s="276">
        <f t="shared" si="31"/>
        <v>577.39677375626945</v>
      </c>
      <c r="S332" s="276">
        <v>5115.04</v>
      </c>
      <c r="T332" s="294" t="s">
        <v>358</v>
      </c>
      <c r="X332" s="20"/>
      <c r="Y332" s="106"/>
      <c r="Z332" s="60"/>
      <c r="AA332" s="163"/>
      <c r="AB332" s="163"/>
      <c r="AC332" s="33"/>
    </row>
    <row r="333" spans="1:29" s="59" customFormat="1" ht="37.5" customHeight="1">
      <c r="A333" s="293">
        <f t="shared" ref="A333:A358" si="33">A332+1</f>
        <v>3</v>
      </c>
      <c r="B333" s="417" t="s">
        <v>3550</v>
      </c>
      <c r="C333" s="408">
        <v>1969</v>
      </c>
      <c r="D333" s="409"/>
      <c r="E333" s="409" t="s">
        <v>221</v>
      </c>
      <c r="F333" s="410">
        <v>9</v>
      </c>
      <c r="G333" s="410">
        <v>6</v>
      </c>
      <c r="H333" s="411">
        <v>17204</v>
      </c>
      <c r="I333" s="411">
        <v>15343</v>
      </c>
      <c r="J333" s="411">
        <v>12367.8</v>
      </c>
      <c r="K333" s="410">
        <v>553</v>
      </c>
      <c r="L333" s="293" t="s">
        <v>33</v>
      </c>
      <c r="M333" s="412">
        <v>8769683</v>
      </c>
      <c r="N333" s="395">
        <v>0</v>
      </c>
      <c r="O333" s="395">
        <v>0</v>
      </c>
      <c r="P333" s="395">
        <v>0</v>
      </c>
      <c r="Q333" s="208">
        <f t="shared" si="32"/>
        <v>8769683</v>
      </c>
      <c r="R333" s="276">
        <f t="shared" si="31"/>
        <v>571.57550674574725</v>
      </c>
      <c r="S333" s="276">
        <v>5115.04</v>
      </c>
      <c r="T333" s="294" t="s">
        <v>358</v>
      </c>
      <c r="X333" s="20"/>
      <c r="Y333" s="106"/>
      <c r="Z333" s="60"/>
      <c r="AA333" s="163"/>
      <c r="AB333" s="163"/>
      <c r="AC333" s="33"/>
    </row>
    <row r="334" spans="1:29" s="59" customFormat="1" ht="37.5" customHeight="1">
      <c r="A334" s="293">
        <f t="shared" si="33"/>
        <v>4</v>
      </c>
      <c r="B334" s="417" t="s">
        <v>3551</v>
      </c>
      <c r="C334" s="408">
        <v>1996</v>
      </c>
      <c r="D334" s="409"/>
      <c r="E334" s="409" t="s">
        <v>217</v>
      </c>
      <c r="F334" s="410">
        <v>9</v>
      </c>
      <c r="G334" s="410">
        <v>2</v>
      </c>
      <c r="H334" s="411">
        <v>4791</v>
      </c>
      <c r="I334" s="411">
        <v>4185.8999999999996</v>
      </c>
      <c r="J334" s="411">
        <v>4084.8</v>
      </c>
      <c r="K334" s="410">
        <v>235</v>
      </c>
      <c r="L334" s="293" t="s">
        <v>226</v>
      </c>
      <c r="M334" s="412">
        <v>9913981</v>
      </c>
      <c r="N334" s="395">
        <v>0</v>
      </c>
      <c r="O334" s="395">
        <v>0</v>
      </c>
      <c r="P334" s="395">
        <v>0</v>
      </c>
      <c r="Q334" s="208">
        <f t="shared" si="32"/>
        <v>9913981</v>
      </c>
      <c r="R334" s="276">
        <f t="shared" si="31"/>
        <v>2368.4228003535682</v>
      </c>
      <c r="S334" s="276">
        <v>5115.04</v>
      </c>
      <c r="T334" s="294" t="s">
        <v>358</v>
      </c>
      <c r="X334" s="20"/>
      <c r="Y334" s="106"/>
      <c r="Z334" s="60"/>
      <c r="AA334" s="163"/>
      <c r="AB334" s="163"/>
      <c r="AC334" s="33"/>
    </row>
    <row r="335" spans="1:29" s="59" customFormat="1" ht="37.5" customHeight="1">
      <c r="A335" s="293">
        <v>5</v>
      </c>
      <c r="B335" s="417" t="s">
        <v>3552</v>
      </c>
      <c r="C335" s="408">
        <v>1994</v>
      </c>
      <c r="D335" s="409"/>
      <c r="E335" s="409" t="s">
        <v>217</v>
      </c>
      <c r="F335" s="410">
        <v>9</v>
      </c>
      <c r="G335" s="410">
        <v>1</v>
      </c>
      <c r="H335" s="411">
        <v>2468</v>
      </c>
      <c r="I335" s="411">
        <v>2037.9</v>
      </c>
      <c r="J335" s="411">
        <v>1810.5</v>
      </c>
      <c r="K335" s="410">
        <v>105</v>
      </c>
      <c r="L335" s="293" t="s">
        <v>226</v>
      </c>
      <c r="M335" s="412">
        <v>5271922</v>
      </c>
      <c r="N335" s="395">
        <v>0</v>
      </c>
      <c r="O335" s="395">
        <v>0</v>
      </c>
      <c r="P335" s="395">
        <v>0</v>
      </c>
      <c r="Q335" s="208">
        <f t="shared" si="32"/>
        <v>5271922</v>
      </c>
      <c r="R335" s="276">
        <f t="shared" si="31"/>
        <v>2586.9385151381321</v>
      </c>
      <c r="S335" s="276">
        <v>5115.04</v>
      </c>
      <c r="T335" s="294" t="s">
        <v>358</v>
      </c>
      <c r="X335" s="20"/>
      <c r="Y335" s="106"/>
      <c r="Z335" s="60"/>
      <c r="AA335" s="163"/>
      <c r="AB335" s="163"/>
      <c r="AC335" s="33"/>
    </row>
    <row r="336" spans="1:29" s="59" customFormat="1" ht="37.5" customHeight="1">
      <c r="A336" s="293">
        <v>6</v>
      </c>
      <c r="B336" s="417" t="s">
        <v>3553</v>
      </c>
      <c r="C336" s="408">
        <v>1962</v>
      </c>
      <c r="D336" s="409"/>
      <c r="E336" s="409" t="s">
        <v>221</v>
      </c>
      <c r="F336" s="410">
        <v>5</v>
      </c>
      <c r="G336" s="410">
        <v>4</v>
      </c>
      <c r="H336" s="411">
        <v>3949</v>
      </c>
      <c r="I336" s="411">
        <v>3158.5</v>
      </c>
      <c r="J336" s="411">
        <v>2999.9</v>
      </c>
      <c r="K336" s="410">
        <v>174</v>
      </c>
      <c r="L336" s="293" t="s">
        <v>33</v>
      </c>
      <c r="M336" s="412">
        <v>3830114</v>
      </c>
      <c r="N336" s="395">
        <v>0</v>
      </c>
      <c r="O336" s="395">
        <v>0</v>
      </c>
      <c r="P336" s="395">
        <v>0</v>
      </c>
      <c r="Q336" s="208">
        <f t="shared" si="32"/>
        <v>3830114</v>
      </c>
      <c r="R336" s="276">
        <f t="shared" si="31"/>
        <v>1212.6370112395125</v>
      </c>
      <c r="S336" s="276">
        <v>5115.04</v>
      </c>
      <c r="T336" s="294" t="s">
        <v>358</v>
      </c>
      <c r="X336" s="20"/>
      <c r="Y336" s="106"/>
      <c r="Z336" s="60"/>
      <c r="AA336" s="163"/>
      <c r="AB336" s="163"/>
      <c r="AC336" s="33"/>
    </row>
    <row r="337" spans="1:29" s="59" customFormat="1" ht="37.5" customHeight="1">
      <c r="A337" s="293">
        <f t="shared" si="33"/>
        <v>7</v>
      </c>
      <c r="B337" s="417" t="s">
        <v>3554</v>
      </c>
      <c r="C337" s="408">
        <v>1994</v>
      </c>
      <c r="D337" s="409"/>
      <c r="E337" s="409" t="s">
        <v>221</v>
      </c>
      <c r="F337" s="410">
        <v>5</v>
      </c>
      <c r="G337" s="410">
        <v>2</v>
      </c>
      <c r="H337" s="411">
        <v>1575</v>
      </c>
      <c r="I337" s="411">
        <v>1372.5</v>
      </c>
      <c r="J337" s="411">
        <v>1372.5</v>
      </c>
      <c r="K337" s="410">
        <v>66</v>
      </c>
      <c r="L337" s="404" t="s">
        <v>226</v>
      </c>
      <c r="M337" s="412">
        <v>3305403</v>
      </c>
      <c r="N337" s="395">
        <v>0</v>
      </c>
      <c r="O337" s="395">
        <v>0</v>
      </c>
      <c r="P337" s="395">
        <v>0</v>
      </c>
      <c r="Q337" s="208">
        <f t="shared" si="32"/>
        <v>3305403</v>
      </c>
      <c r="R337" s="276">
        <f t="shared" si="31"/>
        <v>2408.3081967213116</v>
      </c>
      <c r="S337" s="276">
        <v>5115.04</v>
      </c>
      <c r="T337" s="294" t="s">
        <v>358</v>
      </c>
      <c r="X337" s="20"/>
      <c r="Y337" s="106"/>
      <c r="Z337" s="60"/>
      <c r="AA337" s="163"/>
      <c r="AB337" s="163"/>
      <c r="AC337" s="33"/>
    </row>
    <row r="338" spans="1:29" s="59" customFormat="1" ht="37.5" customHeight="1">
      <c r="A338" s="293">
        <v>8</v>
      </c>
      <c r="B338" s="417" t="s">
        <v>3555</v>
      </c>
      <c r="C338" s="408">
        <v>1976</v>
      </c>
      <c r="D338" s="408"/>
      <c r="E338" s="409" t="s">
        <v>221</v>
      </c>
      <c r="F338" s="410">
        <v>9</v>
      </c>
      <c r="G338" s="410">
        <v>10</v>
      </c>
      <c r="H338" s="411">
        <v>23734</v>
      </c>
      <c r="I338" s="411">
        <v>11940</v>
      </c>
      <c r="J338" s="411">
        <v>11601.8</v>
      </c>
      <c r="K338" s="410">
        <v>927</v>
      </c>
      <c r="L338" s="293" t="s">
        <v>238</v>
      </c>
      <c r="M338" s="412">
        <v>11382540</v>
      </c>
      <c r="N338" s="395">
        <v>0</v>
      </c>
      <c r="O338" s="395">
        <v>0</v>
      </c>
      <c r="P338" s="395">
        <v>0</v>
      </c>
      <c r="Q338" s="208">
        <f t="shared" si="32"/>
        <v>11382540</v>
      </c>
      <c r="R338" s="276">
        <f t="shared" si="31"/>
        <v>953.3115577889447</v>
      </c>
      <c r="S338" s="276">
        <v>5115.04</v>
      </c>
      <c r="T338" s="294" t="s">
        <v>358</v>
      </c>
      <c r="X338" s="20"/>
      <c r="Y338" s="106"/>
      <c r="Z338" s="60"/>
      <c r="AA338" s="163"/>
      <c r="AB338" s="163"/>
      <c r="AC338" s="33"/>
    </row>
    <row r="339" spans="1:29" s="59" customFormat="1" ht="37.5" customHeight="1">
      <c r="A339" s="293">
        <f t="shared" si="33"/>
        <v>9</v>
      </c>
      <c r="B339" s="417" t="s">
        <v>3556</v>
      </c>
      <c r="C339" s="408">
        <v>1973</v>
      </c>
      <c r="D339" s="408"/>
      <c r="E339" s="409" t="s">
        <v>221</v>
      </c>
      <c r="F339" s="410">
        <v>9</v>
      </c>
      <c r="G339" s="410">
        <v>2</v>
      </c>
      <c r="H339" s="411">
        <v>6525</v>
      </c>
      <c r="I339" s="411">
        <v>5965</v>
      </c>
      <c r="J339" s="411">
        <v>4569</v>
      </c>
      <c r="K339" s="410">
        <v>244</v>
      </c>
      <c r="L339" s="293" t="s">
        <v>226</v>
      </c>
      <c r="M339" s="412">
        <v>9568092</v>
      </c>
      <c r="N339" s="395">
        <v>0</v>
      </c>
      <c r="O339" s="395">
        <v>0</v>
      </c>
      <c r="P339" s="395">
        <v>0</v>
      </c>
      <c r="Q339" s="208">
        <f t="shared" si="32"/>
        <v>9568092</v>
      </c>
      <c r="R339" s="276">
        <f t="shared" si="31"/>
        <v>1604.0388935456831</v>
      </c>
      <c r="S339" s="276">
        <v>5115.04</v>
      </c>
      <c r="T339" s="294" t="s">
        <v>358</v>
      </c>
      <c r="X339" s="20"/>
      <c r="Y339" s="106"/>
      <c r="Z339" s="60"/>
      <c r="AA339" s="163"/>
      <c r="AB339" s="163"/>
      <c r="AC339" s="33"/>
    </row>
    <row r="340" spans="1:29" s="59" customFormat="1" ht="37.5" customHeight="1">
      <c r="A340" s="293">
        <f t="shared" si="33"/>
        <v>10</v>
      </c>
      <c r="B340" s="417" t="s">
        <v>2199</v>
      </c>
      <c r="C340" s="408">
        <v>1988</v>
      </c>
      <c r="D340" s="418"/>
      <c r="E340" s="419" t="s">
        <v>221</v>
      </c>
      <c r="F340" s="410">
        <v>9</v>
      </c>
      <c r="G340" s="410">
        <v>5</v>
      </c>
      <c r="H340" s="411">
        <v>11046</v>
      </c>
      <c r="I340" s="411">
        <v>9691.7999999999993</v>
      </c>
      <c r="J340" s="411">
        <v>8877.2000000000007</v>
      </c>
      <c r="K340" s="410">
        <v>505</v>
      </c>
      <c r="L340" s="293" t="s">
        <v>226</v>
      </c>
      <c r="M340" s="412">
        <v>26383949</v>
      </c>
      <c r="N340" s="395">
        <v>0</v>
      </c>
      <c r="O340" s="395">
        <v>0</v>
      </c>
      <c r="P340" s="395">
        <v>0</v>
      </c>
      <c r="Q340" s="208">
        <f t="shared" si="32"/>
        <v>26383949</v>
      </c>
      <c r="R340" s="276">
        <f t="shared" si="31"/>
        <v>2722.296064714501</v>
      </c>
      <c r="S340" s="276">
        <v>5115.04</v>
      </c>
      <c r="T340" s="294" t="s">
        <v>358</v>
      </c>
      <c r="X340" s="20"/>
      <c r="Y340" s="106"/>
      <c r="Z340" s="60"/>
      <c r="AA340" s="163"/>
      <c r="AB340" s="163"/>
      <c r="AC340" s="33"/>
    </row>
    <row r="341" spans="1:29" s="59" customFormat="1" ht="37.5" customHeight="1">
      <c r="A341" s="293">
        <f t="shared" si="33"/>
        <v>11</v>
      </c>
      <c r="B341" s="417" t="s">
        <v>3557</v>
      </c>
      <c r="C341" s="408">
        <v>1970</v>
      </c>
      <c r="D341" s="408"/>
      <c r="E341" s="409" t="s">
        <v>221</v>
      </c>
      <c r="F341" s="410">
        <v>9</v>
      </c>
      <c r="G341" s="410">
        <v>5</v>
      </c>
      <c r="H341" s="411">
        <v>18542</v>
      </c>
      <c r="I341" s="411">
        <v>13458</v>
      </c>
      <c r="J341" s="411">
        <v>8924.9</v>
      </c>
      <c r="K341" s="410">
        <v>500</v>
      </c>
      <c r="L341" s="293" t="s">
        <v>33</v>
      </c>
      <c r="M341" s="412">
        <v>10343162</v>
      </c>
      <c r="N341" s="395">
        <v>0</v>
      </c>
      <c r="O341" s="395">
        <v>0</v>
      </c>
      <c r="P341" s="395">
        <v>0</v>
      </c>
      <c r="Q341" s="208">
        <f t="shared" si="32"/>
        <v>10343162</v>
      </c>
      <c r="R341" s="276">
        <f t="shared" si="31"/>
        <v>768.55119631445984</v>
      </c>
      <c r="S341" s="276">
        <v>5115.04</v>
      </c>
      <c r="T341" s="294" t="s">
        <v>358</v>
      </c>
      <c r="X341" s="20"/>
      <c r="Y341" s="106"/>
      <c r="Z341" s="60"/>
      <c r="AA341" s="163"/>
      <c r="AB341" s="163"/>
      <c r="AC341" s="33"/>
    </row>
    <row r="342" spans="1:29" s="59" customFormat="1" ht="37.5" customHeight="1">
      <c r="A342" s="293">
        <v>12</v>
      </c>
      <c r="B342" s="417" t="s">
        <v>3558</v>
      </c>
      <c r="C342" s="408">
        <v>1995</v>
      </c>
      <c r="D342" s="409"/>
      <c r="E342" s="409" t="s">
        <v>221</v>
      </c>
      <c r="F342" s="420">
        <v>9</v>
      </c>
      <c r="G342" s="420">
        <v>1</v>
      </c>
      <c r="H342" s="411">
        <v>3495</v>
      </c>
      <c r="I342" s="411">
        <v>3166.6</v>
      </c>
      <c r="J342" s="411">
        <v>3017.2</v>
      </c>
      <c r="K342" s="410">
        <v>165</v>
      </c>
      <c r="L342" s="249" t="s">
        <v>226</v>
      </c>
      <c r="M342" s="412">
        <v>9321381</v>
      </c>
      <c r="N342" s="395">
        <v>0</v>
      </c>
      <c r="O342" s="395">
        <v>0</v>
      </c>
      <c r="P342" s="395">
        <v>0</v>
      </c>
      <c r="Q342" s="208">
        <f t="shared" si="32"/>
        <v>9321381</v>
      </c>
      <c r="R342" s="276">
        <f t="shared" si="31"/>
        <v>2943.6559717046675</v>
      </c>
      <c r="S342" s="276">
        <v>5115.04</v>
      </c>
      <c r="T342" s="294" t="s">
        <v>358</v>
      </c>
      <c r="X342" s="20"/>
      <c r="Y342" s="106"/>
      <c r="Z342" s="60"/>
      <c r="AA342" s="163"/>
      <c r="AB342" s="163"/>
      <c r="AC342" s="33"/>
    </row>
    <row r="343" spans="1:29" s="59" customFormat="1" ht="37.5" customHeight="1">
      <c r="A343" s="293">
        <v>13</v>
      </c>
      <c r="B343" s="417" t="s">
        <v>3559</v>
      </c>
      <c r="C343" s="408">
        <v>1979</v>
      </c>
      <c r="D343" s="408"/>
      <c r="E343" s="409" t="s">
        <v>221</v>
      </c>
      <c r="F343" s="410">
        <v>5</v>
      </c>
      <c r="G343" s="410">
        <v>14</v>
      </c>
      <c r="H343" s="411">
        <v>11993</v>
      </c>
      <c r="I343" s="411">
        <v>10689.4</v>
      </c>
      <c r="J343" s="411">
        <v>10001.700000000001</v>
      </c>
      <c r="K343" s="410">
        <v>504</v>
      </c>
      <c r="L343" s="293" t="s">
        <v>33</v>
      </c>
      <c r="M343" s="412">
        <v>5566180</v>
      </c>
      <c r="N343" s="395">
        <v>0</v>
      </c>
      <c r="O343" s="395">
        <v>0</v>
      </c>
      <c r="P343" s="395">
        <v>0</v>
      </c>
      <c r="Q343" s="208">
        <f t="shared" si="32"/>
        <v>5566180</v>
      </c>
      <c r="R343" s="276">
        <f t="shared" si="31"/>
        <v>520.71959137089084</v>
      </c>
      <c r="S343" s="276">
        <v>5115.04</v>
      </c>
      <c r="T343" s="294" t="s">
        <v>358</v>
      </c>
      <c r="X343" s="20"/>
      <c r="Y343" s="106"/>
      <c r="Z343" s="60"/>
      <c r="AA343" s="163"/>
      <c r="AB343" s="163"/>
      <c r="AC343" s="33"/>
    </row>
    <row r="344" spans="1:29" s="59" customFormat="1" ht="37.5" customHeight="1">
      <c r="A344" s="293">
        <v>14</v>
      </c>
      <c r="B344" s="417" t="s">
        <v>3560</v>
      </c>
      <c r="C344" s="408">
        <v>1988</v>
      </c>
      <c r="D344" s="409"/>
      <c r="E344" s="409" t="s">
        <v>221</v>
      </c>
      <c r="F344" s="410">
        <v>9</v>
      </c>
      <c r="G344" s="410">
        <v>3</v>
      </c>
      <c r="H344" s="411">
        <v>6583.7</v>
      </c>
      <c r="I344" s="411">
        <v>5729.7</v>
      </c>
      <c r="J344" s="411">
        <v>5511.1</v>
      </c>
      <c r="K344" s="410">
        <v>274</v>
      </c>
      <c r="L344" s="293" t="s">
        <v>226</v>
      </c>
      <c r="M344" s="412">
        <v>9600271</v>
      </c>
      <c r="N344" s="395">
        <v>0</v>
      </c>
      <c r="O344" s="395">
        <v>0</v>
      </c>
      <c r="P344" s="395">
        <v>0</v>
      </c>
      <c r="Q344" s="208">
        <f t="shared" si="32"/>
        <v>9600271</v>
      </c>
      <c r="R344" s="276">
        <f t="shared" si="31"/>
        <v>1675.5276890587641</v>
      </c>
      <c r="S344" s="276">
        <v>5115.04</v>
      </c>
      <c r="T344" s="294" t="s">
        <v>358</v>
      </c>
      <c r="X344" s="20"/>
      <c r="Y344" s="106"/>
      <c r="Z344" s="60"/>
      <c r="AA344" s="163"/>
      <c r="AB344" s="163"/>
      <c r="AC344" s="33"/>
    </row>
    <row r="345" spans="1:29" s="59" customFormat="1" ht="37.5" customHeight="1">
      <c r="A345" s="293">
        <v>15</v>
      </c>
      <c r="B345" s="417" t="s">
        <v>3561</v>
      </c>
      <c r="C345" s="408">
        <v>1962</v>
      </c>
      <c r="D345" s="409"/>
      <c r="E345" s="409" t="s">
        <v>221</v>
      </c>
      <c r="F345" s="410">
        <v>5</v>
      </c>
      <c r="G345" s="410">
        <v>4</v>
      </c>
      <c r="H345" s="411">
        <v>3919</v>
      </c>
      <c r="I345" s="411">
        <v>3134</v>
      </c>
      <c r="J345" s="411">
        <v>2704.2</v>
      </c>
      <c r="K345" s="410">
        <v>183</v>
      </c>
      <c r="L345" s="293" t="s">
        <v>33</v>
      </c>
      <c r="M345" s="412">
        <v>3319332.0000000005</v>
      </c>
      <c r="N345" s="395">
        <v>0</v>
      </c>
      <c r="O345" s="395">
        <v>0</v>
      </c>
      <c r="P345" s="395">
        <v>0</v>
      </c>
      <c r="Q345" s="208">
        <f t="shared" si="32"/>
        <v>3319332.0000000005</v>
      </c>
      <c r="R345" s="276">
        <f t="shared" si="31"/>
        <v>1059.1359285258457</v>
      </c>
      <c r="S345" s="276">
        <v>5115.04</v>
      </c>
      <c r="T345" s="294" t="s">
        <v>358</v>
      </c>
      <c r="X345" s="20"/>
      <c r="Y345" s="106"/>
      <c r="Z345" s="60"/>
      <c r="AA345" s="163"/>
      <c r="AB345" s="163"/>
      <c r="AC345" s="33"/>
    </row>
    <row r="346" spans="1:29" s="59" customFormat="1" ht="37.5" customHeight="1">
      <c r="A346" s="293">
        <v>16</v>
      </c>
      <c r="B346" s="417" t="s">
        <v>3562</v>
      </c>
      <c r="C346" s="408">
        <v>1985</v>
      </c>
      <c r="D346" s="409"/>
      <c r="E346" s="409" t="s">
        <v>221</v>
      </c>
      <c r="F346" s="410">
        <v>9</v>
      </c>
      <c r="G346" s="410">
        <v>1</v>
      </c>
      <c r="H346" s="411">
        <v>8575</v>
      </c>
      <c r="I346" s="411">
        <v>4268.5</v>
      </c>
      <c r="J346" s="411">
        <v>2417</v>
      </c>
      <c r="K346" s="410">
        <v>570</v>
      </c>
      <c r="L346" s="293" t="s">
        <v>30</v>
      </c>
      <c r="M346" s="412">
        <v>7099092</v>
      </c>
      <c r="N346" s="395">
        <v>0</v>
      </c>
      <c r="O346" s="395">
        <v>0</v>
      </c>
      <c r="P346" s="395">
        <v>0</v>
      </c>
      <c r="Q346" s="208">
        <f t="shared" si="32"/>
        <v>7099092</v>
      </c>
      <c r="R346" s="276">
        <f t="shared" si="31"/>
        <v>1663.1350591542696</v>
      </c>
      <c r="S346" s="276">
        <v>5115.04</v>
      </c>
      <c r="T346" s="294" t="s">
        <v>358</v>
      </c>
      <c r="X346" s="20"/>
      <c r="Y346" s="106"/>
      <c r="Z346" s="60"/>
      <c r="AA346" s="163"/>
      <c r="AB346" s="163"/>
      <c r="AC346" s="33"/>
    </row>
    <row r="347" spans="1:29" s="59" customFormat="1" ht="37.5" customHeight="1">
      <c r="A347" s="293">
        <f t="shared" si="33"/>
        <v>17</v>
      </c>
      <c r="B347" s="417" t="s">
        <v>3563</v>
      </c>
      <c r="C347" s="408">
        <v>1988</v>
      </c>
      <c r="D347" s="409"/>
      <c r="E347" s="409" t="s">
        <v>221</v>
      </c>
      <c r="F347" s="410">
        <v>5</v>
      </c>
      <c r="G347" s="410">
        <v>8</v>
      </c>
      <c r="H347" s="411">
        <v>6371</v>
      </c>
      <c r="I347" s="411">
        <v>5632.3</v>
      </c>
      <c r="J347" s="411">
        <v>5103.2</v>
      </c>
      <c r="K347" s="410">
        <v>310</v>
      </c>
      <c r="L347" s="293" t="s">
        <v>38</v>
      </c>
      <c r="M347" s="412">
        <v>7984174</v>
      </c>
      <c r="N347" s="395">
        <v>0</v>
      </c>
      <c r="O347" s="395">
        <v>0</v>
      </c>
      <c r="P347" s="395">
        <v>0</v>
      </c>
      <c r="Q347" s="208">
        <f t="shared" si="32"/>
        <v>7984174</v>
      </c>
      <c r="R347" s="276">
        <f t="shared" si="31"/>
        <v>1417.5690215364948</v>
      </c>
      <c r="S347" s="276">
        <v>5115.04</v>
      </c>
      <c r="T347" s="294" t="s">
        <v>358</v>
      </c>
      <c r="X347" s="20"/>
      <c r="Y347" s="106"/>
      <c r="Z347" s="60"/>
      <c r="AA347" s="163"/>
      <c r="AB347" s="163"/>
      <c r="AC347" s="33"/>
    </row>
    <row r="348" spans="1:29" s="59" customFormat="1" ht="37.5" customHeight="1">
      <c r="A348" s="293">
        <f t="shared" si="33"/>
        <v>18</v>
      </c>
      <c r="B348" s="417" t="s">
        <v>3564</v>
      </c>
      <c r="C348" s="408">
        <v>1987</v>
      </c>
      <c r="D348" s="409"/>
      <c r="E348" s="409" t="s">
        <v>221</v>
      </c>
      <c r="F348" s="410">
        <v>5</v>
      </c>
      <c r="G348" s="410">
        <v>7</v>
      </c>
      <c r="H348" s="411">
        <v>5528</v>
      </c>
      <c r="I348" s="411">
        <v>4885.6000000000004</v>
      </c>
      <c r="J348" s="411">
        <v>4509.6000000000004</v>
      </c>
      <c r="K348" s="410">
        <v>295</v>
      </c>
      <c r="L348" s="293" t="s">
        <v>226</v>
      </c>
      <c r="M348" s="412">
        <v>9799477</v>
      </c>
      <c r="N348" s="395">
        <v>0</v>
      </c>
      <c r="O348" s="395">
        <v>0</v>
      </c>
      <c r="P348" s="395">
        <v>0</v>
      </c>
      <c r="Q348" s="208">
        <f t="shared" si="32"/>
        <v>9799477</v>
      </c>
      <c r="R348" s="276">
        <f t="shared" si="31"/>
        <v>2005.7878254462091</v>
      </c>
      <c r="S348" s="276">
        <v>5115.04</v>
      </c>
      <c r="T348" s="294" t="s">
        <v>358</v>
      </c>
      <c r="X348" s="20"/>
      <c r="Y348" s="106"/>
      <c r="Z348" s="60"/>
      <c r="AA348" s="163"/>
      <c r="AB348" s="163"/>
      <c r="AC348" s="33"/>
    </row>
    <row r="349" spans="1:29" s="59" customFormat="1" ht="37.5" customHeight="1">
      <c r="A349" s="293">
        <f t="shared" si="33"/>
        <v>19</v>
      </c>
      <c r="B349" s="417" t="s">
        <v>3565</v>
      </c>
      <c r="C349" s="408">
        <v>1967</v>
      </c>
      <c r="D349" s="409"/>
      <c r="E349" s="409" t="s">
        <v>221</v>
      </c>
      <c r="F349" s="410">
        <v>5</v>
      </c>
      <c r="G349" s="410">
        <v>4</v>
      </c>
      <c r="H349" s="411">
        <v>3359</v>
      </c>
      <c r="I349" s="411">
        <v>3359</v>
      </c>
      <c r="J349" s="411">
        <v>3016.1</v>
      </c>
      <c r="K349" s="410">
        <v>198</v>
      </c>
      <c r="L349" s="293" t="s">
        <v>259</v>
      </c>
      <c r="M349" s="412">
        <v>6886551</v>
      </c>
      <c r="N349" s="395">
        <v>0</v>
      </c>
      <c r="O349" s="395">
        <v>0</v>
      </c>
      <c r="P349" s="395">
        <v>0</v>
      </c>
      <c r="Q349" s="208">
        <f t="shared" si="32"/>
        <v>6886551</v>
      </c>
      <c r="R349" s="276">
        <f t="shared" si="31"/>
        <v>2050.178922298303</v>
      </c>
      <c r="S349" s="276">
        <v>5115.04</v>
      </c>
      <c r="T349" s="294" t="s">
        <v>358</v>
      </c>
      <c r="X349" s="20"/>
      <c r="Y349" s="106"/>
      <c r="Z349" s="60"/>
      <c r="AA349" s="163"/>
      <c r="AB349" s="163"/>
      <c r="AC349" s="33"/>
    </row>
    <row r="350" spans="1:29" s="59" customFormat="1" ht="37.5" customHeight="1">
      <c r="A350" s="293">
        <f t="shared" si="33"/>
        <v>20</v>
      </c>
      <c r="B350" s="421" t="s">
        <v>3566</v>
      </c>
      <c r="C350" s="414">
        <v>1978</v>
      </c>
      <c r="D350" s="257"/>
      <c r="E350" s="257" t="s">
        <v>221</v>
      </c>
      <c r="F350" s="415">
        <v>5</v>
      </c>
      <c r="G350" s="415">
        <v>14</v>
      </c>
      <c r="H350" s="416">
        <v>10902</v>
      </c>
      <c r="I350" s="416">
        <v>9658.2999999999993</v>
      </c>
      <c r="J350" s="416">
        <v>9111.1</v>
      </c>
      <c r="K350" s="415">
        <v>430</v>
      </c>
      <c r="L350" s="413" t="s">
        <v>30</v>
      </c>
      <c r="M350" s="412">
        <v>5224440</v>
      </c>
      <c r="N350" s="395">
        <v>0</v>
      </c>
      <c r="O350" s="395">
        <v>0</v>
      </c>
      <c r="P350" s="395">
        <v>0</v>
      </c>
      <c r="Q350" s="208">
        <f t="shared" ref="Q350:Q351" si="34">M350</f>
        <v>5224440</v>
      </c>
      <c r="R350" s="276">
        <f t="shared" ref="R350:R351" si="35">M350/I350</f>
        <v>540.92749241584966</v>
      </c>
      <c r="S350" s="406">
        <v>5115.04</v>
      </c>
      <c r="T350" s="407" t="s">
        <v>358</v>
      </c>
      <c r="X350" s="20"/>
      <c r="Y350" s="106"/>
      <c r="Z350" s="60"/>
      <c r="AA350" s="163"/>
      <c r="AB350" s="163"/>
      <c r="AC350" s="33"/>
    </row>
    <row r="351" spans="1:29" s="154" customFormat="1" ht="37.5" customHeight="1">
      <c r="A351" s="293">
        <f t="shared" si="33"/>
        <v>21</v>
      </c>
      <c r="B351" s="255" t="s">
        <v>2172</v>
      </c>
      <c r="C351" s="179">
        <v>1986</v>
      </c>
      <c r="D351" s="378"/>
      <c r="E351" s="176" t="s">
        <v>221</v>
      </c>
      <c r="F351" s="218">
        <v>9</v>
      </c>
      <c r="G351" s="218">
        <v>5</v>
      </c>
      <c r="H351" s="262">
        <v>3519</v>
      </c>
      <c r="I351" s="262">
        <v>3245.5</v>
      </c>
      <c r="J351" s="373">
        <v>3004.78</v>
      </c>
      <c r="K351" s="379">
        <v>154</v>
      </c>
      <c r="L351" s="108" t="s">
        <v>30</v>
      </c>
      <c r="M351" s="412">
        <v>2214199.94</v>
      </c>
      <c r="N351" s="395">
        <v>0</v>
      </c>
      <c r="O351" s="395">
        <v>0</v>
      </c>
      <c r="P351" s="395">
        <v>0</v>
      </c>
      <c r="Q351" s="208">
        <f t="shared" si="34"/>
        <v>2214199.94</v>
      </c>
      <c r="R351" s="276">
        <f t="shared" si="35"/>
        <v>682.23692497303955</v>
      </c>
      <c r="S351" s="359">
        <v>5115.04</v>
      </c>
      <c r="T351" s="177" t="s">
        <v>358</v>
      </c>
      <c r="V351" s="229"/>
      <c r="X351" s="112"/>
      <c r="Y351" s="422"/>
      <c r="Z351" s="178"/>
      <c r="AA351" s="170"/>
      <c r="AB351" s="170"/>
      <c r="AC351" s="247"/>
    </row>
    <row r="352" spans="1:29" s="154" customFormat="1" ht="37.5" customHeight="1">
      <c r="A352" s="293">
        <f t="shared" si="33"/>
        <v>22</v>
      </c>
      <c r="B352" s="255" t="s">
        <v>2173</v>
      </c>
      <c r="C352" s="179">
        <v>1978</v>
      </c>
      <c r="D352" s="378"/>
      <c r="E352" s="176" t="s">
        <v>221</v>
      </c>
      <c r="F352" s="218">
        <v>5</v>
      </c>
      <c r="G352" s="218">
        <v>2</v>
      </c>
      <c r="H352" s="262">
        <v>3605</v>
      </c>
      <c r="I352" s="262">
        <v>3190.4</v>
      </c>
      <c r="J352" s="373">
        <v>2947.3</v>
      </c>
      <c r="K352" s="379">
        <v>195</v>
      </c>
      <c r="L352" s="108" t="s">
        <v>30</v>
      </c>
      <c r="M352" s="412">
        <v>3649340.94</v>
      </c>
      <c r="N352" s="395">
        <v>0</v>
      </c>
      <c r="O352" s="395">
        <v>0</v>
      </c>
      <c r="P352" s="395">
        <v>0</v>
      </c>
      <c r="Q352" s="208">
        <f t="shared" ref="Q352:Q358" si="36">M352</f>
        <v>3649340.94</v>
      </c>
      <c r="R352" s="276">
        <f t="shared" ref="R352:R358" si="37">M352/I352</f>
        <v>1143.8505955366097</v>
      </c>
      <c r="S352" s="359">
        <v>5115.04</v>
      </c>
      <c r="T352" s="177" t="s">
        <v>358</v>
      </c>
      <c r="V352" s="229"/>
      <c r="X352" s="112"/>
      <c r="Y352" s="422"/>
      <c r="Z352" s="178"/>
      <c r="AA352" s="170"/>
      <c r="AB352" s="170"/>
      <c r="AC352" s="247"/>
    </row>
    <row r="353" spans="1:29" s="154" customFormat="1" ht="37.5" customHeight="1">
      <c r="A353" s="293">
        <f t="shared" si="33"/>
        <v>23</v>
      </c>
      <c r="B353" s="255" t="s">
        <v>2219</v>
      </c>
      <c r="C353" s="179">
        <v>1994</v>
      </c>
      <c r="D353" s="378"/>
      <c r="E353" s="176" t="s">
        <v>221</v>
      </c>
      <c r="F353" s="218">
        <v>9</v>
      </c>
      <c r="G353" s="218">
        <v>1</v>
      </c>
      <c r="H353" s="262">
        <v>2370</v>
      </c>
      <c r="I353" s="262">
        <v>2021.5</v>
      </c>
      <c r="J353" s="373">
        <v>1946.7</v>
      </c>
      <c r="K353" s="379">
        <v>145</v>
      </c>
      <c r="L353" s="108" t="s">
        <v>30</v>
      </c>
      <c r="M353" s="412">
        <v>1674367.94</v>
      </c>
      <c r="N353" s="395">
        <v>0</v>
      </c>
      <c r="O353" s="395">
        <v>0</v>
      </c>
      <c r="P353" s="395">
        <v>0</v>
      </c>
      <c r="Q353" s="208">
        <f t="shared" si="36"/>
        <v>1674367.94</v>
      </c>
      <c r="R353" s="276">
        <f t="shared" si="37"/>
        <v>828.27996042542668</v>
      </c>
      <c r="S353" s="359">
        <v>5115.04</v>
      </c>
      <c r="T353" s="177" t="s">
        <v>358</v>
      </c>
      <c r="V353" s="229"/>
      <c r="X353" s="112"/>
      <c r="Y353" s="422"/>
      <c r="Z353" s="178"/>
      <c r="AA353" s="170"/>
      <c r="AB353" s="170"/>
      <c r="AC353" s="247"/>
    </row>
    <row r="354" spans="1:29" s="154" customFormat="1" ht="37.5" customHeight="1">
      <c r="A354" s="293">
        <f t="shared" si="33"/>
        <v>24</v>
      </c>
      <c r="B354" s="255" t="s">
        <v>2221</v>
      </c>
      <c r="C354" s="179">
        <v>1991</v>
      </c>
      <c r="D354" s="378"/>
      <c r="E354" s="179" t="s">
        <v>217</v>
      </c>
      <c r="F354" s="218">
        <v>9</v>
      </c>
      <c r="G354" s="218">
        <v>3</v>
      </c>
      <c r="H354" s="262">
        <v>6710</v>
      </c>
      <c r="I354" s="262">
        <v>5810.7</v>
      </c>
      <c r="J354" s="373">
        <v>5301.8</v>
      </c>
      <c r="K354" s="379">
        <v>328</v>
      </c>
      <c r="L354" s="108" t="s">
        <v>30</v>
      </c>
      <c r="M354" s="412">
        <v>3300954</v>
      </c>
      <c r="N354" s="395">
        <v>0</v>
      </c>
      <c r="O354" s="395">
        <v>0</v>
      </c>
      <c r="P354" s="395">
        <v>0</v>
      </c>
      <c r="Q354" s="208">
        <f t="shared" si="36"/>
        <v>3300954</v>
      </c>
      <c r="R354" s="276">
        <f t="shared" si="37"/>
        <v>568.08198667974602</v>
      </c>
      <c r="S354" s="359">
        <v>5115.04</v>
      </c>
      <c r="T354" s="177" t="s">
        <v>358</v>
      </c>
      <c r="V354" s="229"/>
      <c r="X354" s="112"/>
      <c r="Y354" s="422"/>
      <c r="Z354" s="178"/>
      <c r="AA354" s="170"/>
      <c r="AB354" s="170"/>
      <c r="AC354" s="247"/>
    </row>
    <row r="355" spans="1:29" s="154" customFormat="1" ht="37.5" customHeight="1">
      <c r="A355" s="174">
        <f t="shared" si="33"/>
        <v>25</v>
      </c>
      <c r="B355" s="255" t="s">
        <v>2238</v>
      </c>
      <c r="C355" s="179">
        <v>1966</v>
      </c>
      <c r="D355" s="167"/>
      <c r="E355" s="167" t="s">
        <v>221</v>
      </c>
      <c r="F355" s="218">
        <v>5</v>
      </c>
      <c r="G355" s="218">
        <v>6</v>
      </c>
      <c r="H355" s="262">
        <v>4874</v>
      </c>
      <c r="I355" s="262">
        <v>4470.1000000000004</v>
      </c>
      <c r="J355" s="262">
        <v>4084.4</v>
      </c>
      <c r="K355" s="218">
        <v>204</v>
      </c>
      <c r="L355" s="174" t="s">
        <v>30</v>
      </c>
      <c r="M355" s="412">
        <v>3055245</v>
      </c>
      <c r="N355" s="395">
        <v>0</v>
      </c>
      <c r="O355" s="395">
        <v>0</v>
      </c>
      <c r="P355" s="395">
        <v>0</v>
      </c>
      <c r="Q355" s="208">
        <f t="shared" si="36"/>
        <v>3055245</v>
      </c>
      <c r="R355" s="276">
        <f t="shared" si="37"/>
        <v>683.48470951432853</v>
      </c>
      <c r="S355" s="359">
        <v>5115.04</v>
      </c>
      <c r="T355" s="177" t="s">
        <v>358</v>
      </c>
      <c r="X355" s="112"/>
      <c r="Y355" s="422"/>
      <c r="Z355" s="178"/>
      <c r="AA355" s="170"/>
      <c r="AB355" s="170"/>
      <c r="AC355" s="247"/>
    </row>
    <row r="356" spans="1:29" s="154" customFormat="1" ht="37.5" customHeight="1">
      <c r="A356" s="293">
        <f t="shared" si="33"/>
        <v>26</v>
      </c>
      <c r="B356" s="255" t="s">
        <v>2253</v>
      </c>
      <c r="C356" s="179">
        <v>1987</v>
      </c>
      <c r="D356" s="378"/>
      <c r="E356" s="176" t="s">
        <v>221</v>
      </c>
      <c r="F356" s="218">
        <v>5</v>
      </c>
      <c r="G356" s="218">
        <v>8</v>
      </c>
      <c r="H356" s="262">
        <v>6331</v>
      </c>
      <c r="I356" s="262">
        <v>5586</v>
      </c>
      <c r="J356" s="373">
        <v>5348</v>
      </c>
      <c r="K356" s="379">
        <v>298</v>
      </c>
      <c r="L356" s="108" t="s">
        <v>30</v>
      </c>
      <c r="M356" s="412">
        <v>3656480</v>
      </c>
      <c r="N356" s="395">
        <v>0</v>
      </c>
      <c r="O356" s="395">
        <v>0</v>
      </c>
      <c r="P356" s="395">
        <v>0</v>
      </c>
      <c r="Q356" s="208">
        <f t="shared" si="36"/>
        <v>3656480</v>
      </c>
      <c r="R356" s="276">
        <f t="shared" si="37"/>
        <v>654.57930540637312</v>
      </c>
      <c r="S356" s="359">
        <v>5115.04</v>
      </c>
      <c r="T356" s="177" t="s">
        <v>358</v>
      </c>
      <c r="V356" s="229"/>
      <c r="X356" s="112"/>
      <c r="Y356" s="422"/>
      <c r="Z356" s="178"/>
      <c r="AA356" s="170"/>
      <c r="AB356" s="170"/>
      <c r="AC356" s="247"/>
    </row>
    <row r="357" spans="1:29" s="154" customFormat="1" ht="37.5" customHeight="1">
      <c r="A357" s="293">
        <f t="shared" si="33"/>
        <v>27</v>
      </c>
      <c r="B357" s="255" t="s">
        <v>2258</v>
      </c>
      <c r="C357" s="179">
        <v>1979</v>
      </c>
      <c r="D357" s="378"/>
      <c r="E357" s="176" t="s">
        <v>221</v>
      </c>
      <c r="F357" s="218">
        <v>5</v>
      </c>
      <c r="G357" s="218">
        <v>9</v>
      </c>
      <c r="H357" s="262">
        <v>6840</v>
      </c>
      <c r="I357" s="262">
        <v>6172</v>
      </c>
      <c r="J357" s="373">
        <v>5868.9</v>
      </c>
      <c r="K357" s="379">
        <v>265</v>
      </c>
      <c r="L357" s="108" t="s">
        <v>30</v>
      </c>
      <c r="M357" s="412">
        <v>2808280</v>
      </c>
      <c r="N357" s="395">
        <v>0</v>
      </c>
      <c r="O357" s="395">
        <v>0</v>
      </c>
      <c r="P357" s="395">
        <v>0</v>
      </c>
      <c r="Q357" s="208">
        <f t="shared" si="36"/>
        <v>2808280</v>
      </c>
      <c r="R357" s="276">
        <f t="shared" si="37"/>
        <v>455.00324044069993</v>
      </c>
      <c r="S357" s="359">
        <v>5115.04</v>
      </c>
      <c r="T357" s="177" t="s">
        <v>358</v>
      </c>
      <c r="V357" s="229"/>
      <c r="X357" s="112"/>
      <c r="Y357" s="422"/>
      <c r="Z357" s="178"/>
      <c r="AA357" s="170"/>
      <c r="AB357" s="170"/>
      <c r="AC357" s="247"/>
    </row>
    <row r="358" spans="1:29" s="154" customFormat="1" ht="37.5" customHeight="1">
      <c r="A358" s="293">
        <f t="shared" si="33"/>
        <v>28</v>
      </c>
      <c r="B358" s="313" t="s">
        <v>1224</v>
      </c>
      <c r="C358" s="138">
        <v>2005</v>
      </c>
      <c r="D358" s="125"/>
      <c r="E358" s="138" t="s">
        <v>221</v>
      </c>
      <c r="F358" s="184">
        <v>9</v>
      </c>
      <c r="G358" s="184">
        <v>5</v>
      </c>
      <c r="H358" s="283">
        <v>12349</v>
      </c>
      <c r="I358" s="283">
        <v>9032.9</v>
      </c>
      <c r="J358" s="283">
        <v>7322.9</v>
      </c>
      <c r="K358" s="185">
        <v>116</v>
      </c>
      <c r="L358" s="438" t="s">
        <v>33</v>
      </c>
      <c r="M358" s="412">
        <v>4839587.55</v>
      </c>
      <c r="N358" s="395">
        <v>0</v>
      </c>
      <c r="O358" s="395">
        <v>0</v>
      </c>
      <c r="P358" s="395">
        <v>0</v>
      </c>
      <c r="Q358" s="208">
        <f t="shared" si="36"/>
        <v>4839587.55</v>
      </c>
      <c r="R358" s="276">
        <f t="shared" si="37"/>
        <v>535.77340056903097</v>
      </c>
      <c r="S358" s="270">
        <v>5115.04</v>
      </c>
      <c r="T358" s="271" t="s">
        <v>358</v>
      </c>
      <c r="V358" s="229"/>
      <c r="X358" s="112"/>
      <c r="Y358" s="422"/>
      <c r="Z358" s="124"/>
      <c r="AA358" s="170"/>
      <c r="AB358" s="170"/>
      <c r="AC358" s="247"/>
    </row>
    <row r="359" spans="1:29" s="59" customFormat="1" ht="41.25" customHeight="1">
      <c r="A359" s="1306" t="s">
        <v>146</v>
      </c>
      <c r="B359" s="1306"/>
      <c r="C359" s="1306"/>
      <c r="D359" s="1306"/>
      <c r="E359" s="250" t="s">
        <v>28</v>
      </c>
      <c r="F359" s="159" t="s">
        <v>28</v>
      </c>
      <c r="G359" s="159" t="s">
        <v>28</v>
      </c>
      <c r="H359" s="161">
        <f>SUM(H331:H358)</f>
        <v>206643.7</v>
      </c>
      <c r="I359" s="161">
        <f>SUM(I331:I358)</f>
        <v>165441.10000000003</v>
      </c>
      <c r="J359" s="161">
        <f>SUM(J331:J358)</f>
        <v>145923.08000000002</v>
      </c>
      <c r="K359" s="159">
        <f>SUM(K331:K358)</f>
        <v>8390</v>
      </c>
      <c r="L359" s="151" t="s">
        <v>28</v>
      </c>
      <c r="M359" s="196">
        <v>184327618.37</v>
      </c>
      <c r="N359" s="196">
        <f>SUM(N331:N358)</f>
        <v>0</v>
      </c>
      <c r="O359" s="196">
        <f>SUM(O331:O358)</f>
        <v>0</v>
      </c>
      <c r="P359" s="196">
        <f>SUM(P331:P358)</f>
        <v>0</v>
      </c>
      <c r="Q359" s="196">
        <f>SUM(Q331:Q358)</f>
        <v>184327618.37</v>
      </c>
      <c r="R359" s="196">
        <f>M359/I359</f>
        <v>1114.1585638030692</v>
      </c>
      <c r="S359" s="196">
        <v>5115.04</v>
      </c>
      <c r="T359" s="162" t="s">
        <v>358</v>
      </c>
      <c r="U359" s="58"/>
      <c r="V359" s="58"/>
      <c r="W359" s="58"/>
      <c r="X359" s="20"/>
      <c r="Z359" s="61"/>
      <c r="AC359" s="33"/>
    </row>
    <row r="360" spans="1:29">
      <c r="X360" s="59"/>
    </row>
    <row r="366" spans="1:29">
      <c r="F366" s="194"/>
    </row>
    <row r="369" spans="2:16">
      <c r="B369" s="192"/>
      <c r="H369" s="1301"/>
      <c r="I369" s="1301"/>
      <c r="J369" s="1301"/>
      <c r="K369" s="1302"/>
      <c r="L369" s="1303"/>
      <c r="M369" s="1304"/>
      <c r="N369" s="1304"/>
      <c r="O369" s="1304"/>
      <c r="P369" s="1304"/>
    </row>
  </sheetData>
  <sheetProtection selectLockedCells="1" selectUnlockedCells="1"/>
  <sortState ref="B3801:T3857">
    <sortCondition ref="B3801"/>
  </sortState>
  <mergeCells count="38">
    <mergeCell ref="P1:Q1"/>
    <mergeCell ref="P2:R4"/>
    <mergeCell ref="P5:R5"/>
    <mergeCell ref="P6:R6"/>
    <mergeCell ref="A329:T329"/>
    <mergeCell ref="A106:T106"/>
    <mergeCell ref="A213:D213"/>
    <mergeCell ref="N15:Q15"/>
    <mergeCell ref="A19:T19"/>
    <mergeCell ref="A105:D105"/>
    <mergeCell ref="A10:T10"/>
    <mergeCell ref="I11:T11"/>
    <mergeCell ref="A12:T12"/>
    <mergeCell ref="A14:A17"/>
    <mergeCell ref="B14:B17"/>
    <mergeCell ref="C14:D14"/>
    <mergeCell ref="G14:G17"/>
    <mergeCell ref="H14:H16"/>
    <mergeCell ref="T14:T17"/>
    <mergeCell ref="I14:J14"/>
    <mergeCell ref="R14:R16"/>
    <mergeCell ref="S14:S16"/>
    <mergeCell ref="Z15:Z16"/>
    <mergeCell ref="H369:P369"/>
    <mergeCell ref="A214:T214"/>
    <mergeCell ref="A328:D328"/>
    <mergeCell ref="A359:D359"/>
    <mergeCell ref="A330:T330"/>
    <mergeCell ref="C15:C17"/>
    <mergeCell ref="D15:D17"/>
    <mergeCell ref="I15:I16"/>
    <mergeCell ref="J15:J16"/>
    <mergeCell ref="M15:M16"/>
    <mergeCell ref="K14:K16"/>
    <mergeCell ref="L14:L17"/>
    <mergeCell ref="M14:Q14"/>
    <mergeCell ref="E14:E17"/>
    <mergeCell ref="F14:F17"/>
  </mergeCells>
  <conditionalFormatting sqref="H263:H268 H316:J325 H327:J327">
    <cfRule type="cellIs" dxfId="155" priority="617" stopIfTrue="1" operator="equal">
      <formula>"н/д"</formula>
    </cfRule>
  </conditionalFormatting>
  <conditionalFormatting sqref="F330:G330 M330 Q330 F43:G54 L209 F209:G209">
    <cfRule type="cellIs" dxfId="154" priority="379" stopIfTrue="1" operator="equal">
      <formula>"н/д"</formula>
    </cfRule>
  </conditionalFormatting>
  <conditionalFormatting sqref="L22">
    <cfRule type="cellIs" dxfId="153" priority="175" stopIfTrue="1" operator="equal">
      <formula>"н/д"</formula>
    </cfRule>
  </conditionalFormatting>
  <conditionalFormatting sqref="L24">
    <cfRule type="cellIs" dxfId="152" priority="174" stopIfTrue="1" operator="equal">
      <formula>"н/д"</formula>
    </cfRule>
  </conditionalFormatting>
  <conditionalFormatting sqref="Q128">
    <cfRule type="cellIs" dxfId="151" priority="173" stopIfTrue="1" operator="equal">
      <formula>"н/д"</formula>
    </cfRule>
  </conditionalFormatting>
  <conditionalFormatting sqref="Q129">
    <cfRule type="cellIs" dxfId="150" priority="171" stopIfTrue="1" operator="equal">
      <formula>"н/д"</formula>
    </cfRule>
  </conditionalFormatting>
  <conditionalFormatting sqref="F62:G62">
    <cfRule type="cellIs" dxfId="149" priority="134" stopIfTrue="1" operator="equal">
      <formula>"н/д"</formula>
    </cfRule>
  </conditionalFormatting>
  <conditionalFormatting sqref="F26:G26 F39:G39 F22:G24 F35:I35">
    <cfRule type="cellIs" dxfId="148" priority="137" stopIfTrue="1" operator="equal">
      <formula>"н/д"</formula>
    </cfRule>
  </conditionalFormatting>
  <conditionalFormatting sqref="H59">
    <cfRule type="cellIs" dxfId="147" priority="136" stopIfTrue="1" operator="equal">
      <formula>"н/д"</formula>
    </cfRule>
  </conditionalFormatting>
  <conditionalFormatting sqref="F61:G61">
    <cfRule type="cellIs" dxfId="146" priority="135" stopIfTrue="1" operator="equal">
      <formula>"н/д"</formula>
    </cfRule>
  </conditionalFormatting>
  <conditionalFormatting sqref="H67">
    <cfRule type="cellIs" dxfId="145" priority="133" stopIfTrue="1" operator="equal">
      <formula>"н/д"</formula>
    </cfRule>
  </conditionalFormatting>
  <conditionalFormatting sqref="H71:J71">
    <cfRule type="cellIs" dxfId="144" priority="132" stopIfTrue="1" operator="equal">
      <formula>"н/д"</formula>
    </cfRule>
  </conditionalFormatting>
  <conditionalFormatting sqref="B129">
    <cfRule type="duplicateValues" dxfId="143" priority="123"/>
  </conditionalFormatting>
  <conditionalFormatting sqref="F150:G150">
    <cfRule type="cellIs" dxfId="142" priority="122" stopIfTrue="1" operator="equal">
      <formula>"н/д"</formula>
    </cfRule>
  </conditionalFormatting>
  <conditionalFormatting sqref="F172:G172">
    <cfRule type="cellIs" dxfId="141" priority="120" stopIfTrue="1" operator="equal">
      <formula>"н/д"</formula>
    </cfRule>
  </conditionalFormatting>
  <conditionalFormatting sqref="F176:G176">
    <cfRule type="cellIs" dxfId="140" priority="119" stopIfTrue="1" operator="equal">
      <formula>"н/д"</formula>
    </cfRule>
  </conditionalFormatting>
  <conditionalFormatting sqref="F181:G181">
    <cfRule type="cellIs" dxfId="139" priority="118" stopIfTrue="1" operator="equal">
      <formula>"н/д"</formula>
    </cfRule>
  </conditionalFormatting>
  <conditionalFormatting sqref="F186:G186">
    <cfRule type="cellIs" dxfId="138" priority="117" stopIfTrue="1" operator="equal">
      <formula>"н/д"</formula>
    </cfRule>
  </conditionalFormatting>
  <conditionalFormatting sqref="F195:G195">
    <cfRule type="cellIs" dxfId="137" priority="116" stopIfTrue="1" operator="equal">
      <formula>"н/д"</formula>
    </cfRule>
  </conditionalFormatting>
  <conditionalFormatting sqref="C336:C337">
    <cfRule type="cellIs" dxfId="136" priority="88" stopIfTrue="1" operator="equal">
      <formula>"н/д"</formula>
    </cfRule>
  </conditionalFormatting>
  <conditionalFormatting sqref="H215:H261 H270:H282 H298:H301 H303:H314 I245 I247 I258:J258 I271:J272 I279:J279 H284:H296 I285:J286 I296:J296 I304 I311:J311 I314:J314 I307:J307">
    <cfRule type="cellIs" dxfId="135" priority="106" stopIfTrue="1" operator="equal">
      <formula>"н/д"</formula>
    </cfRule>
  </conditionalFormatting>
  <conditionalFormatting sqref="F262:I262">
    <cfRule type="cellIs" dxfId="134" priority="105" stopIfTrue="1" operator="equal">
      <formula>"н/д"</formula>
    </cfRule>
  </conditionalFormatting>
  <conditionalFormatting sqref="F297:G297">
    <cfRule type="cellIs" dxfId="133" priority="103" stopIfTrue="1" operator="equal">
      <formula>"н/д"</formula>
    </cfRule>
  </conditionalFormatting>
  <conditionalFormatting sqref="F269:G269">
    <cfRule type="cellIs" dxfId="132" priority="104" stopIfTrue="1" operator="equal">
      <formula>"н/д"</formula>
    </cfRule>
  </conditionalFormatting>
  <conditionalFormatting sqref="F302:G302">
    <cfRule type="cellIs" dxfId="131" priority="102" stopIfTrue="1" operator="equal">
      <formula>"н/д"</formula>
    </cfRule>
  </conditionalFormatting>
  <conditionalFormatting sqref="F338:G339 F333:G335 F341:G341">
    <cfRule type="cellIs" dxfId="130" priority="89" stopIfTrue="1" operator="equal">
      <formula>"н/д"</formula>
    </cfRule>
  </conditionalFormatting>
  <conditionalFormatting sqref="F343:G343">
    <cfRule type="cellIs" dxfId="129" priority="90" stopIfTrue="1" operator="equal">
      <formula>"н/д"</formula>
    </cfRule>
  </conditionalFormatting>
  <conditionalFormatting sqref="F91:G100">
    <cfRule type="cellIs" dxfId="128" priority="87" stopIfTrue="1" operator="equal">
      <formula>"н/д"</formula>
    </cfRule>
  </conditionalFormatting>
  <conditionalFormatting sqref="F88:I88">
    <cfRule type="cellIs" dxfId="127" priority="86" stopIfTrue="1" operator="equal">
      <formula>"н/д"</formula>
    </cfRule>
  </conditionalFormatting>
  <conditionalFormatting sqref="Z330">
    <cfRule type="cellIs" dxfId="126" priority="63" stopIfTrue="1" operator="equal">
      <formula>"н/д"</formula>
    </cfRule>
  </conditionalFormatting>
  <conditionalFormatting sqref="H315">
    <cfRule type="cellIs" dxfId="125" priority="30" stopIfTrue="1" operator="equal">
      <formula>"н/д"</formula>
    </cfRule>
  </conditionalFormatting>
  <conditionalFormatting sqref="F102:G102">
    <cfRule type="cellIs" dxfId="124" priority="22" stopIfTrue="1" operator="equal">
      <formula>"н/д"</formula>
    </cfRule>
  </conditionalFormatting>
  <conditionalFormatting sqref="F123:G124">
    <cfRule type="cellIs" dxfId="123" priority="13" stopIfTrue="1" operator="equal">
      <formula>"н/д"</formula>
    </cfRule>
  </conditionalFormatting>
  <conditionalFormatting sqref="F125">
    <cfRule type="cellIs" dxfId="122" priority="12" stopIfTrue="1" operator="equal">
      <formula>"н/д"</formula>
    </cfRule>
  </conditionalFormatting>
  <conditionalFormatting sqref="H326:J326">
    <cfRule type="cellIs" dxfId="121" priority="5" stopIfTrue="1" operator="equal">
      <formula>"н/д"</formula>
    </cfRule>
  </conditionalFormatting>
  <conditionalFormatting sqref="L358">
    <cfRule type="cellIs" dxfId="120" priority="2" stopIfTrue="1" operator="equal">
      <formula>"н/д"</formula>
    </cfRule>
  </conditionalFormatting>
  <conditionalFormatting sqref="F358:G358">
    <cfRule type="cellIs" dxfId="119" priority="1" stopIfTrue="1" operator="equal">
      <formula>"н/д"</formula>
    </cfRule>
  </conditionalFormatting>
  <dataValidations count="2">
    <dataValidation type="whole" operator="greaterThanOrEqual" allowBlank="1" showInputMessage="1" showErrorMessage="1" error="Введите целое положительное число." sqref="WGJ330:WGK330 VWN330:VWO330 VMR330:VMS330 VCV330:VCW330 USZ330:UTA330 UJD330:UJE330 TZH330:TZI330 TPL330:TPM330 TFP330:TFQ330 SVT330:SVU330 SLX330:SLY330 SCB330:SCC330 RSF330:RSG330 RIJ330:RIK330 QYN330:QYO330 QOR330:QOS330 QEV330:QEW330 PUZ330:PVA330 PLD330:PLE330 PBH330:PBI330 ORL330:ORM330 OHP330:OHQ330 NXT330:NXU330 NNX330:NNY330 NEB330:NEC330 MUF330:MUG330 MKJ330:MKK330 MAN330:MAO330 LQR330:LQS330 LGV330:LGW330 KWZ330:KXA330 KND330:KNE330 KDH330:KDI330 JTL330:JTM330 JJP330:JJQ330 IZT330:IZU330 IPX330:IPY330 IGB330:IGC330 HWF330:HWG330 HMJ330:HMK330 HCN330:HCO330 GSR330:GSS330 GIV330:GIW330 FYZ330:FZA330 FPD330:FPE330 FFH330:FFI330 EVL330:EVM330 ELP330:ELQ330 EBT330:EBU330 DRX330:DRY330 DIB330:DIC330 CYF330:CYG330 COJ330:COK330 CEN330:CEO330 BUR330:BUS330 BKV330:BKW330 BAZ330:BBA330 ARD330:ARE330 AHH330:AHI330 XL330:XM330 NP330:NQ330 DT330:DU330 F330:G330 VWN303:VWO304 VMR303:VMS304 VCV303:VCW304 USZ303:UTA304 UJD303:UJE304 TZH303:TZI304 TPL303:TPM304 TFP303:TFQ304 SVT303:SVU304 SLX303:SLY304 SCB303:SCC304 RSF303:RSG304 RIJ303:RIK304 QYN303:QYO304 QOR303:QOS304 QEV303:QEW304 PUZ303:PVA304 PLD303:PLE304 PBH303:PBI304 ORL303:ORM304 OHP303:OHQ304 NXT303:NXU304 NNX303:NNY304 NEB303:NEC304 MUF303:MUG304 MKJ303:MKK304 MAN303:MAO304 LQR303:LQS304 LGV303:LGW304 KWZ303:KXA304 KND303:KNE304 KDH303:KDI304 JTL303:JTM304 JJP303:JJQ304 IZT303:IZU304 IPX303:IPY304 IGB303:IGC304 HWF303:HWG304 HMJ303:HMK304 HCN303:HCO304 GSR303:GSS304 GIV303:GIW304 FYZ303:FZA304 FPD303:FPE304 FFH303:FFI304 EVL303:EVM304 ELP303:ELQ304 EBT303:EBU304 DRX303:DRY304 DIB303:DIC304 CYF303:CYG304 COJ303:COK304 CEN303:CEO304 BUR303:BUS304 BKV303:BKW304 BAZ303:BBA304 ARD303:ARE304 AHH303:AHI304 XL303:XM304 NP303:NQ304 DT303:DU304 DT294:DU301 NP294:NQ301 XL294:XM301 AHH294:AHI301 ARD294:ARE301 BAZ294:BBA301 BKV294:BKW301 BUR294:BUS301 CEN294:CEO301 COJ294:COK301 CYF294:CYG301 DIB294:DIC301 DRX294:DRY301 EBT294:EBU301 ELP294:ELQ301 EVL294:EVM301 FFH294:FFI301 FPD294:FPE301 FYZ294:FZA301 GIV294:GIW301 GSR294:GSS301 HCN294:HCO301 HMJ294:HMK301 HWF294:HWG301 IGB294:IGC301 IPX294:IPY301 IZT294:IZU301 JJP294:JJQ301 JTL294:JTM301 KDH294:KDI301 KND294:KNE301 KWZ294:KXA301 LGV294:LGW301 LQR294:LQS301 MAN294:MAO301 MKJ294:MKK301 MUF294:MUG301 NEB294:NEC301 NNX294:NNY301 NXT294:NXU301 OHP294:OHQ301 ORL294:ORM301 PBH294:PBI301 PLD294:PLE301 PUZ294:PVA301 QEV294:QEW301 QOR294:QOS301 QYN294:QYO301 RIJ294:RIK301 RSF294:RSG301 SCB294:SCC301 SLX294:SLY301 SVT294:SVU301 TFP294:TFQ301 TPL294:TPM301 TZH294:TZI301 UJD294:UJE301 USZ294:UTA301 VCV294:VCW301 VMR294:VMS301 VWN294:VWO301 WGJ294:WGK301 WGJ303:WGK304 NP177:NQ178 VMR196:VMS199 VCV196:VCW199 USZ196:UTA199 UJD196:UJE199 TZH196:TZI199 TPL196:TPM199 TFP196:TFQ199 SVT196:SVU199 SLX196:SLY199 SCB196:SCC199 RSF196:RSG199 RIJ196:RIK199 QYN196:QYO199 QOR196:QOS199 QEV196:QEW199 PUZ196:PVA199 PLD196:PLE199 PBH196:PBI199 ORL196:ORM199 OHP196:OHQ199 NXT196:NXU199 NNX196:NNY199 NEB196:NEC199 MUF196:MUG199 MKJ196:MKK199 MAN196:MAO199 LQR196:LQS199 LGV196:LGW199 KWZ196:KXA199 KND196:KNE199 KDH196:KDI199 JTL196:JTM199 JJP196:JJQ199 IZT196:IZU199 IPX196:IPY199 IGB196:IGC199 HWF196:HWG199 HMJ196:HMK199 HCN196:HCO199 GSR196:GSS199 GIV196:GIW199 FYZ196:FZA199 FPD196:FPE199 FFH196:FFI199 EVL196:EVM199 ELP196:ELQ199 EBT196:EBU199 DRX196:DRY199 DIB196:DIC199 CYF196:CYG199 COJ196:COK199 CEN196:CEO199 BUR196:BUS199 BKV196:BKW199 BAZ196:BBA199 ARD196:ARE199 AHH196:AHI199 XL196:XM199 NP196:NQ199 DT196:DU199 WGJ196:WGK199 DT150:DU150 NP150:NQ150 VCV343:VCW343 XL150:XM150 AHH150:AHI150 ARD150:ARE150 BAZ150:BBA150 BKV150:BKW150 BUR150:BUS150 CEN150:CEO150 COJ150:COK150 CYF150:CYG150 DIB150:DIC150 DRX150:DRY150 EBT150:EBU150 ELP150:ELQ150 EVL150:EVM150 FFH150:FFI150 FPD150:FPE150 FYZ150:FZA150 GIV150:GIW150 GSR150:GSS150 HCN150:HCO150 HMJ150:HMK150 HWF150:HWG150 IGB150:IGC150 IPX150:IPY150 IZT150:IZU150 JJP150:JJQ150 JTL150:JTM150 KDH150:KDI150 KND150:KNE150 KWZ150:KXA150 LGV150:LGW150 LQR150:LQS150 MAN150:MAO150 MKJ150:MKK150 MUF150:MUG150 NEB150:NEC150 NNX150:NNY150 NXT150:NXU150 OHP150:OHQ150 ORL150:ORM150 PBH150:PBI150 PLD150:PLE150 PUZ150:PVA150 QEV150:QEW150 QOR150:QOS150 QYN150:QYO150 RIJ150:RIK150 RSF150:RSG150 SCB150:SCC150 SLX150:SLY150 SVT150:SVU150 TFP150:TFQ150 TPL150:TPM150 TZH150:TZI150 UJD150:UJE150 USZ150:UTA150 VWN150:VWO150 VCV150:VCW150 WGJ150:WGK150 VMR150:VMS150 NP173:NQ175 DT173:DU175 VMR173:VMS175 WGJ173:WGK175 VCV173:VCW175 VWN173:VWO175 USZ173:UTA175 UJD173:UJE175 TZH173:TZI175 TPL173:TPM175 TFP173:TFQ175 SVT173:SVU175 SLX173:SLY175 SCB173:SCC175 RSF173:RSG175 RIJ173:RIK175 QYN173:QYO175 QOR173:QOS175 QEV173:QEW175 PUZ173:PVA175 PLD173:PLE175 PBH173:PBI175 ORL173:ORM175 OHP173:OHQ175 NXT173:NXU175 NNX173:NNY175 NEB173:NEC175 MUF173:MUG175 MKJ173:MKK175 MAN173:MAO175 LQR173:LQS175 LGV173:LGW175 KWZ173:KXA175 KND173:KNE175 KDH173:KDI175 JTL173:JTM175 JJP173:JJQ175 IZT173:IZU175 IPX173:IPY175 IGB173:IGC175 HWF173:HWG175 HMJ173:HMK175 HCN173:HCO175 GSR173:GSS175 GIV173:GIW175 FYZ173:FZA175 FPD173:FPE175 FFH173:FFI175 EVL173:EVM175 ELP173:ELQ175 EBT173:EBU175 DRX173:DRY175 DIB173:DIC175 CYF173:CYG175 COJ173:COK175 CEN173:CEO175 BUR173:BUS175 BKV173:BKW175 BAZ173:BBA175 ARD173:ARE175 AHH173:AHI175 XL173:XM175 XL177:XM178 VMR343:VMS343 WGJ192:WGK193 DT192:DU193 NP192:NQ193 XL192:XM193 AHH192:AHI193 ARD192:ARE193 BAZ192:BBA193 BKV192:BKW193 BUR192:BUS193 CEN192:CEO193 COJ192:COK193 CYF192:CYG193 DIB192:DIC193 DRX192:DRY193 EBT192:EBU193 ELP192:ELQ193 EVL192:EVM193 FFH192:FFI193 FPD192:FPE193 FYZ192:FZA193 GIV192:GIW193 GSR192:GSS193 HCN192:HCO193 HMJ192:HMK193 HWF192:HWG193 IGB192:IGC193 IPX192:IPY193 IZT192:IZU193 JJP192:JJQ193 JTL192:JTM193 KDH192:KDI193 KND192:KNE193 KWZ192:KXA193 LGV192:LGW193 LQR192:LQS193 MAN192:MAO193 MKJ192:MKK193 MUF192:MUG193 NEB192:NEC193 NNX192:NNY193 NXT192:NXU193 OHP192:OHQ193 ORL192:ORM193 PBH192:PBI193 PLD192:PLE193 PUZ192:PVA193 QEV192:QEW193 QOR192:QOS193 QYN192:QYO193 RIJ192:RIK193 RSF192:RSG193 SCB192:SCC193 SLX192:SLY193 SVT192:SVU193 TFP192:TFQ193 TPL192:TPM193 TZH192:TZI193 UJD192:UJE193 USZ192:UTA193 VCV192:VCW193 VMR192:VMS193 VWN192:VWO193 TPL48:TPM48 TFP48:TFQ48 SVT48:SVU48 SLX48:SLY48 SCB48:SCC48 RSF48:RSG48 RIJ48:RIK48 QYN48:QYO48 QOR48:QOS48 QEV48:QEW48 PUZ48:PVA48 PLD48:PLE48 PBH48:PBI48 ORL48:ORM48 OHP48:OHQ48 NXT48:NXU48 NNX48:NNY48 NEB48:NEC48 MUF48:MUG48 MKJ48:MKK48 MAN48:MAO48 LQR48:LQS48 LGV48:LGW48 KWZ48:KXA48 KND48:KNE48 KDH48:KDI48 JTL48:JTM48 JJP48:JJQ48 IZT48:IZU48 IPX48:IPY48 IGB48:IGC48 HWF48:HWG48 HMJ48:HMK48 HCN48:HCO48 GSR48:GSS48 GIV48:GIW48 FYZ48:FZA48 FPD48:FPE48 FFH48:FFI48 EVL48:EVM48 ELP48:ELQ48 EBT48:EBU48 DRX48:DRY48 DIB48:DIC48 CYF48:CYG48 COJ48:COK48 CEN48:CEO48 BUR48:BUS48 BKV48:BKW48 BAZ48:BBA48 ARD48:ARE48 AHH48:AHI48 XL48:XM48 NP48:NQ48 DT48:DU48 WGJ343:WGK343 DT45:DU46 NP45:NQ46 XL45:XM46 AHH45:AHI46 ARD45:ARE46 BAZ45:BBA46 BKV45:BKW46 BUR45:BUS46 CEN45:CEO46 COJ45:COK46 CYF45:CYG46 DIB45:DIC46 DRX45:DRY46 EBT45:EBU46 ELP45:ELQ46 EVL45:EVM46 FFH45:FFI46 FPD45:FPE46 FYZ45:FZA46 GIV45:GIW46 GSR45:GSS46 HCN45:HCO46 HMJ45:HMK46 HWF45:HWG46 IGB45:IGC46 IPX45:IPY46 IZT45:IZU46 JJP45:JJQ46 JTL45:JTM46 KDH45:KDI46 KND45:KNE46 KWZ45:KXA46 LGV45:LGW46 LQR45:LQS46 MAN45:MAO46 MKJ45:MKK46 MUF45:MUG46 NEB45:NEC46 NNX45:NNY46 NXT45:NXU46 OHP45:OHQ46 ORL45:ORM46 PBH45:PBI46 PLD45:PLE46 PUZ45:PVA46 QEV45:QEW46 QOR45:QOS46 QYN45:QYO46 RIJ45:RIK46 RSF45:RSG46 SCB45:SCC46 SLX45:SLY46 SVT45:SVU46 TFP45:TFQ46 TPL45:TPM46 TZH45:TZI46 UJD45:UJE46 USZ45:UTA46 VCV45:VCW46 VMR45:VMS46 VWN45:VWO46 WGJ45:WGK46 WGJ48:WGK48 VWN48:VWO48 VMR48:VMS48 F61:G62 VCV48:VCW48 USZ48:UTA48 UJD48:UJE48 TZH48:TZI48 VWN196:VWO199 VWN343:VWO343 F22:G24 AHH177:AHI178 ARD177:ARE178 BAZ177:BBA178 BKV177:BKW178 BUR177:BUS178 CEN177:CEO178 COJ177:COK178 CYF177:CYG178 DIB177:DIC178 DRX177:DRY178 EBT177:EBU178 ELP177:ELQ178 EVL177:EVM178 FFH177:FFI178 FPD177:FPE178 FYZ177:FZA178 GIV177:GIW178 GSR177:GSS178 HCN177:HCO178 HMJ177:HMK178 HWF177:HWG178 IGB177:IGC178 IPX177:IPY178 IZT177:IZU178 JJP177:JJQ178 JTL177:JTM178 KDH177:KDI178 KND177:KNE178 KWZ177:KXA178 LGV177:LGW178 LQR177:LQS178 MAN177:MAO178 MKJ177:MKK178 MUF177:MUG178 NEB177:NEC178 NNX177:NNY178 NXT177:NXU178 OHP177:OHQ178 ORL177:ORM178 PBH177:PBI178 PLD177:PLE178 PUZ177:PVA178 QEV177:QEW178 QOR177:QOS178 QYN177:QYO178 RIJ177:RIK178 RSF177:RSG178 SCB177:SCC178 SLX177:SLY178 SVT177:SVU178 TFP177:TFQ178 TPL177:TPM178 TZH177:TZI178 UJD177:UJE178 USZ177:UTA178 VWN177:VWO178 VCV177:VCW178 WGJ177:WGK178 WGJ158:WGK160 VWN158:VWO160 VMR158:VMS160 VCV158:VCW160 USZ158:UTA160 UJD158:UJE160 TZH158:TZI160 TPL158:TPM160 TFP158:TFQ160 SVT158:SVU160 SLX158:SLY160 SCB158:SCC160 RSF158:RSG160 RIJ158:RIK160 QYN158:QYO160 QOR158:QOS160 QEV158:QEW160 PUZ158:PVA160 PLD158:PLE160 PBH158:PBI160 ORL158:ORM160 OHP158:OHQ160 NXT158:NXU160 NNX158:NNY160 NEB158:NEC160 MUF158:MUG160 MKJ158:MKK160 MAN158:MAO160 LQR158:LQS160 LGV158:LGW160 KWZ158:KXA160 KND158:KNE160 KDH158:KDI160 JTL158:JTM160 JJP158:JJQ160 IZT158:IZU160 IPX158:IPY160 IGB158:IGC160 HWF158:HWG160 HMJ158:HMK160 HCN158:HCO160 GSR158:GSS160 GIV158:GIW160 FYZ158:FZA160 FPD158:FPE160 FFH158:FFI160 EVL158:EVM160 ELP158:ELQ160 EBT158:EBU160 DRX158:DRY160 DIB158:DIC160 CYF158:CYG160 COJ158:COK160 CEN158:CEO160 BUR158:BUS160 BKV158:BKW160 BAZ158:BBA160 ARD158:ARE160 AHH158:AHI160 XL158:XM160 NP158:NQ160 DT158:DU160 VMR177:VMS178 WGJ184:WGK186 VWN184:VWO186 VMR184:VMS186 VCV184:VCW186 USZ184:UTA186 UJD184:UJE186 TZH184:TZI186 TPL184:TPM186 TFP184:TFQ186 SVT184:SVU186 SLX184:SLY186 SCB184:SCC186 RSF184:RSG186 RIJ184:RIK186 QYN184:QYO186 QOR184:QOS186 QEV184:QEW186 PUZ184:PVA186 PLD184:PLE186 PBH184:PBI186 ORL184:ORM186 OHP184:OHQ186 NXT184:NXU186 NNX184:NNY186 NEB184:NEC186 MUF184:MUG186 MKJ184:MKK186 MAN184:MAO186 LQR184:LQS186 LGV184:LGW186 KWZ184:KXA186 KND184:KNE186 KDH184:KDI186 JTL184:JTM186 JJP184:JJQ186 IZT184:IZU186 IPX184:IPY186 IGB184:IGC186 HWF184:HWG186 HMJ184:HMK186 HCN184:HCO186 GSR184:GSS186 GIV184:GIW186 FYZ184:FZA186 FPD184:FPE186 FFH184:FFI186 EVL184:EVM186 ELP184:ELQ186 EBT184:EBU186 DRX184:DRY186 DIB184:DIC186 CYF184:CYG186 COJ184:COK186 CEN184:CEO186 BUR184:BUS186 BKV184:BKW186 BAZ184:BBA186 ARD184:ARE186 AHH184:AHI186 XL184:XM186 NP184:NQ186 DT184:DU186 DT177:DU178 WGJ163:WGK163 VWN163:VWO163 VMR163:VMS163 VCV163:VCW163 USZ163:UTA163 UJD163:UJE163 TZH163:TZI163 TPL163:TPM163 TFP163:TFQ163 SVT163:SVU163 SLX163:SLY163 SCB163:SCC163 RSF163:RSG163 RIJ163:RIK163 QYN163:QYO163 QOR163:QOS163 QEV163:QEW163 PUZ163:PVA163 PLD163:PLE163 PBH163:PBI163 ORL163:ORM163 OHP163:OHQ163 NXT163:NXU163 NNX163:NNY163 NEB163:NEC163 MUF163:MUG163 MKJ163:MKK163 MAN163:MAO163 LQR163:LQS163 LGV163:LGW163 KWZ163:KXA163 KND163:KNE163 KDH163:KDI163 JTL163:JTM163 JJP163:JJQ163 IZT163:IZU163 IPX163:IPY163 IGB163:IGC163 HWF163:HWG163 HMJ163:HMK163 HCN163:HCO163 GSR163:GSS163 GIV163:GIW163 FYZ163:FZA163 FPD163:FPE163 FFH163:FFI163 EVL163:EVM163 ELP163:ELQ163 EBT163:EBU163 DRX163:DRY163 DIB163:DIC163 CYF163:CYG163 COJ163:COK163 CEN163:CEO163 BUR163:BUS163 BKV163:BKW163 BAZ163:BBA163 ARD163:ARE163 AHH163:AHI163 XL163:XM163 NP163:NQ163 DT163:DU163 NP270:NQ274 DT256:DU256 NP256:NQ256 XL256:XM256 AHH256:AHI256 ARD256:ARE256 BAZ256:BBA256 BKV256:BKW256 BUR256:BUS256 CEN256:CEO256 COJ256:COK256 CYF256:CYG256 DIB256:DIC256 DRX256:DRY256 EBT256:EBU256 ELP256:ELQ256 EVL256:EVM256 FFH256:FFI256 FPD256:FPE256 FYZ256:FZA256 GIV256:GIW256 GSR256:GSS256 HCN256:HCO256 HMJ256:HMK256 HWF256:HWG256 IGB256:IGC256 IPX256:IPY256 IZT256:IZU256 JJP256:JJQ256 JTL256:JTM256 KDH256:KDI256 KND256:KNE256 KWZ256:KXA256 LGV256:LGW256 LQR256:LQS256 MAN256:MAO256 MKJ256:MKK256 MUF256:MUG256 NEB256:NEC256 NNX256:NNY256 NXT256:NXU256 OHP256:OHQ256 ORL256:ORM256 PBH256:PBI256 PLD256:PLE256 PUZ256:PVA256 QEV256:QEW256 QOR256:QOS256 QYN256:QYO256 RIJ256:RIK256 RSF256:RSG256 SCB256:SCC256 SLX256:SLY256 SVT256:SVU256 TFP256:TFQ256 TPL256:TPM256 TZH256:TZI256 UJD256:UJE256 USZ256:UTA256 VCV256:VCW256 VMR256:VMS256 VWN256:VWO256 WGJ256:WGK256 DT284:DU286 NP284:NQ286 XL284:XM286 AHH284:AHI286 ARD284:ARE286 BAZ284:BBA286 BKV284:BKW286 BUR284:BUS286 CEN284:CEO286 COJ284:COK286 CYF284:CYG286 DIB284:DIC286 DRX284:DRY286 EBT284:EBU286 ELP284:ELQ286 EVL284:EVM286 FFH284:FFI286 FPD284:FPE286 FYZ284:FZA286 GIV284:GIW286 GSR284:GSS286 HCN284:HCO286 HMJ284:HMK286 HWF284:HWG286 IGB284:IGC286 IPX284:IPY286 IZT284:IZU286 JJP284:JJQ286 JTL284:JTM286 KDH284:KDI286 KND284:KNE286 KWZ284:KXA286 LGV284:LGW286 LQR284:LQS286 MAN284:MAO286 MKJ284:MKK286 MUF284:MUG286 NEB284:NEC286 NNX284:NNY286 NXT284:NXU286 OHP284:OHQ286 ORL284:ORM286 PBH284:PBI286 PLD284:PLE286 PUZ284:PVA286 QEV284:QEW286 QOR284:QOS286 QYN284:QYO286 RIJ284:RIK286 RSF284:RSG286 SCB284:SCC286 SLX284:SLY286 SVT284:SVU286 TFP284:TFQ286 TPL284:TPM286 TZH284:TZI286 UJD284:UJE286 USZ284:UTA286 VCV284:VCW286 VMR284:VMS286 VWN284:VWO286 WGJ284:WGK286 DT251:DU253 NP251:NQ253 XL251:XM253 AHH251:AHI253 ARD251:ARE253 BAZ251:BBA253 BKV251:BKW253 BUR251:BUS253 CEN251:CEO253 COJ251:COK253 CYF251:CYG253 DIB251:DIC253 DRX251:DRY253 EBT251:EBU253 ELP251:ELQ253 EVL251:EVM253 FFH251:FFI253 FPD251:FPE253 FYZ251:FZA253 GIV251:GIW253 GSR251:GSS253 HCN251:HCO253 HMJ251:HMK253 HWF251:HWG253 IGB251:IGC253 IPX251:IPY253 IZT251:IZU253 JJP251:JJQ253 JTL251:JTM253 KDH251:KDI253 KND251:KNE253 KWZ251:KXA253 LGV251:LGW253 LQR251:LQS253 MAN251:MAO253 MKJ251:MKK253 MUF251:MUG253 NEB251:NEC253 NNX251:NNY253 NXT251:NXU253 OHP251:OHQ253 ORL251:ORM253 PBH251:PBI253 PLD251:PLE253 PUZ251:PVA253 QEV251:QEW253 QOR251:QOS253 QYN251:QYO253 RIJ251:RIK253 RSF251:RSG253 SCB251:SCC253 SLX251:SLY253 SVT251:SVU253 TFP251:TFQ253 TPL251:TPM253 TZH251:TZI253 UJD251:UJE253 USZ251:UTA253 VCV251:VCW253 VMR251:VMS253 VWN251:VWO253 WGJ251:WGK253 DT307:DU307 NP307:NQ307 XL307:XM307 AHH307:AHI307 ARD307:ARE307 BAZ307:BBA307 BKV307:BKW307 BUR307:BUS307 CEN307:CEO307 COJ307:COK307 CYF307:CYG307 DIB307:DIC307 DRX307:DRY307 EBT307:EBU307 ELP307:ELQ307 EVL307:EVM307 FFH307:FFI307 FPD307:FPE307 FYZ307:FZA307 GIV307:GIW307 GSR307:GSS307 HCN307:HCO307 HMJ307:HMK307 HWF307:HWG307 IGB307:IGC307 IPX307:IPY307 IZT307:IZU307 JJP307:JJQ307 JTL307:JTM307 KDH307:KDI307 KND307:KNE307 KWZ307:KXA307 LGV307:LGW307 LQR307:LQS307 MAN307:MAO307 MKJ307:MKK307 MUF307:MUG307 NEB307:NEC307 NNX307:NNY307 NXT307:NXU307 OHP307:OHQ307 ORL307:ORM307 PBH307:PBI307 PLD307:PLE307 PUZ307:PVA307 QEV307:QEW307 QOR307:QOS307 QYN307:QYO307 RIJ307:RIK307 RSF307:RSG307 SCB307:SCC307 SLX307:SLY307 SVT307:SVU307 TFP307:TFQ307 TPL307:TPM307 TZH307:TZI307 UJD307:UJE307 USZ307:UTA307 VCV307:VCW307 VMR307:VMS307 VWN307:VWO307 WGJ307:WGK307 XL270:XM274 AHH270:AHI274 ARD270:ARE274 BAZ270:BBA274 BKV270:BKW274 BUR270:BUS274 CEN270:CEO274 COJ270:COK274 CYF270:CYG274 DIB270:DIC274 DRX270:DRY274 EBT270:EBU274 ELP270:ELQ274 EVL270:EVM274 FFH270:FFI274 FPD270:FPE274 FYZ270:FZA274 GIV270:GIW274 GSR270:GSS274 HCN270:HCO274 HMJ270:HMK274 HWF270:HWG274 IGB270:IGC274 IPX270:IPY274 IZT270:IZU274 JJP270:JJQ274 JTL270:JTM274 KDH270:KDI274 KND270:KNE274 KWZ270:KXA274 LGV270:LGW274 LQR270:LQS274 MAN270:MAO274 MKJ270:MKK274 MUF270:MUG274 NEB270:NEC274 NNX270:NNY274 NXT270:NXU274 OHP270:OHQ274 ORL270:ORM274 PBH270:PBI274 PLD270:PLE274 PUZ270:PVA274 QEV270:QEW274 QOR270:QOS274 QYN270:QYO274 RIJ270:RIK274 RSF270:RSG274 SCB270:SCC274 SLX270:SLY274 SVT270:SVU274 TFP270:TFQ274 TPL270:TPM274 TZH270:TZI274 UJD270:UJE274 USZ270:UTA274 VWN270:VWO274 VCV270:VCW274 WGJ270:WGK274 VMR270:VMS274 DT270:DU274 DT268:DU268 VMR268:VMS268 WGJ268:WGK268 VCV268:VCW268 VWN268:VWO268 USZ268:UTA268 UJD268:UJE268 TZH268:TZI268 TPL268:TPM268 TFP268:TFQ268 SVT268:SVU268 SLX268:SLY268 SCB268:SCC268 RSF268:RSG268 RIJ268:RIK268 QYN268:QYO268 QOR268:QOS268 QEV268:QEW268 PUZ268:PVA268 PLD268:PLE268 PBH268:PBI268 ORL268:ORM268 OHP268:OHQ268 NXT268:NXU268 NNX268:NNY268 NEB268:NEC268 MUF268:MUG268 MKJ268:MKK268 MAN268:MAO268 LQR268:LQS268 LGV268:LGW268 KWZ268:KXA268 KND268:KNE268 KDH268:KDI268 JTL268:JTM268 JJP268:JJQ268 IZT268:IZU268 IPX268:IPY268 IGB268:IGC268 HWF268:HWG268 HMJ268:HMK268 HCN268:HCO268 GSR268:GSS268 GIV268:GIW268 FYZ268:FZA268 FPD268:FPE268 FFH268:FFI268 EVL268:EVM268 ELP268:ELQ268 EBT268:EBU268 DRX268:DRY268 DIB268:DIC268 CYF268:CYG268 COJ268:COK268 CEN268:CEO268 BUR268:BUS268 BKV268:BKW268 BAZ268:BBA268 ARD268:ARE268 AHH268:AHI268 XL268:XM268 NP268:NQ268 DT343:DU343 NP343:NQ343 XL343:XM343 AHH343:AHI343 ARD343:ARE343 BAZ343:BBA343 BKV343:BKW343 BUR343:BUS343 CEN343:CEO343 COJ343:COK343 CYF343:CYG343 DIB343:DIC343 DRX343:DRY343 EBT343:EBU343 ELP343:ELQ343 EVL343:EVM343 FFH343:FFI343 FPD343:FPE343 FYZ343:FZA343 GIV343:GIW343 GSR343:GSS343 HCN343:HCO343 HMJ343:HMK343 HWF343:HWG343 IGB343:IGC343 IPX343:IPY343 IZT343:IZU343 JJP343:JJQ343 JTL343:JTM343 KDH343:KDI343 KND343:KNE343 KWZ343:KXA343 LGV343:LGW343 LQR343:LQS343 MAN343:MAO343 MKJ343:MKK343 MUF343:MUG343 NEB343:NEC343 NNX343:NNY343 NXT343:NXU343 OHP343:OHQ343 ORL343:ORM343 PBH343:PBI343 PLD343:PLE343 PUZ343:PVA343 QEV343:QEW343 QOR343:QOS343 QYN343:QYO343 RIJ343:RIK343 RSF343:RSG343 SCB343:SCC343 SLX343:SLY343 SVT343:SVU343 TFP343:TFQ343 TPL343:TPM343 TZH343:TZI343 UJD343:UJE343 USZ343:UTA343 F150:G150 F186:G186 F130:G130 F297:G297 F309:G310 F220:G224 F343:G343 F332:G332 DT104:DU104 NP104:NQ104 XL104:XM104 AHH104:AHI104 ARD104:ARE104 BAZ104:BBA104 BKV104:BKW104 BUR104:BUS104 CEN104:CEO104 COJ104:COK104 CYF104:CYG104 DIB104:DIC104 DRX104:DRY104 EBT104:EBU104 ELP104:ELQ104 EVL104:EVM104 FFH104:FFI104 FPD104:FPE104 FYZ104:FZA104 GIV104:GIW104 GSR104:GSS104 HCN104:HCO104 HMJ104:HMK104 HWF104:HWG104 IGB104:IGC104 IPX104:IPY104 IZT104:IZU104 JJP104:JJQ104 JTL104:JTM104 KDH104:KDI104 KND104:KNE104 KWZ104:KXA104 LGV104:LGW104 LQR104:LQS104 MAN104:MAO104 MKJ104:MKK104 MUF104:MUG104 NEB104:NEC104 NNX104:NNY104 NXT104:NXU104 OHP104:OHQ104 ORL104:ORM104 PBH104:PBI104 PLD104:PLE104 PUZ104:PVA104 QEV104:QEW104 QOR104:QOS104 QYN104:QYO104 RIJ104:RIK104 RSF104:RSG104 SCB104:SCC104 SLX104:SLY104 SVT104:SVU104 TFP104:TFQ104 TPL104:TPM104 TZH104:TZI104 UJD104:UJE104 USZ104:UTA104 VCV104:VCW104 VMR104:VMS104 VWN104:VWO104 WGJ104:WGK104 WGJ190:WGK190 VWN190:VWO190 VMR190:VMS190 VCV190:VCW190 USZ190:UTA190 UJD190:UJE190 TZH190:TZI190 TPL190:TPM190 TFP190:TFQ190 SVT190:SVU190 SLX190:SLY190 SCB190:SCC190 RSF190:RSG190 RIJ190:RIK190 QYN190:QYO190 QOR190:QOS190 QEV190:QEW190 PUZ190:PVA190 PLD190:PLE190 PBH190:PBI190 ORL190:ORM190 OHP190:OHQ190 NXT190:NXU190 NNX190:NNY190 NEB190:NEC190 MUF190:MUG190 MKJ190:MKK190 MAN190:MAO190 LQR190:LQS190 LGV190:LGW190 KWZ190:KXA190 KND190:KNE190 KDH190:KDI190 JTL190:JTM190 JJP190:JJQ190 IZT190:IZU190 IPX190:IPY190 IGB190:IGC190 HWF190:HWG190 HMJ190:HMK190 HCN190:HCO190 GSR190:GSS190 GIV190:GIW190 FYZ190:FZA190 FPD190:FPE190 FFH190:FFI190 EVL190:EVM190 ELP190:ELQ190 EBT190:EBU190 DRX190:DRY190 DIB190:DIC190 CYF190:CYG190 COJ190:COK190 CEN190:CEO190 BUR190:BUS190 BKV190:BKW190 BAZ190:BBA190 ARD190:ARE190 AHH190:AHI190 XL190:XM190 NP190:NQ190 DT190:DU190 F107:G108 F133:G135 WGJ113:WGK113 VWN113:VWO113 VMR113:VMS113 VCV113:VCW113 USZ113:UTA113 UJD113:UJE113 TZH113:TZI113 TPL113:TPM113 TFP113:TFQ113 SVT113:SVU113 SLX113:SLY113 SCB113:SCC113 RSF113:RSG113 RIJ113:RIK113 QYN113:QYO113 QOR113:QOS113 QEV113:QEW113 PUZ113:PVA113 PLD113:PLE113 PBH113:PBI113 ORL113:ORM113 OHP113:OHQ113 NXT113:NXU113 NNX113:NNY113 NEB113:NEC113 MUF113:MUG113 MKJ113:MKK113 MAN113:MAO113 LQR113:LQS113 LGV113:LGW113 KWZ113:KXA113 KND113:KNE113 KDH113:KDI113 JTL113:JTM113 JJP113:JJQ113 IZT113:IZU113 IPX113:IPY113 IGB113:IGC113 HWF113:HWG113 HMJ113:HMK113 HCN113:HCO113 GSR113:GSS113 GIV113:GIW113 FYZ113:FZA113 FPD113:FPE113 FFH113:FFI113 EVL113:EVM113 ELP113:ELQ113 EBT113:EBU113 DRX113:DRY113 DIB113:DIC113 CYF113:CYG113 COJ113:COK113 CEN113:CEO113 BUR113:BUS113 BKV113:BKW113 BAZ113:BBA113 ARD113:ARE113 AHH113:AHI113 XL113:XM113 NP113:NQ113 DT113:DU113 F120:G120 WGJ118:WGK118 VWN118:VWO118 VMR118:VMS118 VCV118:VCW118 USZ118:UTA118 UJD118:UJE118 TZH118:TZI118 TPL118:TPM118 TFP118:TFQ118 SVT118:SVU118 SLX118:SLY118 SCB118:SCC118 RSF118:RSG118 RIJ118:RIK118 QYN118:QYO118 QOR118:QOS118 QEV118:QEW118 PUZ118:PVA118 PLD118:PLE118 PBH118:PBI118 ORL118:ORM118 OHP118:OHQ118 NXT118:NXU118 NNX118:NNY118 NEB118:NEC118 MUF118:MUG118 MKJ118:MKK118 MAN118:MAO118 LQR118:LQS118 LGV118:LGW118 KWZ118:KXA118 KND118:KNE118 KDH118:KDI118 JTL118:JTM118 JJP118:JJQ118 IZT118:IZU118 IPX118:IPY118 IGB118:IGC118 HWF118:HWG118 HMJ118:HMK118 HCN118:HCO118 GSR118:GSS118 GIV118:GIW118 FYZ118:FZA118 FPD118:FPE118 FFH118:FFI118 EVL118:EVM118 ELP118:ELQ118 EBT118:EBU118 DRX118:DRY118 DIB118:DIC118 CYF118:CYG118 COJ118:COK118 CEN118:CEO118 BUR118:BUS118 BKV118:BKW118 BAZ118:BBA118 ARD118:ARE118 AHH118:AHI118 XL118:XM118 NP118:NQ118 DT118:DU118 F201:G202 F123 G124">
      <formula1>1</formula1>
      <formula2>0</formula2>
    </dataValidation>
    <dataValidation type="date" allowBlank="1" showInputMessage="1" showErrorMessage="1" error="Введите год в интервале от 1900 по 2013." sqref="NM336:NM337 WGG128 VWK128 VMO128 VCS128 USW128 UJA128 TZE128 TPI128 TFM128 SVQ128 SLU128 SBY128 RSC128 RIG128 QYK128 QOO128 QES128 PUW128 PLA128 PBE128 ORI128 OHM128 NXQ128 NNU128 NDY128 MUC128 MKG128 MAK128 LQO128 LGS128 KWW128 KNA128 KDE128 JTI128 JJM128 IZQ128 IPU128 IFY128 HWC128 HMG128 HCK128 GSO128 GIS128 FYW128 FPA128 FFE128 EVI128 ELM128 EBQ128 DRU128 DHY128 CYC128 COG128 CEK128 BUO128 BKS128 BAW128 ARA128 AHE128 XI128 NM128 DQ128 C294:C295 DQ336:DQ337 WGG336:WGG337 VWK336:VWK337 VMO336:VMO337 VCS336:VCS337 USW336:USW337 UJA336:UJA337 TZE336:TZE337 TPI336:TPI337 TFM336:TFM337 SVQ336:SVQ337 SLU336:SLU337 SBY336:SBY337 RSC336:RSC337 RIG336:RIG337 QYK336:QYK337 QOO336:QOO337 QES336:QES337 PUW336:PUW337 PLA336:PLA337 PBE336:PBE337 ORI336:ORI337 OHM336:OHM337 NXQ336:NXQ337 NNU336:NNU337 NDY336:NDY337 MUC336:MUC337 MKG336:MKG337 MAK336:MAK337 LQO336:LQO337 LGS336:LGS337 KWW336:KWW337 KNA336:KNA337 KDE336:KDE337 JTI336:JTI337 JJM336:JJM337 IZQ336:IZQ337 IPU336:IPU337 IFY336:IFY337 HWC336:HWC337 HMG336:HMG337 HCK336:HCK337 GSO336:GSO337 GIS336:GIS337 FYW336:FYW337 FPA336:FPA337 FFE336:FFE337 EVI336:EVI337 ELM336:ELM337 EBQ336:EBQ337 DRU336:DRU337 DHY336:DHY337 CYC336:CYC337 COG336:COG337 CEK336:CEK337 BUO336:BUO337 BKS336:BKS337 BAW336:BAW337 ARA336:ARA337 AHE336:AHE337 XI336:XI337 C336:C337 C190 C104">
      <formula1>1900</formula1>
      <formula2>2013</formula2>
    </dataValidation>
  </dataValidations>
  <pageMargins left="0.23622047244094491" right="0.23622047244094491" top="0.74803149606299213" bottom="0.74803149606299213" header="0.31496062992125984" footer="0.31496062992125984"/>
  <pageSetup paperSize="9" scale="28" firstPageNumber="0" fitToHeight="0" orientation="portrait" r:id="rId1"/>
  <headerFooter alignWithMargins="0"/>
  <colBreaks count="1" manualBreakCount="1">
    <brk id="20" min="3" max="436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2"/>
  <sheetViews>
    <sheetView tabSelected="1" view="pageBreakPreview" topLeftCell="A327" zoomScale="50" zoomScaleNormal="50" zoomScaleSheetLayoutView="50" workbookViewId="0">
      <selection activeCell="D354" sqref="D354"/>
    </sheetView>
  </sheetViews>
  <sheetFormatPr defaultColWidth="8.85546875" defaultRowHeight="39" customHeight="1"/>
  <cols>
    <col min="1" max="1" width="7.7109375" style="242" customWidth="1"/>
    <col min="2" max="2" width="39.28515625" style="1" customWidth="1"/>
    <col min="3" max="3" width="22.85546875" style="10" customWidth="1"/>
    <col min="4" max="4" width="23.85546875" style="10" customWidth="1"/>
    <col min="5" max="5" width="15.7109375" style="9" customWidth="1"/>
    <col min="6" max="6" width="21.85546875" style="10" customWidth="1"/>
    <col min="7" max="7" width="18.7109375" style="10" customWidth="1"/>
    <col min="8" max="8" width="21.85546875" style="10" customWidth="1"/>
    <col min="9" max="9" width="17.7109375" style="10" customWidth="1"/>
    <col min="10" max="10" width="17.5703125" style="10" customWidth="1"/>
    <col min="11" max="11" width="16" style="10" customWidth="1"/>
    <col min="12" max="12" width="20.28515625" style="10" customWidth="1"/>
    <col min="13" max="13" width="11.7109375" style="10" customWidth="1"/>
    <col min="14" max="14" width="20.140625" style="10" customWidth="1"/>
    <col min="15" max="15" width="15.85546875" style="10" customWidth="1"/>
    <col min="16" max="16" width="21.7109375" style="10" customWidth="1"/>
    <col min="17" max="17" width="18.42578125" style="10" customWidth="1"/>
    <col min="18" max="18" width="23.28515625" style="10" customWidth="1"/>
    <col min="19" max="19" width="22.85546875" style="10" customWidth="1"/>
    <col min="20" max="20" width="14" style="10" customWidth="1"/>
    <col min="21" max="21" width="18.5703125" style="10" customWidth="1"/>
    <col min="22" max="22" width="20.85546875" style="242" customWidth="1"/>
    <col min="23" max="23" width="23" style="242" customWidth="1"/>
    <col min="24" max="24" width="25.42578125" style="242" customWidth="1"/>
    <col min="25" max="25" width="12.28515625" style="242" customWidth="1"/>
    <col min="26" max="26" width="25.28515625" style="242" bestFit="1" customWidth="1"/>
    <col min="27" max="27" width="18.5703125" style="242" customWidth="1"/>
    <col min="28" max="28" width="9" style="242" bestFit="1" customWidth="1"/>
    <col min="29" max="29" width="9.7109375" style="242" bestFit="1" customWidth="1"/>
    <col min="30" max="30" width="11.5703125" style="242" bestFit="1" customWidth="1"/>
    <col min="31" max="31" width="8.85546875" style="242"/>
    <col min="32" max="32" width="9.140625" style="242" customWidth="1"/>
    <col min="33" max="33" width="15" style="242" bestFit="1" customWidth="1"/>
    <col min="34" max="34" width="11.5703125" style="242" bestFit="1" customWidth="1"/>
    <col min="35" max="35" width="9.7109375" style="242" bestFit="1" customWidth="1"/>
    <col min="36" max="36" width="11.5703125" style="242" bestFit="1" customWidth="1"/>
    <col min="37" max="37" width="8.85546875" style="242"/>
    <col min="38" max="38" width="17.85546875" style="242" bestFit="1" customWidth="1"/>
    <col min="39" max="39" width="8.85546875" style="242"/>
    <col min="40" max="40" width="9.140625" style="242" customWidth="1"/>
    <col min="41" max="41" width="8.85546875" style="242"/>
    <col min="42" max="42" width="9.140625" style="242" customWidth="1"/>
    <col min="43" max="43" width="8.85546875" style="242"/>
    <col min="44" max="44" width="9.140625" style="242" customWidth="1"/>
    <col min="45" max="45" width="8.85546875" style="242"/>
    <col min="46" max="46" width="9.140625" style="242" customWidth="1"/>
    <col min="47" max="47" width="8.85546875" style="242"/>
    <col min="48" max="48" width="9.140625" style="242" customWidth="1"/>
    <col min="49" max="49" width="8.85546875" style="242"/>
    <col min="50" max="50" width="9.140625" style="242" customWidth="1"/>
    <col min="51" max="51" width="8.85546875" style="242"/>
    <col min="52" max="52" width="9.140625" style="242" customWidth="1"/>
    <col min="53" max="53" width="8.85546875" style="242"/>
    <col min="54" max="54" width="9.140625" style="242" customWidth="1"/>
    <col min="55" max="55" width="8.85546875" style="242"/>
    <col min="56" max="56" width="9.140625" style="242" customWidth="1"/>
    <col min="57" max="57" width="8.85546875" style="242"/>
    <col min="58" max="58" width="9.140625" style="242" customWidth="1"/>
    <col min="59" max="59" width="8.85546875" style="242"/>
    <col min="60" max="60" width="9.140625" style="242" customWidth="1"/>
    <col min="61" max="61" width="8.85546875" style="242"/>
    <col min="62" max="62" width="9.140625" style="242" customWidth="1"/>
    <col min="63" max="63" width="8.85546875" style="242"/>
    <col min="64" max="64" width="9.140625" style="242" customWidth="1"/>
    <col min="65" max="65" width="8.85546875" style="242"/>
    <col min="66" max="66" width="9.140625" style="242" customWidth="1"/>
    <col min="67" max="67" width="8.85546875" style="242"/>
    <col min="68" max="68" width="9.140625" style="242" customWidth="1"/>
    <col min="69" max="69" width="8.85546875" style="242"/>
    <col min="70" max="70" width="9.140625" style="242" customWidth="1"/>
    <col min="71" max="71" width="8.85546875" style="242"/>
    <col min="72" max="72" width="9.140625" style="242" customWidth="1"/>
    <col min="73" max="73" width="8.85546875" style="242"/>
    <col min="74" max="74" width="9.140625" style="242" customWidth="1"/>
    <col min="75" max="75" width="8.85546875" style="242"/>
    <col min="76" max="76" width="9.140625" style="242" customWidth="1"/>
    <col min="77" max="77" width="8.85546875" style="242"/>
    <col min="78" max="78" width="9.140625" style="242" customWidth="1"/>
    <col min="79" max="79" width="8.85546875" style="242"/>
    <col min="80" max="80" width="9.140625" style="242" customWidth="1"/>
    <col min="81" max="81" width="8.85546875" style="242"/>
    <col min="82" max="82" width="9.140625" style="242" customWidth="1"/>
    <col min="83" max="83" width="8.85546875" style="242"/>
    <col min="84" max="84" width="9.140625" style="242" customWidth="1"/>
    <col min="85" max="85" width="8.85546875" style="242"/>
    <col min="86" max="86" width="9.140625" style="242" customWidth="1"/>
    <col min="87" max="87" width="8.85546875" style="242"/>
    <col min="88" max="88" width="9.140625" style="242" customWidth="1"/>
    <col min="89" max="89" width="8.85546875" style="242"/>
    <col min="90" max="90" width="9.140625" style="242" customWidth="1"/>
    <col min="91" max="91" width="8.85546875" style="242"/>
    <col min="92" max="92" width="9.140625" style="242" customWidth="1"/>
    <col min="93" max="93" width="8.85546875" style="242"/>
    <col min="94" max="94" width="9.140625" style="242" customWidth="1"/>
    <col min="95" max="95" width="8.85546875" style="242"/>
    <col min="96" max="96" width="9.140625" style="242" customWidth="1"/>
    <col min="97" max="97" width="8.85546875" style="242"/>
    <col min="98" max="98" width="9.140625" style="242" customWidth="1"/>
    <col min="99" max="99" width="8.85546875" style="242"/>
    <col min="100" max="100" width="9.140625" style="242" customWidth="1"/>
    <col min="101" max="101" width="8.85546875" style="242"/>
    <col min="102" max="102" width="9.140625" style="242" customWidth="1"/>
    <col min="103" max="103" width="8.85546875" style="242"/>
    <col min="104" max="104" width="9.140625" style="242" customWidth="1"/>
    <col min="105" max="105" width="8.85546875" style="242"/>
    <col min="106" max="106" width="9.140625" style="242" customWidth="1"/>
    <col min="107" max="107" width="8.85546875" style="242"/>
    <col min="108" max="108" width="9.140625" style="242" customWidth="1"/>
    <col min="109" max="109" width="8.85546875" style="242"/>
    <col min="110" max="110" width="9.140625" style="242" customWidth="1"/>
    <col min="111" max="111" width="8.85546875" style="242"/>
    <col min="112" max="112" width="9.140625" style="242" customWidth="1"/>
    <col min="113" max="113" width="8.85546875" style="242"/>
    <col min="114" max="114" width="9.140625" style="242" customWidth="1"/>
    <col min="115" max="115" width="8.85546875" style="242"/>
    <col min="116" max="116" width="9.140625" style="242" customWidth="1"/>
    <col min="117" max="117" width="8.85546875" style="242"/>
    <col min="118" max="118" width="9.140625" style="242" customWidth="1"/>
    <col min="119" max="119" width="8.85546875" style="242"/>
    <col min="120" max="120" width="9.140625" style="242" customWidth="1"/>
    <col min="121" max="121" width="8.85546875" style="242"/>
    <col min="122" max="122" width="9.140625" style="242" customWidth="1"/>
    <col min="123" max="123" width="8.85546875" style="242"/>
    <col min="124" max="124" width="9.140625" style="242" customWidth="1"/>
    <col min="125" max="125" width="8.85546875" style="242"/>
    <col min="126" max="126" width="9.140625" style="242" customWidth="1"/>
    <col min="127" max="127" width="8.85546875" style="242"/>
    <col min="128" max="128" width="9.140625" style="242" customWidth="1"/>
    <col min="129" max="129" width="8.85546875" style="242"/>
    <col min="130" max="130" width="9.140625" style="242" customWidth="1"/>
    <col min="131" max="131" width="8.85546875" style="242"/>
    <col min="132" max="132" width="9.140625" style="242" customWidth="1"/>
    <col min="133" max="133" width="8.85546875" style="242"/>
    <col min="134" max="134" width="9.140625" style="242" customWidth="1"/>
    <col min="135" max="135" width="8.85546875" style="242"/>
    <col min="136" max="136" width="9.140625" style="242" customWidth="1"/>
    <col min="137" max="137" width="8.85546875" style="242"/>
    <col min="138" max="138" width="9.140625" style="242" customWidth="1"/>
    <col min="139" max="139" width="8.85546875" style="242"/>
    <col min="140" max="140" width="9.140625" style="242" customWidth="1"/>
    <col min="141" max="141" width="8.85546875" style="242"/>
    <col min="142" max="142" width="9.140625" style="242" customWidth="1"/>
    <col min="143" max="143" width="8.85546875" style="242"/>
    <col min="144" max="144" width="9.140625" style="242" customWidth="1"/>
    <col min="145" max="145" width="8.85546875" style="242"/>
    <col min="146" max="146" width="9.140625" style="242" customWidth="1"/>
    <col min="147" max="147" width="8.85546875" style="242"/>
    <col min="148" max="148" width="9.140625" style="242" customWidth="1"/>
    <col min="149" max="149" width="8.85546875" style="242"/>
    <col min="150" max="150" width="9.140625" style="242" customWidth="1"/>
    <col min="151" max="151" width="8.85546875" style="242"/>
    <col min="152" max="152" width="9.140625" style="242" customWidth="1"/>
    <col min="153" max="153" width="8.85546875" style="242"/>
    <col min="154" max="154" width="9.140625" style="242" customWidth="1"/>
    <col min="155" max="155" width="8.85546875" style="242"/>
    <col min="156" max="156" width="9.140625" style="242" customWidth="1"/>
    <col min="157" max="157" width="8.85546875" style="242"/>
    <col min="158" max="158" width="9.140625" style="242" customWidth="1"/>
    <col min="159" max="159" width="8.85546875" style="242"/>
    <col min="160" max="160" width="9.140625" style="242" customWidth="1"/>
    <col min="161" max="161" width="8.85546875" style="242"/>
    <col min="162" max="162" width="9.140625" style="242" customWidth="1"/>
    <col min="163" max="163" width="8.85546875" style="242"/>
    <col min="164" max="164" width="9.140625" style="242" customWidth="1"/>
    <col min="165" max="165" width="8.85546875" style="242"/>
    <col min="166" max="166" width="9.140625" style="242" customWidth="1"/>
    <col min="167" max="167" width="8.85546875" style="242"/>
    <col min="168" max="168" width="9.140625" style="242" customWidth="1"/>
    <col min="169" max="169" width="8.85546875" style="242"/>
    <col min="170" max="170" width="9.140625" style="242" customWidth="1"/>
    <col min="171" max="171" width="8.85546875" style="242"/>
    <col min="172" max="172" width="9.140625" style="242" customWidth="1"/>
    <col min="173" max="173" width="8.85546875" style="242"/>
    <col min="174" max="174" width="9.140625" style="242" customWidth="1"/>
    <col min="175" max="175" width="8.85546875" style="242"/>
    <col min="176" max="176" width="9.140625" style="242" customWidth="1"/>
    <col min="177" max="177" width="8.85546875" style="242"/>
    <col min="178" max="178" width="9.140625" style="242" customWidth="1"/>
    <col min="179" max="179" width="8.85546875" style="242"/>
    <col min="180" max="180" width="9.140625" style="242" customWidth="1"/>
    <col min="181" max="181" width="8.85546875" style="242"/>
    <col min="182" max="182" width="9.140625" style="242" customWidth="1"/>
    <col min="183" max="183" width="8.85546875" style="242"/>
    <col min="184" max="184" width="9.140625" style="242" customWidth="1"/>
    <col min="185" max="185" width="8.85546875" style="242"/>
    <col min="186" max="186" width="9.140625" style="242" customWidth="1"/>
    <col min="187" max="187" width="8.85546875" style="242"/>
    <col min="188" max="188" width="9.140625" style="242" customWidth="1"/>
    <col min="189" max="189" width="8.85546875" style="242"/>
    <col min="190" max="190" width="9.140625" style="242" customWidth="1"/>
    <col min="191" max="191" width="8.85546875" style="242"/>
    <col min="192" max="192" width="9.140625" style="242" customWidth="1"/>
    <col min="193" max="193" width="8.85546875" style="242"/>
    <col min="194" max="194" width="9.140625" style="242" customWidth="1"/>
    <col min="195" max="195" width="8.85546875" style="242"/>
    <col min="196" max="196" width="9.140625" style="242" customWidth="1"/>
    <col min="197" max="197" width="8.85546875" style="242"/>
    <col min="198" max="198" width="9.140625" style="242" customWidth="1"/>
    <col min="199" max="199" width="8.85546875" style="242"/>
    <col min="200" max="200" width="9.140625" style="242" customWidth="1"/>
    <col min="201" max="201" width="8.85546875" style="242"/>
    <col min="202" max="202" width="9.140625" style="242" customWidth="1"/>
    <col min="203" max="203" width="8.85546875" style="242"/>
    <col min="204" max="204" width="9.140625" style="242" customWidth="1"/>
    <col min="205" max="205" width="8.85546875" style="242"/>
    <col min="206" max="206" width="9.140625" style="242" customWidth="1"/>
    <col min="207" max="207" width="8.85546875" style="242"/>
    <col min="208" max="208" width="9.140625" style="242" customWidth="1"/>
    <col min="209" max="209" width="8.85546875" style="242"/>
    <col min="210" max="210" width="9.140625" style="242" customWidth="1"/>
    <col min="211" max="16384" width="8.85546875" style="242"/>
  </cols>
  <sheetData>
    <row r="1" spans="1:22" s="6" customFormat="1" ht="21" customHeight="1">
      <c r="B1" s="5"/>
      <c r="C1" s="10"/>
      <c r="D1" s="10"/>
      <c r="E1" s="9"/>
      <c r="F1" s="10"/>
      <c r="G1" s="10"/>
      <c r="H1" s="10"/>
      <c r="I1" s="10"/>
      <c r="J1" s="10"/>
      <c r="K1" s="10"/>
      <c r="L1" s="10"/>
      <c r="M1" s="10"/>
      <c r="N1" s="10"/>
      <c r="O1" s="1335"/>
      <c r="P1" s="1335"/>
      <c r="Q1" s="1335"/>
      <c r="R1" s="1335"/>
      <c r="S1" s="1335"/>
      <c r="T1" s="234"/>
      <c r="U1" s="234"/>
    </row>
    <row r="2" spans="1:22" s="6" customFormat="1" ht="21" customHeight="1">
      <c r="A2" s="1321" t="s">
        <v>216</v>
      </c>
      <c r="B2" s="1321"/>
      <c r="C2" s="1321"/>
      <c r="D2" s="1321"/>
      <c r="E2" s="1321"/>
      <c r="F2" s="1321"/>
      <c r="G2" s="1321"/>
      <c r="H2" s="1321"/>
      <c r="I2" s="1321"/>
      <c r="J2" s="1321"/>
      <c r="K2" s="1321"/>
      <c r="L2" s="1321"/>
      <c r="M2" s="1321"/>
      <c r="N2" s="1321"/>
      <c r="O2" s="1321"/>
      <c r="P2" s="1321"/>
      <c r="Q2" s="1321"/>
      <c r="R2" s="1321"/>
      <c r="S2" s="1321"/>
      <c r="T2" s="234"/>
      <c r="U2" s="234"/>
    </row>
    <row r="3" spans="1:22" s="6" customFormat="1" ht="21" customHeight="1">
      <c r="B3" s="5"/>
      <c r="C3" s="10"/>
      <c r="D3" s="10"/>
      <c r="E3" s="9"/>
      <c r="F3" s="10"/>
      <c r="G3" s="10"/>
      <c r="H3" s="10"/>
      <c r="I3" s="10"/>
      <c r="J3" s="10"/>
      <c r="K3" s="10"/>
      <c r="L3" s="10"/>
      <c r="M3" s="10"/>
      <c r="N3" s="10"/>
      <c r="O3" s="10"/>
      <c r="P3" s="10"/>
      <c r="Q3" s="10"/>
      <c r="R3" s="10"/>
      <c r="S3" s="10"/>
      <c r="T3" s="10"/>
      <c r="U3" s="10"/>
    </row>
    <row r="4" spans="1:22" s="6" customFormat="1" ht="39" customHeight="1">
      <c r="A4" s="1336" t="s">
        <v>93</v>
      </c>
      <c r="B4" s="1336" t="s">
        <v>2</v>
      </c>
      <c r="C4" s="1337" t="s">
        <v>94</v>
      </c>
      <c r="D4" s="1337" t="s">
        <v>95</v>
      </c>
      <c r="E4" s="1337"/>
      <c r="F4" s="1337"/>
      <c r="G4" s="1337"/>
      <c r="H4" s="1337"/>
      <c r="I4" s="1337"/>
      <c r="J4" s="1337"/>
      <c r="K4" s="1337"/>
      <c r="L4" s="1337"/>
      <c r="M4" s="1337"/>
      <c r="N4" s="1337"/>
      <c r="O4" s="1337" t="s">
        <v>96</v>
      </c>
      <c r="P4" s="1337"/>
      <c r="Q4" s="1337"/>
      <c r="R4" s="1337"/>
      <c r="S4" s="1337"/>
      <c r="T4" s="1337"/>
      <c r="U4" s="1337"/>
    </row>
    <row r="5" spans="1:22" s="6" customFormat="1" ht="90" customHeight="1">
      <c r="A5" s="1336"/>
      <c r="B5" s="1336"/>
      <c r="C5" s="1337"/>
      <c r="D5" s="236" t="s">
        <v>97</v>
      </c>
      <c r="E5" s="1337" t="s">
        <v>98</v>
      </c>
      <c r="F5" s="1337"/>
      <c r="G5" s="1337" t="s">
        <v>33</v>
      </c>
      <c r="H5" s="1337"/>
      <c r="I5" s="1337" t="s">
        <v>99</v>
      </c>
      <c r="J5" s="1337"/>
      <c r="K5" s="1337" t="s">
        <v>38</v>
      </c>
      <c r="L5" s="1337"/>
      <c r="M5" s="1337" t="s">
        <v>100</v>
      </c>
      <c r="N5" s="1337"/>
      <c r="O5" s="1337" t="s">
        <v>101</v>
      </c>
      <c r="P5" s="1337"/>
      <c r="Q5" s="1337" t="s">
        <v>102</v>
      </c>
      <c r="R5" s="1337"/>
      <c r="S5" s="236" t="s">
        <v>103</v>
      </c>
      <c r="T5" s="1337" t="s">
        <v>3717</v>
      </c>
      <c r="U5" s="1337"/>
    </row>
    <row r="6" spans="1:22" s="6" customFormat="1" ht="31.5" customHeight="1">
      <c r="A6" s="1336"/>
      <c r="B6" s="1336"/>
      <c r="C6" s="236" t="s">
        <v>26</v>
      </c>
      <c r="D6" s="236" t="s">
        <v>26</v>
      </c>
      <c r="E6" s="235" t="s">
        <v>104</v>
      </c>
      <c r="F6" s="236" t="s">
        <v>26</v>
      </c>
      <c r="G6" s="236" t="s">
        <v>105</v>
      </c>
      <c r="H6" s="236" t="s">
        <v>26</v>
      </c>
      <c r="I6" s="236" t="s">
        <v>105</v>
      </c>
      <c r="J6" s="236" t="s">
        <v>26</v>
      </c>
      <c r="K6" s="236" t="s">
        <v>105</v>
      </c>
      <c r="L6" s="236" t="s">
        <v>26</v>
      </c>
      <c r="M6" s="236" t="s">
        <v>106</v>
      </c>
      <c r="N6" s="236" t="s">
        <v>26</v>
      </c>
      <c r="O6" s="236" t="s">
        <v>105</v>
      </c>
      <c r="P6" s="236" t="s">
        <v>26</v>
      </c>
      <c r="Q6" s="236" t="s">
        <v>105</v>
      </c>
      <c r="R6" s="236" t="s">
        <v>26</v>
      </c>
      <c r="S6" s="236" t="s">
        <v>26</v>
      </c>
      <c r="T6" s="236" t="s">
        <v>105</v>
      </c>
      <c r="U6" s="236" t="s">
        <v>26</v>
      </c>
    </row>
    <row r="7" spans="1:22" s="6" customFormat="1" ht="39" customHeight="1">
      <c r="A7" s="235">
        <v>1</v>
      </c>
      <c r="B7" s="235">
        <v>2</v>
      </c>
      <c r="C7" s="235">
        <v>3</v>
      </c>
      <c r="D7" s="235">
        <v>4</v>
      </c>
      <c r="E7" s="235">
        <v>5</v>
      </c>
      <c r="F7" s="235">
        <v>6</v>
      </c>
      <c r="G7" s="235">
        <v>7</v>
      </c>
      <c r="H7" s="235">
        <v>8</v>
      </c>
      <c r="I7" s="235">
        <v>9</v>
      </c>
      <c r="J7" s="235">
        <v>10</v>
      </c>
      <c r="K7" s="235">
        <v>11</v>
      </c>
      <c r="L7" s="235">
        <v>12</v>
      </c>
      <c r="M7" s="235">
        <v>13</v>
      </c>
      <c r="N7" s="235">
        <v>14</v>
      </c>
      <c r="O7" s="235">
        <v>15</v>
      </c>
      <c r="P7" s="235">
        <v>16</v>
      </c>
      <c r="Q7" s="235">
        <v>17</v>
      </c>
      <c r="R7" s="235">
        <v>18</v>
      </c>
      <c r="S7" s="235">
        <v>19</v>
      </c>
      <c r="T7" s="235">
        <v>20</v>
      </c>
      <c r="U7" s="235">
        <v>21</v>
      </c>
    </row>
    <row r="8" spans="1:22" s="227" customFormat="1" ht="34.5" customHeight="1">
      <c r="A8" s="1340" t="s">
        <v>4364</v>
      </c>
      <c r="B8" s="1341"/>
      <c r="C8" s="1341"/>
      <c r="D8" s="1341"/>
      <c r="E8" s="1341"/>
      <c r="F8" s="1341"/>
      <c r="G8" s="1341"/>
      <c r="H8" s="1341"/>
      <c r="I8" s="1341"/>
      <c r="J8" s="1341"/>
      <c r="K8" s="1341"/>
      <c r="L8" s="1341"/>
      <c r="M8" s="1341"/>
      <c r="N8" s="1341"/>
      <c r="O8" s="1341"/>
      <c r="P8" s="1341"/>
      <c r="Q8" s="1341"/>
      <c r="R8" s="1341"/>
      <c r="S8" s="1342"/>
      <c r="T8" s="478"/>
      <c r="U8" s="2"/>
      <c r="V8" s="11"/>
    </row>
    <row r="9" spans="1:22" s="227" customFormat="1" ht="39" customHeight="1">
      <c r="A9" s="440">
        <v>1</v>
      </c>
      <c r="B9" s="483" t="s">
        <v>1223</v>
      </c>
      <c r="C9" s="442">
        <f>'.'!L1144</f>
        <v>3903934.3499999996</v>
      </c>
      <c r="D9" s="484"/>
      <c r="E9" s="485"/>
      <c r="F9" s="484"/>
      <c r="G9" s="481">
        <f>'.'!G1144</f>
        <v>1694</v>
      </c>
      <c r="H9" s="481">
        <f>'.'!L1144</f>
        <v>3903934.3499999996</v>
      </c>
      <c r="I9" s="484"/>
      <c r="J9" s="484"/>
      <c r="K9" s="484"/>
      <c r="L9" s="484"/>
      <c r="M9" s="484"/>
      <c r="N9" s="484"/>
      <c r="O9" s="484"/>
      <c r="P9" s="484"/>
      <c r="Q9" s="484"/>
      <c r="R9" s="486"/>
      <c r="S9" s="487"/>
      <c r="T9" s="487"/>
      <c r="U9" s="451"/>
      <c r="V9" s="11"/>
    </row>
    <row r="10" spans="1:22" s="227" customFormat="1" ht="39" customHeight="1">
      <c r="A10" s="440">
        <f>A9+1</f>
        <v>2</v>
      </c>
      <c r="B10" s="488" t="s">
        <v>1225</v>
      </c>
      <c r="C10" s="442">
        <f>'.'!L1145</f>
        <v>10737597.500000002</v>
      </c>
      <c r="D10" s="484"/>
      <c r="E10" s="485"/>
      <c r="F10" s="484"/>
      <c r="G10" s="484"/>
      <c r="H10" s="484"/>
      <c r="I10" s="484"/>
      <c r="J10" s="484"/>
      <c r="K10" s="484"/>
      <c r="L10" s="484"/>
      <c r="M10" s="484"/>
      <c r="N10" s="484"/>
      <c r="O10" s="484">
        <v>5100</v>
      </c>
      <c r="P10" s="484">
        <f>'.'!L1145</f>
        <v>10737597.500000002</v>
      </c>
      <c r="Q10" s="484"/>
      <c r="R10" s="486"/>
      <c r="S10" s="487"/>
      <c r="T10" s="487"/>
      <c r="U10" s="451"/>
      <c r="V10" s="11"/>
    </row>
    <row r="11" spans="1:22" s="227" customFormat="1" ht="39" customHeight="1">
      <c r="A11" s="440">
        <f t="shared" ref="A11:A73" si="0">A10+1</f>
        <v>3</v>
      </c>
      <c r="B11" s="488" t="s">
        <v>1226</v>
      </c>
      <c r="C11" s="442">
        <f>'.'!L1146</f>
        <v>1841574.01</v>
      </c>
      <c r="D11" s="482"/>
      <c r="E11" s="485"/>
      <c r="F11" s="484"/>
      <c r="G11" s="481">
        <f>'.'!G1146</f>
        <v>948</v>
      </c>
      <c r="H11" s="481">
        <f>'.'!L1146</f>
        <v>1841574.01</v>
      </c>
      <c r="I11" s="484"/>
      <c r="J11" s="484"/>
      <c r="K11" s="484"/>
      <c r="L11" s="484"/>
      <c r="M11" s="484"/>
      <c r="N11" s="484"/>
      <c r="O11" s="484"/>
      <c r="P11" s="484"/>
      <c r="Q11" s="484"/>
      <c r="R11" s="486"/>
      <c r="S11" s="487"/>
      <c r="T11" s="487"/>
      <c r="U11" s="451"/>
      <c r="V11" s="11"/>
    </row>
    <row r="12" spans="1:22" s="227" customFormat="1" ht="39" customHeight="1">
      <c r="A12" s="440">
        <f t="shared" si="0"/>
        <v>4</v>
      </c>
      <c r="B12" s="488" t="s">
        <v>1227</v>
      </c>
      <c r="C12" s="442">
        <f>'.'!L1147</f>
        <v>1848592.63</v>
      </c>
      <c r="D12" s="484"/>
      <c r="E12" s="485"/>
      <c r="F12" s="484"/>
      <c r="G12" s="481">
        <f>'.'!G1147</f>
        <v>937.9</v>
      </c>
      <c r="H12" s="481">
        <f>'.'!L1147</f>
        <v>1848592.63</v>
      </c>
      <c r="I12" s="484"/>
      <c r="J12" s="484"/>
      <c r="K12" s="484"/>
      <c r="L12" s="484"/>
      <c r="M12" s="484"/>
      <c r="N12" s="484"/>
      <c r="O12" s="484"/>
      <c r="P12" s="484"/>
      <c r="Q12" s="484"/>
      <c r="R12" s="486"/>
      <c r="S12" s="487"/>
      <c r="T12" s="487"/>
      <c r="U12" s="451"/>
      <c r="V12" s="11"/>
    </row>
    <row r="13" spans="1:22" s="227" customFormat="1" ht="39" customHeight="1">
      <c r="A13" s="440">
        <f t="shared" si="0"/>
        <v>5</v>
      </c>
      <c r="B13" s="488" t="s">
        <v>1228</v>
      </c>
      <c r="C13" s="442">
        <f>'.'!L1148</f>
        <v>1837269.9200000002</v>
      </c>
      <c r="D13" s="482"/>
      <c r="E13" s="485"/>
      <c r="F13" s="484"/>
      <c r="G13" s="481">
        <f>'.'!G1148</f>
        <v>936</v>
      </c>
      <c r="H13" s="481">
        <f>'.'!L1148</f>
        <v>1837269.9200000002</v>
      </c>
      <c r="I13" s="484"/>
      <c r="J13" s="484"/>
      <c r="K13" s="484"/>
      <c r="L13" s="484"/>
      <c r="M13" s="484"/>
      <c r="N13" s="484"/>
      <c r="O13" s="484"/>
      <c r="P13" s="484"/>
      <c r="Q13" s="484"/>
      <c r="R13" s="486"/>
      <c r="S13" s="487"/>
      <c r="T13" s="487"/>
      <c r="U13" s="451"/>
      <c r="V13" s="11"/>
    </row>
    <row r="14" spans="1:22" s="227" customFormat="1" ht="39" customHeight="1">
      <c r="A14" s="440">
        <f t="shared" si="0"/>
        <v>6</v>
      </c>
      <c r="B14" s="483" t="s">
        <v>1229</v>
      </c>
      <c r="C14" s="442">
        <f>'.'!L1149</f>
        <v>8842687.3300000001</v>
      </c>
      <c r="D14" s="484"/>
      <c r="E14" s="485"/>
      <c r="F14" s="484"/>
      <c r="G14" s="484"/>
      <c r="H14" s="484"/>
      <c r="I14" s="484"/>
      <c r="J14" s="484"/>
      <c r="K14" s="484"/>
      <c r="L14" s="484"/>
      <c r="M14" s="484"/>
      <c r="N14" s="484"/>
      <c r="O14" s="484">
        <v>3630</v>
      </c>
      <c r="P14" s="484">
        <f>'.'!L1149</f>
        <v>8842687.3300000001</v>
      </c>
      <c r="Q14" s="484"/>
      <c r="R14" s="486"/>
      <c r="S14" s="487"/>
      <c r="T14" s="487"/>
      <c r="U14" s="451"/>
      <c r="V14" s="11"/>
    </row>
    <row r="15" spans="1:22" s="227" customFormat="1" ht="39" customHeight="1">
      <c r="A15" s="440">
        <f t="shared" si="0"/>
        <v>7</v>
      </c>
      <c r="B15" s="489" t="s">
        <v>1230</v>
      </c>
      <c r="C15" s="442">
        <f>'.'!L1150</f>
        <v>6884629.4500000002</v>
      </c>
      <c r="D15" s="484"/>
      <c r="E15" s="485"/>
      <c r="F15" s="484"/>
      <c r="G15" s="481">
        <f>'.'!G1150</f>
        <v>3484</v>
      </c>
      <c r="H15" s="481">
        <f>'.'!L1150</f>
        <v>6884629.4500000002</v>
      </c>
      <c r="I15" s="484"/>
      <c r="J15" s="484"/>
      <c r="K15" s="484"/>
      <c r="L15" s="484"/>
      <c r="M15" s="484"/>
      <c r="N15" s="484"/>
      <c r="O15" s="484"/>
      <c r="P15" s="484"/>
      <c r="Q15" s="484"/>
      <c r="R15" s="490"/>
      <c r="S15" s="487"/>
      <c r="T15" s="487"/>
      <c r="U15" s="451"/>
      <c r="V15" s="11"/>
    </row>
    <row r="16" spans="1:22" s="227" customFormat="1" ht="39" customHeight="1">
      <c r="A16" s="440">
        <f t="shared" si="0"/>
        <v>8</v>
      </c>
      <c r="B16" s="491" t="s">
        <v>1231</v>
      </c>
      <c r="C16" s="442">
        <f>'.'!L1151</f>
        <v>5446139.5299999993</v>
      </c>
      <c r="D16" s="492"/>
      <c r="E16" s="493"/>
      <c r="F16" s="492"/>
      <c r="G16" s="481"/>
      <c r="H16" s="481"/>
      <c r="I16" s="492"/>
      <c r="J16" s="492"/>
      <c r="K16" s="492"/>
      <c r="L16" s="492"/>
      <c r="M16" s="492"/>
      <c r="N16" s="492"/>
      <c r="O16" s="492">
        <v>2520</v>
      </c>
      <c r="P16" s="484">
        <f>'.'!L1151</f>
        <v>5446139.5299999993</v>
      </c>
      <c r="Q16" s="492"/>
      <c r="R16" s="494"/>
      <c r="S16" s="487"/>
      <c r="T16" s="487"/>
      <c r="U16" s="451"/>
      <c r="V16" s="11"/>
    </row>
    <row r="17" spans="1:22" s="227" customFormat="1" ht="39" customHeight="1">
      <c r="A17" s="440">
        <f t="shared" si="0"/>
        <v>9</v>
      </c>
      <c r="B17" s="495" t="s">
        <v>1232</v>
      </c>
      <c r="C17" s="442">
        <f>'.'!L1152</f>
        <v>3500907.5</v>
      </c>
      <c r="D17" s="451"/>
      <c r="E17" s="468"/>
      <c r="F17" s="451"/>
      <c r="G17" s="481">
        <f>'.'!G1152</f>
        <v>1200</v>
      </c>
      <c r="H17" s="481">
        <f>'.'!L1152</f>
        <v>3500907.5</v>
      </c>
      <c r="I17" s="451"/>
      <c r="J17" s="451"/>
      <c r="K17" s="451"/>
      <c r="L17" s="451"/>
      <c r="M17" s="451"/>
      <c r="N17" s="451"/>
      <c r="O17" s="451"/>
      <c r="P17" s="451"/>
      <c r="Q17" s="451"/>
      <c r="R17" s="494"/>
      <c r="S17" s="487"/>
      <c r="T17" s="487"/>
      <c r="U17" s="451"/>
      <c r="V17" s="11"/>
    </row>
    <row r="18" spans="1:22" s="227" customFormat="1" ht="39" customHeight="1">
      <c r="A18" s="440">
        <f t="shared" si="0"/>
        <v>10</v>
      </c>
      <c r="B18" s="467" t="s">
        <v>1233</v>
      </c>
      <c r="C18" s="442">
        <f>'.'!L1153</f>
        <v>781548.3</v>
      </c>
      <c r="D18" s="482">
        <f>'.'!L1153</f>
        <v>781548.3</v>
      </c>
      <c r="E18" s="468"/>
      <c r="F18" s="451"/>
      <c r="G18" s="451"/>
      <c r="H18" s="451"/>
      <c r="I18" s="451"/>
      <c r="J18" s="451"/>
      <c r="K18" s="451"/>
      <c r="L18" s="451"/>
      <c r="M18" s="451"/>
      <c r="N18" s="451"/>
      <c r="O18" s="451"/>
      <c r="P18" s="451"/>
      <c r="Q18" s="451"/>
      <c r="R18" s="2"/>
      <c r="S18" s="487"/>
      <c r="T18" s="487"/>
      <c r="U18" s="451"/>
      <c r="V18" s="11"/>
    </row>
    <row r="19" spans="1:22" s="227" customFormat="1" ht="39" customHeight="1">
      <c r="A19" s="440">
        <f t="shared" si="0"/>
        <v>11</v>
      </c>
      <c r="B19" s="467" t="s">
        <v>1234</v>
      </c>
      <c r="C19" s="442">
        <f>'.'!L1154</f>
        <v>3381507.5</v>
      </c>
      <c r="D19" s="451"/>
      <c r="E19" s="468"/>
      <c r="F19" s="451"/>
      <c r="G19" s="481">
        <f>'.'!G1154</f>
        <v>1200</v>
      </c>
      <c r="H19" s="481">
        <f>'.'!L1154</f>
        <v>3381507.5</v>
      </c>
      <c r="I19" s="451"/>
      <c r="J19" s="451"/>
      <c r="K19" s="451"/>
      <c r="L19" s="451"/>
      <c r="M19" s="451"/>
      <c r="N19" s="451"/>
      <c r="O19" s="451"/>
      <c r="P19" s="451"/>
      <c r="Q19" s="451"/>
      <c r="R19" s="494"/>
      <c r="S19" s="487"/>
      <c r="T19" s="487"/>
      <c r="U19" s="451"/>
      <c r="V19" s="11"/>
    </row>
    <row r="20" spans="1:22" s="227" customFormat="1" ht="39" customHeight="1">
      <c r="A20" s="440">
        <f t="shared" si="0"/>
        <v>12</v>
      </c>
      <c r="B20" s="467" t="s">
        <v>1235</v>
      </c>
      <c r="C20" s="442">
        <f>'.'!L1155</f>
        <v>4709335</v>
      </c>
      <c r="D20" s="451"/>
      <c r="E20" s="468"/>
      <c r="F20" s="451"/>
      <c r="G20" s="451"/>
      <c r="H20" s="451"/>
      <c r="I20" s="451"/>
      <c r="J20" s="451"/>
      <c r="K20" s="451"/>
      <c r="L20" s="451"/>
      <c r="M20" s="451"/>
      <c r="N20" s="451"/>
      <c r="O20" s="484">
        <v>2070</v>
      </c>
      <c r="P20" s="484">
        <f>'.'!L1155</f>
        <v>4709335</v>
      </c>
      <c r="Q20" s="451"/>
      <c r="R20" s="494"/>
      <c r="S20" s="487"/>
      <c r="T20" s="487"/>
      <c r="U20" s="451"/>
      <c r="V20" s="11"/>
    </row>
    <row r="21" spans="1:22" s="227" customFormat="1" ht="39" customHeight="1">
      <c r="A21" s="440">
        <f t="shared" si="0"/>
        <v>13</v>
      </c>
      <c r="B21" s="467" t="s">
        <v>1236</v>
      </c>
      <c r="C21" s="442">
        <f>'.'!L1156</f>
        <v>1297410.1800000002</v>
      </c>
      <c r="D21" s="482">
        <f>'.'!L1156</f>
        <v>1297410.1800000002</v>
      </c>
      <c r="E21" s="468"/>
      <c r="F21" s="451"/>
      <c r="G21" s="451"/>
      <c r="H21" s="451"/>
      <c r="I21" s="451"/>
      <c r="J21" s="451"/>
      <c r="K21" s="451"/>
      <c r="L21" s="451"/>
      <c r="M21" s="451"/>
      <c r="N21" s="451"/>
      <c r="O21" s="451"/>
      <c r="P21" s="451"/>
      <c r="Q21" s="451"/>
      <c r="R21" s="2"/>
      <c r="S21" s="487"/>
      <c r="T21" s="487"/>
      <c r="U21" s="451"/>
      <c r="V21" s="11"/>
    </row>
    <row r="22" spans="1:22" s="227" customFormat="1" ht="39" customHeight="1">
      <c r="A22" s="440">
        <f t="shared" si="0"/>
        <v>14</v>
      </c>
      <c r="B22" s="467" t="s">
        <v>1237</v>
      </c>
      <c r="C22" s="442">
        <f>'.'!L1157</f>
        <v>919822.23</v>
      </c>
      <c r="D22" s="482">
        <f>'.'!L1157</f>
        <v>919822.23</v>
      </c>
      <c r="E22" s="468"/>
      <c r="F22" s="451"/>
      <c r="G22" s="451"/>
      <c r="H22" s="451"/>
      <c r="I22" s="451"/>
      <c r="J22" s="451"/>
      <c r="K22" s="451"/>
      <c r="L22" s="451"/>
      <c r="M22" s="451"/>
      <c r="N22" s="451"/>
      <c r="O22" s="451"/>
      <c r="P22" s="451"/>
      <c r="Q22" s="451"/>
      <c r="R22" s="2"/>
      <c r="S22" s="487"/>
      <c r="T22" s="487"/>
      <c r="U22" s="451"/>
      <c r="V22" s="11"/>
    </row>
    <row r="23" spans="1:22" s="227" customFormat="1" ht="39" customHeight="1">
      <c r="A23" s="440">
        <f t="shared" si="0"/>
        <v>15</v>
      </c>
      <c r="B23" s="467" t="s">
        <v>1238</v>
      </c>
      <c r="C23" s="442">
        <f>'.'!L1158</f>
        <v>1839644.46</v>
      </c>
      <c r="D23" s="482">
        <f>'.'!L1158</f>
        <v>1839644.46</v>
      </c>
      <c r="E23" s="468"/>
      <c r="F23" s="451"/>
      <c r="G23" s="451"/>
      <c r="H23" s="451"/>
      <c r="I23" s="451"/>
      <c r="J23" s="451"/>
      <c r="K23" s="451"/>
      <c r="L23" s="451"/>
      <c r="M23" s="451"/>
      <c r="N23" s="451"/>
      <c r="O23" s="451"/>
      <c r="P23" s="451"/>
      <c r="Q23" s="451"/>
      <c r="R23" s="2"/>
      <c r="S23" s="487"/>
      <c r="T23" s="487"/>
      <c r="U23" s="451"/>
      <c r="V23" s="11"/>
    </row>
    <row r="24" spans="1:22" s="227" customFormat="1" ht="39" customHeight="1">
      <c r="A24" s="440">
        <f t="shared" si="0"/>
        <v>16</v>
      </c>
      <c r="B24" s="495" t="s">
        <v>1239</v>
      </c>
      <c r="C24" s="442">
        <f>'.'!L1159</f>
        <v>3572610.0500000003</v>
      </c>
      <c r="D24" s="451"/>
      <c r="E24" s="468"/>
      <c r="F24" s="451"/>
      <c r="G24" s="481">
        <f>'.'!G1159</f>
        <v>1980.1</v>
      </c>
      <c r="H24" s="481">
        <f>'.'!L1159</f>
        <v>3572610.0500000003</v>
      </c>
      <c r="I24" s="451"/>
      <c r="J24" s="451"/>
      <c r="K24" s="451"/>
      <c r="L24" s="451"/>
      <c r="M24" s="451"/>
      <c r="N24" s="451"/>
      <c r="O24" s="451"/>
      <c r="P24" s="451"/>
      <c r="Q24" s="451"/>
      <c r="R24" s="2"/>
      <c r="S24" s="487"/>
      <c r="T24" s="487"/>
      <c r="U24" s="451"/>
      <c r="V24" s="11"/>
    </row>
    <row r="25" spans="1:22" s="227" customFormat="1" ht="39" customHeight="1">
      <c r="A25" s="440">
        <f t="shared" si="0"/>
        <v>17</v>
      </c>
      <c r="B25" s="467" t="s">
        <v>1240</v>
      </c>
      <c r="C25" s="442">
        <f>'.'!L1160</f>
        <v>2615774.21</v>
      </c>
      <c r="D25" s="451"/>
      <c r="E25" s="468"/>
      <c r="F25" s="451"/>
      <c r="G25" s="481">
        <f>'.'!G1160</f>
        <v>1339</v>
      </c>
      <c r="H25" s="481">
        <f>'.'!L1160</f>
        <v>2615774.21</v>
      </c>
      <c r="I25" s="451"/>
      <c r="J25" s="451"/>
      <c r="K25" s="451"/>
      <c r="L25" s="451"/>
      <c r="M25" s="451"/>
      <c r="N25" s="451"/>
      <c r="O25" s="451"/>
      <c r="P25" s="451"/>
      <c r="Q25" s="451"/>
      <c r="R25" s="2"/>
      <c r="S25" s="487"/>
      <c r="T25" s="487"/>
      <c r="U25" s="451"/>
      <c r="V25" s="11"/>
    </row>
    <row r="26" spans="1:22" s="227" customFormat="1" ht="39" customHeight="1">
      <c r="A26" s="440">
        <f t="shared" si="0"/>
        <v>18</v>
      </c>
      <c r="B26" s="496" t="s">
        <v>1241</v>
      </c>
      <c r="C26" s="442">
        <f>'.'!L1161</f>
        <v>2983975.15</v>
      </c>
      <c r="D26" s="451"/>
      <c r="E26" s="468"/>
      <c r="F26" s="451"/>
      <c r="G26" s="481">
        <f>'.'!G1161</f>
        <v>1300</v>
      </c>
      <c r="H26" s="481">
        <f>'.'!L1161</f>
        <v>2983975.15</v>
      </c>
      <c r="I26" s="451"/>
      <c r="J26" s="451"/>
      <c r="K26" s="451"/>
      <c r="L26" s="451"/>
      <c r="M26" s="451"/>
      <c r="N26" s="451"/>
      <c r="O26" s="451"/>
      <c r="P26" s="451"/>
      <c r="Q26" s="451"/>
      <c r="R26" s="2"/>
      <c r="S26" s="487"/>
      <c r="T26" s="487"/>
      <c r="U26" s="451"/>
      <c r="V26" s="11"/>
    </row>
    <row r="27" spans="1:22" s="227" customFormat="1" ht="39" customHeight="1">
      <c r="A27" s="440">
        <f t="shared" si="0"/>
        <v>19</v>
      </c>
      <c r="B27" s="467" t="s">
        <v>1242</v>
      </c>
      <c r="C27" s="442">
        <f>'.'!L1162</f>
        <v>2815495.7800000003</v>
      </c>
      <c r="D27" s="451"/>
      <c r="E27" s="468"/>
      <c r="F27" s="451"/>
      <c r="G27" s="481">
        <f>'.'!G1162</f>
        <v>1226.5999999999999</v>
      </c>
      <c r="H27" s="481">
        <f>'.'!L1162</f>
        <v>2815495.7800000003</v>
      </c>
      <c r="I27" s="451"/>
      <c r="J27" s="451"/>
      <c r="K27" s="451"/>
      <c r="L27" s="451"/>
      <c r="M27" s="451"/>
      <c r="N27" s="451"/>
      <c r="O27" s="451"/>
      <c r="P27" s="451"/>
      <c r="Q27" s="451"/>
      <c r="R27" s="2"/>
      <c r="S27" s="487"/>
      <c r="T27" s="487"/>
      <c r="U27" s="451"/>
      <c r="V27" s="11"/>
    </row>
    <row r="28" spans="1:22" s="227" customFormat="1" ht="39" customHeight="1">
      <c r="A28" s="440">
        <f t="shared" si="0"/>
        <v>20</v>
      </c>
      <c r="B28" s="467" t="s">
        <v>1243</v>
      </c>
      <c r="C28" s="442">
        <f>'.'!L1163</f>
        <v>449924</v>
      </c>
      <c r="D28" s="482">
        <f>'.'!L1163</f>
        <v>449924</v>
      </c>
      <c r="E28" s="468"/>
      <c r="F28" s="451"/>
      <c r="G28" s="451"/>
      <c r="H28" s="451"/>
      <c r="I28" s="451"/>
      <c r="J28" s="451"/>
      <c r="K28" s="451"/>
      <c r="L28" s="451"/>
      <c r="M28" s="451"/>
      <c r="N28" s="451"/>
      <c r="O28" s="451"/>
      <c r="P28" s="451"/>
      <c r="Q28" s="451"/>
      <c r="R28" s="2"/>
      <c r="S28" s="487"/>
      <c r="T28" s="487"/>
      <c r="U28" s="451"/>
      <c r="V28" s="11"/>
    </row>
    <row r="29" spans="1:22" s="227" customFormat="1" ht="39" customHeight="1">
      <c r="A29" s="440">
        <f t="shared" si="0"/>
        <v>21</v>
      </c>
      <c r="B29" s="495" t="s">
        <v>1244</v>
      </c>
      <c r="C29" s="442">
        <f>'.'!L1164</f>
        <v>5572339.5700000003</v>
      </c>
      <c r="D29" s="451"/>
      <c r="E29" s="468"/>
      <c r="F29" s="451"/>
      <c r="G29" s="481">
        <f>'.'!G1164</f>
        <v>2887</v>
      </c>
      <c r="H29" s="481">
        <f>'.'!L1164</f>
        <v>5572339.5700000003</v>
      </c>
      <c r="I29" s="451"/>
      <c r="J29" s="451"/>
      <c r="K29" s="451"/>
      <c r="L29" s="451"/>
      <c r="M29" s="451"/>
      <c r="N29" s="451"/>
      <c r="O29" s="451"/>
      <c r="P29" s="445"/>
      <c r="Q29" s="445"/>
      <c r="R29" s="121"/>
      <c r="S29" s="446"/>
      <c r="T29" s="487"/>
      <c r="U29" s="451"/>
      <c r="V29" s="11"/>
    </row>
    <row r="30" spans="1:22" s="227" customFormat="1" ht="39" customHeight="1">
      <c r="A30" s="440">
        <f t="shared" si="0"/>
        <v>22</v>
      </c>
      <c r="B30" s="495" t="s">
        <v>1245</v>
      </c>
      <c r="C30" s="442">
        <f>'.'!L1165</f>
        <v>3676992.12</v>
      </c>
      <c r="D30" s="451"/>
      <c r="E30" s="468"/>
      <c r="F30" s="451"/>
      <c r="G30" s="451">
        <v>627</v>
      </c>
      <c r="H30" s="451">
        <f>'.'!L1165</f>
        <v>3676992.12</v>
      </c>
      <c r="I30" s="451"/>
      <c r="J30" s="451"/>
      <c r="K30" s="451"/>
      <c r="L30" s="451"/>
      <c r="M30" s="451"/>
      <c r="N30" s="451"/>
      <c r="O30" s="451"/>
      <c r="P30" s="497"/>
      <c r="Q30" s="122"/>
      <c r="R30" s="122"/>
      <c r="S30" s="497"/>
      <c r="T30" s="487"/>
      <c r="U30" s="451"/>
      <c r="V30" s="11"/>
    </row>
    <row r="31" spans="1:22" s="227" customFormat="1" ht="39" customHeight="1">
      <c r="A31" s="440">
        <f t="shared" si="0"/>
        <v>23</v>
      </c>
      <c r="B31" s="495" t="s">
        <v>1247</v>
      </c>
      <c r="C31" s="442">
        <f>'.'!L1166</f>
        <v>4881069.5299999993</v>
      </c>
      <c r="D31" s="451"/>
      <c r="E31" s="468"/>
      <c r="F31" s="451"/>
      <c r="G31" s="481">
        <f>'.'!G1166</f>
        <v>2118</v>
      </c>
      <c r="H31" s="481">
        <f>'.'!L1166</f>
        <v>4881069.5299999993</v>
      </c>
      <c r="I31" s="451"/>
      <c r="J31" s="451"/>
      <c r="K31" s="451"/>
      <c r="L31" s="451"/>
      <c r="M31" s="451"/>
      <c r="N31" s="451"/>
      <c r="O31" s="451"/>
      <c r="P31" s="498"/>
      <c r="Q31" s="498"/>
      <c r="R31" s="499"/>
      <c r="S31" s="500"/>
      <c r="T31" s="487"/>
      <c r="U31" s="451"/>
      <c r="V31" s="11"/>
    </row>
    <row r="32" spans="1:22" s="227" customFormat="1" ht="39" customHeight="1">
      <c r="A32" s="440">
        <f t="shared" si="0"/>
        <v>24</v>
      </c>
      <c r="B32" s="495" t="s">
        <v>1248</v>
      </c>
      <c r="C32" s="442">
        <f>'.'!L1167</f>
        <v>480952.8</v>
      </c>
      <c r="D32" s="482">
        <f>'.'!L1167</f>
        <v>480952.8</v>
      </c>
      <c r="E32" s="468"/>
      <c r="F32" s="451"/>
      <c r="G32" s="451"/>
      <c r="H32" s="451"/>
      <c r="I32" s="451"/>
      <c r="J32" s="451"/>
      <c r="K32" s="451"/>
      <c r="L32" s="451"/>
      <c r="M32" s="451"/>
      <c r="N32" s="451"/>
      <c r="O32" s="451"/>
      <c r="P32" s="451"/>
      <c r="Q32" s="451"/>
      <c r="R32" s="2"/>
      <c r="S32" s="487"/>
      <c r="T32" s="487"/>
      <c r="U32" s="451"/>
      <c r="V32" s="11"/>
    </row>
    <row r="33" spans="1:22" s="227" customFormat="1" ht="39" customHeight="1">
      <c r="A33" s="440">
        <f t="shared" si="0"/>
        <v>25</v>
      </c>
      <c r="B33" s="467" t="s">
        <v>1249</v>
      </c>
      <c r="C33" s="442">
        <f>'.'!L1168</f>
        <v>961905.6</v>
      </c>
      <c r="D33" s="482">
        <f>'.'!L1168</f>
        <v>961905.6</v>
      </c>
      <c r="E33" s="468"/>
      <c r="F33" s="451"/>
      <c r="G33" s="451"/>
      <c r="H33" s="451"/>
      <c r="I33" s="451"/>
      <c r="J33" s="451"/>
      <c r="K33" s="451"/>
      <c r="L33" s="451"/>
      <c r="M33" s="451"/>
      <c r="N33" s="451"/>
      <c r="O33" s="451"/>
      <c r="P33" s="451"/>
      <c r="Q33" s="451"/>
      <c r="R33" s="2"/>
      <c r="S33" s="487"/>
      <c r="T33" s="487"/>
      <c r="U33" s="451"/>
      <c r="V33" s="11"/>
    </row>
    <row r="34" spans="1:22" s="227" customFormat="1" ht="39" customHeight="1">
      <c r="A34" s="440">
        <f t="shared" si="0"/>
        <v>26</v>
      </c>
      <c r="B34" s="467" t="s">
        <v>1250</v>
      </c>
      <c r="C34" s="442">
        <f>'.'!L1169</f>
        <v>1773786.5</v>
      </c>
      <c r="D34" s="451"/>
      <c r="E34" s="468"/>
      <c r="F34" s="451"/>
      <c r="G34" s="481">
        <f>'.'!G1169</f>
        <v>612</v>
      </c>
      <c r="H34" s="481">
        <f>'.'!L1169</f>
        <v>1773786.5</v>
      </c>
      <c r="I34" s="451"/>
      <c r="J34" s="451"/>
      <c r="K34" s="451"/>
      <c r="L34" s="451"/>
      <c r="M34" s="451"/>
      <c r="N34" s="451"/>
      <c r="O34" s="451"/>
      <c r="P34" s="451"/>
      <c r="Q34" s="451"/>
      <c r="R34" s="2"/>
      <c r="S34" s="487"/>
      <c r="T34" s="487"/>
      <c r="U34" s="451"/>
      <c r="V34" s="11"/>
    </row>
    <row r="35" spans="1:22" s="227" customFormat="1" ht="39" customHeight="1">
      <c r="A35" s="440">
        <f t="shared" si="0"/>
        <v>27</v>
      </c>
      <c r="B35" s="467" t="s">
        <v>1251</v>
      </c>
      <c r="C35" s="442">
        <f>'.'!L1170</f>
        <v>1610106.01</v>
      </c>
      <c r="D35" s="451"/>
      <c r="E35" s="468"/>
      <c r="F35" s="451"/>
      <c r="G35" s="481">
        <f>'.'!G1170</f>
        <v>717</v>
      </c>
      <c r="H35" s="481">
        <f>'.'!L1170</f>
        <v>1610106.01</v>
      </c>
      <c r="I35" s="451"/>
      <c r="J35" s="451"/>
      <c r="K35" s="451"/>
      <c r="L35" s="451"/>
      <c r="M35" s="451"/>
      <c r="N35" s="451"/>
      <c r="O35" s="451"/>
      <c r="P35" s="451"/>
      <c r="Q35" s="451"/>
      <c r="R35" s="2"/>
      <c r="S35" s="487"/>
      <c r="T35" s="487"/>
      <c r="U35" s="451"/>
      <c r="V35" s="11"/>
    </row>
    <row r="36" spans="1:22" s="227" customFormat="1" ht="39" customHeight="1">
      <c r="A36" s="440">
        <f t="shared" si="0"/>
        <v>28</v>
      </c>
      <c r="B36" s="467" t="s">
        <v>1252</v>
      </c>
      <c r="C36" s="442">
        <f>'.'!L1171</f>
        <v>1610106.01</v>
      </c>
      <c r="D36" s="451"/>
      <c r="E36" s="468"/>
      <c r="F36" s="451"/>
      <c r="G36" s="481">
        <f>'.'!G1171</f>
        <v>717</v>
      </c>
      <c r="H36" s="481">
        <f>'.'!L1171</f>
        <v>1610106.01</v>
      </c>
      <c r="I36" s="451"/>
      <c r="J36" s="451"/>
      <c r="K36" s="451"/>
      <c r="L36" s="451"/>
      <c r="M36" s="451"/>
      <c r="N36" s="451"/>
      <c r="O36" s="451"/>
      <c r="P36" s="451"/>
      <c r="Q36" s="451"/>
      <c r="R36" s="2"/>
      <c r="S36" s="487"/>
      <c r="T36" s="487"/>
      <c r="U36" s="451"/>
      <c r="V36" s="11"/>
    </row>
    <row r="37" spans="1:22" s="227" customFormat="1" ht="39" customHeight="1">
      <c r="A37" s="440">
        <f t="shared" si="0"/>
        <v>29</v>
      </c>
      <c r="B37" s="495" t="s">
        <v>1253</v>
      </c>
      <c r="C37" s="442">
        <f>'.'!L1172</f>
        <v>1665893.82</v>
      </c>
      <c r="D37" s="482"/>
      <c r="E37" s="468"/>
      <c r="F37" s="451"/>
      <c r="G37" s="481">
        <f>'.'!G1172</f>
        <v>938</v>
      </c>
      <c r="H37" s="481">
        <f>'.'!L1172</f>
        <v>1665893.82</v>
      </c>
      <c r="I37" s="451"/>
      <c r="J37" s="451"/>
      <c r="K37" s="451"/>
      <c r="L37" s="451"/>
      <c r="M37" s="451"/>
      <c r="N37" s="451"/>
      <c r="O37" s="451"/>
      <c r="P37" s="451"/>
      <c r="Q37" s="451"/>
      <c r="R37" s="2"/>
      <c r="S37" s="487"/>
      <c r="T37" s="487"/>
      <c r="U37" s="451"/>
      <c r="V37" s="11"/>
    </row>
    <row r="38" spans="1:22" s="227" customFormat="1" ht="39" customHeight="1">
      <c r="A38" s="440">
        <f t="shared" si="0"/>
        <v>30</v>
      </c>
      <c r="B38" s="467" t="s">
        <v>1254</v>
      </c>
      <c r="C38" s="442">
        <f>'.'!L1173</f>
        <v>2088422.42</v>
      </c>
      <c r="D38" s="451"/>
      <c r="E38" s="468"/>
      <c r="F38" s="451"/>
      <c r="G38" s="481">
        <f>'.'!G1173</f>
        <v>930</v>
      </c>
      <c r="H38" s="481">
        <f>'.'!L1173</f>
        <v>2088422.42</v>
      </c>
      <c r="I38" s="451"/>
      <c r="J38" s="451"/>
      <c r="K38" s="451"/>
      <c r="L38" s="451"/>
      <c r="M38" s="451"/>
      <c r="N38" s="451"/>
      <c r="O38" s="451"/>
      <c r="P38" s="451"/>
      <c r="Q38" s="451"/>
      <c r="R38" s="2"/>
      <c r="S38" s="487"/>
      <c r="T38" s="487"/>
      <c r="U38" s="451"/>
      <c r="V38" s="11"/>
    </row>
    <row r="39" spans="1:22" s="227" customFormat="1" ht="39" customHeight="1">
      <c r="A39" s="440">
        <f t="shared" si="0"/>
        <v>31</v>
      </c>
      <c r="B39" s="467" t="s">
        <v>1255</v>
      </c>
      <c r="C39" s="442">
        <f>'.'!L1174</f>
        <v>2088422.42</v>
      </c>
      <c r="D39" s="451"/>
      <c r="E39" s="468"/>
      <c r="F39" s="451"/>
      <c r="G39" s="481">
        <f>'.'!G1174</f>
        <v>930</v>
      </c>
      <c r="H39" s="481">
        <f>'.'!L1174</f>
        <v>2088422.42</v>
      </c>
      <c r="I39" s="451"/>
      <c r="J39" s="451"/>
      <c r="K39" s="451"/>
      <c r="L39" s="451"/>
      <c r="M39" s="451"/>
      <c r="N39" s="451"/>
      <c r="O39" s="451"/>
      <c r="P39" s="445"/>
      <c r="Q39" s="445"/>
      <c r="R39" s="121"/>
      <c r="S39" s="446"/>
      <c r="T39" s="487"/>
      <c r="U39" s="451"/>
      <c r="V39" s="11"/>
    </row>
    <row r="40" spans="1:22" s="227" customFormat="1" ht="39" customHeight="1">
      <c r="A40" s="440">
        <f t="shared" si="0"/>
        <v>32</v>
      </c>
      <c r="B40" s="467" t="s">
        <v>1256</v>
      </c>
      <c r="C40" s="442">
        <f>'.'!L1175</f>
        <v>6088305.5999999996</v>
      </c>
      <c r="D40" s="451"/>
      <c r="E40" s="468"/>
      <c r="F40" s="451"/>
      <c r="G40" s="451">
        <v>1376</v>
      </c>
      <c r="H40" s="451">
        <f>'.'!L1175</f>
        <v>6088305.5999999996</v>
      </c>
      <c r="I40" s="451"/>
      <c r="J40" s="451"/>
      <c r="K40" s="451"/>
      <c r="L40" s="451"/>
      <c r="M40" s="451"/>
      <c r="N40" s="451"/>
      <c r="O40" s="451"/>
      <c r="P40" s="497"/>
      <c r="Q40" s="122"/>
      <c r="R40" s="122"/>
      <c r="S40" s="497"/>
      <c r="T40" s="487"/>
      <c r="U40" s="451"/>
      <c r="V40" s="11"/>
    </row>
    <row r="41" spans="1:22" s="227" customFormat="1" ht="39" customHeight="1">
      <c r="A41" s="440">
        <f t="shared" si="0"/>
        <v>33</v>
      </c>
      <c r="B41" s="467" t="s">
        <v>1257</v>
      </c>
      <c r="C41" s="442">
        <f>'.'!L1176</f>
        <v>3188681.76</v>
      </c>
      <c r="D41" s="451"/>
      <c r="E41" s="468"/>
      <c r="F41" s="451"/>
      <c r="G41" s="481">
        <f>'.'!G1176</f>
        <v>1640</v>
      </c>
      <c r="H41" s="481">
        <f>'.'!L1176</f>
        <v>3188681.76</v>
      </c>
      <c r="I41" s="451"/>
      <c r="J41" s="451"/>
      <c r="K41" s="451"/>
      <c r="L41" s="451"/>
      <c r="M41" s="451"/>
      <c r="N41" s="451"/>
      <c r="O41" s="451"/>
      <c r="P41" s="498"/>
      <c r="Q41" s="498"/>
      <c r="R41" s="501"/>
      <c r="S41" s="500"/>
      <c r="T41" s="487"/>
      <c r="U41" s="451"/>
      <c r="V41" s="11"/>
    </row>
    <row r="42" spans="1:22" s="227" customFormat="1" ht="39" customHeight="1">
      <c r="A42" s="440">
        <f t="shared" si="0"/>
        <v>34</v>
      </c>
      <c r="B42" s="502" t="s">
        <v>1258</v>
      </c>
      <c r="C42" s="442">
        <f>'.'!L1177</f>
        <v>7822038</v>
      </c>
      <c r="D42" s="451"/>
      <c r="E42" s="468"/>
      <c r="F42" s="451"/>
      <c r="G42" s="451"/>
      <c r="H42" s="451"/>
      <c r="I42" s="451"/>
      <c r="J42" s="451"/>
      <c r="K42" s="451"/>
      <c r="L42" s="451"/>
      <c r="M42" s="451"/>
      <c r="N42" s="451"/>
      <c r="O42" s="484">
        <v>3390</v>
      </c>
      <c r="P42" s="484">
        <f>'.'!L1177</f>
        <v>7822038</v>
      </c>
      <c r="Q42" s="451"/>
      <c r="R42" s="2"/>
      <c r="S42" s="487"/>
      <c r="T42" s="487"/>
      <c r="U42" s="451"/>
      <c r="V42" s="11"/>
    </row>
    <row r="43" spans="1:22" s="227" customFormat="1" ht="39" customHeight="1">
      <c r="A43" s="440">
        <f t="shared" si="0"/>
        <v>35</v>
      </c>
      <c r="B43" s="502" t="s">
        <v>1259</v>
      </c>
      <c r="C43" s="442">
        <f>'.'!L1178</f>
        <v>7822038</v>
      </c>
      <c r="D43" s="451"/>
      <c r="E43" s="468"/>
      <c r="F43" s="451"/>
      <c r="G43" s="451"/>
      <c r="H43" s="451"/>
      <c r="I43" s="451"/>
      <c r="J43" s="451"/>
      <c r="K43" s="451"/>
      <c r="L43" s="451"/>
      <c r="M43" s="451"/>
      <c r="N43" s="451"/>
      <c r="O43" s="484">
        <v>3390</v>
      </c>
      <c r="P43" s="484">
        <f>'.'!L1178</f>
        <v>7822038</v>
      </c>
      <c r="Q43" s="451"/>
      <c r="R43" s="2"/>
      <c r="S43" s="487"/>
      <c r="T43" s="487"/>
      <c r="U43" s="451"/>
      <c r="V43" s="11"/>
    </row>
    <row r="44" spans="1:22" s="227" customFormat="1" ht="39" customHeight="1">
      <c r="A44" s="440">
        <f t="shared" si="0"/>
        <v>36</v>
      </c>
      <c r="B44" s="467" t="s">
        <v>1260</v>
      </c>
      <c r="C44" s="442">
        <f>'.'!L1179</f>
        <v>2840627.47</v>
      </c>
      <c r="D44" s="482">
        <f>'.'!L1179</f>
        <v>2840627.47</v>
      </c>
      <c r="E44" s="468"/>
      <c r="F44" s="451"/>
      <c r="G44" s="451"/>
      <c r="H44" s="451"/>
      <c r="I44" s="451"/>
      <c r="J44" s="451"/>
      <c r="K44" s="451"/>
      <c r="L44" s="451"/>
      <c r="M44" s="451"/>
      <c r="N44" s="451"/>
      <c r="O44" s="451"/>
      <c r="P44" s="451"/>
      <c r="Q44" s="451"/>
      <c r="R44" s="2"/>
      <c r="S44" s="487"/>
      <c r="T44" s="487"/>
      <c r="U44" s="451"/>
      <c r="V44" s="11"/>
    </row>
    <row r="45" spans="1:22" s="227" customFormat="1" ht="39" customHeight="1">
      <c r="A45" s="440">
        <f t="shared" si="0"/>
        <v>37</v>
      </c>
      <c r="B45" s="467" t="s">
        <v>1261</v>
      </c>
      <c r="C45" s="442">
        <f>'.'!L1180</f>
        <v>2840627.47</v>
      </c>
      <c r="D45" s="482">
        <f>'.'!L1180</f>
        <v>2840627.47</v>
      </c>
      <c r="E45" s="468"/>
      <c r="F45" s="451"/>
      <c r="G45" s="451"/>
      <c r="H45" s="451"/>
      <c r="I45" s="451"/>
      <c r="J45" s="451"/>
      <c r="K45" s="451"/>
      <c r="L45" s="451"/>
      <c r="M45" s="451"/>
      <c r="N45" s="451"/>
      <c r="O45" s="451"/>
      <c r="P45" s="451"/>
      <c r="Q45" s="451"/>
      <c r="R45" s="2"/>
      <c r="S45" s="487"/>
      <c r="T45" s="487"/>
      <c r="U45" s="451"/>
      <c r="V45" s="11"/>
    </row>
    <row r="46" spans="1:22" s="227" customFormat="1" ht="39" customHeight="1">
      <c r="A46" s="440">
        <f t="shared" si="0"/>
        <v>38</v>
      </c>
      <c r="B46" s="467" t="s">
        <v>1262</v>
      </c>
      <c r="C46" s="442">
        <f>'.'!L1181</f>
        <v>1397877.49</v>
      </c>
      <c r="D46" s="451"/>
      <c r="E46" s="468"/>
      <c r="F46" s="451"/>
      <c r="G46" s="481">
        <f>'.'!G1181</f>
        <v>609</v>
      </c>
      <c r="H46" s="481">
        <f>'.'!L1181</f>
        <v>1397877.49</v>
      </c>
      <c r="I46" s="451"/>
      <c r="J46" s="451"/>
      <c r="K46" s="451"/>
      <c r="L46" s="451"/>
      <c r="M46" s="451"/>
      <c r="N46" s="451"/>
      <c r="O46" s="451"/>
      <c r="P46" s="451"/>
      <c r="Q46" s="451"/>
      <c r="R46" s="2"/>
      <c r="S46" s="487"/>
      <c r="T46" s="487"/>
      <c r="U46" s="451"/>
      <c r="V46" s="11"/>
    </row>
    <row r="47" spans="1:22" s="227" customFormat="1" ht="39" customHeight="1">
      <c r="A47" s="440">
        <f t="shared" si="0"/>
        <v>39</v>
      </c>
      <c r="B47" s="467" t="s">
        <v>1263</v>
      </c>
      <c r="C47" s="442">
        <f>'.'!L1182</f>
        <v>3258656.01</v>
      </c>
      <c r="D47" s="451"/>
      <c r="E47" s="468"/>
      <c r="F47" s="451"/>
      <c r="G47" s="481">
        <f>'.'!G1182</f>
        <v>1414</v>
      </c>
      <c r="H47" s="481">
        <f>'.'!L1182</f>
        <v>3258656.01</v>
      </c>
      <c r="I47" s="451"/>
      <c r="J47" s="451"/>
      <c r="K47" s="451"/>
      <c r="L47" s="451"/>
      <c r="M47" s="451"/>
      <c r="N47" s="451"/>
      <c r="O47" s="451"/>
      <c r="P47" s="451"/>
      <c r="Q47" s="451"/>
      <c r="R47" s="503"/>
      <c r="S47" s="487"/>
      <c r="T47" s="487"/>
      <c r="U47" s="451"/>
      <c r="V47" s="11"/>
    </row>
    <row r="48" spans="1:22" s="227" customFormat="1" ht="39" customHeight="1">
      <c r="A48" s="440">
        <f t="shared" si="0"/>
        <v>40</v>
      </c>
      <c r="B48" s="205" t="s">
        <v>1264</v>
      </c>
      <c r="C48" s="442">
        <f>'.'!L1183</f>
        <v>1073927.1199999999</v>
      </c>
      <c r="D48" s="504"/>
      <c r="E48" s="505"/>
      <c r="F48" s="504"/>
      <c r="G48" s="481">
        <f>'.'!G1183</f>
        <v>466</v>
      </c>
      <c r="H48" s="481">
        <f>'.'!L1183</f>
        <v>1073927.1199999999</v>
      </c>
      <c r="I48" s="504"/>
      <c r="J48" s="504"/>
      <c r="K48" s="451"/>
      <c r="L48" s="451"/>
      <c r="M48" s="504"/>
      <c r="N48" s="504"/>
      <c r="O48" s="504"/>
      <c r="P48" s="504"/>
      <c r="Q48" s="504"/>
      <c r="R48" s="479"/>
      <c r="S48" s="450"/>
      <c r="T48" s="450"/>
      <c r="U48" s="451"/>
      <c r="V48" s="11"/>
    </row>
    <row r="49" spans="1:22" s="227" customFormat="1" ht="39" customHeight="1">
      <c r="A49" s="440">
        <f t="shared" si="0"/>
        <v>41</v>
      </c>
      <c r="B49" s="205" t="s">
        <v>1265</v>
      </c>
      <c r="C49" s="442">
        <f>'.'!L1184</f>
        <v>900497.83</v>
      </c>
      <c r="D49" s="504"/>
      <c r="E49" s="505"/>
      <c r="F49" s="504"/>
      <c r="G49" s="481">
        <f>'.'!G1184</f>
        <v>355</v>
      </c>
      <c r="H49" s="481">
        <f>'.'!L1184</f>
        <v>900497.83</v>
      </c>
      <c r="I49" s="504"/>
      <c r="J49" s="504"/>
      <c r="K49" s="451"/>
      <c r="L49" s="451"/>
      <c r="M49" s="504"/>
      <c r="N49" s="504"/>
      <c r="O49" s="504"/>
      <c r="P49" s="504"/>
      <c r="Q49" s="504"/>
      <c r="R49" s="479"/>
      <c r="S49" s="450"/>
      <c r="T49" s="450"/>
      <c r="U49" s="451"/>
      <c r="V49" s="11"/>
    </row>
    <row r="50" spans="1:22" s="227" customFormat="1" ht="39" customHeight="1">
      <c r="A50" s="440">
        <f t="shared" si="0"/>
        <v>42</v>
      </c>
      <c r="B50" s="205" t="s">
        <v>1266</v>
      </c>
      <c r="C50" s="442">
        <f>'.'!L1185</f>
        <v>3019579</v>
      </c>
      <c r="D50" s="504"/>
      <c r="E50" s="505"/>
      <c r="F50" s="504"/>
      <c r="G50" s="481">
        <f>'.'!G1185</f>
        <v>2100</v>
      </c>
      <c r="H50" s="481">
        <f>'.'!L1185</f>
        <v>3019579</v>
      </c>
      <c r="I50" s="504"/>
      <c r="J50" s="504"/>
      <c r="K50" s="451"/>
      <c r="L50" s="451"/>
      <c r="M50" s="504"/>
      <c r="N50" s="504"/>
      <c r="O50" s="504"/>
      <c r="P50" s="504"/>
      <c r="Q50" s="504"/>
      <c r="R50" s="479"/>
      <c r="S50" s="450"/>
      <c r="T50" s="450"/>
      <c r="U50" s="451"/>
      <c r="V50" s="11"/>
    </row>
    <row r="51" spans="1:22" s="227" customFormat="1" ht="39" customHeight="1">
      <c r="A51" s="440">
        <f t="shared" si="0"/>
        <v>43</v>
      </c>
      <c r="B51" s="205" t="s">
        <v>1267</v>
      </c>
      <c r="C51" s="442">
        <f>'.'!L1186</f>
        <v>1509490.9</v>
      </c>
      <c r="D51" s="504"/>
      <c r="E51" s="505"/>
      <c r="F51" s="504"/>
      <c r="G51" s="481">
        <f>'.'!G1186</f>
        <v>655</v>
      </c>
      <c r="H51" s="481">
        <f>'.'!L1186</f>
        <v>1509490.9</v>
      </c>
      <c r="I51" s="504"/>
      <c r="J51" s="504"/>
      <c r="K51" s="451"/>
      <c r="L51" s="451"/>
      <c r="M51" s="504"/>
      <c r="N51" s="504"/>
      <c r="O51" s="504"/>
      <c r="P51" s="504"/>
      <c r="Q51" s="504"/>
      <c r="R51" s="479"/>
      <c r="S51" s="450"/>
      <c r="T51" s="450"/>
      <c r="U51" s="451"/>
      <c r="V51" s="11"/>
    </row>
    <row r="52" spans="1:22" s="227" customFormat="1" ht="39" customHeight="1">
      <c r="A52" s="440">
        <f t="shared" si="0"/>
        <v>44</v>
      </c>
      <c r="B52" s="205" t="s">
        <v>1268</v>
      </c>
      <c r="C52" s="442">
        <f>'.'!L1187</f>
        <v>3257268.81</v>
      </c>
      <c r="D52" s="504"/>
      <c r="E52" s="505"/>
      <c r="F52" s="504"/>
      <c r="G52" s="481">
        <f>'.'!G1187</f>
        <v>1470</v>
      </c>
      <c r="H52" s="481">
        <f>'.'!L1187</f>
        <v>3257268.81</v>
      </c>
      <c r="I52" s="504"/>
      <c r="J52" s="504"/>
      <c r="K52" s="451"/>
      <c r="L52" s="451"/>
      <c r="M52" s="504"/>
      <c r="N52" s="504"/>
      <c r="O52" s="504"/>
      <c r="P52" s="504"/>
      <c r="Q52" s="504"/>
      <c r="R52" s="479"/>
      <c r="S52" s="450"/>
      <c r="T52" s="450"/>
      <c r="U52" s="451"/>
      <c r="V52" s="11"/>
    </row>
    <row r="53" spans="1:22" s="227" customFormat="1" ht="39" customHeight="1">
      <c r="A53" s="440">
        <f t="shared" si="0"/>
        <v>45</v>
      </c>
      <c r="B53" s="205" t="s">
        <v>1269</v>
      </c>
      <c r="C53" s="442">
        <f>'.'!L1188</f>
        <v>2008223.46</v>
      </c>
      <c r="D53" s="504"/>
      <c r="E53" s="505"/>
      <c r="F53" s="504"/>
      <c r="G53" s="481">
        <f>'.'!G1188</f>
        <v>937</v>
      </c>
      <c r="H53" s="481">
        <f>'.'!L1188</f>
        <v>2008223.46</v>
      </c>
      <c r="I53" s="504"/>
      <c r="J53" s="504"/>
      <c r="K53" s="451"/>
      <c r="L53" s="451"/>
      <c r="M53" s="504"/>
      <c r="N53" s="504"/>
      <c r="O53" s="504"/>
      <c r="P53" s="504"/>
      <c r="Q53" s="504"/>
      <c r="R53" s="479"/>
      <c r="S53" s="450"/>
      <c r="T53" s="450"/>
      <c r="U53" s="451"/>
      <c r="V53" s="11"/>
    </row>
    <row r="54" spans="1:22" s="227" customFormat="1" ht="39" customHeight="1">
      <c r="A54" s="440">
        <f t="shared" si="0"/>
        <v>46</v>
      </c>
      <c r="B54" s="205" t="s">
        <v>1270</v>
      </c>
      <c r="C54" s="442">
        <f>'.'!L1189</f>
        <v>2323001.83</v>
      </c>
      <c r="D54" s="504"/>
      <c r="E54" s="505"/>
      <c r="F54" s="504"/>
      <c r="G54" s="481">
        <f>'.'!G1189</f>
        <v>1008</v>
      </c>
      <c r="H54" s="481">
        <f>'.'!L1189</f>
        <v>2323001.83</v>
      </c>
      <c r="I54" s="504"/>
      <c r="J54" s="504"/>
      <c r="K54" s="451"/>
      <c r="L54" s="451"/>
      <c r="M54" s="504"/>
      <c r="N54" s="504"/>
      <c r="O54" s="504"/>
      <c r="P54" s="504"/>
      <c r="Q54" s="504"/>
      <c r="R54" s="479"/>
      <c r="S54" s="450"/>
      <c r="T54" s="450"/>
      <c r="U54" s="451"/>
      <c r="V54" s="11"/>
    </row>
    <row r="55" spans="1:22" s="227" customFormat="1" ht="39" customHeight="1">
      <c r="A55" s="440">
        <f t="shared" si="0"/>
        <v>47</v>
      </c>
      <c r="B55" s="205" t="s">
        <v>1271</v>
      </c>
      <c r="C55" s="442">
        <f>'.'!L1190</f>
        <v>2089526.48</v>
      </c>
      <c r="D55" s="482"/>
      <c r="E55" s="505"/>
      <c r="F55" s="504"/>
      <c r="G55" s="481">
        <f>'.'!G1190</f>
        <v>966</v>
      </c>
      <c r="H55" s="481">
        <f>'.'!L1190</f>
        <v>2089526.48</v>
      </c>
      <c r="I55" s="504"/>
      <c r="J55" s="504"/>
      <c r="K55" s="451"/>
      <c r="L55" s="451"/>
      <c r="M55" s="504"/>
      <c r="N55" s="504"/>
      <c r="O55" s="504"/>
      <c r="P55" s="504"/>
      <c r="Q55" s="504"/>
      <c r="R55" s="479"/>
      <c r="S55" s="450"/>
      <c r="T55" s="450"/>
      <c r="U55" s="451"/>
      <c r="V55" s="11"/>
    </row>
    <row r="56" spans="1:22" s="227" customFormat="1" ht="39" customHeight="1">
      <c r="A56" s="440">
        <f t="shared" si="0"/>
        <v>48</v>
      </c>
      <c r="B56" s="205" t="s">
        <v>1272</v>
      </c>
      <c r="C56" s="442">
        <f>'.'!L1191</f>
        <v>3443596.46</v>
      </c>
      <c r="D56" s="482"/>
      <c r="E56" s="505"/>
      <c r="F56" s="504"/>
      <c r="G56" s="481">
        <f>'.'!G1191</f>
        <v>1846</v>
      </c>
      <c r="H56" s="481">
        <f>'.'!L1191</f>
        <v>3443596.46</v>
      </c>
      <c r="I56" s="504"/>
      <c r="J56" s="504"/>
      <c r="K56" s="451"/>
      <c r="L56" s="451"/>
      <c r="M56" s="504"/>
      <c r="N56" s="504"/>
      <c r="O56" s="504"/>
      <c r="P56" s="504"/>
      <c r="Q56" s="504"/>
      <c r="R56" s="479"/>
      <c r="S56" s="450"/>
      <c r="T56" s="450"/>
      <c r="U56" s="451"/>
      <c r="V56" s="11"/>
    </row>
    <row r="57" spans="1:22" s="227" customFormat="1" ht="39" customHeight="1">
      <c r="A57" s="440">
        <f t="shared" si="0"/>
        <v>49</v>
      </c>
      <c r="B57" s="205" t="s">
        <v>1273</v>
      </c>
      <c r="C57" s="442">
        <f>'.'!L1192</f>
        <v>2655209.66</v>
      </c>
      <c r="D57" s="504"/>
      <c r="E57" s="505"/>
      <c r="F57" s="504"/>
      <c r="G57" s="481">
        <f>'.'!G1192</f>
        <v>1423</v>
      </c>
      <c r="H57" s="481">
        <f>'.'!L1192</f>
        <v>2655209.66</v>
      </c>
      <c r="I57" s="504"/>
      <c r="J57" s="504"/>
      <c r="K57" s="451"/>
      <c r="L57" s="451"/>
      <c r="M57" s="504"/>
      <c r="N57" s="504"/>
      <c r="O57" s="504"/>
      <c r="P57" s="504"/>
      <c r="Q57" s="504"/>
      <c r="R57" s="479"/>
      <c r="S57" s="450"/>
      <c r="T57" s="450"/>
      <c r="U57" s="451"/>
      <c r="V57" s="11"/>
    </row>
    <row r="58" spans="1:22" s="227" customFormat="1" ht="39" customHeight="1">
      <c r="A58" s="440">
        <f t="shared" si="0"/>
        <v>50</v>
      </c>
      <c r="B58" s="205" t="s">
        <v>3903</v>
      </c>
      <c r="C58" s="442">
        <f>'.'!L1193</f>
        <v>1130251.4000000001</v>
      </c>
      <c r="D58" s="504"/>
      <c r="E58" s="505"/>
      <c r="F58" s="504"/>
      <c r="G58" s="481">
        <f>'.'!G1193</f>
        <v>490</v>
      </c>
      <c r="H58" s="481">
        <f>'.'!L1193</f>
        <v>1130251.4000000001</v>
      </c>
      <c r="I58" s="504"/>
      <c r="J58" s="504"/>
      <c r="K58" s="451"/>
      <c r="L58" s="451"/>
      <c r="M58" s="504"/>
      <c r="N58" s="504"/>
      <c r="O58" s="504"/>
      <c r="P58" s="504"/>
      <c r="Q58" s="504"/>
      <c r="R58" s="479"/>
      <c r="S58" s="450"/>
      <c r="T58" s="450"/>
      <c r="U58" s="451"/>
      <c r="V58" s="11"/>
    </row>
    <row r="59" spans="1:22" s="227" customFormat="1" ht="39" customHeight="1">
      <c r="A59" s="440">
        <f t="shared" si="0"/>
        <v>51</v>
      </c>
      <c r="B59" s="205" t="s">
        <v>1275</v>
      </c>
      <c r="C59" s="442">
        <f>'.'!L1194</f>
        <v>2873979.1100000003</v>
      </c>
      <c r="D59" s="504"/>
      <c r="E59" s="505"/>
      <c r="F59" s="504"/>
      <c r="G59" s="481">
        <f>'.'!G1194</f>
        <v>1150</v>
      </c>
      <c r="H59" s="481">
        <f>'.'!L1194</f>
        <v>2873979.1100000003</v>
      </c>
      <c r="I59" s="504"/>
      <c r="J59" s="504"/>
      <c r="K59" s="451"/>
      <c r="L59" s="451"/>
      <c r="M59" s="504"/>
      <c r="N59" s="504"/>
      <c r="O59" s="504"/>
      <c r="P59" s="504"/>
      <c r="Q59" s="504"/>
      <c r="R59" s="479"/>
      <c r="S59" s="450"/>
      <c r="T59" s="450"/>
      <c r="U59" s="451"/>
      <c r="V59" s="11"/>
    </row>
    <row r="60" spans="1:22" s="227" customFormat="1" ht="39" customHeight="1">
      <c r="A60" s="440">
        <f t="shared" si="0"/>
        <v>52</v>
      </c>
      <c r="B60" s="205" t="s">
        <v>1276</v>
      </c>
      <c r="C60" s="442">
        <f>'.'!L1195</f>
        <v>2258562.6100000003</v>
      </c>
      <c r="D60" s="504"/>
      <c r="E60" s="505"/>
      <c r="F60" s="504"/>
      <c r="G60" s="481">
        <f>'.'!G1195</f>
        <v>1400</v>
      </c>
      <c r="H60" s="481">
        <f>'.'!L1195</f>
        <v>2258562.6100000003</v>
      </c>
      <c r="I60" s="504"/>
      <c r="J60" s="504"/>
      <c r="K60" s="451"/>
      <c r="L60" s="451"/>
      <c r="M60" s="504"/>
      <c r="N60" s="504"/>
      <c r="O60" s="504"/>
      <c r="P60" s="504"/>
      <c r="Q60" s="504"/>
      <c r="R60" s="479"/>
      <c r="S60" s="450"/>
      <c r="T60" s="450"/>
      <c r="U60" s="451"/>
      <c r="V60" s="11"/>
    </row>
    <row r="61" spans="1:22" s="227" customFormat="1" ht="39" customHeight="1">
      <c r="A61" s="440">
        <f t="shared" si="0"/>
        <v>53</v>
      </c>
      <c r="B61" s="205" t="s">
        <v>1277</v>
      </c>
      <c r="C61" s="442">
        <f>'.'!L1196</f>
        <v>2848543.53</v>
      </c>
      <c r="D61" s="504"/>
      <c r="E61" s="505"/>
      <c r="F61" s="504"/>
      <c r="G61" s="481">
        <f>'.'!G1196</f>
        <v>1005</v>
      </c>
      <c r="H61" s="481">
        <f>'.'!L1196</f>
        <v>2848543.53</v>
      </c>
      <c r="I61" s="504"/>
      <c r="J61" s="504"/>
      <c r="K61" s="451"/>
      <c r="L61" s="451"/>
      <c r="M61" s="504"/>
      <c r="N61" s="504"/>
      <c r="O61" s="504"/>
      <c r="P61" s="504"/>
      <c r="Q61" s="504"/>
      <c r="R61" s="479"/>
      <c r="S61" s="450"/>
      <c r="T61" s="450"/>
      <c r="U61" s="451"/>
      <c r="V61" s="11"/>
    </row>
    <row r="62" spans="1:22" s="227" customFormat="1" ht="39" customHeight="1">
      <c r="A62" s="440">
        <f t="shared" si="0"/>
        <v>54</v>
      </c>
      <c r="B62" s="205" t="s">
        <v>1278</v>
      </c>
      <c r="C62" s="442">
        <f>'.'!L1197</f>
        <v>2906057.2</v>
      </c>
      <c r="D62" s="504"/>
      <c r="E62" s="505"/>
      <c r="F62" s="504"/>
      <c r="G62" s="481">
        <f>'.'!G1197</f>
        <v>1261</v>
      </c>
      <c r="H62" s="481">
        <f>'.'!L1197</f>
        <v>2906057.2</v>
      </c>
      <c r="I62" s="504"/>
      <c r="J62" s="504"/>
      <c r="K62" s="451"/>
      <c r="L62" s="451"/>
      <c r="M62" s="504"/>
      <c r="N62" s="504"/>
      <c r="O62" s="504"/>
      <c r="P62" s="504"/>
      <c r="Q62" s="504"/>
      <c r="R62" s="479"/>
      <c r="S62" s="450"/>
      <c r="T62" s="450"/>
      <c r="U62" s="451"/>
      <c r="V62" s="11"/>
    </row>
    <row r="63" spans="1:22" s="227" customFormat="1" ht="39" customHeight="1">
      <c r="A63" s="440">
        <f t="shared" si="0"/>
        <v>55</v>
      </c>
      <c r="B63" s="205" t="s">
        <v>1279</v>
      </c>
      <c r="C63" s="442">
        <f>'.'!L1198</f>
        <v>2675600.6500000004</v>
      </c>
      <c r="D63" s="504"/>
      <c r="E63" s="505"/>
      <c r="F63" s="504"/>
      <c r="G63" s="481"/>
      <c r="H63" s="481">
        <f>'.'!L1198</f>
        <v>2675600.6500000004</v>
      </c>
      <c r="I63" s="504"/>
      <c r="J63" s="504"/>
      <c r="K63" s="451"/>
      <c r="L63" s="451"/>
      <c r="M63" s="504"/>
      <c r="N63" s="504"/>
      <c r="O63" s="504"/>
      <c r="P63" s="504"/>
      <c r="Q63" s="504"/>
      <c r="R63" s="479"/>
      <c r="S63" s="450"/>
      <c r="T63" s="450"/>
      <c r="U63" s="451"/>
      <c r="V63" s="11"/>
    </row>
    <row r="64" spans="1:22" s="227" customFormat="1" ht="39" customHeight="1">
      <c r="A64" s="440">
        <f t="shared" si="0"/>
        <v>56</v>
      </c>
      <c r="B64" s="205" t="s">
        <v>1280</v>
      </c>
      <c r="C64" s="442">
        <f>'.'!L1199</f>
        <v>4365089.8499999996</v>
      </c>
      <c r="D64" s="504"/>
      <c r="E64" s="505"/>
      <c r="F64" s="504"/>
      <c r="G64" s="481">
        <f>'.'!G1199</f>
        <v>2083</v>
      </c>
      <c r="H64" s="481">
        <f>'.'!L1199</f>
        <v>4365089.8499999996</v>
      </c>
      <c r="I64" s="504"/>
      <c r="J64" s="504"/>
      <c r="K64" s="451"/>
      <c r="L64" s="451"/>
      <c r="M64" s="504"/>
      <c r="N64" s="504"/>
      <c r="O64" s="504"/>
      <c r="P64" s="504"/>
      <c r="Q64" s="504"/>
      <c r="R64" s="479"/>
      <c r="S64" s="450"/>
      <c r="T64" s="450"/>
      <c r="U64" s="451"/>
      <c r="V64" s="11"/>
    </row>
    <row r="65" spans="1:26" s="227" customFormat="1" ht="39" customHeight="1">
      <c r="A65" s="440">
        <f t="shared" si="0"/>
        <v>57</v>
      </c>
      <c r="B65" s="205" t="s">
        <v>3902</v>
      </c>
      <c r="C65" s="442">
        <f>'.'!L1200</f>
        <v>1827597.43</v>
      </c>
      <c r="D65" s="504"/>
      <c r="E65" s="505"/>
      <c r="F65" s="504"/>
      <c r="G65" s="481">
        <f>'.'!G1200</f>
        <v>950</v>
      </c>
      <c r="H65" s="481">
        <f>'.'!L1200</f>
        <v>1827597.43</v>
      </c>
      <c r="I65" s="504"/>
      <c r="J65" s="504"/>
      <c r="K65" s="451"/>
      <c r="L65" s="451"/>
      <c r="M65" s="504"/>
      <c r="N65" s="504"/>
      <c r="O65" s="504"/>
      <c r="P65" s="504"/>
      <c r="Q65" s="504"/>
      <c r="R65" s="479"/>
      <c r="S65" s="450"/>
      <c r="T65" s="450"/>
      <c r="U65" s="451"/>
      <c r="V65" s="11"/>
    </row>
    <row r="66" spans="1:26" s="227" customFormat="1" ht="39" customHeight="1">
      <c r="A66" s="440">
        <f t="shared" si="0"/>
        <v>58</v>
      </c>
      <c r="B66" s="205" t="s">
        <v>1282</v>
      </c>
      <c r="C66" s="442">
        <f>'.'!L1201</f>
        <v>2352768.21</v>
      </c>
      <c r="D66" s="504"/>
      <c r="E66" s="505"/>
      <c r="F66" s="504"/>
      <c r="G66" s="481">
        <f>'.'!G1201</f>
        <v>1020</v>
      </c>
      <c r="H66" s="481">
        <f>'.'!L1201</f>
        <v>2352768.21</v>
      </c>
      <c r="I66" s="504"/>
      <c r="J66" s="504"/>
      <c r="K66" s="451"/>
      <c r="L66" s="451"/>
      <c r="M66" s="504"/>
      <c r="N66" s="504"/>
      <c r="O66" s="504"/>
      <c r="P66" s="504"/>
      <c r="Q66" s="504"/>
      <c r="R66" s="479"/>
      <c r="S66" s="450"/>
      <c r="T66" s="450"/>
      <c r="U66" s="451"/>
      <c r="V66" s="11"/>
    </row>
    <row r="67" spans="1:26" s="227" customFormat="1" ht="39" customHeight="1">
      <c r="A67" s="440">
        <f t="shared" si="0"/>
        <v>59</v>
      </c>
      <c r="B67" s="205" t="s">
        <v>1283</v>
      </c>
      <c r="C67" s="442">
        <f>'.'!L1202</f>
        <v>1803535.3800000001</v>
      </c>
      <c r="D67" s="504"/>
      <c r="E67" s="505"/>
      <c r="F67" s="504"/>
      <c r="G67" s="481">
        <f>'.'!G1202</f>
        <v>845</v>
      </c>
      <c r="H67" s="481">
        <f>'.'!L1202</f>
        <v>1803535.3800000001</v>
      </c>
      <c r="I67" s="504"/>
      <c r="J67" s="504"/>
      <c r="K67" s="451"/>
      <c r="L67" s="451"/>
      <c r="M67" s="504"/>
      <c r="N67" s="504"/>
      <c r="O67" s="504"/>
      <c r="P67" s="504"/>
      <c r="Q67" s="504"/>
      <c r="R67" s="479"/>
      <c r="S67" s="450"/>
      <c r="T67" s="450"/>
      <c r="U67" s="451"/>
      <c r="V67" s="11"/>
    </row>
    <row r="68" spans="1:26" s="227" customFormat="1" ht="39" customHeight="1">
      <c r="A68" s="440">
        <f t="shared" si="0"/>
        <v>60</v>
      </c>
      <c r="B68" s="205" t="s">
        <v>1284</v>
      </c>
      <c r="C68" s="442">
        <f>'.'!L1203</f>
        <v>1080311.2299999997</v>
      </c>
      <c r="D68" s="481">
        <f>'.'!L1203</f>
        <v>1080311.2299999997</v>
      </c>
      <c r="E68" s="505"/>
      <c r="F68" s="504"/>
      <c r="G68" s="481"/>
      <c r="H68" s="247"/>
      <c r="I68" s="504"/>
      <c r="J68" s="504"/>
      <c r="K68" s="451"/>
      <c r="L68" s="451"/>
      <c r="M68" s="504"/>
      <c r="N68" s="504"/>
      <c r="O68" s="504"/>
      <c r="P68" s="504"/>
      <c r="Q68" s="504"/>
      <c r="R68" s="479"/>
      <c r="S68" s="450"/>
      <c r="T68" s="450"/>
      <c r="U68" s="451"/>
      <c r="V68" s="11"/>
    </row>
    <row r="69" spans="1:26" s="227" customFormat="1" ht="39" customHeight="1">
      <c r="A69" s="440">
        <f t="shared" si="0"/>
        <v>61</v>
      </c>
      <c r="B69" s="205" t="s">
        <v>1285</v>
      </c>
      <c r="C69" s="442">
        <f>'.'!L1204</f>
        <v>1019092.5800000001</v>
      </c>
      <c r="D69" s="504"/>
      <c r="E69" s="505"/>
      <c r="F69" s="504"/>
      <c r="G69" s="481">
        <f>'.'!G1204</f>
        <v>455</v>
      </c>
      <c r="H69" s="481">
        <f>'.'!L1204</f>
        <v>1019092.5800000001</v>
      </c>
      <c r="I69" s="504"/>
      <c r="J69" s="504"/>
      <c r="K69" s="451"/>
      <c r="L69" s="451"/>
      <c r="M69" s="504"/>
      <c r="N69" s="504"/>
      <c r="O69" s="504"/>
      <c r="P69" s="504"/>
      <c r="Q69" s="504"/>
      <c r="R69" s="479"/>
      <c r="S69" s="450"/>
      <c r="T69" s="450"/>
      <c r="U69" s="451"/>
      <c r="V69" s="11"/>
    </row>
    <row r="70" spans="1:26" s="227" customFormat="1" ht="39" customHeight="1">
      <c r="A70" s="440">
        <f t="shared" si="0"/>
        <v>62</v>
      </c>
      <c r="B70" s="205" t="s">
        <v>1286</v>
      </c>
      <c r="C70" s="442">
        <f>'.'!L1205</f>
        <v>1014039.37</v>
      </c>
      <c r="D70" s="504"/>
      <c r="E70" s="505"/>
      <c r="F70" s="504"/>
      <c r="G70" s="481">
        <f>'.'!G1205</f>
        <v>456</v>
      </c>
      <c r="H70" s="481">
        <f>'.'!L1205</f>
        <v>1014039.37</v>
      </c>
      <c r="I70" s="504"/>
      <c r="J70" s="504"/>
      <c r="K70" s="451"/>
      <c r="L70" s="451"/>
      <c r="M70" s="504"/>
      <c r="N70" s="504"/>
      <c r="O70" s="504"/>
      <c r="P70" s="504"/>
      <c r="Q70" s="504"/>
      <c r="R70" s="479"/>
      <c r="S70" s="450"/>
      <c r="T70" s="450"/>
      <c r="U70" s="451"/>
      <c r="V70" s="11"/>
    </row>
    <row r="71" spans="1:26" s="227" customFormat="1" ht="39" customHeight="1">
      <c r="A71" s="440">
        <f t="shared" si="0"/>
        <v>63</v>
      </c>
      <c r="B71" s="205" t="s">
        <v>1287</v>
      </c>
      <c r="C71" s="442">
        <f>'.'!L1206</f>
        <v>15141796.74</v>
      </c>
      <c r="D71" s="504"/>
      <c r="E71" s="505">
        <v>3</v>
      </c>
      <c r="F71" s="504">
        <f>'.'!M1207+'.'!N1207+'.'!O1207+'.'!P1207+'.'!Q1207</f>
        <v>6091762.5</v>
      </c>
      <c r="G71" s="481"/>
      <c r="H71" s="481"/>
      <c r="I71" s="504"/>
      <c r="J71" s="504"/>
      <c r="K71" s="2">
        <v>5640</v>
      </c>
      <c r="L71" s="2">
        <f>'.'!M1206+'.'!N1206+'.'!O1206+'.'!P1206+'.'!Q1206</f>
        <v>9050034.2400000002</v>
      </c>
      <c r="M71" s="504"/>
      <c r="N71" s="504"/>
      <c r="O71" s="504"/>
      <c r="P71" s="445"/>
      <c r="Q71" s="445"/>
      <c r="R71" s="121"/>
      <c r="S71" s="446"/>
      <c r="T71" s="450"/>
      <c r="U71" s="451"/>
      <c r="V71" s="11"/>
      <c r="Z71" s="140"/>
    </row>
    <row r="72" spans="1:26" s="227" customFormat="1" ht="39" customHeight="1">
      <c r="A72" s="440">
        <f t="shared" si="0"/>
        <v>64</v>
      </c>
      <c r="B72" s="205" t="s">
        <v>1288</v>
      </c>
      <c r="C72" s="442">
        <f>'.'!L1208</f>
        <v>8415600</v>
      </c>
      <c r="D72" s="504"/>
      <c r="E72" s="505"/>
      <c r="F72" s="504"/>
      <c r="G72" s="481">
        <f>'.'!G1208</f>
        <v>2000</v>
      </c>
      <c r="H72" s="481">
        <f>'.'!L1208</f>
        <v>8415600</v>
      </c>
      <c r="I72" s="504"/>
      <c r="J72" s="504"/>
      <c r="K72" s="451"/>
      <c r="L72" s="451"/>
      <c r="M72" s="504"/>
      <c r="N72" s="504"/>
      <c r="O72" s="504"/>
      <c r="P72" s="497"/>
      <c r="Q72" s="122"/>
      <c r="R72" s="122"/>
      <c r="S72" s="497"/>
      <c r="T72" s="450"/>
      <c r="U72" s="451"/>
      <c r="V72" s="11"/>
    </row>
    <row r="73" spans="1:26" s="227" customFormat="1" ht="39" customHeight="1">
      <c r="A73" s="440">
        <f t="shared" si="0"/>
        <v>65</v>
      </c>
      <c r="B73" s="206" t="s">
        <v>3899</v>
      </c>
      <c r="C73" s="442">
        <f>'.'!L1209</f>
        <v>7731150</v>
      </c>
      <c r="D73" s="443"/>
      <c r="E73" s="448"/>
      <c r="F73" s="443"/>
      <c r="G73" s="443"/>
      <c r="H73" s="443"/>
      <c r="I73" s="443"/>
      <c r="J73" s="443"/>
      <c r="K73" s="449"/>
      <c r="L73" s="449"/>
      <c r="M73" s="443"/>
      <c r="N73" s="443"/>
      <c r="O73" s="443">
        <f>'.'!E1209</f>
        <v>2735</v>
      </c>
      <c r="P73" s="506">
        <f>'.'!L1209</f>
        <v>7731150</v>
      </c>
      <c r="Q73" s="506"/>
      <c r="R73" s="499"/>
      <c r="S73" s="507"/>
      <c r="T73" s="450"/>
      <c r="U73" s="451"/>
      <c r="V73" s="11"/>
    </row>
    <row r="74" spans="1:26" s="227" customFormat="1" ht="39" customHeight="1">
      <c r="A74" s="440">
        <f t="shared" ref="A74:A93" si="1">A73+1</f>
        <v>66</v>
      </c>
      <c r="B74" s="206" t="s">
        <v>3900</v>
      </c>
      <c r="C74" s="442">
        <f>'.'!L1210</f>
        <v>5799855</v>
      </c>
      <c r="D74" s="443"/>
      <c r="E74" s="448"/>
      <c r="F74" s="443"/>
      <c r="G74" s="443"/>
      <c r="H74" s="443"/>
      <c r="I74" s="443"/>
      <c r="J74" s="443"/>
      <c r="K74" s="449"/>
      <c r="L74" s="449"/>
      <c r="M74" s="443"/>
      <c r="N74" s="443"/>
      <c r="O74" s="443">
        <f>'.'!E1210</f>
        <v>3088</v>
      </c>
      <c r="P74" s="443">
        <f>'.'!L1210</f>
        <v>5799855</v>
      </c>
      <c r="Q74" s="443"/>
      <c r="R74" s="449"/>
      <c r="S74" s="450"/>
      <c r="T74" s="450"/>
      <c r="U74" s="451"/>
      <c r="V74" s="11"/>
    </row>
    <row r="75" spans="1:26" s="227" customFormat="1" ht="39" customHeight="1">
      <c r="A75" s="440">
        <f t="shared" si="1"/>
        <v>67</v>
      </c>
      <c r="B75" s="206" t="s">
        <v>3901</v>
      </c>
      <c r="C75" s="442">
        <f>'.'!L1211</f>
        <v>7890969</v>
      </c>
      <c r="D75" s="443"/>
      <c r="E75" s="448"/>
      <c r="F75" s="443"/>
      <c r="G75" s="443"/>
      <c r="H75" s="443"/>
      <c r="I75" s="443"/>
      <c r="J75" s="443"/>
      <c r="K75" s="449"/>
      <c r="L75" s="449"/>
      <c r="M75" s="443"/>
      <c r="N75" s="443"/>
      <c r="O75" s="443">
        <f>'.'!E1211</f>
        <v>3087</v>
      </c>
      <c r="P75" s="443">
        <f>'.'!L1211</f>
        <v>7890969</v>
      </c>
      <c r="Q75" s="443"/>
      <c r="R75" s="449"/>
      <c r="S75" s="450"/>
      <c r="T75" s="450"/>
      <c r="U75" s="451"/>
      <c r="V75" s="11"/>
    </row>
    <row r="76" spans="1:26" s="227" customFormat="1" ht="39" customHeight="1">
      <c r="A76" s="440">
        <f t="shared" si="1"/>
        <v>68</v>
      </c>
      <c r="B76" s="206" t="s">
        <v>4070</v>
      </c>
      <c r="C76" s="442">
        <f>'.'!L1212</f>
        <v>7890969</v>
      </c>
      <c r="D76" s="443"/>
      <c r="E76" s="448"/>
      <c r="F76" s="443"/>
      <c r="G76" s="443"/>
      <c r="H76" s="443"/>
      <c r="I76" s="443"/>
      <c r="J76" s="443"/>
      <c r="K76" s="449"/>
      <c r="L76" s="449"/>
      <c r="M76" s="443"/>
      <c r="N76" s="443"/>
      <c r="O76" s="443">
        <f>'.'!E1212</f>
        <v>3174</v>
      </c>
      <c r="P76" s="445">
        <f>'.'!L1212</f>
        <v>7890969</v>
      </c>
      <c r="Q76" s="445"/>
      <c r="R76" s="121"/>
      <c r="S76" s="446"/>
      <c r="T76" s="450"/>
      <c r="U76" s="451"/>
      <c r="V76" s="11"/>
    </row>
    <row r="77" spans="1:26" s="227" customFormat="1" ht="39" customHeight="1">
      <c r="A77" s="440">
        <f t="shared" si="1"/>
        <v>69</v>
      </c>
      <c r="B77" s="206" t="s">
        <v>3588</v>
      </c>
      <c r="C77" s="442">
        <f>'.'!L1213</f>
        <v>3554262.18</v>
      </c>
      <c r="D77" s="443"/>
      <c r="E77" s="448"/>
      <c r="F77" s="443"/>
      <c r="G77" s="443">
        <f>'.'!G1213</f>
        <v>755</v>
      </c>
      <c r="H77" s="449">
        <f>'.'!L1213</f>
        <v>3554262.18</v>
      </c>
      <c r="I77" s="443"/>
      <c r="J77" s="443"/>
      <c r="K77" s="449"/>
      <c r="L77" s="449"/>
      <c r="M77" s="443"/>
      <c r="N77" s="443"/>
      <c r="O77" s="443"/>
      <c r="P77" s="497"/>
      <c r="Q77" s="122"/>
      <c r="R77" s="122"/>
      <c r="S77" s="497"/>
      <c r="T77" s="450"/>
      <c r="U77" s="451"/>
      <c r="V77" s="11"/>
    </row>
    <row r="78" spans="1:26" s="227" customFormat="1" ht="39" customHeight="1">
      <c r="A78" s="440">
        <f t="shared" si="1"/>
        <v>70</v>
      </c>
      <c r="B78" s="206" t="s">
        <v>3589</v>
      </c>
      <c r="C78" s="442">
        <f>'.'!L1214</f>
        <v>4478496.33</v>
      </c>
      <c r="D78" s="443"/>
      <c r="E78" s="448"/>
      <c r="F78" s="443"/>
      <c r="G78" s="443">
        <f>'.'!G1214</f>
        <v>1050</v>
      </c>
      <c r="H78" s="449">
        <f>'.'!L1214</f>
        <v>4478496.33</v>
      </c>
      <c r="I78" s="443"/>
      <c r="J78" s="443"/>
      <c r="K78" s="449"/>
      <c r="L78" s="449"/>
      <c r="M78" s="443"/>
      <c r="N78" s="443"/>
      <c r="O78" s="443"/>
      <c r="P78" s="497"/>
      <c r="Q78" s="122"/>
      <c r="R78" s="122"/>
      <c r="S78" s="497"/>
      <c r="T78" s="450"/>
      <c r="U78" s="451"/>
      <c r="V78" s="11"/>
    </row>
    <row r="79" spans="1:26" s="227" customFormat="1" ht="39" customHeight="1">
      <c r="A79" s="440">
        <f t="shared" si="1"/>
        <v>71</v>
      </c>
      <c r="B79" s="206" t="s">
        <v>3590</v>
      </c>
      <c r="C79" s="442">
        <f>'.'!L1215</f>
        <v>4680624.5599999996</v>
      </c>
      <c r="D79" s="443"/>
      <c r="E79" s="448"/>
      <c r="F79" s="443"/>
      <c r="G79" s="443">
        <f>'.'!G1215</f>
        <v>1172</v>
      </c>
      <c r="H79" s="449">
        <f>'.'!L1215</f>
        <v>4680624.5599999996</v>
      </c>
      <c r="I79" s="443"/>
      <c r="J79" s="443"/>
      <c r="K79" s="449"/>
      <c r="L79" s="449"/>
      <c r="M79" s="443"/>
      <c r="N79" s="443"/>
      <c r="O79" s="443"/>
      <c r="P79" s="497"/>
      <c r="Q79" s="122"/>
      <c r="R79" s="122"/>
      <c r="S79" s="497"/>
      <c r="T79" s="450"/>
      <c r="U79" s="451"/>
      <c r="V79" s="11"/>
    </row>
    <row r="80" spans="1:26" s="227" customFormat="1" ht="39" customHeight="1">
      <c r="A80" s="440">
        <f t="shared" si="1"/>
        <v>72</v>
      </c>
      <c r="B80" s="206" t="s">
        <v>3592</v>
      </c>
      <c r="C80" s="442">
        <f>'.'!L1216</f>
        <v>1616735.7</v>
      </c>
      <c r="D80" s="443">
        <f>C80</f>
        <v>1616735.7</v>
      </c>
      <c r="E80" s="448"/>
      <c r="F80" s="443"/>
      <c r="G80" s="443"/>
      <c r="H80" s="443"/>
      <c r="I80" s="443"/>
      <c r="J80" s="443"/>
      <c r="K80" s="449"/>
      <c r="L80" s="449"/>
      <c r="M80" s="443"/>
      <c r="N80" s="443"/>
      <c r="O80" s="443"/>
      <c r="P80" s="506"/>
      <c r="Q80" s="506"/>
      <c r="R80" s="499"/>
      <c r="S80" s="507"/>
      <c r="T80" s="450"/>
      <c r="U80" s="451"/>
      <c r="V80" s="11"/>
    </row>
    <row r="81" spans="1:26" s="227" customFormat="1" ht="39" customHeight="1">
      <c r="A81" s="440">
        <f t="shared" si="1"/>
        <v>73</v>
      </c>
      <c r="B81" s="206" t="s">
        <v>3897</v>
      </c>
      <c r="C81" s="442">
        <f>'.'!L1217</f>
        <v>4081468.75</v>
      </c>
      <c r="D81" s="443"/>
      <c r="E81" s="448">
        <v>2</v>
      </c>
      <c r="F81" s="443">
        <f>'.'!L1217</f>
        <v>4081468.75</v>
      </c>
      <c r="G81" s="443"/>
      <c r="H81" s="443"/>
      <c r="I81" s="443"/>
      <c r="J81" s="443"/>
      <c r="K81" s="449"/>
      <c r="L81" s="449"/>
      <c r="M81" s="443"/>
      <c r="N81" s="443"/>
      <c r="O81" s="443"/>
      <c r="P81" s="443"/>
      <c r="Q81" s="443"/>
      <c r="R81" s="449"/>
      <c r="S81" s="450"/>
      <c r="T81" s="450"/>
      <c r="U81" s="451"/>
      <c r="V81" s="11"/>
      <c r="Z81" s="140"/>
    </row>
    <row r="82" spans="1:26" s="227" customFormat="1" ht="39" customHeight="1">
      <c r="A82" s="440">
        <f t="shared" si="1"/>
        <v>74</v>
      </c>
      <c r="B82" s="206" t="s">
        <v>3896</v>
      </c>
      <c r="C82" s="442">
        <f>'.'!L1218</f>
        <v>6091762.5</v>
      </c>
      <c r="D82" s="443"/>
      <c r="E82" s="448">
        <v>3</v>
      </c>
      <c r="F82" s="443">
        <f>'.'!L1218</f>
        <v>6091762.5</v>
      </c>
      <c r="G82" s="443"/>
      <c r="H82" s="443"/>
      <c r="I82" s="443"/>
      <c r="J82" s="443"/>
      <c r="K82" s="449"/>
      <c r="L82" s="449"/>
      <c r="M82" s="443"/>
      <c r="N82" s="443"/>
      <c r="O82" s="443"/>
      <c r="P82" s="443"/>
      <c r="Q82" s="443"/>
      <c r="R82" s="449"/>
      <c r="S82" s="450"/>
      <c r="T82" s="450"/>
      <c r="U82" s="451"/>
      <c r="V82" s="11"/>
      <c r="Z82" s="140"/>
    </row>
    <row r="83" spans="1:26" s="227" customFormat="1" ht="39" customHeight="1">
      <c r="A83" s="440">
        <f t="shared" si="1"/>
        <v>75</v>
      </c>
      <c r="B83" s="206" t="s">
        <v>3895</v>
      </c>
      <c r="C83" s="442">
        <f>'.'!L1219</f>
        <v>6091762.5</v>
      </c>
      <c r="D83" s="443"/>
      <c r="E83" s="448">
        <v>3</v>
      </c>
      <c r="F83" s="443">
        <f>'.'!L1219</f>
        <v>6091762.5</v>
      </c>
      <c r="G83" s="443"/>
      <c r="H83" s="443"/>
      <c r="I83" s="443"/>
      <c r="J83" s="443"/>
      <c r="K83" s="449"/>
      <c r="L83" s="449"/>
      <c r="M83" s="443"/>
      <c r="N83" s="443"/>
      <c r="O83" s="443"/>
      <c r="P83" s="443"/>
      <c r="Q83" s="443"/>
      <c r="R83" s="449"/>
      <c r="S83" s="450"/>
      <c r="T83" s="450"/>
      <c r="U83" s="451"/>
      <c r="V83" s="11"/>
      <c r="Z83" s="140"/>
    </row>
    <row r="84" spans="1:26" s="227" customFormat="1" ht="39" customHeight="1">
      <c r="A84" s="440">
        <f t="shared" si="1"/>
        <v>76</v>
      </c>
      <c r="B84" s="206" t="s">
        <v>2164</v>
      </c>
      <c r="C84" s="442">
        <f>'.'!L1220</f>
        <v>10112350</v>
      </c>
      <c r="D84" s="443"/>
      <c r="E84" s="448">
        <v>5</v>
      </c>
      <c r="F84" s="443">
        <f>'.'!L1220</f>
        <v>10112350</v>
      </c>
      <c r="G84" s="443"/>
      <c r="H84" s="443"/>
      <c r="I84" s="443"/>
      <c r="J84" s="443"/>
      <c r="K84" s="449"/>
      <c r="L84" s="449"/>
      <c r="M84" s="443"/>
      <c r="N84" s="443"/>
      <c r="O84" s="443"/>
      <c r="P84" s="443"/>
      <c r="Q84" s="443"/>
      <c r="R84" s="449"/>
      <c r="S84" s="450"/>
      <c r="T84" s="450"/>
      <c r="U84" s="451"/>
      <c r="V84" s="11"/>
      <c r="Z84" s="140"/>
    </row>
    <row r="85" spans="1:26" s="227" customFormat="1" ht="39" customHeight="1">
      <c r="A85" s="440">
        <f t="shared" si="1"/>
        <v>77</v>
      </c>
      <c r="B85" s="206" t="s">
        <v>3893</v>
      </c>
      <c r="C85" s="442">
        <f>'.'!L1221</f>
        <v>8102056.25</v>
      </c>
      <c r="D85" s="443"/>
      <c r="E85" s="448">
        <v>4</v>
      </c>
      <c r="F85" s="443">
        <f>'.'!L1221</f>
        <v>8102056.25</v>
      </c>
      <c r="G85" s="443"/>
      <c r="H85" s="443"/>
      <c r="I85" s="443"/>
      <c r="J85" s="443"/>
      <c r="K85" s="449"/>
      <c r="L85" s="449"/>
      <c r="M85" s="443"/>
      <c r="N85" s="443"/>
      <c r="O85" s="443"/>
      <c r="P85" s="443"/>
      <c r="Q85" s="443"/>
      <c r="R85" s="449"/>
      <c r="S85" s="450"/>
      <c r="T85" s="450"/>
      <c r="U85" s="451"/>
      <c r="V85" s="11"/>
      <c r="Z85" s="140"/>
    </row>
    <row r="86" spans="1:26" s="227" customFormat="1" ht="39" customHeight="1">
      <c r="A86" s="440">
        <f t="shared" si="1"/>
        <v>78</v>
      </c>
      <c r="B86" s="206" t="s">
        <v>3892</v>
      </c>
      <c r="C86" s="442">
        <f>'.'!L1222</f>
        <v>10112350</v>
      </c>
      <c r="D86" s="443"/>
      <c r="E86" s="448">
        <v>5</v>
      </c>
      <c r="F86" s="443">
        <f>'.'!L1222</f>
        <v>10112350</v>
      </c>
      <c r="G86" s="443"/>
      <c r="H86" s="443"/>
      <c r="I86" s="443"/>
      <c r="J86" s="443"/>
      <c r="K86" s="449"/>
      <c r="L86" s="449"/>
      <c r="M86" s="443"/>
      <c r="N86" s="443"/>
      <c r="O86" s="443"/>
      <c r="P86" s="443"/>
      <c r="Q86" s="443"/>
      <c r="R86" s="449"/>
      <c r="S86" s="450"/>
      <c r="T86" s="450"/>
      <c r="U86" s="451"/>
      <c r="V86" s="11"/>
      <c r="Z86" s="140"/>
    </row>
    <row r="87" spans="1:26" s="227" customFormat="1" ht="39" customHeight="1">
      <c r="A87" s="440">
        <f t="shared" si="1"/>
        <v>79</v>
      </c>
      <c r="B87" s="206" t="s">
        <v>3556</v>
      </c>
      <c r="C87" s="442">
        <f>'.'!L1223</f>
        <v>4081468.75</v>
      </c>
      <c r="D87" s="443"/>
      <c r="E87" s="448">
        <v>2</v>
      </c>
      <c r="F87" s="443">
        <f>'.'!L1223</f>
        <v>4081468.75</v>
      </c>
      <c r="G87" s="443"/>
      <c r="H87" s="443"/>
      <c r="I87" s="443"/>
      <c r="J87" s="443"/>
      <c r="K87" s="449"/>
      <c r="L87" s="449"/>
      <c r="M87" s="443"/>
      <c r="N87" s="443"/>
      <c r="O87" s="443"/>
      <c r="P87" s="443"/>
      <c r="Q87" s="443"/>
      <c r="R87" s="449"/>
      <c r="S87" s="450"/>
      <c r="T87" s="450"/>
      <c r="U87" s="451"/>
      <c r="V87" s="11"/>
      <c r="Z87" s="140"/>
    </row>
    <row r="88" spans="1:26" s="227" customFormat="1" ht="39" customHeight="1">
      <c r="A88" s="440">
        <f t="shared" si="1"/>
        <v>80</v>
      </c>
      <c r="B88" s="206" t="s">
        <v>3891</v>
      </c>
      <c r="C88" s="442">
        <f>'.'!L1224</f>
        <v>4479468.75</v>
      </c>
      <c r="D88" s="443"/>
      <c r="E88" s="448">
        <v>2</v>
      </c>
      <c r="F88" s="443">
        <f>'.'!L1224</f>
        <v>4479468.75</v>
      </c>
      <c r="G88" s="443"/>
      <c r="H88" s="443"/>
      <c r="I88" s="443"/>
      <c r="J88" s="443"/>
      <c r="K88" s="449"/>
      <c r="L88" s="449"/>
      <c r="M88" s="443"/>
      <c r="N88" s="443"/>
      <c r="O88" s="443"/>
      <c r="P88" s="443"/>
      <c r="Q88" s="443"/>
      <c r="R88" s="449"/>
      <c r="S88" s="450"/>
      <c r="T88" s="450"/>
      <c r="U88" s="451"/>
      <c r="V88" s="11"/>
      <c r="Z88" s="140"/>
    </row>
    <row r="89" spans="1:26" s="227" customFormat="1" ht="39" customHeight="1">
      <c r="A89" s="440">
        <f t="shared" si="1"/>
        <v>81</v>
      </c>
      <c r="B89" s="206" t="s">
        <v>3894</v>
      </c>
      <c r="C89" s="442">
        <f>'.'!L1225</f>
        <v>6091762.5</v>
      </c>
      <c r="D89" s="443"/>
      <c r="E89" s="448">
        <v>3</v>
      </c>
      <c r="F89" s="443">
        <f>'.'!L1225</f>
        <v>6091762.5</v>
      </c>
      <c r="G89" s="443"/>
      <c r="H89" s="443"/>
      <c r="I89" s="443"/>
      <c r="J89" s="443"/>
      <c r="K89" s="449"/>
      <c r="L89" s="449"/>
      <c r="M89" s="443"/>
      <c r="N89" s="443"/>
      <c r="O89" s="443"/>
      <c r="P89" s="443"/>
      <c r="Q89" s="443"/>
      <c r="R89" s="449"/>
      <c r="S89" s="450"/>
      <c r="T89" s="450"/>
      <c r="U89" s="451"/>
      <c r="V89" s="11"/>
      <c r="Z89" s="140"/>
    </row>
    <row r="90" spans="1:26" s="227" customFormat="1" ht="39" customHeight="1">
      <c r="A90" s="440">
        <f t="shared" si="1"/>
        <v>82</v>
      </c>
      <c r="B90" s="206" t="s">
        <v>3890</v>
      </c>
      <c r="C90" s="442">
        <f>'.'!L1226</f>
        <v>2465156.79</v>
      </c>
      <c r="D90" s="443">
        <f>'.'!L1226</f>
        <v>2465156.79</v>
      </c>
      <c r="E90" s="448"/>
      <c r="F90" s="443"/>
      <c r="G90" s="443"/>
      <c r="H90" s="443"/>
      <c r="I90" s="443"/>
      <c r="J90" s="443"/>
      <c r="K90" s="449"/>
      <c r="L90" s="449"/>
      <c r="M90" s="443"/>
      <c r="N90" s="443"/>
      <c r="O90" s="443"/>
      <c r="P90" s="443"/>
      <c r="Q90" s="443"/>
      <c r="R90" s="449"/>
      <c r="S90" s="450"/>
      <c r="T90" s="450"/>
      <c r="U90" s="451"/>
      <c r="V90" s="11"/>
    </row>
    <row r="91" spans="1:26" s="227" customFormat="1" ht="39" customHeight="1">
      <c r="A91" s="440">
        <f t="shared" si="1"/>
        <v>83</v>
      </c>
      <c r="B91" s="441" t="s">
        <v>2189</v>
      </c>
      <c r="C91" s="442">
        <f>'.'!L1227</f>
        <v>2121252.5</v>
      </c>
      <c r="D91" s="443">
        <f>'.'!L1227</f>
        <v>2121252.5</v>
      </c>
      <c r="E91" s="444"/>
      <c r="F91" s="445"/>
      <c r="G91" s="445"/>
      <c r="H91" s="445"/>
      <c r="I91" s="445"/>
      <c r="J91" s="445"/>
      <c r="K91" s="70"/>
      <c r="L91" s="70"/>
      <c r="M91" s="445"/>
      <c r="N91" s="445"/>
      <c r="O91" s="445"/>
      <c r="P91" s="445"/>
      <c r="Q91" s="445"/>
      <c r="R91" s="70"/>
      <c r="S91" s="446"/>
      <c r="T91" s="446"/>
      <c r="U91" s="447"/>
      <c r="V91" s="11"/>
    </row>
    <row r="92" spans="1:26" s="227" customFormat="1" ht="39" customHeight="1">
      <c r="A92" s="440">
        <f t="shared" si="1"/>
        <v>84</v>
      </c>
      <c r="B92" s="441" t="s">
        <v>2218</v>
      </c>
      <c r="C92" s="442">
        <f>'.'!L1228</f>
        <v>2436265.94</v>
      </c>
      <c r="D92" s="445"/>
      <c r="E92" s="444"/>
      <c r="F92" s="445"/>
      <c r="G92" s="445">
        <f>'.'!G1228</f>
        <v>693</v>
      </c>
      <c r="H92" s="445">
        <f>'.'!L1228</f>
        <v>2436265.94</v>
      </c>
      <c r="I92" s="445"/>
      <c r="J92" s="445"/>
      <c r="K92" s="70"/>
      <c r="L92" s="70"/>
      <c r="M92" s="445"/>
      <c r="N92" s="445"/>
      <c r="O92" s="445"/>
      <c r="P92" s="445"/>
      <c r="Q92" s="445"/>
      <c r="R92" s="70"/>
      <c r="S92" s="446"/>
      <c r="T92" s="446"/>
      <c r="U92" s="447"/>
      <c r="V92" s="11"/>
    </row>
    <row r="93" spans="1:26" s="227" customFormat="1" ht="39" customHeight="1">
      <c r="A93" s="440">
        <f t="shared" si="1"/>
        <v>85</v>
      </c>
      <c r="B93" s="206" t="s">
        <v>2233</v>
      </c>
      <c r="C93" s="442">
        <f>'.'!L1229</f>
        <v>459985.4</v>
      </c>
      <c r="D93" s="443">
        <f>'.'!L1229</f>
        <v>459985.4</v>
      </c>
      <c r="E93" s="448"/>
      <c r="F93" s="443"/>
      <c r="G93" s="443"/>
      <c r="H93" s="443"/>
      <c r="I93" s="443"/>
      <c r="J93" s="443"/>
      <c r="K93" s="449"/>
      <c r="L93" s="449"/>
      <c r="M93" s="443"/>
      <c r="N93" s="443"/>
      <c r="O93" s="443"/>
      <c r="P93" s="443"/>
      <c r="Q93" s="443"/>
      <c r="R93" s="449"/>
      <c r="S93" s="450"/>
      <c r="T93" s="450"/>
      <c r="U93" s="451"/>
      <c r="V93" s="11"/>
    </row>
    <row r="94" spans="1:26" s="227" customFormat="1" ht="67.5" customHeight="1">
      <c r="A94" s="1343" t="s">
        <v>146</v>
      </c>
      <c r="B94" s="1344"/>
      <c r="C94" s="15">
        <f t="shared" ref="C94:S94" si="2">SUM(C9:C93)</f>
        <v>316242546.92000008</v>
      </c>
      <c r="D94" s="15">
        <f t="shared" si="2"/>
        <v>20155904.129999999</v>
      </c>
      <c r="E94" s="472">
        <f t="shared" si="2"/>
        <v>32</v>
      </c>
      <c r="F94" s="15">
        <f t="shared" si="2"/>
        <v>65336212.5</v>
      </c>
      <c r="G94" s="15">
        <f t="shared" si="2"/>
        <v>59771.6</v>
      </c>
      <c r="H94" s="15">
        <f t="shared" si="2"/>
        <v>147007617.69000003</v>
      </c>
      <c r="I94" s="15">
        <f t="shared" si="2"/>
        <v>0</v>
      </c>
      <c r="J94" s="15">
        <f t="shared" si="2"/>
        <v>0</v>
      </c>
      <c r="K94" s="15">
        <f t="shared" si="2"/>
        <v>5640</v>
      </c>
      <c r="L94" s="15">
        <f t="shared" si="2"/>
        <v>9050034.2400000002</v>
      </c>
      <c r="M94" s="15">
        <f t="shared" si="2"/>
        <v>0</v>
      </c>
      <c r="N94" s="15">
        <f t="shared" si="2"/>
        <v>0</v>
      </c>
      <c r="O94" s="15">
        <f t="shared" si="2"/>
        <v>32184</v>
      </c>
      <c r="P94" s="15">
        <f t="shared" si="2"/>
        <v>74692778.359999999</v>
      </c>
      <c r="Q94" s="15">
        <f t="shared" si="2"/>
        <v>0</v>
      </c>
      <c r="R94" s="15">
        <f t="shared" si="2"/>
        <v>0</v>
      </c>
      <c r="S94" s="32">
        <f t="shared" si="2"/>
        <v>0</v>
      </c>
      <c r="T94" s="32"/>
      <c r="U94" s="2"/>
      <c r="V94" s="11"/>
      <c r="W94" s="11"/>
      <c r="X94" s="11"/>
    </row>
    <row r="95" spans="1:26" s="227" customFormat="1" ht="34.5" customHeight="1">
      <c r="A95" s="1332" t="s">
        <v>145</v>
      </c>
      <c r="B95" s="1333"/>
      <c r="C95" s="1333"/>
      <c r="D95" s="1333"/>
      <c r="E95" s="1333"/>
      <c r="F95" s="1333"/>
      <c r="G95" s="1333"/>
      <c r="H95" s="1333"/>
      <c r="I95" s="1333"/>
      <c r="J95" s="1333"/>
      <c r="K95" s="1333"/>
      <c r="L95" s="1333"/>
      <c r="M95" s="1333"/>
      <c r="N95" s="1333"/>
      <c r="O95" s="1333"/>
      <c r="P95" s="1333"/>
      <c r="Q95" s="1333"/>
      <c r="R95" s="1333"/>
      <c r="S95" s="1333"/>
      <c r="T95" s="478"/>
      <c r="U95" s="2"/>
      <c r="V95" s="11"/>
    </row>
    <row r="96" spans="1:26" s="227" customFormat="1" ht="39" customHeight="1">
      <c r="A96" s="126">
        <v>1</v>
      </c>
      <c r="B96" s="138" t="s">
        <v>2160</v>
      </c>
      <c r="C96" s="454">
        <f>'.'!L2568</f>
        <v>4506250</v>
      </c>
      <c r="D96" s="454"/>
      <c r="E96" s="185">
        <v>2</v>
      </c>
      <c r="F96" s="454">
        <f>'.'!L2568</f>
        <v>4506250</v>
      </c>
      <c r="G96" s="454"/>
      <c r="H96" s="454"/>
      <c r="I96" s="454"/>
      <c r="J96" s="454"/>
      <c r="K96" s="454"/>
      <c r="L96" s="454"/>
      <c r="M96" s="454"/>
      <c r="N96" s="454"/>
      <c r="O96" s="454"/>
      <c r="P96" s="454"/>
      <c r="Q96" s="454"/>
      <c r="R96" s="454"/>
      <c r="S96" s="454"/>
      <c r="T96" s="454"/>
      <c r="U96" s="454"/>
      <c r="V96" s="11"/>
      <c r="Z96" s="140"/>
    </row>
    <row r="97" spans="1:26" s="227" customFormat="1" ht="39" customHeight="1">
      <c r="A97" s="126">
        <f>A96+1</f>
        <v>2</v>
      </c>
      <c r="B97" s="458" t="s">
        <v>2164</v>
      </c>
      <c r="C97" s="454">
        <f>'.'!L2569</f>
        <v>10170000</v>
      </c>
      <c r="D97" s="454"/>
      <c r="E97" s="185">
        <v>5</v>
      </c>
      <c r="F97" s="454">
        <f>'.'!L2569</f>
        <v>10170000</v>
      </c>
      <c r="G97" s="454"/>
      <c r="H97" s="454"/>
      <c r="I97" s="454"/>
      <c r="J97" s="454"/>
      <c r="K97" s="454"/>
      <c r="L97" s="454"/>
      <c r="M97" s="454"/>
      <c r="N97" s="454"/>
      <c r="O97" s="454"/>
      <c r="P97" s="454"/>
      <c r="Q97" s="454"/>
      <c r="R97" s="454"/>
      <c r="S97" s="454"/>
      <c r="T97" s="454"/>
      <c r="U97" s="454"/>
      <c r="V97" s="11"/>
      <c r="Z97" s="140"/>
    </row>
    <row r="98" spans="1:26" s="227" customFormat="1" ht="39" customHeight="1">
      <c r="A98" s="126">
        <f t="shared" ref="A98:A116" si="3">A97+1</f>
        <v>3</v>
      </c>
      <c r="B98" s="125" t="s">
        <v>2183</v>
      </c>
      <c r="C98" s="454">
        <f>'.'!L2570</f>
        <v>2085000</v>
      </c>
      <c r="D98" s="454"/>
      <c r="E98" s="185">
        <v>1</v>
      </c>
      <c r="F98" s="454">
        <f>'.'!L2570</f>
        <v>2085000</v>
      </c>
      <c r="G98" s="454"/>
      <c r="H98" s="454"/>
      <c r="I98" s="454"/>
      <c r="J98" s="454"/>
      <c r="K98" s="454"/>
      <c r="L98" s="454"/>
      <c r="M98" s="454"/>
      <c r="N98" s="454"/>
      <c r="O98" s="454"/>
      <c r="P98" s="454"/>
      <c r="Q98" s="454"/>
      <c r="R98" s="454"/>
      <c r="S98" s="454"/>
      <c r="T98" s="454"/>
      <c r="U98" s="454"/>
      <c r="V98" s="11"/>
      <c r="Z98" s="140"/>
    </row>
    <row r="99" spans="1:26" s="227" customFormat="1" ht="39" customHeight="1">
      <c r="A99" s="126">
        <f t="shared" si="3"/>
        <v>4</v>
      </c>
      <c r="B99" s="125" t="s">
        <v>2199</v>
      </c>
      <c r="C99" s="454">
        <f>'.'!L2571</f>
        <v>10170000</v>
      </c>
      <c r="D99" s="454"/>
      <c r="E99" s="185">
        <v>5</v>
      </c>
      <c r="F99" s="454">
        <f>'.'!L2571</f>
        <v>10170000</v>
      </c>
      <c r="G99" s="454"/>
      <c r="H99" s="454"/>
      <c r="I99" s="454"/>
      <c r="J99" s="454"/>
      <c r="K99" s="454"/>
      <c r="L99" s="454"/>
      <c r="M99" s="454"/>
      <c r="N99" s="454"/>
      <c r="O99" s="454"/>
      <c r="P99" s="454"/>
      <c r="Q99" s="454"/>
      <c r="R99" s="454"/>
      <c r="S99" s="454"/>
      <c r="T99" s="454"/>
      <c r="U99" s="454"/>
      <c r="V99" s="11"/>
      <c r="Z99" s="140"/>
    </row>
    <row r="100" spans="1:26" s="227" customFormat="1" ht="39" customHeight="1">
      <c r="A100" s="126">
        <f t="shared" si="3"/>
        <v>5</v>
      </c>
      <c r="B100" s="458" t="s">
        <v>4069</v>
      </c>
      <c r="C100" s="454">
        <f>'.'!L2572</f>
        <v>4106250</v>
      </c>
      <c r="D100" s="454"/>
      <c r="E100" s="185">
        <v>2</v>
      </c>
      <c r="F100" s="454">
        <f>'.'!L2572</f>
        <v>4106250</v>
      </c>
      <c r="G100" s="454"/>
      <c r="H100" s="454"/>
      <c r="I100" s="454"/>
      <c r="J100" s="454"/>
      <c r="K100" s="454"/>
      <c r="L100" s="454"/>
      <c r="M100" s="454"/>
      <c r="N100" s="454"/>
      <c r="O100" s="454"/>
      <c r="P100" s="454"/>
      <c r="Q100" s="454"/>
      <c r="R100" s="454"/>
      <c r="S100" s="454"/>
      <c r="T100" s="454"/>
      <c r="U100" s="454"/>
      <c r="V100" s="11"/>
      <c r="Z100" s="140"/>
    </row>
    <row r="101" spans="1:26" s="227" customFormat="1" ht="39" customHeight="1">
      <c r="A101" s="126">
        <f t="shared" si="3"/>
        <v>6</v>
      </c>
      <c r="B101" s="125" t="s">
        <v>2220</v>
      </c>
      <c r="C101" s="454">
        <f>'.'!L2573</f>
        <v>14081873</v>
      </c>
      <c r="D101" s="454"/>
      <c r="E101" s="185">
        <v>5</v>
      </c>
      <c r="F101" s="454">
        <f>'.'!M2574+'.'!N2574+'.'!O2574+'.'!Q2574</f>
        <v>10170000</v>
      </c>
      <c r="G101" s="454">
        <f>'.'!G2573</f>
        <v>1610</v>
      </c>
      <c r="H101" s="454">
        <f>'.'!M2573+'.'!N2573+'.'!O2573+'.'!Q2573</f>
        <v>3911873</v>
      </c>
      <c r="I101" s="454"/>
      <c r="J101" s="454"/>
      <c r="K101" s="454"/>
      <c r="L101" s="454"/>
      <c r="M101" s="454"/>
      <c r="N101" s="454"/>
      <c r="O101" s="454"/>
      <c r="P101" s="454"/>
      <c r="Q101" s="454"/>
      <c r="R101" s="454"/>
      <c r="S101" s="454"/>
      <c r="T101" s="454"/>
      <c r="U101" s="454"/>
      <c r="V101" s="11"/>
      <c r="Z101" s="140"/>
    </row>
    <row r="102" spans="1:26" s="227" customFormat="1" ht="39" customHeight="1">
      <c r="A102" s="126">
        <f t="shared" si="3"/>
        <v>7</v>
      </c>
      <c r="B102" s="125" t="s">
        <v>2225</v>
      </c>
      <c r="C102" s="454">
        <f>'.'!L2575</f>
        <v>8148750</v>
      </c>
      <c r="D102" s="454"/>
      <c r="E102" s="185">
        <v>4</v>
      </c>
      <c r="F102" s="454">
        <f>'.'!L2575</f>
        <v>8148750</v>
      </c>
      <c r="G102" s="454"/>
      <c r="H102" s="454"/>
      <c r="I102" s="454"/>
      <c r="J102" s="454"/>
      <c r="K102" s="454"/>
      <c r="L102" s="454"/>
      <c r="M102" s="454"/>
      <c r="N102" s="454"/>
      <c r="O102" s="454"/>
      <c r="P102" s="454"/>
      <c r="Q102" s="454"/>
      <c r="R102" s="454"/>
      <c r="S102" s="454"/>
      <c r="T102" s="454"/>
      <c r="U102" s="454"/>
      <c r="V102" s="11"/>
      <c r="Z102" s="140"/>
    </row>
    <row r="103" spans="1:26" s="227" customFormat="1" ht="39" customHeight="1">
      <c r="A103" s="126">
        <f t="shared" si="3"/>
        <v>8</v>
      </c>
      <c r="B103" s="125" t="s">
        <v>2226</v>
      </c>
      <c r="C103" s="454">
        <f>'.'!L2576</f>
        <v>8148750</v>
      </c>
      <c r="D103" s="454"/>
      <c r="E103" s="185">
        <v>4</v>
      </c>
      <c r="F103" s="454">
        <f>'.'!L2576</f>
        <v>8148750</v>
      </c>
      <c r="G103" s="454"/>
      <c r="H103" s="454"/>
      <c r="I103" s="454"/>
      <c r="J103" s="454"/>
      <c r="K103" s="454"/>
      <c r="L103" s="454"/>
      <c r="M103" s="454"/>
      <c r="N103" s="454"/>
      <c r="O103" s="454"/>
      <c r="P103" s="454"/>
      <c r="Q103" s="454"/>
      <c r="R103" s="454"/>
      <c r="S103" s="454"/>
      <c r="T103" s="454"/>
      <c r="U103" s="454"/>
      <c r="V103" s="11"/>
      <c r="Z103" s="140"/>
    </row>
    <row r="104" spans="1:26" s="227" customFormat="1" ht="39" customHeight="1">
      <c r="A104" s="126">
        <f t="shared" si="3"/>
        <v>9</v>
      </c>
      <c r="B104" s="125" t="s">
        <v>2228</v>
      </c>
      <c r="C104" s="454">
        <f>'.'!L2577</f>
        <v>2085000</v>
      </c>
      <c r="D104" s="454"/>
      <c r="E104" s="185">
        <v>1</v>
      </c>
      <c r="F104" s="454">
        <f>'.'!L2577</f>
        <v>2085000</v>
      </c>
      <c r="G104" s="454"/>
      <c r="H104" s="454"/>
      <c r="I104" s="454"/>
      <c r="J104" s="454"/>
      <c r="K104" s="454"/>
      <c r="L104" s="454"/>
      <c r="M104" s="454"/>
      <c r="N104" s="454"/>
      <c r="O104" s="454"/>
      <c r="P104" s="454"/>
      <c r="Q104" s="454"/>
      <c r="R104" s="454"/>
      <c r="S104" s="454"/>
      <c r="T104" s="454"/>
      <c r="U104" s="454"/>
      <c r="V104" s="11"/>
      <c r="Z104" s="140"/>
    </row>
    <row r="105" spans="1:26" s="227" customFormat="1" ht="39" customHeight="1">
      <c r="A105" s="126">
        <f t="shared" si="3"/>
        <v>10</v>
      </c>
      <c r="B105" s="125" t="s">
        <v>2231</v>
      </c>
      <c r="C105" s="454">
        <f>'.'!L2578</f>
        <v>11285954</v>
      </c>
      <c r="D105" s="454"/>
      <c r="E105" s="185">
        <v>4</v>
      </c>
      <c r="F105" s="454">
        <f>'.'!M2579+'.'!N2579+'.'!O2579+'.'!Q2579</f>
        <v>8148750</v>
      </c>
      <c r="G105" s="454">
        <f>'.'!G2578</f>
        <v>1288</v>
      </c>
      <c r="H105" s="454">
        <f>'.'!M2578+'.'!N2578+'.'!O2578+'.'!Q2578</f>
        <v>3137204</v>
      </c>
      <c r="I105" s="454"/>
      <c r="J105" s="454"/>
      <c r="K105" s="454"/>
      <c r="L105" s="454"/>
      <c r="M105" s="454"/>
      <c r="N105" s="454"/>
      <c r="O105" s="454"/>
      <c r="P105" s="454"/>
      <c r="Q105" s="454"/>
      <c r="R105" s="454"/>
      <c r="S105" s="454"/>
      <c r="T105" s="454"/>
      <c r="U105" s="454"/>
      <c r="V105" s="11"/>
      <c r="Z105" s="140"/>
    </row>
    <row r="106" spans="1:26" s="227" customFormat="1" ht="39" customHeight="1">
      <c r="A106" s="126">
        <f t="shared" si="3"/>
        <v>11</v>
      </c>
      <c r="B106" s="125" t="s">
        <v>2245</v>
      </c>
      <c r="C106" s="454">
        <f>'.'!L2580</f>
        <v>4106250</v>
      </c>
      <c r="D106" s="454"/>
      <c r="E106" s="185">
        <v>2</v>
      </c>
      <c r="F106" s="454">
        <f>'.'!L2580</f>
        <v>4106250</v>
      </c>
      <c r="G106" s="454"/>
      <c r="H106" s="454"/>
      <c r="I106" s="454"/>
      <c r="J106" s="454"/>
      <c r="K106" s="454"/>
      <c r="L106" s="454"/>
      <c r="M106" s="454"/>
      <c r="N106" s="454"/>
      <c r="O106" s="454"/>
      <c r="P106" s="454"/>
      <c r="Q106" s="454"/>
      <c r="R106" s="454"/>
      <c r="S106" s="454"/>
      <c r="T106" s="454"/>
      <c r="U106" s="454"/>
      <c r="V106" s="11"/>
      <c r="Z106" s="140"/>
    </row>
    <row r="107" spans="1:26" s="227" customFormat="1" ht="39" customHeight="1">
      <c r="A107" s="126">
        <f t="shared" si="3"/>
        <v>12</v>
      </c>
      <c r="B107" s="125" t="s">
        <v>2246</v>
      </c>
      <c r="C107" s="454">
        <f>'.'!L2581</f>
        <v>2085000</v>
      </c>
      <c r="D107" s="454"/>
      <c r="E107" s="185">
        <v>1</v>
      </c>
      <c r="F107" s="454">
        <f>'.'!L2581</f>
        <v>2085000</v>
      </c>
      <c r="G107" s="454"/>
      <c r="H107" s="454"/>
      <c r="I107" s="454"/>
      <c r="J107" s="454"/>
      <c r="K107" s="454"/>
      <c r="L107" s="454"/>
      <c r="M107" s="454"/>
      <c r="N107" s="454"/>
      <c r="O107" s="454"/>
      <c r="P107" s="454"/>
      <c r="Q107" s="454"/>
      <c r="R107" s="454"/>
      <c r="S107" s="454"/>
      <c r="T107" s="454"/>
      <c r="U107" s="454"/>
      <c r="V107" s="11"/>
      <c r="Z107" s="140"/>
    </row>
    <row r="108" spans="1:26" s="227" customFormat="1" ht="39" customHeight="1">
      <c r="A108" s="126">
        <f t="shared" si="3"/>
        <v>13</v>
      </c>
      <c r="B108" s="138" t="s">
        <v>2247</v>
      </c>
      <c r="C108" s="454">
        <f>'.'!L2582</f>
        <v>8148750</v>
      </c>
      <c r="D108" s="454"/>
      <c r="E108" s="185">
        <v>4</v>
      </c>
      <c r="F108" s="454">
        <f>'.'!L2582</f>
        <v>8148750</v>
      </c>
      <c r="G108" s="454"/>
      <c r="H108" s="454"/>
      <c r="I108" s="454"/>
      <c r="J108" s="454"/>
      <c r="K108" s="454"/>
      <c r="L108" s="454"/>
      <c r="M108" s="454"/>
      <c r="N108" s="454"/>
      <c r="O108" s="454"/>
      <c r="P108" s="454"/>
      <c r="Q108" s="454"/>
      <c r="R108" s="454"/>
      <c r="S108" s="454"/>
      <c r="T108" s="454"/>
      <c r="U108" s="454"/>
      <c r="V108" s="11"/>
      <c r="Z108" s="140"/>
    </row>
    <row r="109" spans="1:26" s="227" customFormat="1" ht="39" customHeight="1">
      <c r="A109" s="126">
        <f t="shared" si="3"/>
        <v>14</v>
      </c>
      <c r="B109" s="125" t="s">
        <v>2248</v>
      </c>
      <c r="C109" s="454">
        <f>'.'!L2583</f>
        <v>10170000</v>
      </c>
      <c r="D109" s="454"/>
      <c r="E109" s="185">
        <v>5</v>
      </c>
      <c r="F109" s="454">
        <f>'.'!L2583</f>
        <v>10170000</v>
      </c>
      <c r="G109" s="454"/>
      <c r="H109" s="454"/>
      <c r="I109" s="454"/>
      <c r="J109" s="454"/>
      <c r="K109" s="454"/>
      <c r="L109" s="454"/>
      <c r="M109" s="454"/>
      <c r="N109" s="454"/>
      <c r="O109" s="454"/>
      <c r="P109" s="454"/>
      <c r="Q109" s="454"/>
      <c r="R109" s="454"/>
      <c r="S109" s="454"/>
      <c r="T109" s="454"/>
      <c r="U109" s="454"/>
      <c r="V109" s="11"/>
      <c r="Z109" s="140"/>
    </row>
    <row r="110" spans="1:26" s="227" customFormat="1" ht="39" customHeight="1">
      <c r="A110" s="126">
        <f t="shared" si="3"/>
        <v>15</v>
      </c>
      <c r="B110" s="362" t="s">
        <v>3971</v>
      </c>
      <c r="C110" s="454">
        <f>'.'!L2584</f>
        <v>8148750</v>
      </c>
      <c r="D110" s="454"/>
      <c r="E110" s="185">
        <v>4</v>
      </c>
      <c r="F110" s="454">
        <f>'.'!L2584</f>
        <v>8148750</v>
      </c>
      <c r="G110" s="454"/>
      <c r="H110" s="454"/>
      <c r="I110" s="454"/>
      <c r="J110" s="454"/>
      <c r="K110" s="454"/>
      <c r="L110" s="454"/>
      <c r="M110" s="454"/>
      <c r="N110" s="454"/>
      <c r="O110" s="454"/>
      <c r="P110" s="454"/>
      <c r="Q110" s="454"/>
      <c r="R110" s="454"/>
      <c r="S110" s="454"/>
      <c r="T110" s="454"/>
      <c r="U110" s="454"/>
      <c r="V110" s="11"/>
      <c r="Z110" s="140"/>
    </row>
    <row r="111" spans="1:26" s="227" customFormat="1" ht="39" customHeight="1">
      <c r="A111" s="126">
        <f t="shared" si="3"/>
        <v>16</v>
      </c>
      <c r="B111" s="125" t="s">
        <v>3972</v>
      </c>
      <c r="C111" s="454">
        <f>'.'!L2585</f>
        <v>4106250</v>
      </c>
      <c r="D111" s="454"/>
      <c r="E111" s="185">
        <v>2</v>
      </c>
      <c r="F111" s="454">
        <f>'.'!L2585</f>
        <v>4106250</v>
      </c>
      <c r="G111" s="454"/>
      <c r="H111" s="454"/>
      <c r="I111" s="454"/>
      <c r="J111" s="454"/>
      <c r="K111" s="454"/>
      <c r="L111" s="454"/>
      <c r="M111" s="454"/>
      <c r="N111" s="454"/>
      <c r="O111" s="454"/>
      <c r="P111" s="454"/>
      <c r="Q111" s="454"/>
      <c r="R111" s="454"/>
      <c r="S111" s="454"/>
      <c r="T111" s="454"/>
      <c r="U111" s="454"/>
      <c r="V111" s="11"/>
      <c r="Z111" s="140"/>
    </row>
    <row r="112" spans="1:26" s="227" customFormat="1" ht="39" customHeight="1">
      <c r="A112" s="126">
        <f t="shared" si="3"/>
        <v>17</v>
      </c>
      <c r="B112" s="125" t="s">
        <v>3973</v>
      </c>
      <c r="C112" s="454">
        <f>'.'!L2586</f>
        <v>6127500</v>
      </c>
      <c r="D112" s="454"/>
      <c r="E112" s="185">
        <v>3</v>
      </c>
      <c r="F112" s="454">
        <f>'.'!L2586</f>
        <v>6127500</v>
      </c>
      <c r="G112" s="454"/>
      <c r="H112" s="454"/>
      <c r="I112" s="454"/>
      <c r="J112" s="454"/>
      <c r="K112" s="454"/>
      <c r="L112" s="454"/>
      <c r="M112" s="454"/>
      <c r="N112" s="454"/>
      <c r="O112" s="454"/>
      <c r="P112" s="454"/>
      <c r="Q112" s="454"/>
      <c r="R112" s="454"/>
      <c r="S112" s="454"/>
      <c r="T112" s="454"/>
      <c r="U112" s="454"/>
      <c r="V112" s="11"/>
      <c r="Z112" s="140"/>
    </row>
    <row r="113" spans="1:26" s="227" customFormat="1" ht="39" customHeight="1">
      <c r="A113" s="126">
        <f t="shared" si="3"/>
        <v>18</v>
      </c>
      <c r="B113" s="125" t="s">
        <v>3974</v>
      </c>
      <c r="C113" s="454">
        <f>'.'!L2587</f>
        <v>4106250</v>
      </c>
      <c r="D113" s="454"/>
      <c r="E113" s="185">
        <v>2</v>
      </c>
      <c r="F113" s="454">
        <f>'.'!L2587</f>
        <v>4106250</v>
      </c>
      <c r="G113" s="454"/>
      <c r="H113" s="454"/>
      <c r="I113" s="454"/>
      <c r="J113" s="454"/>
      <c r="K113" s="454"/>
      <c r="L113" s="454"/>
      <c r="M113" s="454"/>
      <c r="N113" s="454"/>
      <c r="O113" s="454"/>
      <c r="P113" s="454"/>
      <c r="Q113" s="454"/>
      <c r="R113" s="454"/>
      <c r="S113" s="454"/>
      <c r="T113" s="454"/>
      <c r="U113" s="454"/>
      <c r="V113" s="11"/>
      <c r="Z113" s="140"/>
    </row>
    <row r="114" spans="1:26" s="227" customFormat="1" ht="39" customHeight="1">
      <c r="A114" s="126">
        <f t="shared" si="3"/>
        <v>19</v>
      </c>
      <c r="B114" s="125" t="s">
        <v>3188</v>
      </c>
      <c r="C114" s="454">
        <f>'.'!L2588</f>
        <v>10170000</v>
      </c>
      <c r="D114" s="454"/>
      <c r="E114" s="185">
        <v>5</v>
      </c>
      <c r="F114" s="454">
        <f>'.'!L2588</f>
        <v>10170000</v>
      </c>
      <c r="G114" s="454"/>
      <c r="H114" s="454"/>
      <c r="I114" s="454"/>
      <c r="J114" s="454"/>
      <c r="K114" s="454"/>
      <c r="L114" s="454"/>
      <c r="M114" s="454"/>
      <c r="N114" s="454"/>
      <c r="O114" s="454"/>
      <c r="P114" s="454"/>
      <c r="Q114" s="454"/>
      <c r="R114" s="454"/>
      <c r="S114" s="454"/>
      <c r="T114" s="454"/>
      <c r="U114" s="454"/>
      <c r="V114" s="11"/>
      <c r="Z114" s="140"/>
    </row>
    <row r="115" spans="1:26" s="227" customFormat="1" ht="39" customHeight="1">
      <c r="A115" s="126">
        <f t="shared" si="3"/>
        <v>20</v>
      </c>
      <c r="B115" s="509" t="s">
        <v>2155</v>
      </c>
      <c r="C115" s="455">
        <f>'.'!L2589</f>
        <v>1462298.36</v>
      </c>
      <c r="D115" s="465">
        <f>'.'!L2589</f>
        <v>1462298.36</v>
      </c>
      <c r="E115" s="470"/>
      <c r="F115" s="465"/>
      <c r="G115" s="465"/>
      <c r="H115" s="465"/>
      <c r="I115" s="465"/>
      <c r="J115" s="465"/>
      <c r="K115" s="465"/>
      <c r="L115" s="465"/>
      <c r="M115" s="465"/>
      <c r="N115" s="465"/>
      <c r="O115" s="465"/>
      <c r="P115" s="465"/>
      <c r="Q115" s="465"/>
      <c r="R115" s="465"/>
      <c r="S115" s="32"/>
      <c r="T115" s="32"/>
      <c r="U115" s="2"/>
      <c r="V115" s="11"/>
    </row>
    <row r="116" spans="1:26" s="227" customFormat="1" ht="39" customHeight="1">
      <c r="A116" s="126">
        <f t="shared" si="3"/>
        <v>21</v>
      </c>
      <c r="B116" s="469" t="s">
        <v>1237</v>
      </c>
      <c r="C116" s="455">
        <f>'.'!L2590</f>
        <v>3266526</v>
      </c>
      <c r="D116" s="465"/>
      <c r="E116" s="470"/>
      <c r="F116" s="465"/>
      <c r="G116" s="465"/>
      <c r="H116" s="465"/>
      <c r="I116" s="465"/>
      <c r="J116" s="465"/>
      <c r="K116" s="465"/>
      <c r="L116" s="465"/>
      <c r="M116" s="465"/>
      <c r="N116" s="465"/>
      <c r="O116" s="465">
        <f>'.'!E2590</f>
        <v>1235</v>
      </c>
      <c r="P116" s="465">
        <f>'.'!L2590</f>
        <v>3266526</v>
      </c>
      <c r="Q116" s="465"/>
      <c r="R116" s="465"/>
      <c r="S116" s="32"/>
      <c r="T116" s="32"/>
      <c r="U116" s="2"/>
      <c r="V116" s="11"/>
    </row>
    <row r="117" spans="1:26" s="227" customFormat="1" ht="39" customHeight="1">
      <c r="A117" s="394">
        <f t="shared" ref="A117:A176" si="4">A116+1</f>
        <v>22</v>
      </c>
      <c r="B117" s="469" t="s">
        <v>2156</v>
      </c>
      <c r="C117" s="455">
        <f>'.'!L2591</f>
        <v>2041154</v>
      </c>
      <c r="D117" s="465"/>
      <c r="E117" s="470"/>
      <c r="F117" s="465"/>
      <c r="G117" s="465">
        <f>'.'!G2591</f>
        <v>870</v>
      </c>
      <c r="H117" s="465">
        <f>'.'!L2591</f>
        <v>2041154</v>
      </c>
      <c r="I117" s="465"/>
      <c r="J117" s="465"/>
      <c r="K117" s="465"/>
      <c r="L117" s="465"/>
      <c r="M117" s="465"/>
      <c r="N117" s="465"/>
      <c r="O117" s="465"/>
      <c r="P117" s="465"/>
      <c r="Q117" s="465"/>
      <c r="R117" s="465"/>
      <c r="S117" s="32"/>
      <c r="T117" s="32"/>
      <c r="U117" s="2"/>
      <c r="V117" s="11"/>
    </row>
    <row r="118" spans="1:26" s="227" customFormat="1" ht="39" customHeight="1">
      <c r="A118" s="394">
        <f t="shared" si="4"/>
        <v>23</v>
      </c>
      <c r="B118" s="510" t="s">
        <v>2157</v>
      </c>
      <c r="C118" s="455">
        <f>'.'!L2592</f>
        <v>4268972</v>
      </c>
      <c r="D118" s="465"/>
      <c r="E118" s="470"/>
      <c r="F118" s="465"/>
      <c r="G118" s="465">
        <f>'.'!G2592</f>
        <v>1760</v>
      </c>
      <c r="H118" s="465">
        <f>'.'!L2592</f>
        <v>4268972</v>
      </c>
      <c r="I118" s="465"/>
      <c r="J118" s="465"/>
      <c r="K118" s="465"/>
      <c r="L118" s="465"/>
      <c r="M118" s="465"/>
      <c r="N118" s="465"/>
      <c r="O118" s="465"/>
      <c r="P118" s="465"/>
      <c r="Q118" s="465"/>
      <c r="R118" s="465"/>
      <c r="S118" s="32"/>
      <c r="T118" s="32"/>
      <c r="U118" s="2"/>
      <c r="V118" s="11"/>
    </row>
    <row r="119" spans="1:26" s="227" customFormat="1" ht="39" customHeight="1">
      <c r="A119" s="394">
        <f t="shared" si="4"/>
        <v>24</v>
      </c>
      <c r="B119" s="510" t="s">
        <v>2158</v>
      </c>
      <c r="C119" s="455">
        <f>'.'!L2593</f>
        <v>3382705</v>
      </c>
      <c r="D119" s="465"/>
      <c r="E119" s="470"/>
      <c r="F119" s="465"/>
      <c r="G119" s="465">
        <f>'.'!G2593</f>
        <v>1392</v>
      </c>
      <c r="H119" s="465">
        <f>'.'!L2593</f>
        <v>3382705</v>
      </c>
      <c r="I119" s="465"/>
      <c r="J119" s="465"/>
      <c r="K119" s="465"/>
      <c r="L119" s="465"/>
      <c r="M119" s="465"/>
      <c r="N119" s="465"/>
      <c r="O119" s="465"/>
      <c r="P119" s="465"/>
      <c r="Q119" s="465"/>
      <c r="R119" s="465"/>
      <c r="S119" s="32"/>
      <c r="T119" s="32"/>
      <c r="U119" s="2"/>
      <c r="V119" s="11"/>
    </row>
    <row r="120" spans="1:26" s="227" customFormat="1" ht="39" customHeight="1">
      <c r="A120" s="394">
        <f t="shared" si="4"/>
        <v>25</v>
      </c>
      <c r="B120" s="510" t="s">
        <v>2159</v>
      </c>
      <c r="C120" s="455">
        <f>'.'!L2594</f>
        <v>2374164</v>
      </c>
      <c r="D120" s="465"/>
      <c r="E120" s="470"/>
      <c r="F120" s="465"/>
      <c r="G120" s="465">
        <f>'.'!G2594</f>
        <v>972</v>
      </c>
      <c r="H120" s="465">
        <f>'.'!L2594</f>
        <v>2374164</v>
      </c>
      <c r="I120" s="465"/>
      <c r="J120" s="465"/>
      <c r="K120" s="465"/>
      <c r="L120" s="465"/>
      <c r="M120" s="465"/>
      <c r="N120" s="465"/>
      <c r="O120" s="465"/>
      <c r="P120" s="465"/>
      <c r="Q120" s="465"/>
      <c r="R120" s="465"/>
      <c r="S120" s="32"/>
      <c r="T120" s="32"/>
      <c r="U120" s="2"/>
      <c r="V120" s="11"/>
    </row>
    <row r="121" spans="1:26" s="227" customFormat="1" ht="39" customHeight="1">
      <c r="A121" s="394">
        <f t="shared" si="4"/>
        <v>26</v>
      </c>
      <c r="B121" s="510" t="s">
        <v>2161</v>
      </c>
      <c r="C121" s="455">
        <f>'.'!L2595</f>
        <v>2202323</v>
      </c>
      <c r="D121" s="465"/>
      <c r="E121" s="470"/>
      <c r="F121" s="465"/>
      <c r="G121" s="465">
        <f>'.'!G2595</f>
        <v>900</v>
      </c>
      <c r="H121" s="465">
        <f>'.'!L2595</f>
        <v>2202323</v>
      </c>
      <c r="I121" s="465"/>
      <c r="J121" s="465"/>
      <c r="K121" s="465"/>
      <c r="L121" s="465"/>
      <c r="M121" s="465"/>
      <c r="N121" s="465"/>
      <c r="O121" s="465"/>
      <c r="P121" s="465"/>
      <c r="Q121" s="465"/>
      <c r="R121" s="465"/>
      <c r="S121" s="32"/>
      <c r="T121" s="32"/>
      <c r="U121" s="2"/>
      <c r="V121" s="11"/>
    </row>
    <row r="122" spans="1:26" s="227" customFormat="1" ht="39" customHeight="1">
      <c r="A122" s="394">
        <f t="shared" si="4"/>
        <v>27</v>
      </c>
      <c r="B122" s="510" t="s">
        <v>2162</v>
      </c>
      <c r="C122" s="455">
        <f>'.'!L2596</f>
        <v>1576832</v>
      </c>
      <c r="D122" s="465"/>
      <c r="E122" s="470"/>
      <c r="F122" s="465"/>
      <c r="G122" s="465">
        <f>'.'!G2596</f>
        <v>638</v>
      </c>
      <c r="H122" s="465">
        <f>'.'!L2596</f>
        <v>1576832</v>
      </c>
      <c r="I122" s="465"/>
      <c r="J122" s="465"/>
      <c r="K122" s="465"/>
      <c r="L122" s="465"/>
      <c r="M122" s="465"/>
      <c r="N122" s="465"/>
      <c r="O122" s="465"/>
      <c r="P122" s="465"/>
      <c r="Q122" s="465"/>
      <c r="R122" s="465"/>
      <c r="S122" s="32"/>
      <c r="T122" s="32"/>
      <c r="U122" s="2"/>
      <c r="V122" s="11"/>
    </row>
    <row r="123" spans="1:26" s="227" customFormat="1" ht="39" customHeight="1">
      <c r="A123" s="394">
        <f t="shared" si="4"/>
        <v>28</v>
      </c>
      <c r="B123" s="510" t="s">
        <v>2163</v>
      </c>
      <c r="C123" s="455">
        <f>'.'!L2597</f>
        <v>2488500.65</v>
      </c>
      <c r="D123" s="465"/>
      <c r="E123" s="470"/>
      <c r="F123" s="465"/>
      <c r="G123" s="465"/>
      <c r="H123" s="465"/>
      <c r="I123" s="465"/>
      <c r="J123" s="465"/>
      <c r="K123" s="465"/>
      <c r="L123" s="465"/>
      <c r="M123" s="465"/>
      <c r="N123" s="465"/>
      <c r="O123" s="465">
        <f>'.'!E2597</f>
        <v>976</v>
      </c>
      <c r="P123" s="465">
        <f>'.'!L2597</f>
        <v>2488500.65</v>
      </c>
      <c r="Q123" s="465"/>
      <c r="R123" s="465"/>
      <c r="S123" s="32"/>
      <c r="T123" s="32"/>
      <c r="U123" s="2"/>
      <c r="V123" s="11"/>
    </row>
    <row r="124" spans="1:26" s="227" customFormat="1" ht="39" customHeight="1">
      <c r="A124" s="394">
        <f t="shared" si="4"/>
        <v>29</v>
      </c>
      <c r="B124" s="509" t="s">
        <v>2165</v>
      </c>
      <c r="C124" s="455">
        <f>'.'!L2598</f>
        <v>2283728</v>
      </c>
      <c r="D124" s="465"/>
      <c r="E124" s="470"/>
      <c r="F124" s="465"/>
      <c r="G124" s="465">
        <f>'.'!G2598</f>
        <v>934</v>
      </c>
      <c r="H124" s="465">
        <f>'.'!L2598</f>
        <v>2283728</v>
      </c>
      <c r="I124" s="465"/>
      <c r="J124" s="465"/>
      <c r="K124" s="465"/>
      <c r="L124" s="465"/>
      <c r="M124" s="465"/>
      <c r="N124" s="465"/>
      <c r="O124" s="465"/>
      <c r="P124" s="465"/>
      <c r="Q124" s="465"/>
      <c r="R124" s="465"/>
      <c r="S124" s="32"/>
      <c r="T124" s="32"/>
      <c r="U124" s="2"/>
      <c r="V124" s="11"/>
    </row>
    <row r="125" spans="1:26" s="227" customFormat="1" ht="39" customHeight="1">
      <c r="A125" s="394">
        <f t="shared" si="4"/>
        <v>30</v>
      </c>
      <c r="B125" s="469" t="s">
        <v>2166</v>
      </c>
      <c r="C125" s="455">
        <f>'.'!L2599</f>
        <v>2352587</v>
      </c>
      <c r="D125" s="465"/>
      <c r="E125" s="470"/>
      <c r="F125" s="465"/>
      <c r="G125" s="465">
        <f>'.'!G2599</f>
        <v>961</v>
      </c>
      <c r="H125" s="465">
        <f>'.'!L2599</f>
        <v>2352587</v>
      </c>
      <c r="I125" s="465"/>
      <c r="J125" s="465"/>
      <c r="K125" s="465"/>
      <c r="L125" s="465"/>
      <c r="M125" s="465"/>
      <c r="N125" s="465"/>
      <c r="O125" s="465"/>
      <c r="P125" s="465"/>
      <c r="Q125" s="465"/>
      <c r="R125" s="465"/>
      <c r="S125" s="32"/>
      <c r="T125" s="32"/>
      <c r="U125" s="2"/>
      <c r="V125" s="11"/>
    </row>
    <row r="126" spans="1:26" s="227" customFormat="1" ht="39" customHeight="1">
      <c r="A126" s="394">
        <f t="shared" si="4"/>
        <v>31</v>
      </c>
      <c r="B126" s="469" t="s">
        <v>2167</v>
      </c>
      <c r="C126" s="455">
        <f>'.'!L2600</f>
        <v>2436652</v>
      </c>
      <c r="D126" s="465"/>
      <c r="E126" s="470"/>
      <c r="F126" s="465"/>
      <c r="G126" s="465">
        <f>'.'!G2600</f>
        <v>996</v>
      </c>
      <c r="H126" s="465">
        <f>'.'!L2600</f>
        <v>2436652</v>
      </c>
      <c r="I126" s="465"/>
      <c r="J126" s="465"/>
      <c r="K126" s="465"/>
      <c r="L126" s="465"/>
      <c r="M126" s="465"/>
      <c r="N126" s="465"/>
      <c r="O126" s="465"/>
      <c r="P126" s="465"/>
      <c r="Q126" s="465"/>
      <c r="R126" s="465"/>
      <c r="S126" s="32"/>
      <c r="T126" s="32"/>
      <c r="U126" s="2"/>
      <c r="V126" s="11"/>
    </row>
    <row r="127" spans="1:26" s="227" customFormat="1" ht="39" customHeight="1">
      <c r="A127" s="394">
        <f t="shared" si="4"/>
        <v>32</v>
      </c>
      <c r="B127" s="509" t="s">
        <v>2168</v>
      </c>
      <c r="C127" s="455">
        <f>'.'!L2601</f>
        <v>2069653</v>
      </c>
      <c r="D127" s="465"/>
      <c r="E127" s="470"/>
      <c r="F127" s="465"/>
      <c r="G127" s="465">
        <f>'.'!G2601</f>
        <v>845</v>
      </c>
      <c r="H127" s="465">
        <f>'.'!L2601</f>
        <v>2069653</v>
      </c>
      <c r="I127" s="465"/>
      <c r="J127" s="465"/>
      <c r="K127" s="465"/>
      <c r="L127" s="465"/>
      <c r="M127" s="465"/>
      <c r="N127" s="465"/>
      <c r="O127" s="465"/>
      <c r="P127" s="465"/>
      <c r="Q127" s="465"/>
      <c r="R127" s="465"/>
      <c r="S127" s="32"/>
      <c r="T127" s="32"/>
      <c r="U127" s="2"/>
      <c r="V127" s="11"/>
    </row>
    <row r="128" spans="1:26" s="227" customFormat="1" ht="39" customHeight="1">
      <c r="A128" s="394">
        <f t="shared" si="4"/>
        <v>33</v>
      </c>
      <c r="B128" s="469" t="s">
        <v>2169</v>
      </c>
      <c r="C128" s="455">
        <f>'.'!L2602</f>
        <v>2271342</v>
      </c>
      <c r="D128" s="465"/>
      <c r="E128" s="470"/>
      <c r="F128" s="465"/>
      <c r="G128" s="465">
        <f>'.'!G2602</f>
        <v>929</v>
      </c>
      <c r="H128" s="465">
        <f>'.'!L2602</f>
        <v>2271342</v>
      </c>
      <c r="I128" s="465"/>
      <c r="J128" s="465"/>
      <c r="K128" s="465"/>
      <c r="L128" s="465"/>
      <c r="M128" s="465"/>
      <c r="N128" s="465"/>
      <c r="O128" s="465"/>
      <c r="P128" s="465"/>
      <c r="Q128" s="465"/>
      <c r="R128" s="465"/>
      <c r="S128" s="32"/>
      <c r="T128" s="32"/>
      <c r="U128" s="2"/>
      <c r="V128" s="11"/>
    </row>
    <row r="129" spans="1:22" s="227" customFormat="1" ht="39" customHeight="1">
      <c r="A129" s="394">
        <f t="shared" si="4"/>
        <v>34</v>
      </c>
      <c r="B129" s="469" t="s">
        <v>2170</v>
      </c>
      <c r="C129" s="455">
        <f>'.'!L2603</f>
        <v>2681667</v>
      </c>
      <c r="D129" s="465"/>
      <c r="E129" s="470"/>
      <c r="F129" s="465"/>
      <c r="G129" s="465">
        <f>'.'!G2603</f>
        <v>1100</v>
      </c>
      <c r="H129" s="465">
        <f>'.'!L2603</f>
        <v>2681667</v>
      </c>
      <c r="I129" s="465"/>
      <c r="J129" s="465"/>
      <c r="K129" s="465"/>
      <c r="L129" s="465"/>
      <c r="M129" s="465"/>
      <c r="N129" s="465"/>
      <c r="O129" s="465"/>
      <c r="P129" s="465"/>
      <c r="Q129" s="465"/>
      <c r="R129" s="465"/>
      <c r="S129" s="32"/>
      <c r="T129" s="32"/>
      <c r="U129" s="2"/>
      <c r="V129" s="11"/>
    </row>
    <row r="130" spans="1:22" s="227" customFormat="1" ht="39" customHeight="1">
      <c r="A130" s="394">
        <f t="shared" si="4"/>
        <v>35</v>
      </c>
      <c r="B130" s="469" t="s">
        <v>2171</v>
      </c>
      <c r="C130" s="455">
        <f>'.'!L2604</f>
        <v>1243334</v>
      </c>
      <c r="D130" s="465"/>
      <c r="E130" s="470"/>
      <c r="F130" s="465"/>
      <c r="G130" s="465">
        <f>'.'!G2604</f>
        <v>500</v>
      </c>
      <c r="H130" s="465">
        <f>'.'!L2604</f>
        <v>1243334</v>
      </c>
      <c r="I130" s="465"/>
      <c r="J130" s="465"/>
      <c r="K130" s="465"/>
      <c r="L130" s="465"/>
      <c r="M130" s="465"/>
      <c r="N130" s="465"/>
      <c r="O130" s="465"/>
      <c r="P130" s="465"/>
      <c r="Q130" s="465"/>
      <c r="R130" s="465"/>
      <c r="S130" s="32"/>
      <c r="T130" s="32"/>
      <c r="U130" s="2"/>
      <c r="V130" s="11"/>
    </row>
    <row r="131" spans="1:22" s="227" customFormat="1" ht="39" customHeight="1">
      <c r="A131" s="394">
        <f t="shared" si="4"/>
        <v>36</v>
      </c>
      <c r="B131" s="469" t="s">
        <v>2174</v>
      </c>
      <c r="C131" s="455">
        <f>'.'!L2605</f>
        <v>2433069</v>
      </c>
      <c r="D131" s="465"/>
      <c r="E131" s="470"/>
      <c r="F131" s="465"/>
      <c r="G131" s="465">
        <f>'.'!G2605</f>
        <v>996</v>
      </c>
      <c r="H131" s="465">
        <f>'.'!L2605</f>
        <v>2433069</v>
      </c>
      <c r="I131" s="465"/>
      <c r="J131" s="465"/>
      <c r="K131" s="465"/>
      <c r="L131" s="465"/>
      <c r="M131" s="465"/>
      <c r="N131" s="465"/>
      <c r="O131" s="465"/>
      <c r="P131" s="465"/>
      <c r="Q131" s="465"/>
      <c r="R131" s="465"/>
      <c r="S131" s="32"/>
      <c r="T131" s="32"/>
      <c r="U131" s="2"/>
      <c r="V131" s="11"/>
    </row>
    <row r="132" spans="1:22" s="227" customFormat="1" ht="39" customHeight="1">
      <c r="A132" s="394">
        <f t="shared" si="4"/>
        <v>37</v>
      </c>
      <c r="B132" s="511" t="s">
        <v>2175</v>
      </c>
      <c r="C132" s="455">
        <f>'.'!L2606</f>
        <v>2351026</v>
      </c>
      <c r="D132" s="465"/>
      <c r="E132" s="470"/>
      <c r="F132" s="465"/>
      <c r="G132" s="465">
        <f>'.'!G2606</f>
        <v>962</v>
      </c>
      <c r="H132" s="465">
        <f>'.'!L2606</f>
        <v>2351026</v>
      </c>
      <c r="I132" s="465"/>
      <c r="J132" s="465"/>
      <c r="K132" s="465"/>
      <c r="L132" s="465"/>
      <c r="M132" s="465"/>
      <c r="N132" s="465"/>
      <c r="O132" s="465"/>
      <c r="P132" s="465"/>
      <c r="Q132" s="465"/>
      <c r="R132" s="465"/>
      <c r="S132" s="32"/>
      <c r="T132" s="32"/>
      <c r="U132" s="2"/>
      <c r="V132" s="11"/>
    </row>
    <row r="133" spans="1:22" s="227" customFormat="1" ht="39" customHeight="1">
      <c r="A133" s="394">
        <f t="shared" si="4"/>
        <v>38</v>
      </c>
      <c r="B133" s="511" t="s">
        <v>2176</v>
      </c>
      <c r="C133" s="455">
        <f>'.'!L2607</f>
        <v>2373071</v>
      </c>
      <c r="D133" s="465"/>
      <c r="E133" s="470"/>
      <c r="F133" s="465"/>
      <c r="G133" s="465">
        <f>'.'!G2607</f>
        <v>971</v>
      </c>
      <c r="H133" s="465">
        <f>'.'!L2607</f>
        <v>2373071</v>
      </c>
      <c r="I133" s="465"/>
      <c r="J133" s="465"/>
      <c r="K133" s="465"/>
      <c r="L133" s="465"/>
      <c r="M133" s="465"/>
      <c r="N133" s="465"/>
      <c r="O133" s="465"/>
      <c r="P133" s="465"/>
      <c r="Q133" s="465"/>
      <c r="R133" s="465"/>
      <c r="S133" s="32"/>
      <c r="T133" s="32"/>
      <c r="U133" s="2"/>
      <c r="V133" s="11"/>
    </row>
    <row r="134" spans="1:22" s="227" customFormat="1" ht="39" customHeight="1">
      <c r="A134" s="394">
        <f t="shared" si="4"/>
        <v>39</v>
      </c>
      <c r="B134" s="469" t="s">
        <v>2177</v>
      </c>
      <c r="C134" s="455">
        <f>'.'!L2608</f>
        <v>3698272</v>
      </c>
      <c r="D134" s="465"/>
      <c r="E134" s="470"/>
      <c r="F134" s="465"/>
      <c r="G134" s="465">
        <f>'.'!G2608</f>
        <v>1520</v>
      </c>
      <c r="H134" s="465">
        <f>'.'!L2608</f>
        <v>3698272</v>
      </c>
      <c r="I134" s="465"/>
      <c r="J134" s="465"/>
      <c r="K134" s="465"/>
      <c r="L134" s="465"/>
      <c r="M134" s="465"/>
      <c r="N134" s="465"/>
      <c r="O134" s="465"/>
      <c r="P134" s="465"/>
      <c r="Q134" s="465"/>
      <c r="R134" s="465"/>
      <c r="S134" s="32"/>
      <c r="T134" s="32"/>
      <c r="U134" s="2"/>
      <c r="V134" s="11"/>
    </row>
    <row r="135" spans="1:22" s="227" customFormat="1" ht="39" customHeight="1">
      <c r="A135" s="394">
        <f t="shared" si="4"/>
        <v>40</v>
      </c>
      <c r="B135" s="509" t="s">
        <v>2178</v>
      </c>
      <c r="C135" s="455">
        <f>'.'!L2609</f>
        <v>2166330.75</v>
      </c>
      <c r="D135" s="465"/>
      <c r="E135" s="470"/>
      <c r="F135" s="465"/>
      <c r="G135" s="465">
        <f>'.'!G2609</f>
        <v>890</v>
      </c>
      <c r="H135" s="465">
        <f>'.'!L2609</f>
        <v>2166330.75</v>
      </c>
      <c r="I135" s="465"/>
      <c r="J135" s="465"/>
      <c r="K135" s="465"/>
      <c r="L135" s="465"/>
      <c r="M135" s="465"/>
      <c r="N135" s="465"/>
      <c r="O135" s="465"/>
      <c r="P135" s="465"/>
      <c r="Q135" s="465"/>
      <c r="R135" s="465"/>
      <c r="S135" s="32"/>
      <c r="T135" s="32"/>
      <c r="U135" s="2"/>
      <c r="V135" s="11"/>
    </row>
    <row r="136" spans="1:22" s="227" customFormat="1" ht="39" customHeight="1">
      <c r="A136" s="394">
        <f t="shared" si="4"/>
        <v>41</v>
      </c>
      <c r="B136" s="469" t="s">
        <v>2179</v>
      </c>
      <c r="C136" s="455">
        <f>'.'!L2610</f>
        <v>3309174.4</v>
      </c>
      <c r="D136" s="465"/>
      <c r="E136" s="470"/>
      <c r="F136" s="465"/>
      <c r="G136" s="465">
        <f>'.'!G2610</f>
        <v>1168</v>
      </c>
      <c r="H136" s="465">
        <f>'.'!L2610</f>
        <v>3309174.4</v>
      </c>
      <c r="I136" s="465"/>
      <c r="J136" s="465"/>
      <c r="K136" s="465"/>
      <c r="L136" s="465"/>
      <c r="M136" s="465"/>
      <c r="N136" s="465"/>
      <c r="O136" s="465"/>
      <c r="P136" s="465"/>
      <c r="Q136" s="465"/>
      <c r="R136" s="465"/>
      <c r="S136" s="32"/>
      <c r="T136" s="32"/>
      <c r="U136" s="2"/>
      <c r="V136" s="11"/>
    </row>
    <row r="137" spans="1:22" s="227" customFormat="1" ht="39" customHeight="1">
      <c r="A137" s="394">
        <f t="shared" si="4"/>
        <v>42</v>
      </c>
      <c r="B137" s="469" t="s">
        <v>2180</v>
      </c>
      <c r="C137" s="455">
        <f>'.'!L2611</f>
        <v>3752360.92</v>
      </c>
      <c r="D137" s="465"/>
      <c r="E137" s="470"/>
      <c r="F137" s="465"/>
      <c r="G137" s="465">
        <f>'.'!G2611</f>
        <v>1322</v>
      </c>
      <c r="H137" s="465">
        <f>'.'!L2611</f>
        <v>3752360.92</v>
      </c>
      <c r="I137" s="465"/>
      <c r="J137" s="465"/>
      <c r="K137" s="465"/>
      <c r="L137" s="465"/>
      <c r="M137" s="465"/>
      <c r="N137" s="465"/>
      <c r="O137" s="465"/>
      <c r="P137" s="465"/>
      <c r="Q137" s="465"/>
      <c r="R137" s="465"/>
      <c r="S137" s="32"/>
      <c r="T137" s="32"/>
      <c r="U137" s="2"/>
      <c r="V137" s="11"/>
    </row>
    <row r="138" spans="1:22" s="227" customFormat="1" ht="39" customHeight="1">
      <c r="A138" s="394">
        <f t="shared" si="4"/>
        <v>43</v>
      </c>
      <c r="B138" s="511" t="s">
        <v>2181</v>
      </c>
      <c r="C138" s="455">
        <f>'.'!L2612</f>
        <v>2119421.7799999998</v>
      </c>
      <c r="D138" s="465">
        <f>'.'!L2612</f>
        <v>2119421.7799999998</v>
      </c>
      <c r="E138" s="470"/>
      <c r="F138" s="465"/>
      <c r="G138" s="465"/>
      <c r="H138" s="465"/>
      <c r="I138" s="465"/>
      <c r="J138" s="465"/>
      <c r="K138" s="465"/>
      <c r="L138" s="465"/>
      <c r="M138" s="465"/>
      <c r="N138" s="465"/>
      <c r="O138" s="465"/>
      <c r="P138" s="465"/>
      <c r="Q138" s="465"/>
      <c r="R138" s="465"/>
      <c r="S138" s="32"/>
      <c r="T138" s="32"/>
      <c r="U138" s="2"/>
      <c r="V138" s="11"/>
    </row>
    <row r="139" spans="1:22" s="227" customFormat="1" ht="39" customHeight="1">
      <c r="A139" s="394">
        <f t="shared" si="4"/>
        <v>44</v>
      </c>
      <c r="B139" s="469" t="s">
        <v>2182</v>
      </c>
      <c r="C139" s="455">
        <f>'.'!L2613</f>
        <v>1615195</v>
      </c>
      <c r="D139" s="465"/>
      <c r="E139" s="470"/>
      <c r="F139" s="465"/>
      <c r="G139" s="465">
        <f>'.'!G2613</f>
        <v>654</v>
      </c>
      <c r="H139" s="465">
        <f>'.'!L2613</f>
        <v>1615195</v>
      </c>
      <c r="I139" s="465"/>
      <c r="J139" s="465"/>
      <c r="K139" s="465"/>
      <c r="L139" s="465"/>
      <c r="M139" s="465"/>
      <c r="N139" s="465"/>
      <c r="O139" s="465"/>
      <c r="P139" s="465"/>
      <c r="Q139" s="465"/>
      <c r="R139" s="465"/>
      <c r="S139" s="32"/>
      <c r="T139" s="32"/>
      <c r="U139" s="2"/>
      <c r="V139" s="11"/>
    </row>
    <row r="140" spans="1:22" s="227" customFormat="1" ht="39" customHeight="1">
      <c r="A140" s="394">
        <f t="shared" si="4"/>
        <v>45</v>
      </c>
      <c r="B140" s="469" t="s">
        <v>2184</v>
      </c>
      <c r="C140" s="455">
        <f>'.'!L2614</f>
        <v>2326443</v>
      </c>
      <c r="D140" s="465"/>
      <c r="E140" s="470"/>
      <c r="F140" s="465"/>
      <c r="G140" s="465">
        <f>'.'!G2614</f>
        <v>952</v>
      </c>
      <c r="H140" s="465">
        <f>'.'!L2614</f>
        <v>2326443</v>
      </c>
      <c r="I140" s="465"/>
      <c r="J140" s="465"/>
      <c r="K140" s="465"/>
      <c r="L140" s="465"/>
      <c r="M140" s="465"/>
      <c r="N140" s="465"/>
      <c r="O140" s="465"/>
      <c r="P140" s="465"/>
      <c r="Q140" s="465"/>
      <c r="R140" s="465"/>
      <c r="S140" s="32"/>
      <c r="T140" s="32"/>
      <c r="U140" s="2"/>
      <c r="V140" s="11"/>
    </row>
    <row r="141" spans="1:22" s="227" customFormat="1" ht="39" customHeight="1">
      <c r="A141" s="394">
        <f t="shared" si="4"/>
        <v>46</v>
      </c>
      <c r="B141" s="509" t="s">
        <v>2185</v>
      </c>
      <c r="C141" s="455">
        <f>'.'!L2615</f>
        <v>2323993</v>
      </c>
      <c r="D141" s="465"/>
      <c r="E141" s="470"/>
      <c r="F141" s="465"/>
      <c r="G141" s="465">
        <f>'.'!G2615</f>
        <v>951</v>
      </c>
      <c r="H141" s="465">
        <f>'.'!L2615</f>
        <v>2323993</v>
      </c>
      <c r="I141" s="465"/>
      <c r="J141" s="465"/>
      <c r="K141" s="465"/>
      <c r="L141" s="465"/>
      <c r="M141" s="465"/>
      <c r="N141" s="465"/>
      <c r="O141" s="465"/>
      <c r="P141" s="465"/>
      <c r="Q141" s="465"/>
      <c r="R141" s="465"/>
      <c r="S141" s="32"/>
      <c r="T141" s="32"/>
      <c r="U141" s="2"/>
      <c r="V141" s="11"/>
    </row>
    <row r="142" spans="1:22" s="227" customFormat="1" ht="39" customHeight="1">
      <c r="A142" s="394">
        <f t="shared" si="4"/>
        <v>47</v>
      </c>
      <c r="B142" s="509" t="s">
        <v>2186</v>
      </c>
      <c r="C142" s="455">
        <f>'.'!L2616</f>
        <v>2292611</v>
      </c>
      <c r="D142" s="465"/>
      <c r="E142" s="470"/>
      <c r="F142" s="465"/>
      <c r="G142" s="465">
        <f>'.'!G2616</f>
        <v>938</v>
      </c>
      <c r="H142" s="465">
        <f>'.'!L2616</f>
        <v>2292611</v>
      </c>
      <c r="I142" s="465"/>
      <c r="J142" s="465"/>
      <c r="K142" s="465"/>
      <c r="L142" s="465"/>
      <c r="M142" s="465"/>
      <c r="N142" s="465"/>
      <c r="O142" s="465"/>
      <c r="P142" s="465"/>
      <c r="Q142" s="465"/>
      <c r="R142" s="465"/>
      <c r="S142" s="32"/>
      <c r="T142" s="32"/>
      <c r="U142" s="2"/>
      <c r="V142" s="11"/>
    </row>
    <row r="143" spans="1:22" s="227" customFormat="1" ht="39" customHeight="1">
      <c r="A143" s="394">
        <f t="shared" si="4"/>
        <v>48</v>
      </c>
      <c r="B143" s="469" t="s">
        <v>2187</v>
      </c>
      <c r="C143" s="455">
        <f>'.'!L2617</f>
        <v>2331217</v>
      </c>
      <c r="D143" s="465"/>
      <c r="E143" s="470"/>
      <c r="F143" s="465"/>
      <c r="G143" s="465">
        <f>'.'!G2617</f>
        <v>954</v>
      </c>
      <c r="H143" s="465">
        <f>'.'!L2617</f>
        <v>2331217</v>
      </c>
      <c r="I143" s="465"/>
      <c r="J143" s="465"/>
      <c r="K143" s="465"/>
      <c r="L143" s="465"/>
      <c r="M143" s="465"/>
      <c r="N143" s="465"/>
      <c r="O143" s="465"/>
      <c r="P143" s="465"/>
      <c r="Q143" s="465"/>
      <c r="R143" s="465"/>
      <c r="S143" s="32"/>
      <c r="T143" s="32"/>
      <c r="U143" s="2"/>
      <c r="V143" s="11"/>
    </row>
    <row r="144" spans="1:22" s="227" customFormat="1" ht="39" customHeight="1">
      <c r="A144" s="394">
        <f t="shared" si="4"/>
        <v>49</v>
      </c>
      <c r="B144" s="509" t="s">
        <v>2188</v>
      </c>
      <c r="C144" s="455">
        <f>'.'!L2618</f>
        <v>2561141</v>
      </c>
      <c r="D144" s="465"/>
      <c r="E144" s="470"/>
      <c r="F144" s="465"/>
      <c r="G144" s="465">
        <f>'.'!G2618</f>
        <v>1050</v>
      </c>
      <c r="H144" s="465">
        <f>'.'!L2618</f>
        <v>2561141</v>
      </c>
      <c r="I144" s="465"/>
      <c r="J144" s="465"/>
      <c r="K144" s="465"/>
      <c r="L144" s="465"/>
      <c r="M144" s="465"/>
      <c r="N144" s="465"/>
      <c r="O144" s="465"/>
      <c r="P144" s="465"/>
      <c r="Q144" s="465"/>
      <c r="R144" s="465"/>
      <c r="S144" s="32"/>
      <c r="T144" s="32"/>
      <c r="U144" s="2"/>
      <c r="V144" s="11"/>
    </row>
    <row r="145" spans="1:22" s="227" customFormat="1" ht="39" customHeight="1">
      <c r="A145" s="394">
        <f t="shared" si="4"/>
        <v>50</v>
      </c>
      <c r="B145" s="469" t="s">
        <v>2190</v>
      </c>
      <c r="C145" s="455">
        <f>'.'!L2619</f>
        <v>3209563</v>
      </c>
      <c r="D145" s="465"/>
      <c r="E145" s="470"/>
      <c r="F145" s="465"/>
      <c r="G145" s="465">
        <f>'.'!G2619</f>
        <v>1377</v>
      </c>
      <c r="H145" s="465">
        <f>'.'!L2619</f>
        <v>3209563</v>
      </c>
      <c r="I145" s="465"/>
      <c r="J145" s="465"/>
      <c r="K145" s="465"/>
      <c r="L145" s="465"/>
      <c r="M145" s="465"/>
      <c r="N145" s="465"/>
      <c r="O145" s="465"/>
      <c r="P145" s="465"/>
      <c r="Q145" s="465"/>
      <c r="R145" s="465"/>
      <c r="S145" s="32"/>
      <c r="T145" s="32"/>
      <c r="U145" s="2"/>
      <c r="V145" s="11"/>
    </row>
    <row r="146" spans="1:22" s="227" customFormat="1" ht="39" customHeight="1">
      <c r="A146" s="394">
        <f t="shared" si="4"/>
        <v>51</v>
      </c>
      <c r="B146" s="469" t="s">
        <v>2191</v>
      </c>
      <c r="C146" s="455">
        <f>'.'!L2620</f>
        <v>3020378</v>
      </c>
      <c r="D146" s="465"/>
      <c r="E146" s="470"/>
      <c r="F146" s="465"/>
      <c r="G146" s="465">
        <f>'.'!G2620</f>
        <v>1240</v>
      </c>
      <c r="H146" s="465">
        <f>'.'!L2620</f>
        <v>3020378</v>
      </c>
      <c r="I146" s="465"/>
      <c r="J146" s="465"/>
      <c r="K146" s="465"/>
      <c r="L146" s="465"/>
      <c r="M146" s="465"/>
      <c r="N146" s="465"/>
      <c r="O146" s="465"/>
      <c r="P146" s="465"/>
      <c r="Q146" s="465"/>
      <c r="R146" s="465"/>
      <c r="S146" s="32"/>
      <c r="T146" s="32"/>
      <c r="U146" s="2"/>
      <c r="V146" s="11"/>
    </row>
    <row r="147" spans="1:22" s="227" customFormat="1" ht="39" customHeight="1">
      <c r="A147" s="394">
        <f t="shared" si="4"/>
        <v>52</v>
      </c>
      <c r="B147" s="509" t="s">
        <v>2192</v>
      </c>
      <c r="C147" s="455">
        <f>'.'!L2621</f>
        <v>1100681</v>
      </c>
      <c r="D147" s="465"/>
      <c r="E147" s="470"/>
      <c r="F147" s="465"/>
      <c r="G147" s="465">
        <f>'.'!G2621</f>
        <v>442</v>
      </c>
      <c r="H147" s="465">
        <f>'.'!L2621</f>
        <v>1100681</v>
      </c>
      <c r="I147" s="465"/>
      <c r="J147" s="465"/>
      <c r="K147" s="465"/>
      <c r="L147" s="465"/>
      <c r="M147" s="465"/>
      <c r="N147" s="465"/>
      <c r="O147" s="465"/>
      <c r="P147" s="465"/>
      <c r="Q147" s="465"/>
      <c r="R147" s="465"/>
      <c r="S147" s="32"/>
      <c r="T147" s="32"/>
      <c r="U147" s="2"/>
      <c r="V147" s="11"/>
    </row>
    <row r="148" spans="1:22" s="227" customFormat="1" ht="39" customHeight="1">
      <c r="A148" s="394">
        <f t="shared" si="4"/>
        <v>53</v>
      </c>
      <c r="B148" s="469" t="s">
        <v>2193</v>
      </c>
      <c r="C148" s="455">
        <f>'.'!L2622</f>
        <v>2542173</v>
      </c>
      <c r="D148" s="465"/>
      <c r="E148" s="470"/>
      <c r="F148" s="465"/>
      <c r="G148" s="465">
        <f>'.'!G2622</f>
        <v>1042</v>
      </c>
      <c r="H148" s="465">
        <f>'.'!L2622</f>
        <v>2542173</v>
      </c>
      <c r="I148" s="465"/>
      <c r="J148" s="465"/>
      <c r="K148" s="465"/>
      <c r="L148" s="465"/>
      <c r="M148" s="465"/>
      <c r="N148" s="465"/>
      <c r="O148" s="465"/>
      <c r="P148" s="465"/>
      <c r="Q148" s="465"/>
      <c r="R148" s="465"/>
      <c r="S148" s="32"/>
      <c r="T148" s="32"/>
      <c r="U148" s="2"/>
      <c r="V148" s="11"/>
    </row>
    <row r="149" spans="1:22" s="227" customFormat="1" ht="39" customHeight="1">
      <c r="A149" s="394">
        <f t="shared" si="4"/>
        <v>54</v>
      </c>
      <c r="B149" s="469" t="s">
        <v>2194</v>
      </c>
      <c r="C149" s="455">
        <f>'.'!L2623</f>
        <v>529593.61</v>
      </c>
      <c r="D149" s="465"/>
      <c r="E149" s="470"/>
      <c r="F149" s="465"/>
      <c r="G149" s="465">
        <f>'.'!G2623</f>
        <v>209</v>
      </c>
      <c r="H149" s="465">
        <f>'.'!L2623</f>
        <v>529593.61</v>
      </c>
      <c r="I149" s="465"/>
      <c r="J149" s="465"/>
      <c r="K149" s="465"/>
      <c r="L149" s="465"/>
      <c r="M149" s="465"/>
      <c r="N149" s="465"/>
      <c r="O149" s="465"/>
      <c r="P149" s="465"/>
      <c r="Q149" s="465"/>
      <c r="R149" s="465"/>
      <c r="S149" s="32"/>
      <c r="T149" s="32"/>
      <c r="U149" s="2"/>
      <c r="V149" s="11"/>
    </row>
    <row r="150" spans="1:22" s="227" customFormat="1" ht="39" customHeight="1">
      <c r="A150" s="394">
        <f t="shared" si="4"/>
        <v>55</v>
      </c>
      <c r="B150" s="469" t="s">
        <v>2195</v>
      </c>
      <c r="C150" s="455">
        <f>'.'!L2624</f>
        <v>1576832</v>
      </c>
      <c r="D150" s="465"/>
      <c r="E150" s="470"/>
      <c r="F150" s="465"/>
      <c r="G150" s="465">
        <f>'.'!G2624</f>
        <v>638</v>
      </c>
      <c r="H150" s="465">
        <f>'.'!L2624</f>
        <v>1576832</v>
      </c>
      <c r="I150" s="465"/>
      <c r="J150" s="465"/>
      <c r="K150" s="465"/>
      <c r="L150" s="465"/>
      <c r="M150" s="465"/>
      <c r="N150" s="465"/>
      <c r="O150" s="465"/>
      <c r="P150" s="465"/>
      <c r="Q150" s="465"/>
      <c r="R150" s="465"/>
      <c r="S150" s="32"/>
      <c r="T150" s="32"/>
      <c r="U150" s="2"/>
      <c r="V150" s="11"/>
    </row>
    <row r="151" spans="1:22" s="227" customFormat="1" ht="39" customHeight="1">
      <c r="A151" s="394">
        <f t="shared" si="4"/>
        <v>56</v>
      </c>
      <c r="B151" s="509" t="s">
        <v>2196</v>
      </c>
      <c r="C151" s="455">
        <f>'.'!L2625</f>
        <v>1585697.55</v>
      </c>
      <c r="D151" s="465">
        <f>'.'!L2625</f>
        <v>1585697.55</v>
      </c>
      <c r="E151" s="470"/>
      <c r="F151" s="465"/>
      <c r="G151" s="465"/>
      <c r="H151" s="465"/>
      <c r="I151" s="465"/>
      <c r="J151" s="465"/>
      <c r="K151" s="465"/>
      <c r="L151" s="465"/>
      <c r="M151" s="465"/>
      <c r="N151" s="465"/>
      <c r="O151" s="465"/>
      <c r="P151" s="465"/>
      <c r="Q151" s="465"/>
      <c r="R151" s="465"/>
      <c r="S151" s="32"/>
      <c r="T151" s="32"/>
      <c r="U151" s="2"/>
      <c r="V151" s="11"/>
    </row>
    <row r="152" spans="1:22" s="227" customFormat="1" ht="39" customHeight="1">
      <c r="A152" s="394">
        <f t="shared" si="4"/>
        <v>57</v>
      </c>
      <c r="B152" s="469" t="s">
        <v>2197</v>
      </c>
      <c r="C152" s="455">
        <f>'.'!L2626</f>
        <v>1858343</v>
      </c>
      <c r="D152" s="465"/>
      <c r="E152" s="470"/>
      <c r="F152" s="465"/>
      <c r="G152" s="465">
        <f>'.'!G2626</f>
        <v>757</v>
      </c>
      <c r="H152" s="465">
        <f>'.'!L2626</f>
        <v>1858343</v>
      </c>
      <c r="I152" s="465"/>
      <c r="J152" s="465"/>
      <c r="K152" s="465"/>
      <c r="L152" s="465"/>
      <c r="M152" s="465"/>
      <c r="N152" s="465"/>
      <c r="O152" s="465"/>
      <c r="P152" s="465"/>
      <c r="Q152" s="465"/>
      <c r="R152" s="465"/>
      <c r="S152" s="32"/>
      <c r="T152" s="32"/>
      <c r="U152" s="2"/>
      <c r="V152" s="11"/>
    </row>
    <row r="153" spans="1:22" s="227" customFormat="1" ht="39" customHeight="1">
      <c r="A153" s="394">
        <f t="shared" si="4"/>
        <v>58</v>
      </c>
      <c r="B153" s="469" t="s">
        <v>2198</v>
      </c>
      <c r="C153" s="455">
        <f>'.'!L2627</f>
        <v>3484962</v>
      </c>
      <c r="D153" s="465"/>
      <c r="E153" s="470"/>
      <c r="F153" s="465"/>
      <c r="G153" s="465"/>
      <c r="H153" s="465"/>
      <c r="I153" s="465"/>
      <c r="J153" s="465"/>
      <c r="K153" s="465"/>
      <c r="L153" s="465"/>
      <c r="M153" s="465"/>
      <c r="N153" s="465"/>
      <c r="O153" s="465">
        <f>'.'!E2627</f>
        <v>1371</v>
      </c>
      <c r="P153" s="465">
        <f>'.'!L2627</f>
        <v>3484962</v>
      </c>
      <c r="Q153" s="465"/>
      <c r="R153" s="465"/>
      <c r="S153" s="32"/>
      <c r="T153" s="32"/>
      <c r="U153" s="2"/>
      <c r="V153" s="11"/>
    </row>
    <row r="154" spans="1:22" s="227" customFormat="1" ht="39" customHeight="1">
      <c r="A154" s="394">
        <f t="shared" si="4"/>
        <v>59</v>
      </c>
      <c r="B154" s="469" t="s">
        <v>2201</v>
      </c>
      <c r="C154" s="455">
        <f>'.'!L2628</f>
        <v>2201543</v>
      </c>
      <c r="D154" s="465"/>
      <c r="E154" s="470"/>
      <c r="F154" s="465"/>
      <c r="G154" s="465">
        <f>'.'!G2628</f>
        <v>900</v>
      </c>
      <c r="H154" s="465">
        <f>'.'!L2628</f>
        <v>2201543</v>
      </c>
      <c r="I154" s="465"/>
      <c r="J154" s="465"/>
      <c r="K154" s="465"/>
      <c r="L154" s="465"/>
      <c r="M154" s="465"/>
      <c r="N154" s="465"/>
      <c r="O154" s="465"/>
      <c r="P154" s="465"/>
      <c r="Q154" s="465"/>
      <c r="R154" s="465"/>
      <c r="S154" s="32"/>
      <c r="T154" s="32"/>
      <c r="U154" s="2"/>
      <c r="V154" s="11"/>
    </row>
    <row r="155" spans="1:22" s="227" customFormat="1" ht="39" customHeight="1">
      <c r="A155" s="394">
        <f t="shared" si="4"/>
        <v>60</v>
      </c>
      <c r="B155" s="469" t="s">
        <v>2202</v>
      </c>
      <c r="C155" s="455">
        <f>'.'!L2629</f>
        <v>4891135</v>
      </c>
      <c r="D155" s="465"/>
      <c r="E155" s="470"/>
      <c r="F155" s="465"/>
      <c r="G155" s="465">
        <f>'.'!G2629</f>
        <v>2014</v>
      </c>
      <c r="H155" s="465">
        <f>'.'!L2629</f>
        <v>4891135</v>
      </c>
      <c r="I155" s="465"/>
      <c r="J155" s="465"/>
      <c r="K155" s="465"/>
      <c r="L155" s="465"/>
      <c r="M155" s="465"/>
      <c r="N155" s="465"/>
      <c r="O155" s="465"/>
      <c r="P155" s="465"/>
      <c r="Q155" s="465"/>
      <c r="R155" s="465"/>
      <c r="S155" s="32"/>
      <c r="T155" s="32"/>
      <c r="U155" s="2"/>
      <c r="V155" s="11"/>
    </row>
    <row r="156" spans="1:22" s="227" customFormat="1" ht="39" customHeight="1">
      <c r="A156" s="394">
        <f t="shared" si="4"/>
        <v>61</v>
      </c>
      <c r="B156" s="469" t="s">
        <v>2203</v>
      </c>
      <c r="C156" s="455">
        <f>'.'!L2630</f>
        <v>1576832</v>
      </c>
      <c r="D156" s="465"/>
      <c r="E156" s="470"/>
      <c r="F156" s="465"/>
      <c r="G156" s="465">
        <f>'.'!G2630</f>
        <v>638</v>
      </c>
      <c r="H156" s="465">
        <f>'.'!L2630</f>
        <v>1576832</v>
      </c>
      <c r="I156" s="465"/>
      <c r="J156" s="465"/>
      <c r="K156" s="465"/>
      <c r="L156" s="465"/>
      <c r="M156" s="465"/>
      <c r="N156" s="465"/>
      <c r="O156" s="465"/>
      <c r="P156" s="465"/>
      <c r="Q156" s="465"/>
      <c r="R156" s="465"/>
      <c r="S156" s="32"/>
      <c r="T156" s="32"/>
      <c r="U156" s="2"/>
      <c r="V156" s="11"/>
    </row>
    <row r="157" spans="1:22" s="227" customFormat="1" ht="39" customHeight="1">
      <c r="A157" s="394">
        <f t="shared" si="4"/>
        <v>62</v>
      </c>
      <c r="B157" s="469" t="s">
        <v>2204</v>
      </c>
      <c r="C157" s="455">
        <f>'.'!L2631</f>
        <v>1949810.1200000003</v>
      </c>
      <c r="D157" s="465"/>
      <c r="E157" s="470"/>
      <c r="F157" s="465"/>
      <c r="G157" s="465">
        <f>'.'!G2631</f>
        <v>675.2</v>
      </c>
      <c r="H157" s="465">
        <f>'.'!L2631</f>
        <v>1949810.1200000003</v>
      </c>
      <c r="I157" s="465"/>
      <c r="J157" s="465"/>
      <c r="K157" s="465"/>
      <c r="L157" s="465"/>
      <c r="M157" s="465"/>
      <c r="N157" s="465"/>
      <c r="O157" s="465"/>
      <c r="P157" s="465"/>
      <c r="Q157" s="465"/>
      <c r="R157" s="465"/>
      <c r="S157" s="32"/>
      <c r="T157" s="32"/>
      <c r="U157" s="2"/>
      <c r="V157" s="11"/>
    </row>
    <row r="158" spans="1:22" s="227" customFormat="1" ht="39" customHeight="1">
      <c r="A158" s="394">
        <f t="shared" si="4"/>
        <v>63</v>
      </c>
      <c r="B158" s="509" t="s">
        <v>2205</v>
      </c>
      <c r="C158" s="455">
        <f>'.'!L2632</f>
        <v>2268942</v>
      </c>
      <c r="D158" s="465"/>
      <c r="E158" s="470"/>
      <c r="F158" s="465"/>
      <c r="G158" s="465">
        <f>'.'!G2632</f>
        <v>928</v>
      </c>
      <c r="H158" s="465">
        <f>'.'!L2632</f>
        <v>2268942</v>
      </c>
      <c r="I158" s="465"/>
      <c r="J158" s="465"/>
      <c r="K158" s="465"/>
      <c r="L158" s="465"/>
      <c r="M158" s="465"/>
      <c r="N158" s="465"/>
      <c r="O158" s="465"/>
      <c r="P158" s="465"/>
      <c r="Q158" s="465"/>
      <c r="R158" s="465"/>
      <c r="S158" s="32"/>
      <c r="T158" s="32"/>
      <c r="U158" s="2"/>
      <c r="V158" s="11"/>
    </row>
    <row r="159" spans="1:22" s="227" customFormat="1" ht="39" customHeight="1">
      <c r="A159" s="394">
        <f t="shared" si="4"/>
        <v>64</v>
      </c>
      <c r="B159" s="511" t="s">
        <v>2206</v>
      </c>
      <c r="C159" s="455">
        <f>'.'!L2633</f>
        <v>2299943</v>
      </c>
      <c r="D159" s="465"/>
      <c r="E159" s="470"/>
      <c r="F159" s="465"/>
      <c r="G159" s="465">
        <f>'.'!G2633</f>
        <v>941</v>
      </c>
      <c r="H159" s="465">
        <f>'.'!L2633</f>
        <v>2299943</v>
      </c>
      <c r="I159" s="465"/>
      <c r="J159" s="465"/>
      <c r="K159" s="465"/>
      <c r="L159" s="465"/>
      <c r="M159" s="465"/>
      <c r="N159" s="465"/>
      <c r="O159" s="465"/>
      <c r="P159" s="465"/>
      <c r="Q159" s="465"/>
      <c r="R159" s="465"/>
      <c r="S159" s="32"/>
      <c r="T159" s="32"/>
      <c r="U159" s="2"/>
      <c r="V159" s="11"/>
    </row>
    <row r="160" spans="1:22" s="227" customFormat="1" ht="39" customHeight="1">
      <c r="A160" s="394">
        <f t="shared" si="4"/>
        <v>65</v>
      </c>
      <c r="B160" s="469" t="s">
        <v>2207</v>
      </c>
      <c r="C160" s="455">
        <f>'.'!L2634</f>
        <v>2678172</v>
      </c>
      <c r="D160" s="465"/>
      <c r="E160" s="470"/>
      <c r="F160" s="465"/>
      <c r="G160" s="465">
        <f>'.'!G2634</f>
        <v>1147</v>
      </c>
      <c r="H160" s="465">
        <f>'.'!L2634</f>
        <v>2678172</v>
      </c>
      <c r="I160" s="465"/>
      <c r="J160" s="465"/>
      <c r="K160" s="465"/>
      <c r="L160" s="465"/>
      <c r="M160" s="465"/>
      <c r="N160" s="465"/>
      <c r="O160" s="465"/>
      <c r="P160" s="465"/>
      <c r="Q160" s="465"/>
      <c r="R160" s="465"/>
      <c r="S160" s="32"/>
      <c r="T160" s="32"/>
      <c r="U160" s="2"/>
      <c r="V160" s="11"/>
    </row>
    <row r="161" spans="1:22" s="227" customFormat="1" ht="39" customHeight="1">
      <c r="A161" s="394">
        <f t="shared" si="4"/>
        <v>66</v>
      </c>
      <c r="B161" s="469" t="s">
        <v>2208</v>
      </c>
      <c r="C161" s="455">
        <f>'.'!L2635</f>
        <v>3404299</v>
      </c>
      <c r="D161" s="465"/>
      <c r="E161" s="470"/>
      <c r="F161" s="465"/>
      <c r="G161" s="465">
        <f>'.'!G2635</f>
        <v>1400</v>
      </c>
      <c r="H161" s="465">
        <f>'.'!L2635</f>
        <v>3404299</v>
      </c>
      <c r="I161" s="465"/>
      <c r="J161" s="465"/>
      <c r="K161" s="465"/>
      <c r="L161" s="465"/>
      <c r="M161" s="465"/>
      <c r="N161" s="465"/>
      <c r="O161" s="465"/>
      <c r="P161" s="465"/>
      <c r="Q161" s="465"/>
      <c r="R161" s="465"/>
      <c r="S161" s="32"/>
      <c r="T161" s="32"/>
      <c r="U161" s="2"/>
      <c r="V161" s="11"/>
    </row>
    <row r="162" spans="1:22" s="227" customFormat="1" ht="39" customHeight="1">
      <c r="A162" s="394">
        <f t="shared" si="4"/>
        <v>67</v>
      </c>
      <c r="B162" s="469" t="s">
        <v>2209</v>
      </c>
      <c r="C162" s="455">
        <f>'.'!L2636</f>
        <v>1321295.3500000001</v>
      </c>
      <c r="D162" s="465"/>
      <c r="E162" s="470"/>
      <c r="F162" s="465"/>
      <c r="G162" s="465">
        <f>'.'!G2636</f>
        <v>536</v>
      </c>
      <c r="H162" s="465">
        <f>'.'!L2636</f>
        <v>1321295.3500000001</v>
      </c>
      <c r="I162" s="465"/>
      <c r="J162" s="465"/>
      <c r="K162" s="465"/>
      <c r="L162" s="465"/>
      <c r="M162" s="465"/>
      <c r="N162" s="465"/>
      <c r="O162" s="465"/>
      <c r="P162" s="465"/>
      <c r="Q162" s="465"/>
      <c r="R162" s="465"/>
      <c r="S162" s="32"/>
      <c r="T162" s="32"/>
      <c r="U162" s="2"/>
      <c r="V162" s="11"/>
    </row>
    <row r="163" spans="1:22" s="227" customFormat="1" ht="39" customHeight="1">
      <c r="A163" s="394">
        <f t="shared" si="4"/>
        <v>68</v>
      </c>
      <c r="B163" s="469" t="s">
        <v>2210</v>
      </c>
      <c r="C163" s="455">
        <f>'.'!L2637</f>
        <v>1275413.1000000001</v>
      </c>
      <c r="D163" s="465"/>
      <c r="E163" s="470"/>
      <c r="F163" s="465"/>
      <c r="G163" s="465">
        <f>'.'!G2637</f>
        <v>517</v>
      </c>
      <c r="H163" s="465">
        <f>'.'!L2637</f>
        <v>1275413.1000000001</v>
      </c>
      <c r="I163" s="465"/>
      <c r="J163" s="465"/>
      <c r="K163" s="465"/>
      <c r="L163" s="465"/>
      <c r="M163" s="465"/>
      <c r="N163" s="465"/>
      <c r="O163" s="465"/>
      <c r="P163" s="465"/>
      <c r="Q163" s="465"/>
      <c r="R163" s="465"/>
      <c r="S163" s="32"/>
      <c r="T163" s="32"/>
      <c r="U163" s="2"/>
      <c r="V163" s="11"/>
    </row>
    <row r="164" spans="1:22" s="227" customFormat="1" ht="39" customHeight="1">
      <c r="A164" s="394">
        <f t="shared" si="4"/>
        <v>69</v>
      </c>
      <c r="B164" s="469" t="s">
        <v>2211</v>
      </c>
      <c r="C164" s="455">
        <f>'.'!L2638</f>
        <v>2688637.48</v>
      </c>
      <c r="D164" s="465">
        <f>'.'!L2638</f>
        <v>2688637.48</v>
      </c>
      <c r="E164" s="470"/>
      <c r="F164" s="465"/>
      <c r="G164" s="465"/>
      <c r="H164" s="465"/>
      <c r="I164" s="465"/>
      <c r="J164" s="465"/>
      <c r="K164" s="465"/>
      <c r="L164" s="465"/>
      <c r="M164" s="465"/>
      <c r="N164" s="465"/>
      <c r="O164" s="465"/>
      <c r="P164" s="465"/>
      <c r="Q164" s="465"/>
      <c r="R164" s="465"/>
      <c r="S164" s="32"/>
      <c r="T164" s="32"/>
      <c r="U164" s="2"/>
      <c r="V164" s="11"/>
    </row>
    <row r="165" spans="1:22" s="227" customFormat="1" ht="39" customHeight="1">
      <c r="A165" s="394">
        <f t="shared" si="4"/>
        <v>70</v>
      </c>
      <c r="B165" s="469" t="s">
        <v>2212</v>
      </c>
      <c r="C165" s="455">
        <f>'.'!L2639</f>
        <v>2178305.04</v>
      </c>
      <c r="D165" s="465"/>
      <c r="E165" s="470"/>
      <c r="F165" s="465"/>
      <c r="G165" s="465">
        <f>'.'!G2639</f>
        <v>892</v>
      </c>
      <c r="H165" s="465">
        <f>'.'!L2639</f>
        <v>2178305.04</v>
      </c>
      <c r="I165" s="465"/>
      <c r="J165" s="465"/>
      <c r="K165" s="465"/>
      <c r="L165" s="465"/>
      <c r="M165" s="465"/>
      <c r="N165" s="465"/>
      <c r="O165" s="465"/>
      <c r="P165" s="465"/>
      <c r="Q165" s="465"/>
      <c r="R165" s="465"/>
      <c r="S165" s="32"/>
      <c r="T165" s="32"/>
      <c r="U165" s="2"/>
      <c r="V165" s="11"/>
    </row>
    <row r="166" spans="1:22" s="227" customFormat="1" ht="39" customHeight="1">
      <c r="A166" s="394">
        <f t="shared" si="4"/>
        <v>71</v>
      </c>
      <c r="B166" s="511" t="s">
        <v>2213</v>
      </c>
      <c r="C166" s="455">
        <f>'.'!L2640</f>
        <v>3248610</v>
      </c>
      <c r="D166" s="465"/>
      <c r="E166" s="470"/>
      <c r="F166" s="465"/>
      <c r="G166" s="465">
        <f>'.'!G2640</f>
        <v>1136</v>
      </c>
      <c r="H166" s="465">
        <f>'.'!L2640</f>
        <v>3248610</v>
      </c>
      <c r="I166" s="465"/>
      <c r="J166" s="465"/>
      <c r="K166" s="465"/>
      <c r="L166" s="465"/>
      <c r="M166" s="465"/>
      <c r="N166" s="465"/>
      <c r="O166" s="465"/>
      <c r="P166" s="465"/>
      <c r="Q166" s="465"/>
      <c r="R166" s="465"/>
      <c r="S166" s="32"/>
      <c r="T166" s="32"/>
      <c r="U166" s="2"/>
      <c r="V166" s="11"/>
    </row>
    <row r="167" spans="1:22" s="227" customFormat="1" ht="39" customHeight="1">
      <c r="A167" s="394">
        <f t="shared" si="4"/>
        <v>72</v>
      </c>
      <c r="B167" s="469" t="s">
        <v>2214</v>
      </c>
      <c r="C167" s="455">
        <f>'.'!L2641</f>
        <v>2562255</v>
      </c>
      <c r="D167" s="465"/>
      <c r="E167" s="470"/>
      <c r="F167" s="465"/>
      <c r="G167" s="465">
        <f>'.'!G2641</f>
        <v>1050</v>
      </c>
      <c r="H167" s="465">
        <f>'.'!L2641</f>
        <v>2562255</v>
      </c>
      <c r="I167" s="465"/>
      <c r="J167" s="465"/>
      <c r="K167" s="465"/>
      <c r="L167" s="465"/>
      <c r="M167" s="465"/>
      <c r="N167" s="465"/>
      <c r="O167" s="465"/>
      <c r="P167" s="465"/>
      <c r="Q167" s="465"/>
      <c r="R167" s="465"/>
      <c r="S167" s="32"/>
      <c r="T167" s="32"/>
      <c r="U167" s="2"/>
      <c r="V167" s="11"/>
    </row>
    <row r="168" spans="1:22" s="227" customFormat="1" ht="39" customHeight="1">
      <c r="A168" s="394">
        <f t="shared" si="4"/>
        <v>73</v>
      </c>
      <c r="B168" s="469" t="s">
        <v>2215</v>
      </c>
      <c r="C168" s="455">
        <f>'.'!L2642</f>
        <v>2562255</v>
      </c>
      <c r="D168" s="465"/>
      <c r="E168" s="470"/>
      <c r="F168" s="465"/>
      <c r="G168" s="465">
        <f>'.'!G2642</f>
        <v>1050</v>
      </c>
      <c r="H168" s="465">
        <f>'.'!L2642</f>
        <v>2562255</v>
      </c>
      <c r="I168" s="465"/>
      <c r="J168" s="465"/>
      <c r="K168" s="465"/>
      <c r="L168" s="465"/>
      <c r="M168" s="465"/>
      <c r="N168" s="465"/>
      <c r="O168" s="465"/>
      <c r="P168" s="465"/>
      <c r="Q168" s="465"/>
      <c r="R168" s="465"/>
      <c r="S168" s="32"/>
      <c r="T168" s="32"/>
      <c r="U168" s="2"/>
      <c r="V168" s="11"/>
    </row>
    <row r="169" spans="1:22" s="227" customFormat="1" ht="39" customHeight="1">
      <c r="A169" s="394">
        <f t="shared" si="4"/>
        <v>74</v>
      </c>
      <c r="B169" s="469" t="s">
        <v>2216</v>
      </c>
      <c r="C169" s="455">
        <f>'.'!L2643</f>
        <v>3720980.09</v>
      </c>
      <c r="D169" s="465"/>
      <c r="E169" s="470"/>
      <c r="F169" s="465"/>
      <c r="G169" s="465">
        <f>'.'!G2643</f>
        <v>1310</v>
      </c>
      <c r="H169" s="465">
        <f>'.'!L2643</f>
        <v>3720980.09</v>
      </c>
      <c r="I169" s="465"/>
      <c r="J169" s="465"/>
      <c r="K169" s="465"/>
      <c r="L169" s="465"/>
      <c r="M169" s="465"/>
      <c r="N169" s="465"/>
      <c r="O169" s="465"/>
      <c r="P169" s="465"/>
      <c r="Q169" s="465"/>
      <c r="R169" s="465"/>
      <c r="S169" s="32"/>
      <c r="T169" s="32"/>
      <c r="U169" s="2"/>
      <c r="V169" s="11"/>
    </row>
    <row r="170" spans="1:22" s="227" customFormat="1" ht="39" customHeight="1">
      <c r="A170" s="394">
        <f t="shared" si="4"/>
        <v>75</v>
      </c>
      <c r="B170" s="511" t="s">
        <v>2217</v>
      </c>
      <c r="C170" s="455">
        <f>'.'!L2644</f>
        <v>2560844</v>
      </c>
      <c r="D170" s="465"/>
      <c r="E170" s="470"/>
      <c r="F170" s="465"/>
      <c r="G170" s="465">
        <f>'.'!G2644</f>
        <v>1050</v>
      </c>
      <c r="H170" s="465">
        <f>'.'!L2644</f>
        <v>2560844</v>
      </c>
      <c r="I170" s="465"/>
      <c r="J170" s="465"/>
      <c r="K170" s="465"/>
      <c r="L170" s="465"/>
      <c r="M170" s="465"/>
      <c r="N170" s="465"/>
      <c r="O170" s="465"/>
      <c r="P170" s="465"/>
      <c r="Q170" s="465"/>
      <c r="R170" s="465"/>
      <c r="S170" s="32"/>
      <c r="T170" s="32"/>
      <c r="U170" s="2"/>
      <c r="V170" s="11"/>
    </row>
    <row r="171" spans="1:22" s="227" customFormat="1" ht="39" customHeight="1">
      <c r="A171" s="394">
        <f t="shared" si="4"/>
        <v>76</v>
      </c>
      <c r="B171" s="509" t="s">
        <v>2222</v>
      </c>
      <c r="C171" s="455">
        <f>'.'!L2645</f>
        <v>3092876</v>
      </c>
      <c r="D171" s="465"/>
      <c r="E171" s="470"/>
      <c r="F171" s="465"/>
      <c r="G171" s="465">
        <f>'.'!G2645</f>
        <v>1269</v>
      </c>
      <c r="H171" s="465">
        <f>'.'!L2645</f>
        <v>3092876</v>
      </c>
      <c r="I171" s="465"/>
      <c r="J171" s="465"/>
      <c r="K171" s="465"/>
      <c r="L171" s="465"/>
      <c r="M171" s="465"/>
      <c r="N171" s="465"/>
      <c r="O171" s="465"/>
      <c r="P171" s="465"/>
      <c r="Q171" s="465"/>
      <c r="R171" s="465"/>
      <c r="S171" s="32"/>
      <c r="T171" s="32"/>
      <c r="U171" s="2"/>
      <c r="V171" s="11"/>
    </row>
    <row r="172" spans="1:22" s="227" customFormat="1" ht="39" customHeight="1">
      <c r="A172" s="394">
        <f t="shared" si="4"/>
        <v>77</v>
      </c>
      <c r="B172" s="469" t="s">
        <v>2223</v>
      </c>
      <c r="C172" s="455">
        <f>'.'!L2646</f>
        <v>2317024</v>
      </c>
      <c r="D172" s="465"/>
      <c r="E172" s="470"/>
      <c r="F172" s="465"/>
      <c r="G172" s="465"/>
      <c r="H172" s="465"/>
      <c r="I172" s="465"/>
      <c r="J172" s="465"/>
      <c r="K172" s="465">
        <f>'.'!E2646</f>
        <v>1512</v>
      </c>
      <c r="L172" s="465">
        <f>'.'!L2646</f>
        <v>2317024</v>
      </c>
      <c r="M172" s="465"/>
      <c r="N172" s="465"/>
      <c r="O172" s="465"/>
      <c r="P172" s="465"/>
      <c r="Q172" s="465"/>
      <c r="R172" s="465"/>
      <c r="S172" s="32"/>
      <c r="T172" s="32"/>
      <c r="U172" s="2"/>
      <c r="V172" s="11"/>
    </row>
    <row r="173" spans="1:22" s="227" customFormat="1" ht="39" customHeight="1">
      <c r="A173" s="394">
        <f t="shared" si="4"/>
        <v>78</v>
      </c>
      <c r="B173" s="469" t="s">
        <v>2224</v>
      </c>
      <c r="C173" s="455">
        <f>'.'!L2647</f>
        <v>3893144</v>
      </c>
      <c r="D173" s="465"/>
      <c r="E173" s="470"/>
      <c r="F173" s="465"/>
      <c r="G173" s="465">
        <f>'.'!G2647</f>
        <v>1366</v>
      </c>
      <c r="H173" s="465">
        <f>'.'!L2647</f>
        <v>3893144</v>
      </c>
      <c r="I173" s="465"/>
      <c r="J173" s="465"/>
      <c r="K173" s="465"/>
      <c r="L173" s="465"/>
      <c r="M173" s="465"/>
      <c r="N173" s="465"/>
      <c r="O173" s="465"/>
      <c r="P173" s="465"/>
      <c r="Q173" s="465"/>
      <c r="R173" s="465"/>
      <c r="S173" s="32"/>
      <c r="T173" s="32"/>
      <c r="U173" s="2"/>
      <c r="V173" s="11"/>
    </row>
    <row r="174" spans="1:22" s="227" customFormat="1" ht="39" customHeight="1">
      <c r="A174" s="394">
        <f t="shared" si="4"/>
        <v>79</v>
      </c>
      <c r="B174" s="469" t="s">
        <v>2227</v>
      </c>
      <c r="C174" s="455">
        <f>'.'!L2648</f>
        <v>2378477</v>
      </c>
      <c r="D174" s="465"/>
      <c r="E174" s="470"/>
      <c r="F174" s="465"/>
      <c r="G174" s="465">
        <f>'.'!G2648</f>
        <v>1015.9</v>
      </c>
      <c r="H174" s="465">
        <f>'.'!L2648</f>
        <v>2378477</v>
      </c>
      <c r="I174" s="465"/>
      <c r="J174" s="465"/>
      <c r="K174" s="465"/>
      <c r="L174" s="465"/>
      <c r="M174" s="465"/>
      <c r="N174" s="465"/>
      <c r="O174" s="465"/>
      <c r="P174" s="465"/>
      <c r="Q174" s="465"/>
      <c r="R174" s="465"/>
      <c r="S174" s="32"/>
      <c r="T174" s="32"/>
      <c r="U174" s="2"/>
      <c r="V174" s="11"/>
    </row>
    <row r="175" spans="1:22" s="227" customFormat="1" ht="39" customHeight="1">
      <c r="A175" s="394">
        <f t="shared" si="4"/>
        <v>80</v>
      </c>
      <c r="B175" s="511" t="s">
        <v>2229</v>
      </c>
      <c r="C175" s="455">
        <f>'.'!L2649</f>
        <v>883079.09</v>
      </c>
      <c r="D175" s="465">
        <f>'.'!L2649</f>
        <v>883079.09</v>
      </c>
      <c r="E175" s="470"/>
      <c r="F175" s="465"/>
      <c r="G175" s="465"/>
      <c r="H175" s="465"/>
      <c r="I175" s="465"/>
      <c r="J175" s="465"/>
      <c r="K175" s="465"/>
      <c r="L175" s="465"/>
      <c r="M175" s="465"/>
      <c r="N175" s="465"/>
      <c r="O175" s="465"/>
      <c r="P175" s="465"/>
      <c r="Q175" s="465"/>
      <c r="R175" s="465"/>
      <c r="S175" s="32"/>
      <c r="T175" s="32"/>
      <c r="U175" s="2"/>
      <c r="V175" s="11"/>
    </row>
    <row r="176" spans="1:22" s="227" customFormat="1" ht="39" customHeight="1">
      <c r="A176" s="394">
        <f t="shared" si="4"/>
        <v>81</v>
      </c>
      <c r="B176" s="469" t="s">
        <v>2230</v>
      </c>
      <c r="C176" s="455">
        <f>'.'!L2650</f>
        <v>4320841</v>
      </c>
      <c r="D176" s="465"/>
      <c r="E176" s="470"/>
      <c r="F176" s="465"/>
      <c r="G176" s="465">
        <f>'.'!G2650</f>
        <v>1781</v>
      </c>
      <c r="H176" s="465">
        <f>'.'!L2650</f>
        <v>4320841</v>
      </c>
      <c r="I176" s="465"/>
      <c r="J176" s="465"/>
      <c r="K176" s="465"/>
      <c r="L176" s="465"/>
      <c r="M176" s="465"/>
      <c r="N176" s="465"/>
      <c r="O176" s="465"/>
      <c r="P176" s="465"/>
      <c r="Q176" s="465"/>
      <c r="R176" s="465"/>
      <c r="S176" s="32"/>
      <c r="T176" s="32"/>
      <c r="U176" s="2"/>
      <c r="V176" s="11"/>
    </row>
    <row r="177" spans="1:22" s="227" customFormat="1" ht="39" customHeight="1">
      <c r="A177" s="394">
        <f t="shared" ref="A177:A198" si="5">A176+1</f>
        <v>82</v>
      </c>
      <c r="B177" s="469" t="s">
        <v>2232</v>
      </c>
      <c r="C177" s="455">
        <f>'.'!L2651</f>
        <v>1682971</v>
      </c>
      <c r="D177" s="465"/>
      <c r="E177" s="470"/>
      <c r="F177" s="465"/>
      <c r="G177" s="465">
        <f>'.'!G2651</f>
        <v>684</v>
      </c>
      <c r="H177" s="465">
        <f>'.'!L2651</f>
        <v>1682971</v>
      </c>
      <c r="I177" s="465"/>
      <c r="J177" s="465"/>
      <c r="K177" s="465"/>
      <c r="L177" s="465"/>
      <c r="M177" s="465"/>
      <c r="N177" s="465"/>
      <c r="O177" s="465"/>
      <c r="P177" s="465"/>
      <c r="Q177" s="465"/>
      <c r="R177" s="465"/>
      <c r="S177" s="32"/>
      <c r="T177" s="32"/>
      <c r="U177" s="2"/>
      <c r="V177" s="11"/>
    </row>
    <row r="178" spans="1:22" s="227" customFormat="1" ht="39" customHeight="1">
      <c r="A178" s="394">
        <f t="shared" si="5"/>
        <v>83</v>
      </c>
      <c r="B178" s="509" t="s">
        <v>2234</v>
      </c>
      <c r="C178" s="455">
        <f>'.'!L2652</f>
        <v>1546426.46</v>
      </c>
      <c r="D178" s="465"/>
      <c r="E178" s="470"/>
      <c r="F178" s="465"/>
      <c r="G178" s="465">
        <f>'.'!G2652</f>
        <v>532.5</v>
      </c>
      <c r="H178" s="465">
        <f>'.'!L2652</f>
        <v>1546426.46</v>
      </c>
      <c r="I178" s="465"/>
      <c r="J178" s="465"/>
      <c r="K178" s="465"/>
      <c r="L178" s="465"/>
      <c r="M178" s="465"/>
      <c r="N178" s="465"/>
      <c r="O178" s="465"/>
      <c r="P178" s="465"/>
      <c r="Q178" s="465"/>
      <c r="R178" s="465"/>
      <c r="S178" s="32"/>
      <c r="T178" s="32"/>
      <c r="U178" s="2"/>
      <c r="V178" s="11"/>
    </row>
    <row r="179" spans="1:22" s="227" customFormat="1" ht="39" customHeight="1">
      <c r="A179" s="394">
        <f t="shared" si="5"/>
        <v>84</v>
      </c>
      <c r="B179" s="509" t="s">
        <v>2235</v>
      </c>
      <c r="C179" s="455">
        <f>'.'!L2653</f>
        <v>1949213.76</v>
      </c>
      <c r="D179" s="465"/>
      <c r="E179" s="470"/>
      <c r="F179" s="465"/>
      <c r="G179" s="465">
        <f>'.'!G2653</f>
        <v>675</v>
      </c>
      <c r="H179" s="465">
        <f>'.'!L2653</f>
        <v>1949213.76</v>
      </c>
      <c r="I179" s="465"/>
      <c r="J179" s="465"/>
      <c r="K179" s="465"/>
      <c r="L179" s="465"/>
      <c r="M179" s="465"/>
      <c r="N179" s="465"/>
      <c r="O179" s="465"/>
      <c r="P179" s="465"/>
      <c r="Q179" s="465"/>
      <c r="R179" s="465"/>
      <c r="S179" s="32"/>
      <c r="T179" s="32"/>
      <c r="U179" s="2"/>
      <c r="V179" s="11"/>
    </row>
    <row r="180" spans="1:22" s="227" customFormat="1" ht="39" customHeight="1">
      <c r="A180" s="394">
        <f t="shared" si="5"/>
        <v>85</v>
      </c>
      <c r="B180" s="509" t="s">
        <v>2236</v>
      </c>
      <c r="C180" s="455">
        <f>'.'!L2654</f>
        <v>3550143.18</v>
      </c>
      <c r="D180" s="465">
        <f>'.'!L2654</f>
        <v>3550143.18</v>
      </c>
      <c r="E180" s="470"/>
      <c r="F180" s="465"/>
      <c r="G180" s="465"/>
      <c r="H180" s="465"/>
      <c r="I180" s="465"/>
      <c r="J180" s="465"/>
      <c r="K180" s="465"/>
      <c r="L180" s="465"/>
      <c r="M180" s="465"/>
      <c r="N180" s="465"/>
      <c r="O180" s="465"/>
      <c r="P180" s="465"/>
      <c r="Q180" s="465"/>
      <c r="R180" s="465"/>
      <c r="S180" s="32"/>
      <c r="T180" s="32"/>
      <c r="U180" s="2"/>
      <c r="V180" s="11"/>
    </row>
    <row r="181" spans="1:22" s="227" customFormat="1" ht="39" customHeight="1">
      <c r="A181" s="394">
        <f t="shared" si="5"/>
        <v>86</v>
      </c>
      <c r="B181" s="469" t="s">
        <v>2237</v>
      </c>
      <c r="C181" s="455">
        <f>'.'!L2655</f>
        <v>1182153.6200000001</v>
      </c>
      <c r="D181" s="465"/>
      <c r="E181" s="470"/>
      <c r="F181" s="465"/>
      <c r="G181" s="465">
        <f>'.'!G2655</f>
        <v>476</v>
      </c>
      <c r="H181" s="465">
        <f>'.'!L2655</f>
        <v>1182153.6200000001</v>
      </c>
      <c r="I181" s="465"/>
      <c r="J181" s="465"/>
      <c r="K181" s="465"/>
      <c r="L181" s="465"/>
      <c r="M181" s="465"/>
      <c r="N181" s="465"/>
      <c r="O181" s="465"/>
      <c r="P181" s="465"/>
      <c r="Q181" s="465"/>
      <c r="R181" s="465"/>
      <c r="S181" s="32"/>
      <c r="T181" s="32"/>
      <c r="U181" s="2"/>
      <c r="V181" s="11"/>
    </row>
    <row r="182" spans="1:22" s="227" customFormat="1" ht="39" customHeight="1">
      <c r="A182" s="394">
        <f t="shared" si="5"/>
        <v>87</v>
      </c>
      <c r="B182" s="459" t="s">
        <v>2251</v>
      </c>
      <c r="C182" s="203">
        <f>'.'!L2656</f>
        <v>2855465</v>
      </c>
      <c r="D182" s="460">
        <f>'.'!L2656</f>
        <v>2855465</v>
      </c>
      <c r="E182" s="461"/>
      <c r="F182" s="460"/>
      <c r="G182" s="460"/>
      <c r="H182" s="460"/>
      <c r="I182" s="460"/>
      <c r="J182" s="460"/>
      <c r="K182" s="460"/>
      <c r="L182" s="460"/>
      <c r="M182" s="460"/>
      <c r="N182" s="460"/>
      <c r="O182" s="460"/>
      <c r="P182" s="460"/>
      <c r="Q182" s="460"/>
      <c r="R182" s="460"/>
      <c r="S182" s="452"/>
      <c r="T182" s="452"/>
      <c r="U182" s="187"/>
      <c r="V182" s="11"/>
    </row>
    <row r="183" spans="1:22" s="227" customFormat="1" ht="39" customHeight="1">
      <c r="A183" s="394">
        <f t="shared" si="5"/>
        <v>88</v>
      </c>
      <c r="B183" s="469" t="s">
        <v>2239</v>
      </c>
      <c r="C183" s="455">
        <f>'.'!L2657</f>
        <v>2115169.09</v>
      </c>
      <c r="D183" s="465">
        <f>'.'!L2657</f>
        <v>2115169.09</v>
      </c>
      <c r="E183" s="470"/>
      <c r="F183" s="465"/>
      <c r="G183" s="465"/>
      <c r="H183" s="465"/>
      <c r="I183" s="465"/>
      <c r="J183" s="465"/>
      <c r="K183" s="465"/>
      <c r="L183" s="465"/>
      <c r="M183" s="465"/>
      <c r="N183" s="465"/>
      <c r="O183" s="465"/>
      <c r="P183" s="465"/>
      <c r="Q183" s="465"/>
      <c r="R183" s="465"/>
      <c r="S183" s="32"/>
      <c r="T183" s="32"/>
      <c r="U183" s="2"/>
      <c r="V183" s="11"/>
    </row>
    <row r="184" spans="1:22" s="227" customFormat="1" ht="39" customHeight="1">
      <c r="A184" s="394">
        <f t="shared" si="5"/>
        <v>89</v>
      </c>
      <c r="B184" s="469" t="s">
        <v>2240</v>
      </c>
      <c r="C184" s="455">
        <f>'.'!L2658</f>
        <v>3055245</v>
      </c>
      <c r="D184" s="465">
        <f>'.'!L2658</f>
        <v>3055245</v>
      </c>
      <c r="E184" s="470"/>
      <c r="F184" s="465"/>
      <c r="G184" s="465"/>
      <c r="H184" s="465"/>
      <c r="I184" s="465"/>
      <c r="J184" s="465"/>
      <c r="K184" s="465"/>
      <c r="L184" s="465"/>
      <c r="M184" s="465"/>
      <c r="N184" s="465"/>
      <c r="O184" s="465"/>
      <c r="P184" s="465"/>
      <c r="Q184" s="465"/>
      <c r="R184" s="465"/>
      <c r="S184" s="32"/>
      <c r="T184" s="32"/>
      <c r="U184" s="2"/>
      <c r="V184" s="11"/>
    </row>
    <row r="185" spans="1:22" s="227" customFormat="1" ht="39" customHeight="1">
      <c r="A185" s="394">
        <f t="shared" si="5"/>
        <v>90</v>
      </c>
      <c r="B185" s="512" t="s">
        <v>2241</v>
      </c>
      <c r="C185" s="455">
        <f>'.'!L2659</f>
        <v>2374957</v>
      </c>
      <c r="D185" s="465"/>
      <c r="E185" s="470"/>
      <c r="F185" s="465"/>
      <c r="G185" s="465">
        <f>'.'!G2659</f>
        <v>972</v>
      </c>
      <c r="H185" s="465">
        <f>'.'!L2659</f>
        <v>2374957</v>
      </c>
      <c r="I185" s="465"/>
      <c r="J185" s="465"/>
      <c r="K185" s="465"/>
      <c r="L185" s="465"/>
      <c r="M185" s="465"/>
      <c r="N185" s="465"/>
      <c r="O185" s="465"/>
      <c r="P185" s="465"/>
      <c r="Q185" s="465"/>
      <c r="R185" s="465"/>
      <c r="S185" s="32"/>
      <c r="T185" s="32"/>
      <c r="U185" s="2"/>
      <c r="V185" s="11"/>
    </row>
    <row r="186" spans="1:22" s="227" customFormat="1" ht="39" customHeight="1">
      <c r="A186" s="394">
        <f t="shared" si="5"/>
        <v>91</v>
      </c>
      <c r="B186" s="469" t="s">
        <v>2242</v>
      </c>
      <c r="C186" s="455">
        <f>'.'!L2660</f>
        <v>2562319</v>
      </c>
      <c r="D186" s="465"/>
      <c r="E186" s="470"/>
      <c r="F186" s="465"/>
      <c r="G186" s="465">
        <f>'.'!G2660</f>
        <v>1050</v>
      </c>
      <c r="H186" s="465">
        <f>'.'!L2660</f>
        <v>2562319</v>
      </c>
      <c r="I186" s="465"/>
      <c r="J186" s="465"/>
      <c r="K186" s="465"/>
      <c r="L186" s="465"/>
      <c r="M186" s="465"/>
      <c r="N186" s="465"/>
      <c r="O186" s="465"/>
      <c r="P186" s="465"/>
      <c r="Q186" s="465"/>
      <c r="R186" s="465"/>
      <c r="S186" s="32"/>
      <c r="T186" s="32"/>
      <c r="U186" s="2"/>
      <c r="V186" s="11"/>
    </row>
    <row r="187" spans="1:22" s="227" customFormat="1" ht="39" customHeight="1">
      <c r="A187" s="394">
        <f t="shared" si="5"/>
        <v>92</v>
      </c>
      <c r="B187" s="469" t="s">
        <v>2243</v>
      </c>
      <c r="C187" s="455">
        <f>'.'!L2661</f>
        <v>1156386</v>
      </c>
      <c r="D187" s="3"/>
      <c r="E187" s="470"/>
      <c r="F187" s="465"/>
      <c r="G187" s="465">
        <f>'.'!G2661</f>
        <v>446</v>
      </c>
      <c r="H187" s="465">
        <f>'.'!L2661</f>
        <v>1156386</v>
      </c>
      <c r="I187" s="465"/>
      <c r="J187" s="465"/>
      <c r="K187" s="465"/>
      <c r="L187" s="465"/>
      <c r="M187" s="465"/>
      <c r="N187" s="465"/>
      <c r="O187" s="465"/>
      <c r="P187" s="465"/>
      <c r="Q187" s="465"/>
      <c r="R187" s="465"/>
      <c r="S187" s="32"/>
      <c r="T187" s="32"/>
      <c r="U187" s="2"/>
      <c r="V187" s="11"/>
    </row>
    <row r="188" spans="1:22" s="227" customFormat="1" ht="39" customHeight="1">
      <c r="A188" s="394">
        <f t="shared" si="5"/>
        <v>93</v>
      </c>
      <c r="B188" s="509" t="s">
        <v>2244</v>
      </c>
      <c r="C188" s="455">
        <f>'.'!L2662</f>
        <v>2305068.71</v>
      </c>
      <c r="D188" s="465">
        <f>'.'!L2662</f>
        <v>2305068.71</v>
      </c>
      <c r="E188" s="470"/>
      <c r="F188" s="465"/>
      <c r="G188" s="465"/>
      <c r="H188" s="465"/>
      <c r="I188" s="465"/>
      <c r="J188" s="465"/>
      <c r="K188" s="465"/>
      <c r="L188" s="465"/>
      <c r="M188" s="465"/>
      <c r="N188" s="465"/>
      <c r="O188" s="465"/>
      <c r="P188" s="465"/>
      <c r="Q188" s="465"/>
      <c r="R188" s="465"/>
      <c r="S188" s="32"/>
      <c r="T188" s="32"/>
      <c r="U188" s="2"/>
      <c r="V188" s="11"/>
    </row>
    <row r="189" spans="1:22" s="227" customFormat="1" ht="39" customHeight="1">
      <c r="A189" s="394">
        <f t="shared" si="5"/>
        <v>94</v>
      </c>
      <c r="B189" s="512" t="s">
        <v>2249</v>
      </c>
      <c r="C189" s="455">
        <f>'.'!L2663</f>
        <v>3355270.71</v>
      </c>
      <c r="D189" s="465">
        <f>'.'!L2663</f>
        <v>3355270.71</v>
      </c>
      <c r="E189" s="470"/>
      <c r="F189" s="465"/>
      <c r="G189" s="465"/>
      <c r="H189" s="465"/>
      <c r="I189" s="465"/>
      <c r="J189" s="465"/>
      <c r="K189" s="465"/>
      <c r="L189" s="465"/>
      <c r="M189" s="465"/>
      <c r="N189" s="465"/>
      <c r="O189" s="465"/>
      <c r="P189" s="465"/>
      <c r="Q189" s="465"/>
      <c r="R189" s="465"/>
      <c r="S189" s="32"/>
      <c r="T189" s="32"/>
      <c r="U189" s="2"/>
      <c r="V189" s="11"/>
    </row>
    <row r="190" spans="1:22" s="227" customFormat="1" ht="39" customHeight="1">
      <c r="A190" s="394">
        <f t="shared" si="5"/>
        <v>95</v>
      </c>
      <c r="B190" s="469" t="s">
        <v>2250</v>
      </c>
      <c r="C190" s="455">
        <f>'.'!L2664</f>
        <v>1744413</v>
      </c>
      <c r="D190" s="465"/>
      <c r="E190" s="470"/>
      <c r="F190" s="465"/>
      <c r="G190" s="465">
        <f>'.'!G2664</f>
        <v>708.5</v>
      </c>
      <c r="H190" s="465">
        <f>'.'!L2664</f>
        <v>1744413</v>
      </c>
      <c r="I190" s="465"/>
      <c r="J190" s="465"/>
      <c r="K190" s="465"/>
      <c r="L190" s="465"/>
      <c r="M190" s="465"/>
      <c r="N190" s="465"/>
      <c r="O190" s="465"/>
      <c r="P190" s="465"/>
      <c r="Q190" s="465"/>
      <c r="R190" s="465"/>
      <c r="S190" s="32"/>
      <c r="T190" s="32"/>
      <c r="U190" s="2"/>
      <c r="V190" s="11"/>
    </row>
    <row r="191" spans="1:22" s="227" customFormat="1" ht="39" customHeight="1">
      <c r="A191" s="394">
        <f t="shared" si="5"/>
        <v>96</v>
      </c>
      <c r="B191" s="469" t="s">
        <v>2252</v>
      </c>
      <c r="C191" s="455">
        <f>'.'!L2665</f>
        <v>1098227.1499999999</v>
      </c>
      <c r="D191" s="465">
        <f>'.'!L2665</f>
        <v>1098227.1499999999</v>
      </c>
      <c r="E191" s="470"/>
      <c r="F191" s="465"/>
      <c r="G191" s="465"/>
      <c r="H191" s="465"/>
      <c r="I191" s="465"/>
      <c r="J191" s="465"/>
      <c r="K191" s="465"/>
      <c r="L191" s="465"/>
      <c r="M191" s="465"/>
      <c r="N191" s="465"/>
      <c r="O191" s="465"/>
      <c r="P191" s="465"/>
      <c r="Q191" s="465"/>
      <c r="R191" s="465"/>
      <c r="S191" s="32"/>
      <c r="T191" s="32"/>
      <c r="U191" s="2"/>
      <c r="V191" s="11"/>
    </row>
    <row r="192" spans="1:22" s="227" customFormat="1" ht="39" customHeight="1">
      <c r="A192" s="394">
        <f t="shared" si="5"/>
        <v>97</v>
      </c>
      <c r="B192" s="469" t="s">
        <v>2254</v>
      </c>
      <c r="C192" s="455">
        <f>'.'!L2666</f>
        <v>3007817</v>
      </c>
      <c r="D192" s="465"/>
      <c r="E192" s="470"/>
      <c r="F192" s="465"/>
      <c r="G192" s="465">
        <f>'.'!G2666</f>
        <v>1050</v>
      </c>
      <c r="H192" s="465">
        <f>'.'!L2666</f>
        <v>3007817</v>
      </c>
      <c r="I192" s="465"/>
      <c r="J192" s="465"/>
      <c r="K192" s="465"/>
      <c r="L192" s="465"/>
      <c r="M192" s="465"/>
      <c r="N192" s="465"/>
      <c r="O192" s="465"/>
      <c r="P192" s="465"/>
      <c r="Q192" s="465"/>
      <c r="R192" s="465"/>
      <c r="S192" s="32"/>
      <c r="T192" s="32"/>
      <c r="U192" s="2"/>
      <c r="V192" s="11"/>
    </row>
    <row r="193" spans="1:26" s="227" customFormat="1" ht="39" customHeight="1">
      <c r="A193" s="394">
        <f t="shared" si="5"/>
        <v>98</v>
      </c>
      <c r="B193" s="469" t="s">
        <v>2255</v>
      </c>
      <c r="C193" s="455">
        <f>'.'!L2667</f>
        <v>3765806</v>
      </c>
      <c r="D193" s="465"/>
      <c r="E193" s="470"/>
      <c r="F193" s="465"/>
      <c r="G193" s="465">
        <f>'.'!G2667</f>
        <v>1550</v>
      </c>
      <c r="H193" s="465">
        <f>'.'!L2667</f>
        <v>3765806</v>
      </c>
      <c r="I193" s="465"/>
      <c r="J193" s="465"/>
      <c r="K193" s="465"/>
      <c r="L193" s="465"/>
      <c r="M193" s="465"/>
      <c r="N193" s="465"/>
      <c r="O193" s="465"/>
      <c r="P193" s="465"/>
      <c r="Q193" s="465"/>
      <c r="R193" s="465"/>
      <c r="S193" s="32"/>
      <c r="T193" s="32"/>
      <c r="U193" s="2"/>
      <c r="V193" s="11"/>
    </row>
    <row r="194" spans="1:26" s="227" customFormat="1" ht="39" customHeight="1">
      <c r="A194" s="394">
        <f t="shared" si="5"/>
        <v>99</v>
      </c>
      <c r="B194" s="469" t="s">
        <v>2256</v>
      </c>
      <c r="C194" s="455">
        <f>'.'!L2668</f>
        <v>2431884</v>
      </c>
      <c r="D194" s="465"/>
      <c r="E194" s="470"/>
      <c r="F194" s="465"/>
      <c r="G194" s="465">
        <f>'.'!G2668</f>
        <v>996</v>
      </c>
      <c r="H194" s="465">
        <f>'.'!L2668</f>
        <v>2431884</v>
      </c>
      <c r="I194" s="465"/>
      <c r="J194" s="465"/>
      <c r="K194" s="465"/>
      <c r="L194" s="465"/>
      <c r="M194" s="465"/>
      <c r="N194" s="465"/>
      <c r="O194" s="465"/>
      <c r="P194" s="465"/>
      <c r="Q194" s="465"/>
      <c r="R194" s="465"/>
      <c r="S194" s="32"/>
      <c r="T194" s="32"/>
      <c r="U194" s="2"/>
      <c r="V194" s="11"/>
    </row>
    <row r="195" spans="1:26" s="227" customFormat="1" ht="39" customHeight="1">
      <c r="A195" s="394">
        <f t="shared" si="5"/>
        <v>100</v>
      </c>
      <c r="B195" s="469" t="s">
        <v>2257</v>
      </c>
      <c r="C195" s="455">
        <f>'.'!L2669</f>
        <v>4519776</v>
      </c>
      <c r="D195" s="465"/>
      <c r="E195" s="470"/>
      <c r="F195" s="465"/>
      <c r="G195" s="465">
        <f>'.'!G2669</f>
        <v>1862</v>
      </c>
      <c r="H195" s="465">
        <f>'.'!L2669</f>
        <v>4519776</v>
      </c>
      <c r="I195" s="465"/>
      <c r="J195" s="465"/>
      <c r="K195" s="465"/>
      <c r="L195" s="465"/>
      <c r="M195" s="465"/>
      <c r="N195" s="465"/>
      <c r="O195" s="465"/>
      <c r="P195" s="465"/>
      <c r="Q195" s="465"/>
      <c r="R195" s="465"/>
      <c r="S195" s="32"/>
      <c r="T195" s="32"/>
      <c r="U195" s="2"/>
      <c r="V195" s="11"/>
    </row>
    <row r="196" spans="1:26" s="227" customFormat="1" ht="43.5" customHeight="1">
      <c r="A196" s="394">
        <f t="shared" si="5"/>
        <v>101</v>
      </c>
      <c r="B196" s="469" t="s">
        <v>2259</v>
      </c>
      <c r="C196" s="455">
        <f>'.'!L2670</f>
        <v>2374450</v>
      </c>
      <c r="D196" s="465"/>
      <c r="E196" s="470"/>
      <c r="F196" s="465"/>
      <c r="G196" s="463">
        <f>'.'!G2670</f>
        <v>972</v>
      </c>
      <c r="H196" s="463">
        <f>'.'!L2670</f>
        <v>2374450</v>
      </c>
      <c r="I196" s="463"/>
      <c r="J196" s="465"/>
      <c r="K196" s="465"/>
      <c r="L196" s="465"/>
      <c r="M196" s="465"/>
      <c r="N196" s="465"/>
      <c r="O196" s="465"/>
      <c r="P196" s="465"/>
      <c r="Q196" s="465"/>
      <c r="R196" s="465"/>
      <c r="S196" s="32"/>
      <c r="T196" s="32"/>
      <c r="U196" s="2"/>
      <c r="V196" s="11"/>
    </row>
    <row r="197" spans="1:26" s="227" customFormat="1" ht="39" customHeight="1">
      <c r="A197" s="394">
        <f t="shared" si="5"/>
        <v>102</v>
      </c>
      <c r="B197" s="462" t="s">
        <v>4286</v>
      </c>
      <c r="C197" s="455">
        <f>'.'!L2671</f>
        <v>18753560</v>
      </c>
      <c r="D197" s="463"/>
      <c r="E197" s="464"/>
      <c r="F197" s="463"/>
      <c r="G197" s="237"/>
      <c r="H197" s="237"/>
      <c r="I197" s="463"/>
      <c r="J197" s="463"/>
      <c r="K197" s="463">
        <f>'.'!E2671</f>
        <v>4094.65</v>
      </c>
      <c r="L197" s="463">
        <f>'.'!M2671+'.'!N2671+'.'!O2671+'.'!P2671+'.'!Q2671</f>
        <v>10516104</v>
      </c>
      <c r="M197" s="463"/>
      <c r="N197" s="463"/>
      <c r="O197" s="463"/>
      <c r="P197" s="463"/>
      <c r="Q197" s="465">
        <f>'.'!G2671</f>
        <v>2012.78</v>
      </c>
      <c r="R197" s="465">
        <f>'.'!M2672+'.'!N2672+'.'!O2672+'.'!P2672+'.'!Q2672</f>
        <v>8237456</v>
      </c>
      <c r="S197" s="466"/>
      <c r="T197" s="466"/>
      <c r="U197" s="164"/>
      <c r="V197" s="11"/>
    </row>
    <row r="198" spans="1:26" s="227" customFormat="1" ht="39" customHeight="1">
      <c r="A198" s="394">
        <f t="shared" si="5"/>
        <v>103</v>
      </c>
      <c r="B198" s="467" t="s">
        <v>1246</v>
      </c>
      <c r="C198" s="455">
        <f>'.'!L2673</f>
        <v>2001298</v>
      </c>
      <c r="D198" s="451"/>
      <c r="E198" s="468"/>
      <c r="F198" s="451"/>
      <c r="G198" s="463">
        <f>'.'!G2673</f>
        <v>700</v>
      </c>
      <c r="H198" s="463">
        <f>'.'!L2673</f>
        <v>2001298</v>
      </c>
      <c r="I198" s="463"/>
      <c r="J198" s="451"/>
      <c r="K198" s="451"/>
      <c r="L198" s="451"/>
      <c r="M198" s="451"/>
      <c r="N198" s="451"/>
      <c r="O198" s="451"/>
      <c r="P198" s="451"/>
      <c r="Q198" s="451"/>
      <c r="R198" s="451"/>
      <c r="S198" s="158"/>
      <c r="T198" s="158"/>
      <c r="U198" s="2"/>
      <c r="V198" s="11"/>
    </row>
    <row r="199" spans="1:26" s="227" customFormat="1" ht="39" customHeight="1">
      <c r="A199" s="394">
        <f>A198+1</f>
        <v>104</v>
      </c>
      <c r="B199" s="469" t="s">
        <v>1289</v>
      </c>
      <c r="C199" s="455">
        <f>'.'!L2674</f>
        <v>9774241</v>
      </c>
      <c r="D199" s="465"/>
      <c r="E199" s="470"/>
      <c r="F199" s="465"/>
      <c r="G199" s="2"/>
      <c r="H199" s="2"/>
      <c r="I199" s="465"/>
      <c r="J199" s="465"/>
      <c r="K199" s="465">
        <f>'.'!E2674</f>
        <v>8100</v>
      </c>
      <c r="L199" s="465">
        <f>'.'!L2674</f>
        <v>9774241</v>
      </c>
      <c r="M199" s="465"/>
      <c r="N199" s="465"/>
      <c r="O199" s="465"/>
      <c r="P199" s="465"/>
      <c r="Q199" s="465"/>
      <c r="R199" s="465"/>
      <c r="S199" s="32"/>
      <c r="T199" s="32"/>
      <c r="U199" s="2"/>
      <c r="V199" s="11"/>
    </row>
    <row r="200" spans="1:26" s="227" customFormat="1" ht="67.5" customHeight="1">
      <c r="A200" s="1338" t="s">
        <v>146</v>
      </c>
      <c r="B200" s="1339"/>
      <c r="C200" s="456">
        <f t="shared" ref="C200:U200" si="6">SUM(C96:C199)</f>
        <v>364357536.96999991</v>
      </c>
      <c r="D200" s="456">
        <f t="shared" si="6"/>
        <v>27073723.100000001</v>
      </c>
      <c r="E200" s="457">
        <f t="shared" si="6"/>
        <v>61</v>
      </c>
      <c r="F200" s="456">
        <f t="shared" si="6"/>
        <v>124907500</v>
      </c>
      <c r="G200" s="456">
        <f t="shared" si="6"/>
        <v>69018.100000000006</v>
      </c>
      <c r="H200" s="456">
        <f t="shared" si="6"/>
        <v>172291500.22</v>
      </c>
      <c r="I200" s="456">
        <f t="shared" si="6"/>
        <v>0</v>
      </c>
      <c r="J200" s="456">
        <f t="shared" si="6"/>
        <v>0</v>
      </c>
      <c r="K200" s="456">
        <f t="shared" si="6"/>
        <v>13706.65</v>
      </c>
      <c r="L200" s="456">
        <f t="shared" si="6"/>
        <v>22607369</v>
      </c>
      <c r="M200" s="456">
        <f t="shared" si="6"/>
        <v>0</v>
      </c>
      <c r="N200" s="456">
        <f t="shared" si="6"/>
        <v>0</v>
      </c>
      <c r="O200" s="456">
        <f t="shared" si="6"/>
        <v>3582</v>
      </c>
      <c r="P200" s="456">
        <f t="shared" si="6"/>
        <v>9239988.6500000004</v>
      </c>
      <c r="Q200" s="456">
        <f t="shared" si="6"/>
        <v>2012.78</v>
      </c>
      <c r="R200" s="456">
        <f t="shared" si="6"/>
        <v>8237456</v>
      </c>
      <c r="S200" s="456">
        <f t="shared" si="6"/>
        <v>0</v>
      </c>
      <c r="T200" s="456">
        <f t="shared" si="6"/>
        <v>0</v>
      </c>
      <c r="U200" s="456">
        <f t="shared" si="6"/>
        <v>0</v>
      </c>
      <c r="V200" s="11"/>
      <c r="W200" s="11"/>
      <c r="X200" s="11"/>
      <c r="Z200" s="140"/>
    </row>
    <row r="201" spans="1:26" s="227" customFormat="1" ht="34.5" customHeight="1">
      <c r="A201" s="1332" t="s">
        <v>145</v>
      </c>
      <c r="B201" s="1333"/>
      <c r="C201" s="1333"/>
      <c r="D201" s="1333"/>
      <c r="E201" s="1333"/>
      <c r="F201" s="1333"/>
      <c r="G201" s="1333"/>
      <c r="H201" s="1333"/>
      <c r="I201" s="1333"/>
      <c r="J201" s="1333"/>
      <c r="K201" s="1333"/>
      <c r="L201" s="1333"/>
      <c r="M201" s="1333"/>
      <c r="N201" s="1333"/>
      <c r="O201" s="1333"/>
      <c r="P201" s="1333"/>
      <c r="Q201" s="1333"/>
      <c r="R201" s="1333"/>
      <c r="S201" s="1333"/>
      <c r="T201" s="478"/>
      <c r="U201" s="2"/>
      <c r="V201" s="11"/>
    </row>
    <row r="202" spans="1:26" s="227" customFormat="1" ht="39" customHeight="1">
      <c r="A202" s="189">
        <v>1</v>
      </c>
      <c r="B202" s="245" t="s">
        <v>3125</v>
      </c>
      <c r="C202" s="471">
        <f>'.'!L3919</f>
        <v>3830114</v>
      </c>
      <c r="D202" s="473"/>
      <c r="E202" s="474"/>
      <c r="F202" s="473"/>
      <c r="G202" s="473">
        <v>1327</v>
      </c>
      <c r="H202" s="473">
        <v>3830114</v>
      </c>
      <c r="I202" s="473"/>
      <c r="J202" s="473"/>
      <c r="K202" s="473"/>
      <c r="L202" s="473"/>
      <c r="M202" s="473"/>
      <c r="N202" s="473"/>
      <c r="O202" s="473"/>
      <c r="P202" s="473"/>
      <c r="Q202" s="473"/>
      <c r="R202" s="473"/>
      <c r="S202" s="32"/>
      <c r="T202" s="32"/>
      <c r="U202" s="2"/>
      <c r="V202" s="11"/>
    </row>
    <row r="203" spans="1:26" s="227" customFormat="1" ht="39" customHeight="1">
      <c r="A203" s="189">
        <f>A202+1</f>
        <v>2</v>
      </c>
      <c r="B203" s="245" t="s">
        <v>3126</v>
      </c>
      <c r="C203" s="471">
        <f>'.'!L3920</f>
        <v>4420374</v>
      </c>
      <c r="D203" s="473"/>
      <c r="E203" s="474"/>
      <c r="F203" s="473"/>
      <c r="G203" s="473">
        <v>1800</v>
      </c>
      <c r="H203" s="473">
        <v>4420374</v>
      </c>
      <c r="I203" s="473"/>
      <c r="J203" s="473"/>
      <c r="K203" s="473"/>
      <c r="L203" s="473"/>
      <c r="M203" s="473"/>
      <c r="N203" s="473"/>
      <c r="O203" s="473"/>
      <c r="P203" s="473"/>
      <c r="Q203" s="473"/>
      <c r="R203" s="473"/>
      <c r="S203" s="32"/>
      <c r="T203" s="32"/>
      <c r="U203" s="2"/>
      <c r="V203" s="11"/>
    </row>
    <row r="204" spans="1:26" s="227" customFormat="1" ht="39" customHeight="1">
      <c r="A204" s="189">
        <f t="shared" ref="A204:A266" si="7">A203+1</f>
        <v>3</v>
      </c>
      <c r="B204" s="245" t="s">
        <v>3127</v>
      </c>
      <c r="C204" s="471">
        <f>'.'!L3921</f>
        <v>3592782</v>
      </c>
      <c r="D204" s="473"/>
      <c r="E204" s="474"/>
      <c r="F204" s="473"/>
      <c r="G204" s="473">
        <v>1463</v>
      </c>
      <c r="H204" s="473">
        <v>3592782</v>
      </c>
      <c r="I204" s="473"/>
      <c r="J204" s="473"/>
      <c r="K204" s="473"/>
      <c r="L204" s="473"/>
      <c r="M204" s="473"/>
      <c r="N204" s="473"/>
      <c r="O204" s="473"/>
      <c r="P204" s="473"/>
      <c r="Q204" s="473"/>
      <c r="R204" s="473"/>
      <c r="S204" s="32"/>
      <c r="T204" s="32"/>
      <c r="U204" s="2"/>
      <c r="V204" s="11"/>
    </row>
    <row r="205" spans="1:26" s="227" customFormat="1" ht="39" customHeight="1">
      <c r="A205" s="189">
        <f t="shared" si="7"/>
        <v>4</v>
      </c>
      <c r="B205" s="245" t="s">
        <v>3128</v>
      </c>
      <c r="C205" s="471">
        <f>'.'!L3922</f>
        <v>2303506</v>
      </c>
      <c r="D205" s="473"/>
      <c r="E205" s="474"/>
      <c r="F205" s="473"/>
      <c r="G205" s="473">
        <v>938</v>
      </c>
      <c r="H205" s="473">
        <v>2303506</v>
      </c>
      <c r="I205" s="473"/>
      <c r="J205" s="473"/>
      <c r="K205" s="473"/>
      <c r="L205" s="473"/>
      <c r="M205" s="473"/>
      <c r="N205" s="473"/>
      <c r="O205" s="473"/>
      <c r="P205" s="473"/>
      <c r="Q205" s="473"/>
      <c r="R205" s="473"/>
      <c r="S205" s="32"/>
      <c r="T205" s="32"/>
      <c r="U205" s="2"/>
      <c r="V205" s="11"/>
    </row>
    <row r="206" spans="1:26" s="227" customFormat="1" ht="39" customHeight="1">
      <c r="A206" s="189">
        <f t="shared" si="7"/>
        <v>5</v>
      </c>
      <c r="B206" s="245" t="s">
        <v>3129</v>
      </c>
      <c r="C206" s="471">
        <f>'.'!L3923</f>
        <v>3541211</v>
      </c>
      <c r="D206" s="473"/>
      <c r="E206" s="474"/>
      <c r="F206" s="473"/>
      <c r="G206" s="473">
        <v>1442</v>
      </c>
      <c r="H206" s="473">
        <v>3541211</v>
      </c>
      <c r="I206" s="473"/>
      <c r="J206" s="473"/>
      <c r="K206" s="473"/>
      <c r="L206" s="473"/>
      <c r="M206" s="473"/>
      <c r="N206" s="473"/>
      <c r="O206" s="473"/>
      <c r="P206" s="473"/>
      <c r="Q206" s="473"/>
      <c r="R206" s="473"/>
      <c r="S206" s="32"/>
      <c r="T206" s="32"/>
      <c r="U206" s="2"/>
      <c r="V206" s="11"/>
    </row>
    <row r="207" spans="1:26" s="227" customFormat="1" ht="39" customHeight="1">
      <c r="A207" s="189">
        <f t="shared" si="7"/>
        <v>6</v>
      </c>
      <c r="B207" s="245" t="s">
        <v>3130</v>
      </c>
      <c r="C207" s="471">
        <f>'.'!L3924</f>
        <v>3410620</v>
      </c>
      <c r="D207" s="473">
        <v>3410620</v>
      </c>
      <c r="E207" s="474"/>
      <c r="F207" s="473"/>
      <c r="G207" s="473"/>
      <c r="H207" s="473"/>
      <c r="I207" s="473"/>
      <c r="J207" s="473"/>
      <c r="K207" s="473"/>
      <c r="L207" s="473"/>
      <c r="M207" s="473"/>
      <c r="N207" s="473"/>
      <c r="O207" s="473"/>
      <c r="P207" s="473"/>
      <c r="Q207" s="473"/>
      <c r="R207" s="473"/>
      <c r="S207" s="32"/>
      <c r="T207" s="32"/>
      <c r="U207" s="2"/>
      <c r="V207" s="11"/>
    </row>
    <row r="208" spans="1:26" s="227" customFormat="1" ht="39" customHeight="1">
      <c r="A208" s="189">
        <f t="shared" si="7"/>
        <v>7</v>
      </c>
      <c r="B208" s="245" t="s">
        <v>3131</v>
      </c>
      <c r="C208" s="471">
        <f>'.'!L3925</f>
        <v>6127500</v>
      </c>
      <c r="D208" s="473"/>
      <c r="E208" s="474">
        <v>3</v>
      </c>
      <c r="F208" s="471">
        <f>'.'!L3925</f>
        <v>6127500</v>
      </c>
      <c r="G208" s="473"/>
      <c r="H208" s="473"/>
      <c r="I208" s="473"/>
      <c r="J208" s="473"/>
      <c r="K208" s="473"/>
      <c r="L208" s="473"/>
      <c r="M208" s="473"/>
      <c r="N208" s="473"/>
      <c r="O208" s="473"/>
      <c r="P208" s="473"/>
      <c r="Q208" s="473"/>
      <c r="R208" s="473"/>
      <c r="S208" s="32"/>
      <c r="T208" s="32"/>
      <c r="U208" s="2"/>
      <c r="V208" s="11"/>
      <c r="Z208" s="140"/>
    </row>
    <row r="209" spans="1:26" s="227" customFormat="1" ht="39" customHeight="1">
      <c r="A209" s="189">
        <f t="shared" si="7"/>
        <v>8</v>
      </c>
      <c r="B209" s="245" t="s">
        <v>3132</v>
      </c>
      <c r="C209" s="471">
        <f>'.'!L3926</f>
        <v>6127500</v>
      </c>
      <c r="D209" s="473"/>
      <c r="E209" s="474">
        <v>3</v>
      </c>
      <c r="F209" s="471">
        <f>'.'!L3926</f>
        <v>6127500</v>
      </c>
      <c r="G209" s="473"/>
      <c r="H209" s="473"/>
      <c r="I209" s="473"/>
      <c r="J209" s="473"/>
      <c r="K209" s="473"/>
      <c r="L209" s="473"/>
      <c r="M209" s="473"/>
      <c r="N209" s="473"/>
      <c r="O209" s="473"/>
      <c r="P209" s="473"/>
      <c r="Q209" s="473"/>
      <c r="R209" s="473"/>
      <c r="S209" s="32"/>
      <c r="T209" s="32"/>
      <c r="U209" s="2"/>
      <c r="V209" s="11"/>
      <c r="Z209" s="140"/>
    </row>
    <row r="210" spans="1:26" s="227" customFormat="1" ht="39" customHeight="1">
      <c r="A210" s="189">
        <f t="shared" si="7"/>
        <v>9</v>
      </c>
      <c r="B210" s="245" t="s">
        <v>3133</v>
      </c>
      <c r="C210" s="471">
        <f>'.'!L3927</f>
        <v>6127500</v>
      </c>
      <c r="D210" s="473"/>
      <c r="E210" s="474">
        <v>3</v>
      </c>
      <c r="F210" s="471">
        <f>'.'!L3927</f>
        <v>6127500</v>
      </c>
      <c r="G210" s="473"/>
      <c r="H210" s="473"/>
      <c r="I210" s="473"/>
      <c r="J210" s="473"/>
      <c r="K210" s="473"/>
      <c r="L210" s="473"/>
      <c r="M210" s="473"/>
      <c r="N210" s="473"/>
      <c r="O210" s="473"/>
      <c r="P210" s="473"/>
      <c r="Q210" s="473"/>
      <c r="R210" s="473"/>
      <c r="S210" s="32"/>
      <c r="T210" s="32"/>
      <c r="U210" s="2"/>
      <c r="V210" s="11"/>
      <c r="Z210" s="140"/>
    </row>
    <row r="211" spans="1:26" s="227" customFormat="1" ht="39" customHeight="1">
      <c r="A211" s="189">
        <f t="shared" si="7"/>
        <v>10</v>
      </c>
      <c r="B211" s="245" t="s">
        <v>3134</v>
      </c>
      <c r="C211" s="471">
        <f>'.'!L3928</f>
        <v>1566776</v>
      </c>
      <c r="D211" s="473"/>
      <c r="E211" s="474"/>
      <c r="F211" s="473"/>
      <c r="G211" s="473">
        <v>638</v>
      </c>
      <c r="H211" s="473">
        <v>1566776</v>
      </c>
      <c r="I211" s="473"/>
      <c r="J211" s="473"/>
      <c r="K211" s="473"/>
      <c r="L211" s="473"/>
      <c r="M211" s="473"/>
      <c r="N211" s="473"/>
      <c r="O211" s="473"/>
      <c r="P211" s="473"/>
      <c r="Q211" s="473"/>
      <c r="R211" s="473"/>
      <c r="S211" s="32"/>
      <c r="T211" s="32"/>
      <c r="U211" s="2"/>
      <c r="V211" s="11"/>
    </row>
    <row r="212" spans="1:26" s="227" customFormat="1" ht="39" customHeight="1">
      <c r="A212" s="189">
        <f t="shared" si="7"/>
        <v>11</v>
      </c>
      <c r="B212" s="245" t="s">
        <v>3135</v>
      </c>
      <c r="C212" s="471">
        <f>'.'!L3929</f>
        <v>2772557</v>
      </c>
      <c r="D212" s="473"/>
      <c r="E212" s="474"/>
      <c r="F212" s="473"/>
      <c r="G212" s="473">
        <v>1129</v>
      </c>
      <c r="H212" s="473">
        <v>2772557</v>
      </c>
      <c r="I212" s="473"/>
      <c r="J212" s="473"/>
      <c r="K212" s="473"/>
      <c r="L212" s="473"/>
      <c r="M212" s="473"/>
      <c r="N212" s="473"/>
      <c r="O212" s="473"/>
      <c r="P212" s="473"/>
      <c r="Q212" s="473"/>
      <c r="R212" s="473"/>
      <c r="S212" s="32"/>
      <c r="T212" s="32"/>
      <c r="U212" s="2"/>
      <c r="V212" s="11"/>
    </row>
    <row r="213" spans="1:26" s="227" customFormat="1" ht="39" customHeight="1">
      <c r="A213" s="189">
        <f t="shared" si="7"/>
        <v>12</v>
      </c>
      <c r="B213" s="245" t="s">
        <v>3136</v>
      </c>
      <c r="C213" s="471">
        <f>'.'!L3930</f>
        <v>2347709</v>
      </c>
      <c r="D213" s="473"/>
      <c r="E213" s="474"/>
      <c r="F213" s="473"/>
      <c r="G213" s="473">
        <v>956</v>
      </c>
      <c r="H213" s="473">
        <v>2347709</v>
      </c>
      <c r="I213" s="473"/>
      <c r="J213" s="473"/>
      <c r="K213" s="473"/>
      <c r="L213" s="473"/>
      <c r="M213" s="473"/>
      <c r="N213" s="473"/>
      <c r="O213" s="473"/>
      <c r="P213" s="473"/>
      <c r="Q213" s="473"/>
      <c r="R213" s="473"/>
      <c r="S213" s="32"/>
      <c r="T213" s="32"/>
      <c r="U213" s="2"/>
      <c r="V213" s="11"/>
    </row>
    <row r="214" spans="1:26" s="227" customFormat="1" ht="39" customHeight="1">
      <c r="A214" s="189">
        <f t="shared" si="7"/>
        <v>13</v>
      </c>
      <c r="B214" s="245" t="s">
        <v>3137</v>
      </c>
      <c r="C214" s="471">
        <f>'.'!L3931</f>
        <v>2254391</v>
      </c>
      <c r="D214" s="473"/>
      <c r="E214" s="474"/>
      <c r="F214" s="473"/>
      <c r="G214" s="473">
        <v>918</v>
      </c>
      <c r="H214" s="473">
        <v>2254391</v>
      </c>
      <c r="I214" s="473"/>
      <c r="J214" s="473"/>
      <c r="K214" s="473"/>
      <c r="L214" s="473"/>
      <c r="M214" s="473"/>
      <c r="N214" s="473"/>
      <c r="O214" s="473"/>
      <c r="P214" s="473"/>
      <c r="Q214" s="473"/>
      <c r="R214" s="473"/>
      <c r="S214" s="32"/>
      <c r="T214" s="32"/>
      <c r="U214" s="2"/>
      <c r="V214" s="11"/>
    </row>
    <row r="215" spans="1:26" s="227" customFormat="1" ht="39" customHeight="1">
      <c r="A215" s="189">
        <f t="shared" si="7"/>
        <v>14</v>
      </c>
      <c r="B215" s="245" t="s">
        <v>3138</v>
      </c>
      <c r="C215" s="471">
        <f>'.'!L3932</f>
        <v>2254391</v>
      </c>
      <c r="D215" s="473"/>
      <c r="E215" s="474"/>
      <c r="F215" s="473"/>
      <c r="G215" s="473">
        <v>918</v>
      </c>
      <c r="H215" s="473">
        <v>2254391</v>
      </c>
      <c r="I215" s="473"/>
      <c r="J215" s="473"/>
      <c r="K215" s="473"/>
      <c r="L215" s="473"/>
      <c r="M215" s="473"/>
      <c r="N215" s="473"/>
      <c r="O215" s="473"/>
      <c r="P215" s="473"/>
      <c r="Q215" s="473"/>
      <c r="R215" s="473"/>
      <c r="S215" s="32"/>
      <c r="T215" s="32"/>
      <c r="U215" s="2"/>
      <c r="V215" s="11"/>
    </row>
    <row r="216" spans="1:26" s="227" customFormat="1" ht="39" customHeight="1">
      <c r="A216" s="189">
        <f t="shared" si="7"/>
        <v>15</v>
      </c>
      <c r="B216" s="245" t="s">
        <v>3139</v>
      </c>
      <c r="C216" s="471">
        <f>'.'!L3933</f>
        <v>2075120</v>
      </c>
      <c r="D216" s="473"/>
      <c r="E216" s="474"/>
      <c r="F216" s="473"/>
      <c r="G216" s="473">
        <v>845</v>
      </c>
      <c r="H216" s="473">
        <v>2075120</v>
      </c>
      <c r="I216" s="473"/>
      <c r="J216" s="473"/>
      <c r="K216" s="473"/>
      <c r="L216" s="473"/>
      <c r="M216" s="473"/>
      <c r="N216" s="473"/>
      <c r="O216" s="473"/>
      <c r="P216" s="473"/>
      <c r="Q216" s="473"/>
      <c r="R216" s="473"/>
      <c r="S216" s="32"/>
      <c r="T216" s="32"/>
      <c r="U216" s="2"/>
      <c r="V216" s="11"/>
    </row>
    <row r="217" spans="1:26" s="227" customFormat="1" ht="39" customHeight="1">
      <c r="A217" s="189">
        <f t="shared" si="7"/>
        <v>16</v>
      </c>
      <c r="B217" s="245" t="s">
        <v>3140</v>
      </c>
      <c r="C217" s="471">
        <f>'.'!L3934</f>
        <v>2441029</v>
      </c>
      <c r="D217" s="473"/>
      <c r="E217" s="474"/>
      <c r="F217" s="473"/>
      <c r="G217" s="473">
        <v>994</v>
      </c>
      <c r="H217" s="473">
        <v>2441029</v>
      </c>
      <c r="I217" s="473"/>
      <c r="J217" s="473"/>
      <c r="K217" s="473"/>
      <c r="L217" s="473"/>
      <c r="M217" s="473"/>
      <c r="N217" s="473"/>
      <c r="O217" s="473"/>
      <c r="P217" s="473"/>
      <c r="Q217" s="473"/>
      <c r="R217" s="473"/>
      <c r="S217" s="32"/>
      <c r="T217" s="32"/>
      <c r="U217" s="2"/>
      <c r="V217" s="11"/>
    </row>
    <row r="218" spans="1:26" s="227" customFormat="1" ht="39" customHeight="1">
      <c r="A218" s="189">
        <f t="shared" si="7"/>
        <v>17</v>
      </c>
      <c r="B218" s="245" t="s">
        <v>2171</v>
      </c>
      <c r="C218" s="471">
        <f>'.'!L3935</f>
        <v>2085000</v>
      </c>
      <c r="D218" s="473"/>
      <c r="E218" s="474">
        <v>1</v>
      </c>
      <c r="F218" s="473">
        <f>'.'!L3935</f>
        <v>2085000</v>
      </c>
      <c r="G218" s="473"/>
      <c r="H218" s="473"/>
      <c r="I218" s="473"/>
      <c r="J218" s="473"/>
      <c r="K218" s="473"/>
      <c r="L218" s="473"/>
      <c r="M218" s="473"/>
      <c r="N218" s="473"/>
      <c r="O218" s="473"/>
      <c r="P218" s="473"/>
      <c r="Q218" s="473"/>
      <c r="R218" s="473"/>
      <c r="S218" s="32"/>
      <c r="T218" s="32"/>
      <c r="U218" s="2"/>
      <c r="V218" s="11"/>
      <c r="Z218" s="140"/>
    </row>
    <row r="219" spans="1:26" s="227" customFormat="1" ht="39" customHeight="1">
      <c r="A219" s="189">
        <f t="shared" si="7"/>
        <v>18</v>
      </c>
      <c r="B219" s="245" t="s">
        <v>3141</v>
      </c>
      <c r="C219" s="471">
        <f>'.'!L3936</f>
        <v>2149773</v>
      </c>
      <c r="D219" s="473"/>
      <c r="E219" s="474"/>
      <c r="F219" s="473"/>
      <c r="G219" s="473">
        <v>741.2</v>
      </c>
      <c r="H219" s="473">
        <v>2149773</v>
      </c>
      <c r="I219" s="473"/>
      <c r="J219" s="473"/>
      <c r="K219" s="473"/>
      <c r="L219" s="473"/>
      <c r="M219" s="473"/>
      <c r="N219" s="473"/>
      <c r="O219" s="473"/>
      <c r="P219" s="473"/>
      <c r="Q219" s="473"/>
      <c r="R219" s="473"/>
      <c r="S219" s="32"/>
      <c r="T219" s="32"/>
      <c r="U219" s="2"/>
      <c r="V219" s="11"/>
    </row>
    <row r="220" spans="1:26" s="227" customFormat="1" ht="39" customHeight="1">
      <c r="A220" s="189">
        <f t="shared" si="7"/>
        <v>19</v>
      </c>
      <c r="B220" s="245" t="s">
        <v>3142</v>
      </c>
      <c r="C220" s="471">
        <f>'.'!L3937</f>
        <v>1253939</v>
      </c>
      <c r="D220" s="473"/>
      <c r="E220" s="474"/>
      <c r="F220" s="473"/>
      <c r="G220" s="473"/>
      <c r="H220" s="473"/>
      <c r="I220" s="473"/>
      <c r="J220" s="473"/>
      <c r="K220" s="473"/>
      <c r="L220" s="473"/>
      <c r="M220" s="473"/>
      <c r="N220" s="473"/>
      <c r="O220" s="473">
        <v>459</v>
      </c>
      <c r="P220" s="473">
        <v>1253939</v>
      </c>
      <c r="Q220" s="473"/>
      <c r="R220" s="473"/>
      <c r="S220" s="32"/>
      <c r="T220" s="32"/>
      <c r="U220" s="2"/>
      <c r="V220" s="11"/>
    </row>
    <row r="221" spans="1:26" s="227" customFormat="1" ht="39" customHeight="1">
      <c r="A221" s="189">
        <f t="shared" si="7"/>
        <v>20</v>
      </c>
      <c r="B221" s="245" t="s">
        <v>3143</v>
      </c>
      <c r="C221" s="471">
        <f>'.'!L3938</f>
        <v>3703291</v>
      </c>
      <c r="D221" s="473"/>
      <c r="E221" s="474"/>
      <c r="F221" s="473"/>
      <c r="G221" s="473">
        <v>1508</v>
      </c>
      <c r="H221" s="473">
        <v>3703291</v>
      </c>
      <c r="I221" s="473"/>
      <c r="J221" s="473"/>
      <c r="K221" s="473"/>
      <c r="L221" s="473"/>
      <c r="M221" s="473"/>
      <c r="N221" s="473"/>
      <c r="O221" s="473"/>
      <c r="P221" s="473"/>
      <c r="Q221" s="473"/>
      <c r="R221" s="473"/>
      <c r="S221" s="32"/>
      <c r="T221" s="32"/>
      <c r="U221" s="2"/>
      <c r="V221" s="11"/>
    </row>
    <row r="222" spans="1:26" s="227" customFormat="1" ht="39" customHeight="1">
      <c r="A222" s="189">
        <f t="shared" si="7"/>
        <v>21</v>
      </c>
      <c r="B222" s="245" t="s">
        <v>3144</v>
      </c>
      <c r="C222" s="471">
        <f>'.'!L3939</f>
        <v>2212704</v>
      </c>
      <c r="D222" s="473">
        <v>2212704</v>
      </c>
      <c r="E222" s="474"/>
      <c r="F222" s="473"/>
      <c r="G222" s="473"/>
      <c r="H222" s="473"/>
      <c r="I222" s="473"/>
      <c r="J222" s="473"/>
      <c r="K222" s="473"/>
      <c r="L222" s="473"/>
      <c r="M222" s="473"/>
      <c r="N222" s="473"/>
      <c r="O222" s="473"/>
      <c r="P222" s="473"/>
      <c r="Q222" s="473"/>
      <c r="R222" s="473"/>
      <c r="S222" s="32"/>
      <c r="T222" s="32"/>
      <c r="U222" s="2"/>
      <c r="V222" s="11"/>
    </row>
    <row r="223" spans="1:26" s="227" customFormat="1" ht="39" customHeight="1">
      <c r="A223" s="189">
        <f t="shared" si="7"/>
        <v>22</v>
      </c>
      <c r="B223" s="245" t="s">
        <v>3145</v>
      </c>
      <c r="C223" s="471">
        <f>'.'!L3940</f>
        <v>4106250</v>
      </c>
      <c r="D223" s="473"/>
      <c r="E223" s="474">
        <v>2</v>
      </c>
      <c r="F223" s="473">
        <f>'.'!L3940</f>
        <v>4106250</v>
      </c>
      <c r="G223" s="473"/>
      <c r="H223" s="473"/>
      <c r="I223" s="473"/>
      <c r="J223" s="473"/>
      <c r="K223" s="473"/>
      <c r="L223" s="473"/>
      <c r="M223" s="473"/>
      <c r="N223" s="473"/>
      <c r="O223" s="473"/>
      <c r="P223" s="473"/>
      <c r="Q223" s="473"/>
      <c r="R223" s="473"/>
      <c r="S223" s="32"/>
      <c r="T223" s="32"/>
      <c r="U223" s="2"/>
      <c r="V223" s="11"/>
      <c r="Z223" s="140"/>
    </row>
    <row r="224" spans="1:26" s="227" customFormat="1" ht="39" customHeight="1">
      <c r="A224" s="189">
        <f t="shared" si="7"/>
        <v>23</v>
      </c>
      <c r="B224" s="245" t="s">
        <v>2182</v>
      </c>
      <c r="C224" s="471">
        <f>'.'!L3941</f>
        <v>4106250</v>
      </c>
      <c r="D224" s="473"/>
      <c r="E224" s="474">
        <v>2</v>
      </c>
      <c r="F224" s="473">
        <f>'.'!L3941</f>
        <v>4106250</v>
      </c>
      <c r="G224" s="473"/>
      <c r="H224" s="473"/>
      <c r="I224" s="473"/>
      <c r="J224" s="473"/>
      <c r="K224" s="473"/>
      <c r="L224" s="473"/>
      <c r="M224" s="473"/>
      <c r="N224" s="473"/>
      <c r="O224" s="473"/>
      <c r="P224" s="473"/>
      <c r="Q224" s="473"/>
      <c r="R224" s="473"/>
      <c r="S224" s="32"/>
      <c r="T224" s="32"/>
      <c r="U224" s="2"/>
      <c r="V224" s="11"/>
      <c r="Z224" s="140"/>
    </row>
    <row r="225" spans="1:26" s="227" customFormat="1" ht="39" customHeight="1">
      <c r="A225" s="189">
        <f t="shared" si="7"/>
        <v>24</v>
      </c>
      <c r="B225" s="245" t="s">
        <v>3146</v>
      </c>
      <c r="C225" s="471">
        <f>'.'!L3942</f>
        <v>4106250</v>
      </c>
      <c r="D225" s="473"/>
      <c r="E225" s="474">
        <v>2</v>
      </c>
      <c r="F225" s="473">
        <f>'.'!L3942</f>
        <v>4106250</v>
      </c>
      <c r="G225" s="473"/>
      <c r="H225" s="473"/>
      <c r="I225" s="473"/>
      <c r="J225" s="473"/>
      <c r="K225" s="473"/>
      <c r="L225" s="473"/>
      <c r="M225" s="473"/>
      <c r="N225" s="473"/>
      <c r="O225" s="473"/>
      <c r="P225" s="473"/>
      <c r="Q225" s="473"/>
      <c r="R225" s="473"/>
      <c r="S225" s="32"/>
      <c r="T225" s="32"/>
      <c r="U225" s="2"/>
      <c r="V225" s="11"/>
      <c r="Z225" s="140"/>
    </row>
    <row r="226" spans="1:26" s="227" customFormat="1" ht="39" customHeight="1">
      <c r="A226" s="189">
        <f t="shared" si="7"/>
        <v>25</v>
      </c>
      <c r="B226" s="245" t="s">
        <v>3147</v>
      </c>
      <c r="C226" s="471">
        <f>'.'!L3943</f>
        <v>7425306</v>
      </c>
      <c r="D226" s="473">
        <f>'.'!M3943+'.'!N3943+'.'!O3943+'.'!Q3943</f>
        <v>3319056</v>
      </c>
      <c r="E226" s="474">
        <v>2</v>
      </c>
      <c r="F226" s="473">
        <f>'.'!M3944+'.'!N3944+'.'!O3944+'.'!Q3944</f>
        <v>4106250</v>
      </c>
      <c r="G226" s="473"/>
      <c r="H226" s="473"/>
      <c r="I226" s="473"/>
      <c r="J226" s="473"/>
      <c r="K226" s="473"/>
      <c r="L226" s="473"/>
      <c r="M226" s="473"/>
      <c r="N226" s="473"/>
      <c r="O226" s="473"/>
      <c r="P226" s="473"/>
      <c r="Q226" s="473"/>
      <c r="R226" s="473"/>
      <c r="S226" s="32"/>
      <c r="T226" s="32"/>
      <c r="U226" s="2"/>
      <c r="V226" s="11"/>
      <c r="Z226" s="140"/>
    </row>
    <row r="227" spans="1:26" s="227" customFormat="1" ht="39" customHeight="1">
      <c r="A227" s="189">
        <f t="shared" si="7"/>
        <v>26</v>
      </c>
      <c r="B227" s="245" t="s">
        <v>3148</v>
      </c>
      <c r="C227" s="471">
        <f>'.'!L3945</f>
        <v>2085000</v>
      </c>
      <c r="D227" s="473"/>
      <c r="E227" s="474">
        <v>1</v>
      </c>
      <c r="F227" s="473">
        <f>'.'!L3945</f>
        <v>2085000</v>
      </c>
      <c r="G227" s="473"/>
      <c r="H227" s="473"/>
      <c r="I227" s="473"/>
      <c r="J227" s="473"/>
      <c r="K227" s="473"/>
      <c r="L227" s="473"/>
      <c r="M227" s="473"/>
      <c r="N227" s="473"/>
      <c r="O227" s="473"/>
      <c r="P227" s="473"/>
      <c r="Q227" s="473"/>
      <c r="R227" s="473"/>
      <c r="S227" s="32"/>
      <c r="T227" s="32"/>
      <c r="U227" s="2"/>
      <c r="V227" s="11"/>
      <c r="Z227" s="140"/>
    </row>
    <row r="228" spans="1:26" s="227" customFormat="1" ht="39" customHeight="1">
      <c r="A228" s="189">
        <f t="shared" si="7"/>
        <v>27</v>
      </c>
      <c r="B228" s="245" t="s">
        <v>3149</v>
      </c>
      <c r="C228" s="471">
        <f>'.'!L3946</f>
        <v>1731313</v>
      </c>
      <c r="D228" s="473"/>
      <c r="E228" s="474"/>
      <c r="F228" s="473"/>
      <c r="G228" s="473">
        <v>705</v>
      </c>
      <c r="H228" s="473">
        <v>1731313</v>
      </c>
      <c r="I228" s="473"/>
      <c r="J228" s="473"/>
      <c r="K228" s="473"/>
      <c r="L228" s="473"/>
      <c r="M228" s="473"/>
      <c r="N228" s="473"/>
      <c r="O228" s="473"/>
      <c r="P228" s="473"/>
      <c r="Q228" s="473"/>
      <c r="R228" s="473"/>
      <c r="S228" s="32"/>
      <c r="T228" s="32"/>
      <c r="U228" s="2"/>
      <c r="V228" s="11"/>
    </row>
    <row r="229" spans="1:26" s="227" customFormat="1" ht="39" customHeight="1">
      <c r="A229" s="189">
        <f t="shared" si="7"/>
        <v>28</v>
      </c>
      <c r="B229" s="245" t="s">
        <v>3150</v>
      </c>
      <c r="C229" s="471">
        <f>'.'!L3947</f>
        <v>1726402</v>
      </c>
      <c r="D229" s="473"/>
      <c r="E229" s="474"/>
      <c r="F229" s="473"/>
      <c r="G229" s="473">
        <v>703</v>
      </c>
      <c r="H229" s="473">
        <v>1726402</v>
      </c>
      <c r="I229" s="473"/>
      <c r="J229" s="473"/>
      <c r="K229" s="473"/>
      <c r="L229" s="473"/>
      <c r="M229" s="473"/>
      <c r="N229" s="473"/>
      <c r="O229" s="473"/>
      <c r="P229" s="473"/>
      <c r="Q229" s="473"/>
      <c r="R229" s="473"/>
      <c r="S229" s="32"/>
      <c r="T229" s="32"/>
      <c r="U229" s="2"/>
      <c r="V229" s="11"/>
    </row>
    <row r="230" spans="1:26" s="227" customFormat="1" ht="39" customHeight="1">
      <c r="A230" s="189">
        <f t="shared" si="7"/>
        <v>29</v>
      </c>
      <c r="B230" s="245" t="s">
        <v>3151</v>
      </c>
      <c r="C230" s="471">
        <f>'.'!L3948</f>
        <v>3824394</v>
      </c>
      <c r="D230" s="473"/>
      <c r="E230" s="474"/>
      <c r="F230" s="473"/>
      <c r="G230" s="473">
        <v>1325</v>
      </c>
      <c r="H230" s="473">
        <v>3824394</v>
      </c>
      <c r="I230" s="473"/>
      <c r="J230" s="473"/>
      <c r="K230" s="473"/>
      <c r="L230" s="473"/>
      <c r="M230" s="473"/>
      <c r="N230" s="473"/>
      <c r="O230" s="473"/>
      <c r="P230" s="473"/>
      <c r="Q230" s="473"/>
      <c r="R230" s="473"/>
      <c r="S230" s="32"/>
      <c r="T230" s="32"/>
      <c r="U230" s="2"/>
      <c r="V230" s="11"/>
    </row>
    <row r="231" spans="1:26" s="227" customFormat="1" ht="39" customHeight="1">
      <c r="A231" s="189">
        <f t="shared" si="7"/>
        <v>30</v>
      </c>
      <c r="B231" s="245" t="s">
        <v>3152</v>
      </c>
      <c r="C231" s="471">
        <f>'.'!L3949</f>
        <v>2575329</v>
      </c>
      <c r="D231" s="473"/>
      <c r="E231" s="474"/>
      <c r="F231" s="473"/>
      <c r="G231" s="473">
        <v>890</v>
      </c>
      <c r="H231" s="473">
        <v>2575329</v>
      </c>
      <c r="I231" s="473"/>
      <c r="J231" s="473"/>
      <c r="K231" s="473"/>
      <c r="L231" s="473"/>
      <c r="M231" s="473"/>
      <c r="N231" s="473"/>
      <c r="O231" s="473"/>
      <c r="P231" s="473"/>
      <c r="Q231" s="473"/>
      <c r="R231" s="473"/>
      <c r="S231" s="32"/>
      <c r="T231" s="32"/>
      <c r="U231" s="2"/>
      <c r="V231" s="11"/>
    </row>
    <row r="232" spans="1:26" s="227" customFormat="1" ht="39" customHeight="1">
      <c r="A232" s="189">
        <f t="shared" si="7"/>
        <v>31</v>
      </c>
      <c r="B232" s="245" t="s">
        <v>3153</v>
      </c>
      <c r="C232" s="471">
        <f>'.'!L3950</f>
        <v>3221962</v>
      </c>
      <c r="D232" s="473"/>
      <c r="E232" s="474"/>
      <c r="F232" s="473"/>
      <c r="G232" s="473">
        <v>1312</v>
      </c>
      <c r="H232" s="473">
        <v>3221962</v>
      </c>
      <c r="I232" s="473"/>
      <c r="J232" s="473"/>
      <c r="K232" s="473"/>
      <c r="L232" s="473"/>
      <c r="M232" s="473"/>
      <c r="N232" s="473"/>
      <c r="O232" s="473"/>
      <c r="P232" s="473"/>
      <c r="Q232" s="473"/>
      <c r="R232" s="473"/>
      <c r="S232" s="32"/>
      <c r="T232" s="32"/>
      <c r="U232" s="2"/>
      <c r="V232" s="11"/>
    </row>
    <row r="233" spans="1:26" s="227" customFormat="1" ht="39" customHeight="1">
      <c r="A233" s="189">
        <f t="shared" si="7"/>
        <v>32</v>
      </c>
      <c r="B233" s="245" t="s">
        <v>3154</v>
      </c>
      <c r="C233" s="471">
        <f>'.'!L3951</f>
        <v>3824394</v>
      </c>
      <c r="D233" s="473"/>
      <c r="E233" s="474"/>
      <c r="F233" s="473"/>
      <c r="G233" s="473">
        <v>1325</v>
      </c>
      <c r="H233" s="473">
        <v>3824394</v>
      </c>
      <c r="I233" s="473"/>
      <c r="J233" s="473"/>
      <c r="K233" s="473"/>
      <c r="L233" s="473"/>
      <c r="M233" s="473"/>
      <c r="N233" s="473"/>
      <c r="O233" s="473"/>
      <c r="P233" s="473"/>
      <c r="Q233" s="473"/>
      <c r="R233" s="473"/>
      <c r="S233" s="32"/>
      <c r="T233" s="32"/>
      <c r="U233" s="2"/>
      <c r="V233" s="11"/>
    </row>
    <row r="234" spans="1:26" s="227" customFormat="1" ht="39" customHeight="1">
      <c r="A234" s="189">
        <f t="shared" si="7"/>
        <v>33</v>
      </c>
      <c r="B234" s="245" t="s">
        <v>3155</v>
      </c>
      <c r="C234" s="471">
        <f>'.'!L3952</f>
        <v>5157103</v>
      </c>
      <c r="D234" s="473"/>
      <c r="E234" s="474"/>
      <c r="F234" s="473"/>
      <c r="G234" s="473">
        <v>2100</v>
      </c>
      <c r="H234" s="473">
        <v>5157103</v>
      </c>
      <c r="I234" s="473"/>
      <c r="J234" s="473"/>
      <c r="K234" s="473"/>
      <c r="L234" s="473"/>
      <c r="M234" s="473"/>
      <c r="N234" s="473"/>
      <c r="O234" s="473"/>
      <c r="P234" s="473"/>
      <c r="Q234" s="473"/>
      <c r="R234" s="473"/>
      <c r="S234" s="32"/>
      <c r="T234" s="32"/>
      <c r="U234" s="2"/>
      <c r="V234" s="11"/>
    </row>
    <row r="235" spans="1:26" s="227" customFormat="1" ht="39" customHeight="1">
      <c r="A235" s="189">
        <f t="shared" si="7"/>
        <v>34</v>
      </c>
      <c r="B235" s="245" t="s">
        <v>3156</v>
      </c>
      <c r="C235" s="471">
        <f>'.'!L3953</f>
        <v>614640</v>
      </c>
      <c r="D235" s="473">
        <v>614640</v>
      </c>
      <c r="E235" s="474"/>
      <c r="F235" s="473"/>
      <c r="G235" s="473"/>
      <c r="H235" s="473"/>
      <c r="I235" s="473"/>
      <c r="J235" s="473"/>
      <c r="K235" s="473"/>
      <c r="L235" s="473"/>
      <c r="M235" s="473"/>
      <c r="N235" s="473"/>
      <c r="O235" s="473"/>
      <c r="P235" s="473"/>
      <c r="Q235" s="473"/>
      <c r="R235" s="473"/>
      <c r="S235" s="32"/>
      <c r="T235" s="32"/>
      <c r="U235" s="2"/>
      <c r="V235" s="11"/>
    </row>
    <row r="236" spans="1:26" s="227" customFormat="1" ht="39" customHeight="1">
      <c r="A236" s="189">
        <f t="shared" si="7"/>
        <v>35</v>
      </c>
      <c r="B236" s="245" t="s">
        <v>3157</v>
      </c>
      <c r="C236" s="471">
        <f>'.'!L3954</f>
        <v>614640</v>
      </c>
      <c r="D236" s="473">
        <v>614640</v>
      </c>
      <c r="E236" s="474"/>
      <c r="F236" s="473"/>
      <c r="G236" s="473"/>
      <c r="H236" s="473"/>
      <c r="I236" s="473"/>
      <c r="J236" s="473"/>
      <c r="K236" s="473"/>
      <c r="L236" s="473"/>
      <c r="M236" s="473"/>
      <c r="N236" s="473"/>
      <c r="O236" s="473"/>
      <c r="P236" s="473"/>
      <c r="Q236" s="473"/>
      <c r="R236" s="473"/>
      <c r="S236" s="32"/>
      <c r="T236" s="32"/>
      <c r="U236" s="2"/>
      <c r="V236" s="11"/>
    </row>
    <row r="237" spans="1:26" s="227" customFormat="1" ht="39" customHeight="1">
      <c r="A237" s="189">
        <f t="shared" si="7"/>
        <v>36</v>
      </c>
      <c r="B237" s="245" t="s">
        <v>3158</v>
      </c>
      <c r="C237" s="471">
        <f>'.'!L3955</f>
        <v>614640</v>
      </c>
      <c r="D237" s="473">
        <v>614640</v>
      </c>
      <c r="E237" s="474"/>
      <c r="F237" s="473"/>
      <c r="G237" s="473"/>
      <c r="H237" s="473"/>
      <c r="I237" s="473"/>
      <c r="J237" s="473"/>
      <c r="K237" s="473"/>
      <c r="L237" s="473"/>
      <c r="M237" s="473"/>
      <c r="N237" s="473"/>
      <c r="O237" s="473"/>
      <c r="P237" s="473"/>
      <c r="Q237" s="473"/>
      <c r="R237" s="473"/>
      <c r="S237" s="32"/>
      <c r="T237" s="32"/>
      <c r="U237" s="2"/>
      <c r="V237" s="11"/>
    </row>
    <row r="238" spans="1:26" s="227" customFormat="1" ht="39" customHeight="1">
      <c r="A238" s="189">
        <f t="shared" si="7"/>
        <v>37</v>
      </c>
      <c r="B238" s="245" t="s">
        <v>3159</v>
      </c>
      <c r="C238" s="471">
        <f>'.'!L3956</f>
        <v>2340342</v>
      </c>
      <c r="D238" s="473"/>
      <c r="E238" s="474"/>
      <c r="F238" s="473"/>
      <c r="G238" s="473">
        <v>953</v>
      </c>
      <c r="H238" s="473">
        <v>2340342</v>
      </c>
      <c r="I238" s="473"/>
      <c r="J238" s="473"/>
      <c r="K238" s="473"/>
      <c r="L238" s="473"/>
      <c r="M238" s="473"/>
      <c r="N238" s="473"/>
      <c r="O238" s="473"/>
      <c r="P238" s="473"/>
      <c r="Q238" s="473"/>
      <c r="R238" s="473"/>
      <c r="S238" s="32"/>
      <c r="T238" s="32"/>
      <c r="U238" s="2"/>
      <c r="V238" s="11"/>
    </row>
    <row r="239" spans="1:26" s="227" customFormat="1" ht="39" customHeight="1">
      <c r="A239" s="189">
        <f t="shared" si="7"/>
        <v>38</v>
      </c>
      <c r="B239" s="245" t="s">
        <v>3160</v>
      </c>
      <c r="C239" s="471">
        <f>'.'!L3957</f>
        <v>3236450</v>
      </c>
      <c r="D239" s="473"/>
      <c r="E239" s="474"/>
      <c r="F239" s="473"/>
      <c r="G239" s="473">
        <v>1317.9</v>
      </c>
      <c r="H239" s="473">
        <v>3236450</v>
      </c>
      <c r="I239" s="473"/>
      <c r="J239" s="473"/>
      <c r="K239" s="473"/>
      <c r="L239" s="473"/>
      <c r="M239" s="473"/>
      <c r="N239" s="473"/>
      <c r="O239" s="473"/>
      <c r="P239" s="473"/>
      <c r="Q239" s="473"/>
      <c r="R239" s="473"/>
      <c r="S239" s="32"/>
      <c r="T239" s="32"/>
      <c r="U239" s="2"/>
      <c r="V239" s="11"/>
    </row>
    <row r="240" spans="1:26" s="227" customFormat="1" ht="39" customHeight="1">
      <c r="A240" s="189">
        <f t="shared" si="7"/>
        <v>39</v>
      </c>
      <c r="B240" s="245" t="s">
        <v>3161</v>
      </c>
      <c r="C240" s="471">
        <f>'.'!L3958</f>
        <v>3237679</v>
      </c>
      <c r="D240" s="473"/>
      <c r="E240" s="474"/>
      <c r="F240" s="473"/>
      <c r="G240" s="473">
        <v>1318.4</v>
      </c>
      <c r="H240" s="473">
        <v>3237679</v>
      </c>
      <c r="I240" s="473"/>
      <c r="J240" s="473"/>
      <c r="K240" s="473"/>
      <c r="L240" s="473"/>
      <c r="M240" s="473"/>
      <c r="N240" s="473"/>
      <c r="O240" s="473"/>
      <c r="P240" s="473"/>
      <c r="Q240" s="473"/>
      <c r="R240" s="473"/>
      <c r="S240" s="32"/>
      <c r="T240" s="32"/>
      <c r="U240" s="2"/>
      <c r="V240" s="11"/>
    </row>
    <row r="241" spans="1:26" s="227" customFormat="1" ht="39" customHeight="1">
      <c r="A241" s="189">
        <f t="shared" si="7"/>
        <v>40</v>
      </c>
      <c r="B241" s="245" t="s">
        <v>3162</v>
      </c>
      <c r="C241" s="471">
        <f>'.'!L3959</f>
        <v>1823158</v>
      </c>
      <c r="D241" s="473"/>
      <c r="E241" s="474"/>
      <c r="F241" s="473"/>
      <c r="G241" s="473">
        <v>742.4</v>
      </c>
      <c r="H241" s="473">
        <v>1823158</v>
      </c>
      <c r="I241" s="473"/>
      <c r="J241" s="473"/>
      <c r="K241" s="473"/>
      <c r="L241" s="473"/>
      <c r="M241" s="473"/>
      <c r="N241" s="473"/>
      <c r="O241" s="473"/>
      <c r="P241" s="473"/>
      <c r="Q241" s="473"/>
      <c r="R241" s="473"/>
      <c r="S241" s="32"/>
      <c r="T241" s="32"/>
      <c r="U241" s="2"/>
      <c r="V241" s="11"/>
    </row>
    <row r="242" spans="1:26" s="227" customFormat="1" ht="39" customHeight="1">
      <c r="A242" s="189">
        <f t="shared" si="7"/>
        <v>41</v>
      </c>
      <c r="B242" s="245" t="s">
        <v>3163</v>
      </c>
      <c r="C242" s="471">
        <f>'.'!L3960</f>
        <v>3077071</v>
      </c>
      <c r="D242" s="473"/>
      <c r="E242" s="474"/>
      <c r="F242" s="473"/>
      <c r="G242" s="473">
        <v>1253</v>
      </c>
      <c r="H242" s="473">
        <v>3077071</v>
      </c>
      <c r="I242" s="473"/>
      <c r="J242" s="473"/>
      <c r="K242" s="473"/>
      <c r="L242" s="473"/>
      <c r="M242" s="473"/>
      <c r="N242" s="473"/>
      <c r="O242" s="473"/>
      <c r="P242" s="473"/>
      <c r="Q242" s="473"/>
      <c r="R242" s="473"/>
      <c r="S242" s="32"/>
      <c r="T242" s="32"/>
      <c r="U242" s="2"/>
      <c r="V242" s="11"/>
    </row>
    <row r="243" spans="1:26" s="227" customFormat="1" ht="39" customHeight="1">
      <c r="A243" s="189">
        <f t="shared" si="7"/>
        <v>42</v>
      </c>
      <c r="B243" s="245" t="s">
        <v>3164</v>
      </c>
      <c r="C243" s="471">
        <f>'.'!L3961</f>
        <v>5131377</v>
      </c>
      <c r="D243" s="473"/>
      <c r="E243" s="474"/>
      <c r="F243" s="473"/>
      <c r="G243" s="473">
        <v>1782</v>
      </c>
      <c r="H243" s="473">
        <v>5131377</v>
      </c>
      <c r="I243" s="473"/>
      <c r="J243" s="473"/>
      <c r="K243" s="473"/>
      <c r="L243" s="473"/>
      <c r="M243" s="473"/>
      <c r="N243" s="473"/>
      <c r="O243" s="473"/>
      <c r="P243" s="473"/>
      <c r="Q243" s="473"/>
      <c r="R243" s="473"/>
      <c r="S243" s="32"/>
      <c r="T243" s="32"/>
      <c r="U243" s="2"/>
      <c r="V243" s="11"/>
    </row>
    <row r="244" spans="1:26" s="227" customFormat="1" ht="39" customHeight="1">
      <c r="A244" s="189">
        <f t="shared" si="7"/>
        <v>43</v>
      </c>
      <c r="B244" s="245" t="s">
        <v>3165</v>
      </c>
      <c r="C244" s="471">
        <f>'.'!L3962</f>
        <v>3670678</v>
      </c>
      <c r="D244" s="473"/>
      <c r="E244" s="474"/>
      <c r="F244" s="473"/>
      <c r="G244" s="473">
        <v>1273</v>
      </c>
      <c r="H244" s="473">
        <v>3670678</v>
      </c>
      <c r="I244" s="473"/>
      <c r="J244" s="473"/>
      <c r="K244" s="473"/>
      <c r="L244" s="473"/>
      <c r="M244" s="473"/>
      <c r="N244" s="473"/>
      <c r="O244" s="473"/>
      <c r="P244" s="473"/>
      <c r="Q244" s="473"/>
      <c r="R244" s="473"/>
      <c r="S244" s="32"/>
      <c r="T244" s="32"/>
      <c r="U244" s="2"/>
      <c r="V244" s="11"/>
    </row>
    <row r="245" spans="1:26" s="227" customFormat="1" ht="39" customHeight="1">
      <c r="A245" s="189">
        <f t="shared" si="7"/>
        <v>44</v>
      </c>
      <c r="B245" s="245" t="s">
        <v>3166</v>
      </c>
      <c r="C245" s="471">
        <f>'.'!L3963</f>
        <v>2498111</v>
      </c>
      <c r="D245" s="473"/>
      <c r="E245" s="474"/>
      <c r="F245" s="473"/>
      <c r="G245" s="473">
        <v>863</v>
      </c>
      <c r="H245" s="473">
        <v>2498111</v>
      </c>
      <c r="I245" s="473"/>
      <c r="J245" s="473"/>
      <c r="K245" s="473"/>
      <c r="L245" s="473"/>
      <c r="M245" s="473"/>
      <c r="N245" s="473"/>
      <c r="O245" s="473"/>
      <c r="P245" s="473"/>
      <c r="Q245" s="473"/>
      <c r="R245" s="473"/>
      <c r="S245" s="32"/>
      <c r="T245" s="32"/>
      <c r="U245" s="2"/>
      <c r="V245" s="11"/>
    </row>
    <row r="246" spans="1:26" s="227" customFormat="1" ht="39" customHeight="1">
      <c r="A246" s="189">
        <f t="shared" si="7"/>
        <v>45</v>
      </c>
      <c r="B246" s="245" t="s">
        <v>3167</v>
      </c>
      <c r="C246" s="471">
        <f>'.'!L3964</f>
        <v>2362445</v>
      </c>
      <c r="D246" s="473"/>
      <c r="E246" s="474"/>
      <c r="F246" s="473"/>
      <c r="G246" s="473">
        <v>962</v>
      </c>
      <c r="H246" s="473">
        <v>2362445</v>
      </c>
      <c r="I246" s="473"/>
      <c r="J246" s="473"/>
      <c r="K246" s="473"/>
      <c r="L246" s="473"/>
      <c r="M246" s="473"/>
      <c r="N246" s="473"/>
      <c r="O246" s="473"/>
      <c r="P246" s="473"/>
      <c r="Q246" s="473"/>
      <c r="R246" s="473"/>
      <c r="S246" s="32"/>
      <c r="T246" s="32"/>
      <c r="U246" s="2"/>
      <c r="V246" s="11"/>
    </row>
    <row r="247" spans="1:26" s="227" customFormat="1" ht="39" customHeight="1">
      <c r="A247" s="189">
        <f t="shared" si="7"/>
        <v>46</v>
      </c>
      <c r="B247" s="245" t="s">
        <v>3168</v>
      </c>
      <c r="C247" s="471">
        <f>'.'!L3965</f>
        <v>3423281</v>
      </c>
      <c r="D247" s="473"/>
      <c r="E247" s="474"/>
      <c r="F247" s="473"/>
      <c r="G247" s="473"/>
      <c r="H247" s="473"/>
      <c r="I247" s="473"/>
      <c r="J247" s="473"/>
      <c r="K247" s="473"/>
      <c r="L247" s="473"/>
      <c r="M247" s="473"/>
      <c r="N247" s="473"/>
      <c r="O247" s="473">
        <v>1323</v>
      </c>
      <c r="P247" s="473">
        <v>3423281</v>
      </c>
      <c r="Q247" s="473"/>
      <c r="R247" s="473"/>
      <c r="S247" s="32"/>
      <c r="T247" s="32"/>
      <c r="U247" s="2"/>
      <c r="V247" s="11"/>
    </row>
    <row r="248" spans="1:26" s="227" customFormat="1" ht="39" customHeight="1">
      <c r="A248" s="189">
        <f t="shared" si="7"/>
        <v>47</v>
      </c>
      <c r="B248" s="245" t="s">
        <v>3169</v>
      </c>
      <c r="C248" s="471">
        <f>'.'!L3966</f>
        <v>9313495</v>
      </c>
      <c r="D248" s="473"/>
      <c r="E248" s="474"/>
      <c r="F248" s="473"/>
      <c r="G248" s="473"/>
      <c r="H248" s="473"/>
      <c r="I248" s="473"/>
      <c r="J248" s="473"/>
      <c r="K248" s="473"/>
      <c r="L248" s="473"/>
      <c r="M248" s="473"/>
      <c r="N248" s="473"/>
      <c r="O248" s="473">
        <v>3492</v>
      </c>
      <c r="P248" s="473">
        <v>9313495</v>
      </c>
      <c r="Q248" s="473"/>
      <c r="R248" s="473"/>
      <c r="S248" s="32"/>
      <c r="T248" s="32"/>
      <c r="U248" s="2"/>
      <c r="V248" s="11"/>
    </row>
    <row r="249" spans="1:26" s="227" customFormat="1" ht="39" customHeight="1">
      <c r="A249" s="189">
        <f t="shared" si="7"/>
        <v>48</v>
      </c>
      <c r="B249" s="245" t="s">
        <v>3170</v>
      </c>
      <c r="C249" s="471">
        <f>'.'!L3967</f>
        <v>3955208</v>
      </c>
      <c r="D249" s="473">
        <v>3955208</v>
      </c>
      <c r="E249" s="474"/>
      <c r="F249" s="473"/>
      <c r="G249" s="473"/>
      <c r="H249" s="473"/>
      <c r="I249" s="473"/>
      <c r="J249" s="473"/>
      <c r="K249" s="473"/>
      <c r="L249" s="473"/>
      <c r="M249" s="473"/>
      <c r="N249" s="473"/>
      <c r="O249" s="473"/>
      <c r="P249" s="473"/>
      <c r="Q249" s="473"/>
      <c r="R249" s="473"/>
      <c r="S249" s="32"/>
      <c r="T249" s="32"/>
      <c r="U249" s="2"/>
      <c r="V249" s="11"/>
    </row>
    <row r="250" spans="1:26" s="227" customFormat="1" ht="39" customHeight="1">
      <c r="A250" s="189">
        <f t="shared" si="7"/>
        <v>49</v>
      </c>
      <c r="B250" s="245" t="s">
        <v>3171</v>
      </c>
      <c r="C250" s="471">
        <f>'.'!L3968</f>
        <v>1991905</v>
      </c>
      <c r="D250" s="473"/>
      <c r="E250" s="474"/>
      <c r="F250" s="473"/>
      <c r="G250" s="473">
        <v>686</v>
      </c>
      <c r="H250" s="473">
        <v>1991905</v>
      </c>
      <c r="I250" s="473"/>
      <c r="J250" s="473"/>
      <c r="K250" s="473"/>
      <c r="L250" s="473"/>
      <c r="M250" s="473"/>
      <c r="N250" s="473"/>
      <c r="O250" s="473"/>
      <c r="P250" s="473"/>
      <c r="Q250" s="473"/>
      <c r="R250" s="473"/>
      <c r="S250" s="32"/>
      <c r="T250" s="32"/>
      <c r="U250" s="2"/>
      <c r="V250" s="11"/>
    </row>
    <row r="251" spans="1:26" s="227" customFormat="1" ht="39" customHeight="1">
      <c r="A251" s="189">
        <f t="shared" si="7"/>
        <v>50</v>
      </c>
      <c r="B251" s="245" t="s">
        <v>3172</v>
      </c>
      <c r="C251" s="471">
        <f>'.'!L3969</f>
        <v>3336778</v>
      </c>
      <c r="D251" s="473"/>
      <c r="E251" s="474"/>
      <c r="F251" s="473"/>
      <c r="G251" s="473">
        <v>1154.5</v>
      </c>
      <c r="H251" s="473">
        <v>3336778</v>
      </c>
      <c r="I251" s="473"/>
      <c r="J251" s="473"/>
      <c r="K251" s="473"/>
      <c r="L251" s="473"/>
      <c r="M251" s="473"/>
      <c r="N251" s="473"/>
      <c r="O251" s="473"/>
      <c r="P251" s="473"/>
      <c r="Q251" s="473"/>
      <c r="R251" s="473"/>
      <c r="S251" s="32"/>
      <c r="T251" s="32"/>
      <c r="U251" s="2"/>
      <c r="V251" s="11"/>
    </row>
    <row r="252" spans="1:26" s="227" customFormat="1" ht="39" customHeight="1">
      <c r="A252" s="189">
        <f t="shared" si="7"/>
        <v>51</v>
      </c>
      <c r="B252" s="245" t="s">
        <v>3173</v>
      </c>
      <c r="C252" s="471">
        <f>'.'!L3970</f>
        <v>2185629</v>
      </c>
      <c r="D252" s="473"/>
      <c r="E252" s="474"/>
      <c r="F252" s="473"/>
      <c r="G252" s="473">
        <v>890</v>
      </c>
      <c r="H252" s="473">
        <v>2185629</v>
      </c>
      <c r="I252" s="473"/>
      <c r="J252" s="473"/>
      <c r="K252" s="473"/>
      <c r="L252" s="473"/>
      <c r="M252" s="473"/>
      <c r="N252" s="473"/>
      <c r="O252" s="473"/>
      <c r="P252" s="473"/>
      <c r="Q252" s="473"/>
      <c r="R252" s="473"/>
      <c r="S252" s="32"/>
      <c r="T252" s="32"/>
      <c r="U252" s="2"/>
      <c r="V252" s="11"/>
    </row>
    <row r="253" spans="1:26" s="227" customFormat="1" ht="39" customHeight="1">
      <c r="A253" s="189">
        <f t="shared" si="7"/>
        <v>52</v>
      </c>
      <c r="B253" s="245" t="s">
        <v>3174</v>
      </c>
      <c r="C253" s="471">
        <f>'.'!L3971</f>
        <v>2278949</v>
      </c>
      <c r="D253" s="473"/>
      <c r="E253" s="474"/>
      <c r="F253" s="473"/>
      <c r="G253" s="473">
        <v>928</v>
      </c>
      <c r="H253" s="473">
        <v>2278949</v>
      </c>
      <c r="I253" s="473"/>
      <c r="J253" s="473"/>
      <c r="K253" s="473"/>
      <c r="L253" s="473"/>
      <c r="M253" s="473"/>
      <c r="N253" s="473"/>
      <c r="O253" s="473"/>
      <c r="P253" s="473"/>
      <c r="Q253" s="473"/>
      <c r="R253" s="473"/>
      <c r="S253" s="32"/>
      <c r="T253" s="32"/>
      <c r="U253" s="2"/>
      <c r="V253" s="11"/>
    </row>
    <row r="254" spans="1:26" s="227" customFormat="1" ht="39" customHeight="1">
      <c r="A254" s="189">
        <f t="shared" si="7"/>
        <v>53</v>
      </c>
      <c r="B254" s="245" t="s">
        <v>3175</v>
      </c>
      <c r="C254" s="471">
        <f>'.'!L3972</f>
        <v>2303506</v>
      </c>
      <c r="D254" s="473"/>
      <c r="E254" s="474"/>
      <c r="F254" s="473"/>
      <c r="G254" s="473">
        <v>938</v>
      </c>
      <c r="H254" s="473">
        <v>2303506</v>
      </c>
      <c r="I254" s="473"/>
      <c r="J254" s="473"/>
      <c r="K254" s="473"/>
      <c r="L254" s="473"/>
      <c r="M254" s="473"/>
      <c r="N254" s="473"/>
      <c r="O254" s="473"/>
      <c r="P254" s="473"/>
      <c r="Q254" s="473"/>
      <c r="R254" s="473"/>
      <c r="S254" s="32"/>
      <c r="T254" s="32"/>
      <c r="U254" s="2"/>
      <c r="V254" s="11"/>
    </row>
    <row r="255" spans="1:26" s="227" customFormat="1" ht="39" customHeight="1">
      <c r="A255" s="189">
        <f t="shared" si="7"/>
        <v>54</v>
      </c>
      <c r="B255" s="245" t="s">
        <v>3176</v>
      </c>
      <c r="C255" s="471">
        <f>'.'!L3973</f>
        <v>6127500</v>
      </c>
      <c r="D255" s="473"/>
      <c r="E255" s="474">
        <v>3</v>
      </c>
      <c r="F255" s="473">
        <f>'.'!L3973</f>
        <v>6127500</v>
      </c>
      <c r="G255" s="473"/>
      <c r="H255" s="473"/>
      <c r="I255" s="473"/>
      <c r="J255" s="473"/>
      <c r="K255" s="473"/>
      <c r="L255" s="473"/>
      <c r="M255" s="473"/>
      <c r="N255" s="473"/>
      <c r="O255" s="473"/>
      <c r="P255" s="473"/>
      <c r="Q255" s="473"/>
      <c r="R255" s="473"/>
      <c r="S255" s="32"/>
      <c r="T255" s="32"/>
      <c r="U255" s="2"/>
      <c r="V255" s="11"/>
      <c r="Z255" s="140"/>
    </row>
    <row r="256" spans="1:26" s="227" customFormat="1" ht="39" customHeight="1">
      <c r="A256" s="189">
        <f t="shared" si="7"/>
        <v>55</v>
      </c>
      <c r="B256" s="245" t="s">
        <v>3177</v>
      </c>
      <c r="C256" s="471">
        <f>'.'!L3974</f>
        <v>4393652</v>
      </c>
      <c r="D256" s="473"/>
      <c r="E256" s="474"/>
      <c r="F256" s="473"/>
      <c r="G256" s="473">
        <v>1790</v>
      </c>
      <c r="H256" s="473">
        <v>4393652</v>
      </c>
      <c r="I256" s="473"/>
      <c r="J256" s="473"/>
      <c r="K256" s="473"/>
      <c r="L256" s="473"/>
      <c r="M256" s="473"/>
      <c r="N256" s="473"/>
      <c r="O256" s="473"/>
      <c r="P256" s="473"/>
      <c r="Q256" s="473"/>
      <c r="R256" s="473"/>
      <c r="S256" s="32"/>
      <c r="T256" s="32"/>
      <c r="U256" s="2"/>
      <c r="V256" s="11"/>
    </row>
    <row r="257" spans="1:26" s="227" customFormat="1" ht="39" customHeight="1">
      <c r="A257" s="189">
        <f t="shared" si="7"/>
        <v>56</v>
      </c>
      <c r="B257" s="245" t="s">
        <v>3178</v>
      </c>
      <c r="C257" s="471">
        <f>'.'!L3975</f>
        <v>2681146</v>
      </c>
      <c r="D257" s="473"/>
      <c r="E257" s="474"/>
      <c r="F257" s="473"/>
      <c r="G257" s="473">
        <v>927</v>
      </c>
      <c r="H257" s="473">
        <v>2681146</v>
      </c>
      <c r="I257" s="473"/>
      <c r="J257" s="473"/>
      <c r="K257" s="473"/>
      <c r="L257" s="473"/>
      <c r="M257" s="473"/>
      <c r="N257" s="473"/>
      <c r="O257" s="473"/>
      <c r="P257" s="473"/>
      <c r="Q257" s="473"/>
      <c r="R257" s="473"/>
      <c r="S257" s="32"/>
      <c r="T257" s="32"/>
      <c r="U257" s="2"/>
      <c r="V257" s="11"/>
    </row>
    <row r="258" spans="1:26" s="227" customFormat="1" ht="39" customHeight="1">
      <c r="A258" s="189">
        <f t="shared" si="7"/>
        <v>57</v>
      </c>
      <c r="B258" s="245" t="s">
        <v>3179</v>
      </c>
      <c r="C258" s="471">
        <f>'.'!L3976</f>
        <v>2993889</v>
      </c>
      <c r="D258" s="473">
        <v>2993889</v>
      </c>
      <c r="E258" s="474"/>
      <c r="F258" s="473"/>
      <c r="G258" s="473"/>
      <c r="H258" s="473"/>
      <c r="I258" s="473"/>
      <c r="J258" s="473"/>
      <c r="K258" s="473"/>
      <c r="L258" s="473"/>
      <c r="M258" s="473"/>
      <c r="N258" s="473"/>
      <c r="O258" s="473"/>
      <c r="P258" s="473"/>
      <c r="Q258" s="473"/>
      <c r="R258" s="473"/>
      <c r="S258" s="32"/>
      <c r="T258" s="32"/>
      <c r="U258" s="2"/>
      <c r="V258" s="11"/>
    </row>
    <row r="259" spans="1:26" s="227" customFormat="1" ht="39" customHeight="1">
      <c r="A259" s="189">
        <f t="shared" si="7"/>
        <v>58</v>
      </c>
      <c r="B259" s="245" t="s">
        <v>3180</v>
      </c>
      <c r="C259" s="471">
        <f>'.'!L3977</f>
        <v>286832</v>
      </c>
      <c r="D259" s="473">
        <v>286832</v>
      </c>
      <c r="E259" s="474"/>
      <c r="F259" s="473"/>
      <c r="G259" s="473"/>
      <c r="H259" s="473"/>
      <c r="I259" s="473"/>
      <c r="J259" s="473"/>
      <c r="K259" s="473"/>
      <c r="L259" s="473"/>
      <c r="M259" s="473"/>
      <c r="N259" s="473"/>
      <c r="O259" s="473"/>
      <c r="P259" s="473"/>
      <c r="Q259" s="473"/>
      <c r="R259" s="473"/>
      <c r="S259" s="32"/>
      <c r="T259" s="32"/>
      <c r="U259" s="2"/>
      <c r="V259" s="11"/>
    </row>
    <row r="260" spans="1:26" s="227" customFormat="1" ht="39" customHeight="1">
      <c r="A260" s="189">
        <f t="shared" si="7"/>
        <v>59</v>
      </c>
      <c r="B260" s="245" t="s">
        <v>3181</v>
      </c>
      <c r="C260" s="471">
        <f>'.'!L3978</f>
        <v>2375134</v>
      </c>
      <c r="D260" s="473"/>
      <c r="E260" s="474"/>
      <c r="F260" s="473"/>
      <c r="G260" s="473">
        <v>820</v>
      </c>
      <c r="H260" s="473">
        <v>2375134</v>
      </c>
      <c r="I260" s="473"/>
      <c r="J260" s="473"/>
      <c r="K260" s="473"/>
      <c r="L260" s="473"/>
      <c r="M260" s="473"/>
      <c r="N260" s="473"/>
      <c r="O260" s="473"/>
      <c r="P260" s="473"/>
      <c r="Q260" s="473"/>
      <c r="R260" s="473"/>
      <c r="S260" s="32"/>
      <c r="T260" s="32"/>
      <c r="U260" s="2"/>
      <c r="V260" s="11"/>
    </row>
    <row r="261" spans="1:26" s="227" customFormat="1" ht="39" customHeight="1">
      <c r="A261" s="189">
        <f t="shared" si="7"/>
        <v>60</v>
      </c>
      <c r="B261" s="245" t="s">
        <v>3182</v>
      </c>
      <c r="C261" s="471">
        <f>'.'!L3979</f>
        <v>1775517</v>
      </c>
      <c r="D261" s="473"/>
      <c r="E261" s="474"/>
      <c r="F261" s="473"/>
      <c r="G261" s="473">
        <v>723</v>
      </c>
      <c r="H261" s="473">
        <v>1775517</v>
      </c>
      <c r="I261" s="473"/>
      <c r="J261" s="473"/>
      <c r="K261" s="473"/>
      <c r="L261" s="473"/>
      <c r="M261" s="473"/>
      <c r="N261" s="473"/>
      <c r="O261" s="473"/>
      <c r="P261" s="473"/>
      <c r="Q261" s="473"/>
      <c r="R261" s="473"/>
      <c r="S261" s="32"/>
      <c r="T261" s="32"/>
      <c r="U261" s="2"/>
      <c r="V261" s="11"/>
    </row>
    <row r="262" spans="1:26" s="227" customFormat="1" ht="39" customHeight="1">
      <c r="A262" s="189">
        <f t="shared" si="7"/>
        <v>61</v>
      </c>
      <c r="B262" s="245" t="s">
        <v>3183</v>
      </c>
      <c r="C262" s="471">
        <f>'.'!L3980</f>
        <v>2212704</v>
      </c>
      <c r="D262" s="473">
        <v>2212704</v>
      </c>
      <c r="E262" s="474"/>
      <c r="F262" s="473"/>
      <c r="G262" s="473"/>
      <c r="H262" s="473"/>
      <c r="I262" s="473"/>
      <c r="J262" s="473"/>
      <c r="K262" s="473"/>
      <c r="L262" s="473"/>
      <c r="M262" s="473"/>
      <c r="N262" s="473"/>
      <c r="O262" s="473"/>
      <c r="P262" s="473"/>
      <c r="Q262" s="473"/>
      <c r="R262" s="473"/>
      <c r="S262" s="32"/>
      <c r="T262" s="32"/>
      <c r="U262" s="2"/>
      <c r="V262" s="11"/>
    </row>
    <row r="263" spans="1:26" s="227" customFormat="1" ht="39" customHeight="1">
      <c r="A263" s="189">
        <f t="shared" si="7"/>
        <v>62</v>
      </c>
      <c r="B263" s="245" t="s">
        <v>3184</v>
      </c>
      <c r="C263" s="471">
        <f>'.'!L3981</f>
        <v>1311232</v>
      </c>
      <c r="D263" s="473">
        <v>1311232</v>
      </c>
      <c r="E263" s="474"/>
      <c r="F263" s="473"/>
      <c r="G263" s="473"/>
      <c r="H263" s="473"/>
      <c r="I263" s="473"/>
      <c r="J263" s="473"/>
      <c r="K263" s="473"/>
      <c r="L263" s="473"/>
      <c r="M263" s="473"/>
      <c r="N263" s="473"/>
      <c r="O263" s="473"/>
      <c r="P263" s="473"/>
      <c r="Q263" s="473"/>
      <c r="R263" s="473"/>
      <c r="S263" s="32"/>
      <c r="T263" s="32"/>
      <c r="U263" s="2"/>
      <c r="V263" s="11"/>
    </row>
    <row r="264" spans="1:26" s="227" customFormat="1" ht="39" customHeight="1">
      <c r="A264" s="189">
        <f t="shared" si="7"/>
        <v>63</v>
      </c>
      <c r="B264" s="245" t="s">
        <v>3185</v>
      </c>
      <c r="C264" s="471">
        <f>'.'!L3982</f>
        <v>2210187</v>
      </c>
      <c r="D264" s="473"/>
      <c r="E264" s="474"/>
      <c r="F264" s="473"/>
      <c r="G264" s="473">
        <v>900</v>
      </c>
      <c r="H264" s="473">
        <v>2210187</v>
      </c>
      <c r="I264" s="473"/>
      <c r="J264" s="473"/>
      <c r="K264" s="473"/>
      <c r="L264" s="473"/>
      <c r="M264" s="473"/>
      <c r="N264" s="473"/>
      <c r="O264" s="473"/>
      <c r="P264" s="473"/>
      <c r="Q264" s="473"/>
      <c r="R264" s="473"/>
      <c r="S264" s="32"/>
      <c r="T264" s="32"/>
      <c r="U264" s="2"/>
      <c r="V264" s="11"/>
    </row>
    <row r="265" spans="1:26" s="227" customFormat="1" ht="39" customHeight="1">
      <c r="A265" s="189">
        <f t="shared" si="7"/>
        <v>64</v>
      </c>
      <c r="B265" s="245" t="s">
        <v>3186</v>
      </c>
      <c r="C265" s="471">
        <f>'.'!L3983</f>
        <v>2298595</v>
      </c>
      <c r="D265" s="473"/>
      <c r="E265" s="474"/>
      <c r="F265" s="473"/>
      <c r="G265" s="473">
        <v>936</v>
      </c>
      <c r="H265" s="473">
        <v>2298595</v>
      </c>
      <c r="I265" s="473"/>
      <c r="J265" s="473"/>
      <c r="K265" s="473"/>
      <c r="L265" s="473"/>
      <c r="M265" s="473"/>
      <c r="N265" s="473"/>
      <c r="O265" s="473"/>
      <c r="P265" s="473"/>
      <c r="Q265" s="473"/>
      <c r="R265" s="473"/>
      <c r="S265" s="32"/>
      <c r="T265" s="32"/>
      <c r="U265" s="2"/>
      <c r="V265" s="11"/>
    </row>
    <row r="266" spans="1:26" s="227" customFormat="1" ht="39" customHeight="1">
      <c r="A266" s="189">
        <f t="shared" si="7"/>
        <v>65</v>
      </c>
      <c r="B266" s="245" t="s">
        <v>3187</v>
      </c>
      <c r="C266" s="471">
        <f>'.'!L3984</f>
        <v>4616836</v>
      </c>
      <c r="D266" s="473"/>
      <c r="E266" s="474"/>
      <c r="F266" s="473"/>
      <c r="G266" s="473">
        <v>1880</v>
      </c>
      <c r="H266" s="473">
        <v>4616836</v>
      </c>
      <c r="I266" s="473"/>
      <c r="J266" s="473"/>
      <c r="K266" s="473"/>
      <c r="L266" s="473"/>
      <c r="M266" s="473"/>
      <c r="N266" s="473"/>
      <c r="O266" s="473"/>
      <c r="P266" s="473"/>
      <c r="Q266" s="473"/>
      <c r="R266" s="473"/>
      <c r="S266" s="32"/>
      <c r="T266" s="32"/>
      <c r="U266" s="2"/>
      <c r="V266" s="11"/>
    </row>
    <row r="267" spans="1:26" s="227" customFormat="1" ht="39" customHeight="1">
      <c r="A267" s="189">
        <f t="shared" ref="A267:A314" si="8">A266+1</f>
        <v>66</v>
      </c>
      <c r="B267" s="245" t="s">
        <v>3975</v>
      </c>
      <c r="C267" s="471">
        <f>'.'!L3985</f>
        <v>10170000</v>
      </c>
      <c r="D267" s="473"/>
      <c r="E267" s="474">
        <v>5</v>
      </c>
      <c r="F267" s="473">
        <f>'.'!L3985</f>
        <v>10170000</v>
      </c>
      <c r="G267" s="473"/>
      <c r="H267" s="473"/>
      <c r="I267" s="473"/>
      <c r="J267" s="473"/>
      <c r="K267" s="473"/>
      <c r="L267" s="473"/>
      <c r="M267" s="473"/>
      <c r="N267" s="473"/>
      <c r="O267" s="473"/>
      <c r="P267" s="473"/>
      <c r="Q267" s="473"/>
      <c r="R267" s="473"/>
      <c r="S267" s="32"/>
      <c r="T267" s="32"/>
      <c r="U267" s="2"/>
      <c r="V267" s="11"/>
      <c r="Z267" s="140"/>
    </row>
    <row r="268" spans="1:26" s="227" customFormat="1" ht="39" customHeight="1">
      <c r="A268" s="189">
        <f t="shared" si="8"/>
        <v>67</v>
      </c>
      <c r="B268" s="245" t="s">
        <v>3189</v>
      </c>
      <c r="C268" s="471">
        <f>'.'!L3986</f>
        <v>479416</v>
      </c>
      <c r="D268" s="473">
        <v>479416</v>
      </c>
      <c r="E268" s="474"/>
      <c r="F268" s="473"/>
      <c r="G268" s="473"/>
      <c r="H268" s="473"/>
      <c r="I268" s="473"/>
      <c r="J268" s="473"/>
      <c r="K268" s="473"/>
      <c r="L268" s="473"/>
      <c r="M268" s="473"/>
      <c r="N268" s="473"/>
      <c r="O268" s="473"/>
      <c r="P268" s="473"/>
      <c r="Q268" s="473"/>
      <c r="R268" s="473"/>
      <c r="S268" s="32"/>
      <c r="T268" s="32"/>
      <c r="U268" s="2"/>
      <c r="V268" s="11"/>
    </row>
    <row r="269" spans="1:26" s="227" customFormat="1" ht="39" customHeight="1">
      <c r="A269" s="189">
        <f t="shared" si="8"/>
        <v>68</v>
      </c>
      <c r="B269" s="245" t="s">
        <v>3190</v>
      </c>
      <c r="C269" s="471">
        <f>'.'!L3987</f>
        <v>1473458</v>
      </c>
      <c r="D269" s="473"/>
      <c r="E269" s="474"/>
      <c r="F269" s="473"/>
      <c r="G269" s="473">
        <v>600</v>
      </c>
      <c r="H269" s="473">
        <v>1473458</v>
      </c>
      <c r="I269" s="473"/>
      <c r="J269" s="473"/>
      <c r="K269" s="473"/>
      <c r="L269" s="473"/>
      <c r="M269" s="473"/>
      <c r="N269" s="473"/>
      <c r="O269" s="473"/>
      <c r="P269" s="473"/>
      <c r="Q269" s="473"/>
      <c r="R269" s="473"/>
      <c r="S269" s="32"/>
      <c r="T269" s="32"/>
      <c r="U269" s="2"/>
      <c r="V269" s="11"/>
    </row>
    <row r="270" spans="1:26" s="227" customFormat="1" ht="39" customHeight="1">
      <c r="A270" s="189">
        <f t="shared" si="8"/>
        <v>69</v>
      </c>
      <c r="B270" s="245" t="s">
        <v>2228</v>
      </c>
      <c r="C270" s="471">
        <f>'.'!L3988</f>
        <v>2181972</v>
      </c>
      <c r="D270" s="473">
        <v>2181972</v>
      </c>
      <c r="E270" s="474"/>
      <c r="F270" s="473"/>
      <c r="G270" s="473"/>
      <c r="H270" s="473"/>
      <c r="I270" s="473"/>
      <c r="J270" s="473"/>
      <c r="K270" s="473"/>
      <c r="L270" s="473"/>
      <c r="M270" s="473"/>
      <c r="N270" s="473"/>
      <c r="O270" s="473"/>
      <c r="P270" s="473"/>
      <c r="Q270" s="473"/>
      <c r="R270" s="473"/>
      <c r="S270" s="32"/>
      <c r="T270" s="32"/>
      <c r="U270" s="2"/>
      <c r="V270" s="11"/>
    </row>
    <row r="271" spans="1:26" s="227" customFormat="1" ht="39" customHeight="1">
      <c r="A271" s="189">
        <f t="shared" si="8"/>
        <v>70</v>
      </c>
      <c r="B271" s="245" t="s">
        <v>3191</v>
      </c>
      <c r="C271" s="471">
        <f>'.'!L3989</f>
        <v>2792780</v>
      </c>
      <c r="D271" s="473">
        <v>2792780</v>
      </c>
      <c r="E271" s="474"/>
      <c r="F271" s="473"/>
      <c r="G271" s="473"/>
      <c r="H271" s="473"/>
      <c r="I271" s="473"/>
      <c r="J271" s="473"/>
      <c r="K271" s="473"/>
      <c r="L271" s="473"/>
      <c r="M271" s="473"/>
      <c r="N271" s="473"/>
      <c r="O271" s="473"/>
      <c r="P271" s="473"/>
      <c r="Q271" s="473"/>
      <c r="R271" s="473"/>
      <c r="S271" s="32"/>
      <c r="T271" s="32"/>
      <c r="U271" s="2"/>
      <c r="V271" s="11"/>
    </row>
    <row r="272" spans="1:26" s="227" customFormat="1" ht="39" customHeight="1">
      <c r="A272" s="189">
        <f t="shared" si="8"/>
        <v>71</v>
      </c>
      <c r="B272" s="245" t="s">
        <v>3192</v>
      </c>
      <c r="C272" s="471">
        <f>'.'!L3990</f>
        <v>1562100</v>
      </c>
      <c r="D272" s="473">
        <v>1562100</v>
      </c>
      <c r="E272" s="474"/>
      <c r="F272" s="473"/>
      <c r="G272" s="473"/>
      <c r="H272" s="473"/>
      <c r="I272" s="473"/>
      <c r="J272" s="473"/>
      <c r="K272" s="473"/>
      <c r="L272" s="473"/>
      <c r="M272" s="473"/>
      <c r="N272" s="473"/>
      <c r="O272" s="473"/>
      <c r="P272" s="473"/>
      <c r="Q272" s="473"/>
      <c r="R272" s="473"/>
      <c r="S272" s="32"/>
      <c r="T272" s="32"/>
      <c r="U272" s="2"/>
      <c r="V272" s="11"/>
    </row>
    <row r="273" spans="1:26" s="227" customFormat="1" ht="39" customHeight="1">
      <c r="A273" s="189">
        <f t="shared" si="8"/>
        <v>72</v>
      </c>
      <c r="B273" s="245" t="s">
        <v>3193</v>
      </c>
      <c r="C273" s="471">
        <f>'.'!L3991</f>
        <v>4181670</v>
      </c>
      <c r="D273" s="473">
        <v>4181670</v>
      </c>
      <c r="E273" s="474"/>
      <c r="F273" s="473"/>
      <c r="G273" s="473"/>
      <c r="H273" s="473"/>
      <c r="I273" s="473"/>
      <c r="J273" s="473"/>
      <c r="K273" s="473"/>
      <c r="L273" s="473"/>
      <c r="M273" s="473"/>
      <c r="N273" s="473"/>
      <c r="O273" s="473"/>
      <c r="P273" s="473"/>
      <c r="Q273" s="473"/>
      <c r="R273" s="473"/>
      <c r="S273" s="32"/>
      <c r="T273" s="32"/>
      <c r="U273" s="2"/>
      <c r="V273" s="11"/>
    </row>
    <row r="274" spans="1:26" s="227" customFormat="1" ht="39" customHeight="1">
      <c r="A274" s="189">
        <f t="shared" si="8"/>
        <v>73</v>
      </c>
      <c r="B274" s="245" t="s">
        <v>3194</v>
      </c>
      <c r="C274" s="471">
        <f>'.'!L3992</f>
        <v>4287763</v>
      </c>
      <c r="D274" s="473"/>
      <c r="E274" s="474"/>
      <c r="F274" s="473"/>
      <c r="G274" s="473">
        <v>1746</v>
      </c>
      <c r="H274" s="473">
        <v>4287763</v>
      </c>
      <c r="I274" s="473"/>
      <c r="J274" s="473"/>
      <c r="K274" s="473"/>
      <c r="L274" s="473"/>
      <c r="M274" s="473"/>
      <c r="N274" s="473"/>
      <c r="O274" s="473"/>
      <c r="P274" s="473"/>
      <c r="Q274" s="473"/>
      <c r="R274" s="473"/>
      <c r="S274" s="32"/>
      <c r="T274" s="32"/>
      <c r="U274" s="2"/>
      <c r="V274" s="11"/>
    </row>
    <row r="275" spans="1:26" s="227" customFormat="1" ht="39" customHeight="1">
      <c r="A275" s="189">
        <f t="shared" si="8"/>
        <v>74</v>
      </c>
      <c r="B275" s="245" t="s">
        <v>2200</v>
      </c>
      <c r="C275" s="471">
        <f>'.'!L3993</f>
        <v>4106250</v>
      </c>
      <c r="D275" s="473"/>
      <c r="E275" s="474">
        <v>2</v>
      </c>
      <c r="F275" s="473">
        <f>'.'!L3993</f>
        <v>4106250</v>
      </c>
      <c r="G275" s="473"/>
      <c r="H275" s="473"/>
      <c r="I275" s="473"/>
      <c r="J275" s="473"/>
      <c r="K275" s="473"/>
      <c r="L275" s="473"/>
      <c r="M275" s="473"/>
      <c r="N275" s="473"/>
      <c r="O275" s="473"/>
      <c r="P275" s="473"/>
      <c r="Q275" s="473"/>
      <c r="R275" s="473"/>
      <c r="S275" s="32"/>
      <c r="T275" s="32"/>
      <c r="U275" s="2"/>
      <c r="V275" s="11"/>
      <c r="Z275" s="140"/>
    </row>
    <row r="276" spans="1:26" s="227" customFormat="1" ht="39" customHeight="1">
      <c r="A276" s="189">
        <f t="shared" si="8"/>
        <v>75</v>
      </c>
      <c r="B276" s="245" t="s">
        <v>3195</v>
      </c>
      <c r="C276" s="471">
        <f>'.'!L3994</f>
        <v>2085000</v>
      </c>
      <c r="D276" s="473"/>
      <c r="E276" s="474">
        <v>1</v>
      </c>
      <c r="F276" s="473">
        <f>'.'!L3994</f>
        <v>2085000</v>
      </c>
      <c r="G276" s="473"/>
      <c r="H276" s="473"/>
      <c r="I276" s="473"/>
      <c r="J276" s="473"/>
      <c r="K276" s="473"/>
      <c r="L276" s="473"/>
      <c r="M276" s="473"/>
      <c r="N276" s="473"/>
      <c r="O276" s="473"/>
      <c r="P276" s="473"/>
      <c r="Q276" s="473"/>
      <c r="R276" s="473"/>
      <c r="S276" s="32"/>
      <c r="T276" s="32"/>
      <c r="U276" s="2"/>
      <c r="V276" s="11"/>
      <c r="Z276" s="140"/>
    </row>
    <row r="277" spans="1:26" s="227" customFormat="1" ht="39" customHeight="1">
      <c r="A277" s="189">
        <f t="shared" si="8"/>
        <v>76</v>
      </c>
      <c r="B277" s="245" t="s">
        <v>3196</v>
      </c>
      <c r="C277" s="471">
        <f>'.'!L3995</f>
        <v>3145890</v>
      </c>
      <c r="D277" s="473"/>
      <c r="E277" s="474">
        <v>1</v>
      </c>
      <c r="F277" s="473">
        <f>'.'!M3996+'.'!N3996+'.'!O3996+'.'!P3996+'.'!Q3996</f>
        <v>2085000</v>
      </c>
      <c r="G277" s="473">
        <v>432</v>
      </c>
      <c r="H277" s="473">
        <f>'.'!M3995+'.'!N3995+'.'!O3995+'.'!P3995+'.'!Q3995</f>
        <v>1060890</v>
      </c>
      <c r="I277" s="473"/>
      <c r="J277" s="473"/>
      <c r="K277" s="473"/>
      <c r="L277" s="473"/>
      <c r="M277" s="473"/>
      <c r="N277" s="473"/>
      <c r="O277" s="473"/>
      <c r="P277" s="473"/>
      <c r="Q277" s="473"/>
      <c r="R277" s="473"/>
      <c r="S277" s="32"/>
      <c r="T277" s="32"/>
      <c r="U277" s="2"/>
      <c r="V277" s="11"/>
      <c r="Z277" s="140"/>
    </row>
    <row r="278" spans="1:26" s="227" customFormat="1" ht="39" customHeight="1">
      <c r="A278" s="189">
        <f t="shared" si="8"/>
        <v>77</v>
      </c>
      <c r="B278" s="245" t="s">
        <v>3197</v>
      </c>
      <c r="C278" s="471">
        <f>'.'!L3997</f>
        <v>2296201</v>
      </c>
      <c r="D278" s="473"/>
      <c r="E278" s="474"/>
      <c r="F278" s="473"/>
      <c r="G278" s="473">
        <v>792.4</v>
      </c>
      <c r="H278" s="473">
        <v>2296201</v>
      </c>
      <c r="I278" s="473"/>
      <c r="J278" s="473"/>
      <c r="K278" s="473"/>
      <c r="L278" s="473"/>
      <c r="M278" s="473"/>
      <c r="N278" s="473"/>
      <c r="O278" s="473"/>
      <c r="P278" s="473"/>
      <c r="Q278" s="473"/>
      <c r="R278" s="473"/>
      <c r="S278" s="32"/>
      <c r="T278" s="32"/>
      <c r="U278" s="2"/>
      <c r="V278" s="11"/>
    </row>
    <row r="279" spans="1:26" s="227" customFormat="1" ht="39" customHeight="1">
      <c r="A279" s="189">
        <f t="shared" si="8"/>
        <v>78</v>
      </c>
      <c r="B279" s="245" t="s">
        <v>3198</v>
      </c>
      <c r="C279" s="471">
        <f>'.'!L3998</f>
        <v>2302508</v>
      </c>
      <c r="D279" s="473">
        <v>2302508</v>
      </c>
      <c r="E279" s="474"/>
      <c r="F279" s="473"/>
      <c r="G279" s="473"/>
      <c r="H279" s="473"/>
      <c r="I279" s="473"/>
      <c r="J279" s="473"/>
      <c r="K279" s="473"/>
      <c r="L279" s="473"/>
      <c r="M279" s="473"/>
      <c r="N279" s="473"/>
      <c r="O279" s="473"/>
      <c r="P279" s="473"/>
      <c r="Q279" s="473"/>
      <c r="R279" s="473"/>
      <c r="S279" s="32"/>
      <c r="T279" s="32"/>
      <c r="U279" s="2"/>
      <c r="V279" s="11"/>
    </row>
    <row r="280" spans="1:26" s="227" customFormat="1" ht="39" customHeight="1">
      <c r="A280" s="189">
        <f t="shared" si="8"/>
        <v>79</v>
      </c>
      <c r="B280" s="245" t="s">
        <v>3199</v>
      </c>
      <c r="C280" s="471">
        <f>'.'!L3999</f>
        <v>2149773</v>
      </c>
      <c r="D280" s="473"/>
      <c r="E280" s="474"/>
      <c r="F280" s="473"/>
      <c r="G280" s="473">
        <v>741.2</v>
      </c>
      <c r="H280" s="473">
        <v>2149773</v>
      </c>
      <c r="I280" s="473"/>
      <c r="J280" s="473"/>
      <c r="K280" s="473"/>
      <c r="L280" s="473"/>
      <c r="M280" s="473"/>
      <c r="N280" s="473"/>
      <c r="O280" s="473"/>
      <c r="P280" s="473"/>
      <c r="Q280" s="473"/>
      <c r="R280" s="473"/>
      <c r="S280" s="32"/>
      <c r="T280" s="32"/>
      <c r="U280" s="2"/>
      <c r="V280" s="11"/>
    </row>
    <row r="281" spans="1:26" s="227" customFormat="1" ht="39" customHeight="1">
      <c r="A281" s="189">
        <f t="shared" si="8"/>
        <v>80</v>
      </c>
      <c r="B281" s="245" t="s">
        <v>3200</v>
      </c>
      <c r="C281" s="471">
        <f>'.'!L4000</f>
        <v>3073200</v>
      </c>
      <c r="D281" s="473">
        <v>3073200</v>
      </c>
      <c r="E281" s="474"/>
      <c r="F281" s="473"/>
      <c r="G281" s="473"/>
      <c r="H281" s="473"/>
      <c r="I281" s="473"/>
      <c r="J281" s="473"/>
      <c r="K281" s="473"/>
      <c r="L281" s="473"/>
      <c r="M281" s="473"/>
      <c r="N281" s="473"/>
      <c r="O281" s="473"/>
      <c r="P281" s="473"/>
      <c r="Q281" s="473"/>
      <c r="R281" s="473"/>
      <c r="S281" s="32"/>
      <c r="T281" s="32"/>
      <c r="U281" s="2"/>
      <c r="V281" s="11"/>
    </row>
    <row r="282" spans="1:26" s="227" customFormat="1" ht="39" customHeight="1">
      <c r="A282" s="189">
        <f t="shared" si="8"/>
        <v>81</v>
      </c>
      <c r="B282" s="245" t="s">
        <v>3201</v>
      </c>
      <c r="C282" s="471">
        <f>'.'!L4001</f>
        <v>3121275</v>
      </c>
      <c r="D282" s="473"/>
      <c r="E282" s="474"/>
      <c r="F282" s="473"/>
      <c r="G282" s="473">
        <v>1271</v>
      </c>
      <c r="H282" s="473">
        <v>3121275</v>
      </c>
      <c r="I282" s="473"/>
      <c r="J282" s="473"/>
      <c r="K282" s="473"/>
      <c r="L282" s="473"/>
      <c r="M282" s="473"/>
      <c r="N282" s="473"/>
      <c r="O282" s="473"/>
      <c r="P282" s="473"/>
      <c r="Q282" s="473"/>
      <c r="R282" s="473"/>
      <c r="S282" s="32"/>
      <c r="T282" s="32"/>
      <c r="U282" s="2"/>
      <c r="V282" s="11"/>
    </row>
    <row r="283" spans="1:26" s="227" customFormat="1" ht="39" customHeight="1">
      <c r="A283" s="189">
        <f t="shared" si="8"/>
        <v>82</v>
      </c>
      <c r="B283" s="245" t="s">
        <v>3202</v>
      </c>
      <c r="C283" s="471">
        <f>'.'!L4002</f>
        <v>2316031</v>
      </c>
      <c r="D283" s="473"/>
      <c r="E283" s="474"/>
      <c r="F283" s="473"/>
      <c r="G283" s="473">
        <v>943.1</v>
      </c>
      <c r="H283" s="473">
        <v>2316031</v>
      </c>
      <c r="I283" s="473"/>
      <c r="J283" s="473"/>
      <c r="K283" s="473"/>
      <c r="L283" s="473"/>
      <c r="M283" s="473"/>
      <c r="N283" s="473"/>
      <c r="O283" s="473"/>
      <c r="P283" s="473"/>
      <c r="Q283" s="473"/>
      <c r="R283" s="473"/>
      <c r="S283" s="32"/>
      <c r="T283" s="32"/>
      <c r="U283" s="2"/>
      <c r="V283" s="11"/>
    </row>
    <row r="284" spans="1:26" s="227" customFormat="1" ht="39" customHeight="1">
      <c r="A284" s="189">
        <f t="shared" si="8"/>
        <v>83</v>
      </c>
      <c r="B284" s="245" t="s">
        <v>3203</v>
      </c>
      <c r="C284" s="471">
        <f>'.'!L4003</f>
        <v>2696263</v>
      </c>
      <c r="D284" s="473"/>
      <c r="E284" s="474"/>
      <c r="F284" s="473"/>
      <c r="G284" s="473"/>
      <c r="H284" s="473"/>
      <c r="I284" s="473"/>
      <c r="J284" s="473"/>
      <c r="K284" s="473"/>
      <c r="L284" s="473"/>
      <c r="M284" s="473"/>
      <c r="N284" s="473"/>
      <c r="O284" s="473">
        <v>1004</v>
      </c>
      <c r="P284" s="473">
        <v>2696263</v>
      </c>
      <c r="Q284" s="473"/>
      <c r="R284" s="473"/>
      <c r="S284" s="32"/>
      <c r="T284" s="32"/>
      <c r="U284" s="2"/>
      <c r="V284" s="11"/>
    </row>
    <row r="285" spans="1:26" s="227" customFormat="1" ht="39" customHeight="1">
      <c r="A285" s="189">
        <f t="shared" si="8"/>
        <v>84</v>
      </c>
      <c r="B285" s="245" t="s">
        <v>3204</v>
      </c>
      <c r="C285" s="471">
        <f>'.'!L4004</f>
        <v>2173105</v>
      </c>
      <c r="D285" s="473"/>
      <c r="E285" s="474"/>
      <c r="F285" s="473"/>
      <c r="G285" s="473">
        <v>884.9</v>
      </c>
      <c r="H285" s="473">
        <v>2173105</v>
      </c>
      <c r="I285" s="473"/>
      <c r="J285" s="473"/>
      <c r="K285" s="473"/>
      <c r="L285" s="473"/>
      <c r="M285" s="473"/>
      <c r="N285" s="473"/>
      <c r="O285" s="473"/>
      <c r="P285" s="473"/>
      <c r="Q285" s="473"/>
      <c r="R285" s="473"/>
      <c r="S285" s="32"/>
      <c r="T285" s="32"/>
      <c r="U285" s="2"/>
      <c r="V285" s="11"/>
    </row>
    <row r="286" spans="1:26" s="227" customFormat="1" ht="39" customHeight="1">
      <c r="A286" s="189">
        <f t="shared" si="8"/>
        <v>85</v>
      </c>
      <c r="B286" s="245" t="s">
        <v>3205</v>
      </c>
      <c r="C286" s="471">
        <f>'.'!L4005</f>
        <v>1072678</v>
      </c>
      <c r="D286" s="473"/>
      <c r="E286" s="474"/>
      <c r="F286" s="473"/>
      <c r="G286" s="473">
        <v>436.8</v>
      </c>
      <c r="H286" s="473">
        <v>1072678</v>
      </c>
      <c r="I286" s="473"/>
      <c r="J286" s="473"/>
      <c r="K286" s="473"/>
      <c r="L286" s="473"/>
      <c r="M286" s="473"/>
      <c r="N286" s="473"/>
      <c r="O286" s="473"/>
      <c r="P286" s="473"/>
      <c r="Q286" s="473"/>
      <c r="R286" s="473"/>
      <c r="S286" s="32"/>
      <c r="T286" s="32"/>
      <c r="U286" s="2"/>
      <c r="V286" s="11"/>
    </row>
    <row r="287" spans="1:26" s="227" customFormat="1" ht="39" customHeight="1">
      <c r="A287" s="189">
        <f t="shared" si="8"/>
        <v>86</v>
      </c>
      <c r="B287" s="245" t="s">
        <v>3206</v>
      </c>
      <c r="C287" s="471">
        <f>'.'!L4006</f>
        <v>614640</v>
      </c>
      <c r="D287" s="473">
        <v>614640</v>
      </c>
      <c r="E287" s="474"/>
      <c r="F287" s="473"/>
      <c r="G287" s="473"/>
      <c r="H287" s="473"/>
      <c r="I287" s="473"/>
      <c r="J287" s="473"/>
      <c r="K287" s="473"/>
      <c r="L287" s="473"/>
      <c r="M287" s="473"/>
      <c r="N287" s="473"/>
      <c r="O287" s="473"/>
      <c r="P287" s="473"/>
      <c r="Q287" s="473"/>
      <c r="R287" s="473"/>
      <c r="S287" s="32"/>
      <c r="T287" s="32"/>
      <c r="U287" s="2"/>
      <c r="V287" s="11"/>
    </row>
    <row r="288" spans="1:26" s="227" customFormat="1" ht="39" customHeight="1">
      <c r="A288" s="189">
        <f t="shared" si="8"/>
        <v>87</v>
      </c>
      <c r="B288" s="245" t="s">
        <v>3207</v>
      </c>
      <c r="C288" s="471">
        <f>'.'!L4007</f>
        <v>1068256</v>
      </c>
      <c r="D288" s="473"/>
      <c r="E288" s="474"/>
      <c r="F288" s="473"/>
      <c r="G288" s="473">
        <v>435</v>
      </c>
      <c r="H288" s="473">
        <v>1068256</v>
      </c>
      <c r="I288" s="473"/>
      <c r="J288" s="473"/>
      <c r="K288" s="473"/>
      <c r="L288" s="473"/>
      <c r="M288" s="473"/>
      <c r="N288" s="473"/>
      <c r="O288" s="473"/>
      <c r="P288" s="473"/>
      <c r="Q288" s="473"/>
      <c r="R288" s="473"/>
      <c r="S288" s="32"/>
      <c r="T288" s="32"/>
      <c r="U288" s="2"/>
      <c r="V288" s="11"/>
    </row>
    <row r="289" spans="1:26" s="227" customFormat="1" ht="39" customHeight="1">
      <c r="A289" s="189">
        <f t="shared" si="8"/>
        <v>88</v>
      </c>
      <c r="B289" s="245" t="s">
        <v>3208</v>
      </c>
      <c r="C289" s="471">
        <f>'.'!L4008</f>
        <v>1557197</v>
      </c>
      <c r="D289" s="473"/>
      <c r="E289" s="474"/>
      <c r="F289" s="473"/>
      <c r="G289" s="473">
        <v>534</v>
      </c>
      <c r="H289" s="473">
        <v>1557197</v>
      </c>
      <c r="I289" s="473"/>
      <c r="J289" s="473"/>
      <c r="K289" s="473"/>
      <c r="L289" s="473"/>
      <c r="M289" s="473"/>
      <c r="N289" s="473"/>
      <c r="O289" s="473"/>
      <c r="P289" s="473"/>
      <c r="Q289" s="473"/>
      <c r="R289" s="473"/>
      <c r="S289" s="32"/>
      <c r="T289" s="32"/>
      <c r="U289" s="2"/>
      <c r="V289" s="11"/>
    </row>
    <row r="290" spans="1:26" s="227" customFormat="1" ht="39" customHeight="1">
      <c r="A290" s="189">
        <f t="shared" si="8"/>
        <v>89</v>
      </c>
      <c r="B290" s="245" t="s">
        <v>3209</v>
      </c>
      <c r="C290" s="471">
        <f>'.'!L4009</f>
        <v>4106250</v>
      </c>
      <c r="D290" s="473"/>
      <c r="E290" s="474">
        <v>2</v>
      </c>
      <c r="F290" s="473">
        <f>'.'!L4009</f>
        <v>4106250</v>
      </c>
      <c r="G290" s="473"/>
      <c r="H290" s="473"/>
      <c r="I290" s="473"/>
      <c r="J290" s="473"/>
      <c r="K290" s="473"/>
      <c r="L290" s="473"/>
      <c r="M290" s="473"/>
      <c r="N290" s="473"/>
      <c r="O290" s="473"/>
      <c r="P290" s="473"/>
      <c r="Q290" s="473"/>
      <c r="R290" s="473"/>
      <c r="S290" s="32"/>
      <c r="T290" s="32"/>
      <c r="U290" s="2"/>
      <c r="V290" s="11"/>
      <c r="Z290" s="140"/>
    </row>
    <row r="291" spans="1:26" s="227" customFormat="1" ht="39" customHeight="1">
      <c r="A291" s="189">
        <f t="shared" si="8"/>
        <v>90</v>
      </c>
      <c r="B291" s="245" t="s">
        <v>3210</v>
      </c>
      <c r="C291" s="471">
        <f>'.'!L4010</f>
        <v>8104019</v>
      </c>
      <c r="D291" s="473"/>
      <c r="E291" s="474"/>
      <c r="F291" s="473"/>
      <c r="G291" s="473">
        <v>3300</v>
      </c>
      <c r="H291" s="473">
        <v>8104019</v>
      </c>
      <c r="I291" s="473"/>
      <c r="J291" s="473"/>
      <c r="K291" s="473"/>
      <c r="L291" s="473"/>
      <c r="M291" s="473"/>
      <c r="N291" s="473"/>
      <c r="O291" s="473"/>
      <c r="P291" s="473"/>
      <c r="Q291" s="473"/>
      <c r="R291" s="473"/>
      <c r="S291" s="32"/>
      <c r="T291" s="32"/>
      <c r="U291" s="2"/>
      <c r="V291" s="11"/>
    </row>
    <row r="292" spans="1:26" s="227" customFormat="1" ht="39" customHeight="1">
      <c r="A292" s="189">
        <f t="shared" si="8"/>
        <v>91</v>
      </c>
      <c r="B292" s="245" t="s">
        <v>3211</v>
      </c>
      <c r="C292" s="471">
        <f>'.'!L4011</f>
        <v>1311232</v>
      </c>
      <c r="D292" s="473">
        <v>1311232</v>
      </c>
      <c r="E292" s="474"/>
      <c r="F292" s="473"/>
      <c r="G292" s="473"/>
      <c r="H292" s="473"/>
      <c r="I292" s="473"/>
      <c r="J292" s="473"/>
      <c r="K292" s="473"/>
      <c r="L292" s="473"/>
      <c r="M292" s="473"/>
      <c r="N292" s="473"/>
      <c r="O292" s="473"/>
      <c r="P292" s="473"/>
      <c r="Q292" s="473"/>
      <c r="R292" s="473"/>
      <c r="S292" s="32"/>
      <c r="T292" s="32"/>
      <c r="U292" s="2"/>
      <c r="V292" s="11"/>
    </row>
    <row r="293" spans="1:26" s="227" customFormat="1" ht="39" customHeight="1">
      <c r="A293" s="189">
        <f t="shared" si="8"/>
        <v>92</v>
      </c>
      <c r="B293" s="245" t="s">
        <v>3212</v>
      </c>
      <c r="C293" s="471">
        <f>'.'!L4012</f>
        <v>655616</v>
      </c>
      <c r="D293" s="473">
        <v>655616</v>
      </c>
      <c r="E293" s="474"/>
      <c r="F293" s="473"/>
      <c r="G293" s="473"/>
      <c r="H293" s="473"/>
      <c r="I293" s="473"/>
      <c r="J293" s="473"/>
      <c r="K293" s="473"/>
      <c r="L293" s="473"/>
      <c r="M293" s="473"/>
      <c r="N293" s="473"/>
      <c r="O293" s="473"/>
      <c r="P293" s="473"/>
      <c r="Q293" s="473"/>
      <c r="R293" s="473"/>
      <c r="S293" s="32"/>
      <c r="T293" s="32"/>
      <c r="U293" s="2"/>
      <c r="V293" s="11"/>
    </row>
    <row r="294" spans="1:26" s="227" customFormat="1" ht="39" customHeight="1">
      <c r="A294" s="189">
        <f t="shared" si="8"/>
        <v>93</v>
      </c>
      <c r="B294" s="245" t="s">
        <v>3213</v>
      </c>
      <c r="C294" s="471">
        <f>'.'!L4013</f>
        <v>2836407</v>
      </c>
      <c r="D294" s="473"/>
      <c r="E294" s="474"/>
      <c r="F294" s="473"/>
      <c r="G294" s="473">
        <v>1155</v>
      </c>
      <c r="H294" s="473">
        <v>2836407</v>
      </c>
      <c r="I294" s="473"/>
      <c r="J294" s="473"/>
      <c r="K294" s="473"/>
      <c r="L294" s="473"/>
      <c r="M294" s="473"/>
      <c r="N294" s="473"/>
      <c r="O294" s="473"/>
      <c r="P294" s="473"/>
      <c r="Q294" s="473"/>
      <c r="R294" s="473"/>
      <c r="S294" s="32"/>
      <c r="T294" s="32"/>
      <c r="U294" s="2"/>
      <c r="V294" s="11"/>
    </row>
    <row r="295" spans="1:26" s="227" customFormat="1" ht="39" customHeight="1">
      <c r="A295" s="189">
        <f t="shared" si="8"/>
        <v>94</v>
      </c>
      <c r="B295" s="245" t="s">
        <v>3214</v>
      </c>
      <c r="C295" s="471">
        <f>'.'!L4014</f>
        <v>5876413</v>
      </c>
      <c r="D295" s="473">
        <f>'.'!M4014+'.'!N4014+'.'!O4014+'.'!P4014+'.'!Q4014</f>
        <v>1770163</v>
      </c>
      <c r="E295" s="474">
        <v>2</v>
      </c>
      <c r="F295" s="473">
        <f>'.'!M4015+'.'!N4015+'.'!O4015+'.'!P4015+'.'!Q4015</f>
        <v>4106250</v>
      </c>
      <c r="G295" s="473"/>
      <c r="H295" s="473"/>
      <c r="I295" s="473"/>
      <c r="J295" s="473"/>
      <c r="K295" s="473"/>
      <c r="L295" s="473"/>
      <c r="M295" s="473"/>
      <c r="N295" s="473"/>
      <c r="O295" s="473"/>
      <c r="P295" s="473"/>
      <c r="Q295" s="473"/>
      <c r="R295" s="473"/>
      <c r="S295" s="32"/>
      <c r="T295" s="32"/>
      <c r="U295" s="2"/>
      <c r="V295" s="11"/>
      <c r="Z295" s="140"/>
    </row>
    <row r="296" spans="1:26" s="227" customFormat="1" ht="39" customHeight="1">
      <c r="A296" s="189">
        <f t="shared" si="8"/>
        <v>95</v>
      </c>
      <c r="B296" s="245" t="s">
        <v>3215</v>
      </c>
      <c r="C296" s="471">
        <f>'.'!L4016</f>
        <v>3094262</v>
      </c>
      <c r="D296" s="473"/>
      <c r="E296" s="474"/>
      <c r="F296" s="473"/>
      <c r="G296" s="473">
        <f>'.'!G4016</f>
        <v>1260</v>
      </c>
      <c r="H296" s="473">
        <f>'.'!L4016</f>
        <v>3094262</v>
      </c>
      <c r="I296" s="473"/>
      <c r="J296" s="473"/>
      <c r="K296" s="473"/>
      <c r="L296" s="473"/>
      <c r="M296" s="473"/>
      <c r="N296" s="473"/>
      <c r="O296" s="473"/>
      <c r="P296" s="473"/>
      <c r="Q296" s="473"/>
      <c r="R296" s="473"/>
      <c r="S296" s="32"/>
      <c r="T296" s="32"/>
      <c r="U296" s="2"/>
      <c r="V296" s="11"/>
    </row>
    <row r="297" spans="1:26" s="227" customFormat="1" ht="39" customHeight="1">
      <c r="A297" s="189">
        <f t="shared" si="8"/>
        <v>96</v>
      </c>
      <c r="B297" s="245" t="s">
        <v>3216</v>
      </c>
      <c r="C297" s="471">
        <f>'.'!L4017</f>
        <v>2527963</v>
      </c>
      <c r="D297" s="473"/>
      <c r="E297" s="474"/>
      <c r="F297" s="473"/>
      <c r="G297" s="473">
        <f>'.'!G4017</f>
        <v>1029.4000000000001</v>
      </c>
      <c r="H297" s="473">
        <f>'.'!L4017</f>
        <v>2527963</v>
      </c>
      <c r="I297" s="473"/>
      <c r="J297" s="473"/>
      <c r="K297" s="473"/>
      <c r="L297" s="473"/>
      <c r="M297" s="473"/>
      <c r="N297" s="473"/>
      <c r="O297" s="473"/>
      <c r="P297" s="473"/>
      <c r="Q297" s="473"/>
      <c r="R297" s="473"/>
      <c r="S297" s="32"/>
      <c r="T297" s="32"/>
      <c r="U297" s="2"/>
      <c r="V297" s="11"/>
    </row>
    <row r="298" spans="1:26" s="227" customFormat="1" ht="39" customHeight="1">
      <c r="A298" s="189">
        <f t="shared" si="8"/>
        <v>97</v>
      </c>
      <c r="B298" s="245" t="s">
        <v>3217</v>
      </c>
      <c r="C298" s="471">
        <f>'.'!L4018</f>
        <v>2170770</v>
      </c>
      <c r="D298" s="473"/>
      <c r="E298" s="474"/>
      <c r="F298" s="473"/>
      <c r="G298" s="473">
        <f>'.'!G4018</f>
        <v>884.2</v>
      </c>
      <c r="H298" s="473">
        <f>'.'!L4018</f>
        <v>2170770</v>
      </c>
      <c r="I298" s="473"/>
      <c r="J298" s="473"/>
      <c r="K298" s="473"/>
      <c r="L298" s="473"/>
      <c r="M298" s="473"/>
      <c r="N298" s="473"/>
      <c r="O298" s="473"/>
      <c r="P298" s="473"/>
      <c r="Q298" s="473"/>
      <c r="R298" s="473"/>
      <c r="S298" s="32"/>
      <c r="T298" s="32"/>
      <c r="U298" s="2"/>
      <c r="V298" s="11"/>
    </row>
    <row r="299" spans="1:26" s="227" customFormat="1" ht="39" customHeight="1">
      <c r="A299" s="189">
        <f t="shared" si="8"/>
        <v>98</v>
      </c>
      <c r="B299" s="245" t="s">
        <v>3218</v>
      </c>
      <c r="C299" s="471">
        <f>'.'!L4019</f>
        <v>2377179</v>
      </c>
      <c r="D299" s="473"/>
      <c r="E299" s="474"/>
      <c r="F299" s="473"/>
      <c r="G299" s="473">
        <f>'.'!G4019</f>
        <v>968</v>
      </c>
      <c r="H299" s="473">
        <f>'.'!L4019</f>
        <v>2377179</v>
      </c>
      <c r="I299" s="473"/>
      <c r="J299" s="473"/>
      <c r="K299" s="473"/>
      <c r="L299" s="473"/>
      <c r="M299" s="473"/>
      <c r="N299" s="473"/>
      <c r="O299" s="473"/>
      <c r="P299" s="473"/>
      <c r="Q299" s="473"/>
      <c r="R299" s="473"/>
      <c r="S299" s="32"/>
      <c r="T299" s="32"/>
      <c r="U299" s="2"/>
      <c r="V299" s="11"/>
    </row>
    <row r="300" spans="1:26" s="227" customFormat="1" ht="39" customHeight="1">
      <c r="A300" s="189">
        <f t="shared" si="8"/>
        <v>99</v>
      </c>
      <c r="B300" s="245" t="s">
        <v>3219</v>
      </c>
      <c r="C300" s="471">
        <f>'.'!L4020</f>
        <v>2359988</v>
      </c>
      <c r="D300" s="473"/>
      <c r="E300" s="474"/>
      <c r="F300" s="473"/>
      <c r="G300" s="473">
        <f>'.'!G4020</f>
        <v>961</v>
      </c>
      <c r="H300" s="473">
        <f>'.'!L4020</f>
        <v>2359988</v>
      </c>
      <c r="I300" s="473"/>
      <c r="J300" s="473"/>
      <c r="K300" s="473"/>
      <c r="L300" s="473"/>
      <c r="M300" s="473"/>
      <c r="N300" s="473"/>
      <c r="O300" s="473"/>
      <c r="P300" s="473"/>
      <c r="Q300" s="473"/>
      <c r="R300" s="473"/>
      <c r="S300" s="32"/>
      <c r="T300" s="32"/>
      <c r="U300" s="2"/>
      <c r="V300" s="11"/>
    </row>
    <row r="301" spans="1:26" s="227" customFormat="1" ht="39" customHeight="1">
      <c r="A301" s="189">
        <f t="shared" si="8"/>
        <v>100</v>
      </c>
      <c r="B301" s="245" t="s">
        <v>3220</v>
      </c>
      <c r="C301" s="471">
        <f>'.'!L4021</f>
        <v>2585919</v>
      </c>
      <c r="D301" s="473"/>
      <c r="E301" s="474"/>
      <c r="F301" s="473"/>
      <c r="G301" s="473">
        <f>'.'!G4021</f>
        <v>1053</v>
      </c>
      <c r="H301" s="473">
        <f>'.'!L4021</f>
        <v>2585919</v>
      </c>
      <c r="I301" s="473"/>
      <c r="J301" s="473"/>
      <c r="K301" s="473"/>
      <c r="L301" s="473"/>
      <c r="M301" s="473"/>
      <c r="N301" s="473"/>
      <c r="O301" s="473"/>
      <c r="P301" s="473"/>
      <c r="Q301" s="473"/>
      <c r="R301" s="473"/>
      <c r="S301" s="32"/>
      <c r="T301" s="32"/>
      <c r="U301" s="2"/>
      <c r="V301" s="11"/>
    </row>
    <row r="302" spans="1:26" s="227" customFormat="1" ht="39" customHeight="1">
      <c r="A302" s="189">
        <f t="shared" si="8"/>
        <v>101</v>
      </c>
      <c r="B302" s="245" t="s">
        <v>3221</v>
      </c>
      <c r="C302" s="471">
        <f>'.'!L4022</f>
        <v>2534348</v>
      </c>
      <c r="D302" s="473"/>
      <c r="E302" s="474"/>
      <c r="F302" s="473"/>
      <c r="G302" s="473">
        <f>'.'!G4022</f>
        <v>1032</v>
      </c>
      <c r="H302" s="473">
        <f>'.'!L4022</f>
        <v>2534348</v>
      </c>
      <c r="I302" s="473"/>
      <c r="J302" s="473"/>
      <c r="K302" s="473"/>
      <c r="L302" s="473"/>
      <c r="M302" s="473"/>
      <c r="N302" s="473"/>
      <c r="O302" s="473"/>
      <c r="P302" s="473"/>
      <c r="Q302" s="473"/>
      <c r="R302" s="473"/>
      <c r="S302" s="32"/>
      <c r="T302" s="32"/>
      <c r="U302" s="2"/>
      <c r="V302" s="11"/>
    </row>
    <row r="303" spans="1:26" s="227" customFormat="1" ht="39" customHeight="1">
      <c r="A303" s="189">
        <f t="shared" si="8"/>
        <v>102</v>
      </c>
      <c r="B303" s="166" t="s">
        <v>3978</v>
      </c>
      <c r="C303" s="471">
        <f>'.'!L4023</f>
        <v>4106250</v>
      </c>
      <c r="D303" s="447"/>
      <c r="E303" s="475">
        <v>2</v>
      </c>
      <c r="F303" s="447">
        <f>'.'!L4023</f>
        <v>4106250</v>
      </c>
      <c r="G303" s="447"/>
      <c r="H303" s="447"/>
      <c r="I303" s="447"/>
      <c r="J303" s="447"/>
      <c r="K303" s="447"/>
      <c r="L303" s="447"/>
      <c r="M303" s="447"/>
      <c r="N303" s="447"/>
      <c r="O303" s="447"/>
      <c r="P303" s="447"/>
      <c r="Q303" s="447"/>
      <c r="R303" s="447"/>
      <c r="S303" s="453"/>
      <c r="T303" s="453"/>
      <c r="U303" s="70"/>
      <c r="V303" s="11"/>
      <c r="Z303" s="140"/>
    </row>
    <row r="304" spans="1:26" s="227" customFormat="1" ht="39" customHeight="1">
      <c r="A304" s="189">
        <f t="shared" si="8"/>
        <v>103</v>
      </c>
      <c r="B304" s="166" t="s">
        <v>3979</v>
      </c>
      <c r="C304" s="471">
        <f>'.'!L4024</f>
        <v>4106250</v>
      </c>
      <c r="D304" s="447"/>
      <c r="E304" s="475">
        <v>2</v>
      </c>
      <c r="F304" s="447">
        <f>'.'!L4024</f>
        <v>4106250</v>
      </c>
      <c r="G304" s="447"/>
      <c r="H304" s="447"/>
      <c r="I304" s="447"/>
      <c r="J304" s="447"/>
      <c r="K304" s="447"/>
      <c r="L304" s="447"/>
      <c r="M304" s="447"/>
      <c r="N304" s="447"/>
      <c r="O304" s="447"/>
      <c r="P304" s="447"/>
      <c r="Q304" s="447"/>
      <c r="R304" s="447"/>
      <c r="S304" s="453"/>
      <c r="T304" s="453"/>
      <c r="U304" s="70"/>
      <c r="V304" s="11"/>
      <c r="Z304" s="140"/>
    </row>
    <row r="305" spans="1:26" s="227" customFormat="1" ht="39" customHeight="1">
      <c r="A305" s="189">
        <f t="shared" si="8"/>
        <v>104</v>
      </c>
      <c r="B305" s="166" t="s">
        <v>3980</v>
      </c>
      <c r="C305" s="471">
        <f>'.'!L4025</f>
        <v>6127500</v>
      </c>
      <c r="D305" s="447"/>
      <c r="E305" s="475">
        <v>3</v>
      </c>
      <c r="F305" s="447">
        <f>'.'!L4025</f>
        <v>6127500</v>
      </c>
      <c r="G305" s="447"/>
      <c r="H305" s="447"/>
      <c r="I305" s="447"/>
      <c r="J305" s="447"/>
      <c r="K305" s="447"/>
      <c r="L305" s="447"/>
      <c r="M305" s="447"/>
      <c r="N305" s="447"/>
      <c r="O305" s="447"/>
      <c r="P305" s="447"/>
      <c r="Q305" s="447"/>
      <c r="R305" s="447"/>
      <c r="S305" s="453"/>
      <c r="T305" s="453"/>
      <c r="U305" s="70"/>
      <c r="V305" s="11"/>
      <c r="Z305" s="140"/>
    </row>
    <row r="306" spans="1:26" s="227" customFormat="1" ht="39" customHeight="1">
      <c r="A306" s="189">
        <f t="shared" si="8"/>
        <v>105</v>
      </c>
      <c r="B306" s="166" t="s">
        <v>3981</v>
      </c>
      <c r="C306" s="471">
        <f>'.'!L4026</f>
        <v>4106250</v>
      </c>
      <c r="D306" s="447"/>
      <c r="E306" s="475">
        <v>2</v>
      </c>
      <c r="F306" s="447">
        <f>'.'!L4026</f>
        <v>4106250</v>
      </c>
      <c r="G306" s="447"/>
      <c r="H306" s="447"/>
      <c r="I306" s="447"/>
      <c r="J306" s="447"/>
      <c r="K306" s="447"/>
      <c r="L306" s="447"/>
      <c r="M306" s="447"/>
      <c r="N306" s="447"/>
      <c r="O306" s="447"/>
      <c r="P306" s="447"/>
      <c r="Q306" s="447"/>
      <c r="R306" s="447"/>
      <c r="S306" s="453"/>
      <c r="T306" s="453"/>
      <c r="U306" s="70"/>
      <c r="V306" s="11"/>
      <c r="Z306" s="140"/>
    </row>
    <row r="307" spans="1:26" s="227" customFormat="1" ht="39" customHeight="1">
      <c r="A307" s="189">
        <f t="shared" si="8"/>
        <v>106</v>
      </c>
      <c r="B307" s="166" t="s">
        <v>3560</v>
      </c>
      <c r="C307" s="471">
        <f>'.'!L4027</f>
        <v>6127500</v>
      </c>
      <c r="D307" s="447"/>
      <c r="E307" s="475">
        <v>3</v>
      </c>
      <c r="F307" s="447">
        <f>'.'!L4027</f>
        <v>6127500</v>
      </c>
      <c r="G307" s="447"/>
      <c r="H307" s="447"/>
      <c r="I307" s="447"/>
      <c r="J307" s="447"/>
      <c r="K307" s="447"/>
      <c r="L307" s="447"/>
      <c r="M307" s="447"/>
      <c r="N307" s="447"/>
      <c r="O307" s="447"/>
      <c r="P307" s="447"/>
      <c r="Q307" s="447"/>
      <c r="R307" s="447"/>
      <c r="S307" s="453"/>
      <c r="T307" s="453"/>
      <c r="U307" s="70"/>
      <c r="V307" s="11"/>
      <c r="Z307" s="140"/>
    </row>
    <row r="308" spans="1:26" s="227" customFormat="1" ht="39" customHeight="1">
      <c r="A308" s="189">
        <f t="shared" si="8"/>
        <v>107</v>
      </c>
      <c r="B308" s="166" t="s">
        <v>3982</v>
      </c>
      <c r="C308" s="471">
        <f>'.'!L4028</f>
        <v>4106250</v>
      </c>
      <c r="D308" s="447"/>
      <c r="E308" s="475">
        <v>2</v>
      </c>
      <c r="F308" s="447">
        <f>'.'!L4028</f>
        <v>4106250</v>
      </c>
      <c r="G308" s="447"/>
      <c r="H308" s="447"/>
      <c r="I308" s="447"/>
      <c r="J308" s="447"/>
      <c r="K308" s="447"/>
      <c r="L308" s="447"/>
      <c r="M308" s="447"/>
      <c r="N308" s="447"/>
      <c r="O308" s="447"/>
      <c r="P308" s="447"/>
      <c r="Q308" s="447"/>
      <c r="R308" s="447"/>
      <c r="S308" s="453"/>
      <c r="T308" s="453"/>
      <c r="U308" s="70"/>
      <c r="V308" s="11"/>
      <c r="Z308" s="140"/>
    </row>
    <row r="309" spans="1:26" s="227" customFormat="1" ht="39" customHeight="1">
      <c r="A309" s="189">
        <f t="shared" si="8"/>
        <v>108</v>
      </c>
      <c r="B309" s="166" t="s">
        <v>3983</v>
      </c>
      <c r="C309" s="471">
        <f>'.'!L4029</f>
        <v>4106250</v>
      </c>
      <c r="D309" s="447"/>
      <c r="E309" s="475">
        <v>2</v>
      </c>
      <c r="F309" s="447">
        <f>'.'!L4029</f>
        <v>4106250</v>
      </c>
      <c r="G309" s="447"/>
      <c r="H309" s="447"/>
      <c r="I309" s="447"/>
      <c r="J309" s="447"/>
      <c r="K309" s="447"/>
      <c r="L309" s="447"/>
      <c r="M309" s="447"/>
      <c r="N309" s="447"/>
      <c r="O309" s="447"/>
      <c r="P309" s="447"/>
      <c r="Q309" s="447"/>
      <c r="R309" s="447"/>
      <c r="S309" s="453"/>
      <c r="T309" s="453"/>
      <c r="U309" s="70"/>
      <c r="V309" s="11"/>
      <c r="Z309" s="140"/>
    </row>
    <row r="310" spans="1:26" s="227" customFormat="1" ht="39" customHeight="1">
      <c r="A310" s="189">
        <f t="shared" si="8"/>
        <v>109</v>
      </c>
      <c r="B310" s="166" t="s">
        <v>3984</v>
      </c>
      <c r="C310" s="471">
        <f>'.'!L4030</f>
        <v>6127500</v>
      </c>
      <c r="D310" s="447"/>
      <c r="E310" s="475">
        <v>3</v>
      </c>
      <c r="F310" s="447">
        <f>'.'!L4030</f>
        <v>6127500</v>
      </c>
      <c r="G310" s="447"/>
      <c r="H310" s="447"/>
      <c r="I310" s="447"/>
      <c r="J310" s="447"/>
      <c r="K310" s="447"/>
      <c r="L310" s="447"/>
      <c r="M310" s="447"/>
      <c r="N310" s="447"/>
      <c r="O310" s="447"/>
      <c r="P310" s="447"/>
      <c r="Q310" s="447"/>
      <c r="R310" s="447"/>
      <c r="S310" s="453"/>
      <c r="T310" s="453"/>
      <c r="U310" s="70"/>
      <c r="V310" s="11"/>
      <c r="Z310" s="140"/>
    </row>
    <row r="311" spans="1:26" s="227" customFormat="1" ht="39" customHeight="1">
      <c r="A311" s="189">
        <f t="shared" si="8"/>
        <v>110</v>
      </c>
      <c r="B311" s="166" t="s">
        <v>3985</v>
      </c>
      <c r="C311" s="471">
        <f>'.'!L4031</f>
        <v>2085000</v>
      </c>
      <c r="D311" s="447"/>
      <c r="E311" s="475">
        <v>1</v>
      </c>
      <c r="F311" s="447">
        <f>'.'!L4031</f>
        <v>2085000</v>
      </c>
      <c r="G311" s="447"/>
      <c r="H311" s="447"/>
      <c r="I311" s="447"/>
      <c r="J311" s="447"/>
      <c r="K311" s="447"/>
      <c r="L311" s="447"/>
      <c r="M311" s="447"/>
      <c r="N311" s="447"/>
      <c r="O311" s="447"/>
      <c r="P311" s="447"/>
      <c r="Q311" s="447"/>
      <c r="R311" s="447"/>
      <c r="S311" s="453"/>
      <c r="T311" s="453"/>
      <c r="U311" s="70"/>
      <c r="V311" s="11"/>
      <c r="Z311" s="140"/>
    </row>
    <row r="312" spans="1:26" s="227" customFormat="1" ht="39" customHeight="1">
      <c r="A312" s="189">
        <f t="shared" si="8"/>
        <v>111</v>
      </c>
      <c r="B312" s="166" t="s">
        <v>3986</v>
      </c>
      <c r="C312" s="471">
        <f>'.'!L4032</f>
        <v>2085000</v>
      </c>
      <c r="D312" s="447"/>
      <c r="E312" s="475">
        <v>1</v>
      </c>
      <c r="F312" s="447">
        <f>'.'!L4032</f>
        <v>2085000</v>
      </c>
      <c r="G312" s="447"/>
      <c r="H312" s="447"/>
      <c r="I312" s="447"/>
      <c r="J312" s="447"/>
      <c r="K312" s="447"/>
      <c r="L312" s="447"/>
      <c r="M312" s="447"/>
      <c r="N312" s="447"/>
      <c r="O312" s="447"/>
      <c r="P312" s="447"/>
      <c r="Q312" s="447"/>
      <c r="R312" s="447"/>
      <c r="S312" s="453"/>
      <c r="T312" s="453"/>
      <c r="U312" s="70"/>
      <c r="V312" s="11"/>
      <c r="Z312" s="140"/>
    </row>
    <row r="313" spans="1:26" s="227" customFormat="1" ht="39" customHeight="1">
      <c r="A313" s="189">
        <f t="shared" si="8"/>
        <v>112</v>
      </c>
      <c r="B313" s="166" t="s">
        <v>3987</v>
      </c>
      <c r="C313" s="471">
        <f>'.'!L4033</f>
        <v>4106250</v>
      </c>
      <c r="D313" s="447"/>
      <c r="E313" s="475">
        <v>2</v>
      </c>
      <c r="F313" s="447">
        <f>'.'!L4033</f>
        <v>4106250</v>
      </c>
      <c r="G313" s="447"/>
      <c r="H313" s="447"/>
      <c r="I313" s="447"/>
      <c r="J313" s="447"/>
      <c r="K313" s="447"/>
      <c r="L313" s="447"/>
      <c r="M313" s="447"/>
      <c r="N313" s="447"/>
      <c r="O313" s="447"/>
      <c r="P313" s="447"/>
      <c r="Q313" s="447"/>
      <c r="R313" s="447"/>
      <c r="S313" s="453"/>
      <c r="T313" s="453"/>
      <c r="U313" s="70"/>
      <c r="V313" s="11"/>
      <c r="Z313" s="140"/>
    </row>
    <row r="314" spans="1:26" s="227" customFormat="1" ht="39" customHeight="1">
      <c r="A314" s="189">
        <f t="shared" si="8"/>
        <v>113</v>
      </c>
      <c r="B314" s="137" t="s">
        <v>4287</v>
      </c>
      <c r="C314" s="471">
        <f>'.'!L4034</f>
        <v>4334800</v>
      </c>
      <c r="D314" s="447"/>
      <c r="E314" s="475"/>
      <c r="F314" s="447"/>
      <c r="G314" s="447">
        <f>'.'!G4034</f>
        <v>1866</v>
      </c>
      <c r="H314" s="447">
        <f>'.'!L4034</f>
        <v>4334800</v>
      </c>
      <c r="I314" s="447"/>
      <c r="J314" s="447"/>
      <c r="K314" s="447"/>
      <c r="L314" s="447"/>
      <c r="M314" s="447"/>
      <c r="N314" s="447"/>
      <c r="O314" s="447"/>
      <c r="P314" s="447"/>
      <c r="Q314" s="447"/>
      <c r="R314" s="447"/>
      <c r="S314" s="453"/>
      <c r="T314" s="453"/>
      <c r="U314" s="70"/>
      <c r="V314" s="11"/>
    </row>
    <row r="315" spans="1:26" s="227" customFormat="1" ht="52.5" customHeight="1">
      <c r="A315" s="1338" t="s">
        <v>146</v>
      </c>
      <c r="B315" s="1339"/>
      <c r="C315" s="15">
        <f t="shared" ref="C315:H315" si="9">SUM(C202:C314)</f>
        <v>354753538</v>
      </c>
      <c r="D315" s="15">
        <f t="shared" si="9"/>
        <v>42471462</v>
      </c>
      <c r="E315" s="472">
        <f t="shared" si="9"/>
        <v>58</v>
      </c>
      <c r="F315" s="15">
        <f t="shared" si="9"/>
        <v>118953750</v>
      </c>
      <c r="G315" s="15">
        <f t="shared" si="9"/>
        <v>69339.400000000009</v>
      </c>
      <c r="H315" s="15">
        <f t="shared" si="9"/>
        <v>176641348</v>
      </c>
      <c r="I315" s="15"/>
      <c r="J315" s="15"/>
      <c r="K315" s="15"/>
      <c r="L315" s="15"/>
      <c r="M315" s="15"/>
      <c r="N315" s="15"/>
      <c r="O315" s="15">
        <f>SUM(O202:O314)</f>
        <v>6278</v>
      </c>
      <c r="P315" s="15">
        <f>SUM(P202:P314)</f>
        <v>16686978</v>
      </c>
      <c r="Q315" s="15"/>
      <c r="R315" s="15"/>
      <c r="S315" s="32"/>
      <c r="T315" s="32"/>
      <c r="U315" s="2"/>
      <c r="V315" s="11"/>
      <c r="W315" s="11"/>
      <c r="X315" s="11"/>
    </row>
    <row r="316" spans="1:26" s="227" customFormat="1" ht="34.5" customHeight="1">
      <c r="A316" s="1332" t="s">
        <v>145</v>
      </c>
      <c r="B316" s="1333"/>
      <c r="C316" s="1333"/>
      <c r="D316" s="1333"/>
      <c r="E316" s="1333"/>
      <c r="F316" s="1333"/>
      <c r="G316" s="1333"/>
      <c r="H316" s="1333"/>
      <c r="I316" s="1333"/>
      <c r="J316" s="1333"/>
      <c r="K316" s="1333"/>
      <c r="L316" s="1333"/>
      <c r="M316" s="1333"/>
      <c r="N316" s="1333"/>
      <c r="O316" s="1333"/>
      <c r="P316" s="1333"/>
      <c r="Q316" s="1333"/>
      <c r="R316" s="1333"/>
      <c r="S316" s="1333"/>
      <c r="T316" s="478"/>
      <c r="U316" s="2"/>
      <c r="V316" s="11"/>
    </row>
    <row r="317" spans="1:26" s="227" customFormat="1" ht="39" customHeight="1">
      <c r="A317" s="223">
        <v>1</v>
      </c>
      <c r="B317" s="204" t="s">
        <v>3549</v>
      </c>
      <c r="C317" s="476">
        <f>'.'!L4603</f>
        <v>3429691</v>
      </c>
      <c r="D317" s="17"/>
      <c r="E317" s="259"/>
      <c r="F317" s="17"/>
      <c r="G317" s="15">
        <v>1395</v>
      </c>
      <c r="H317" s="15">
        <v>3429691</v>
      </c>
      <c r="I317" s="17"/>
      <c r="J317" s="17"/>
      <c r="K317" s="17"/>
      <c r="L317" s="17"/>
      <c r="M317" s="17"/>
      <c r="N317" s="17"/>
      <c r="O317" s="17"/>
      <c r="P317" s="513"/>
      <c r="Q317" s="17"/>
      <c r="R317" s="17"/>
      <c r="S317" s="32"/>
      <c r="T317" s="32"/>
      <c r="U317" s="2"/>
      <c r="V317" s="11"/>
    </row>
    <row r="318" spans="1:26" s="227" customFormat="1" ht="39" customHeight="1">
      <c r="A318" s="223">
        <f>A317+1</f>
        <v>2</v>
      </c>
      <c r="B318" s="514" t="s">
        <v>2160</v>
      </c>
      <c r="C318" s="476">
        <f>'.'!L4604</f>
        <v>2129728</v>
      </c>
      <c r="D318" s="17">
        <v>2129728</v>
      </c>
      <c r="E318" s="259"/>
      <c r="F318" s="17"/>
      <c r="G318" s="15"/>
      <c r="H318" s="15"/>
      <c r="I318" s="17"/>
      <c r="J318" s="17"/>
      <c r="K318" s="17"/>
      <c r="L318" s="17"/>
      <c r="M318" s="17"/>
      <c r="N318" s="17"/>
      <c r="O318" s="17"/>
      <c r="P318" s="513"/>
      <c r="Q318" s="17"/>
      <c r="R318" s="17"/>
      <c r="S318" s="32"/>
      <c r="T318" s="32"/>
      <c r="U318" s="2"/>
      <c r="V318" s="11"/>
    </row>
    <row r="319" spans="1:26" s="227" customFormat="1" ht="39" customHeight="1">
      <c r="A319" s="223">
        <f t="shared" ref="A319:A344" si="10">A318+1</f>
        <v>3</v>
      </c>
      <c r="B319" s="16" t="s">
        <v>3550</v>
      </c>
      <c r="C319" s="476">
        <f>'.'!L4605</f>
        <v>8769683</v>
      </c>
      <c r="D319" s="17"/>
      <c r="E319" s="259"/>
      <c r="F319" s="17"/>
      <c r="G319" s="15">
        <v>3567</v>
      </c>
      <c r="H319" s="15">
        <v>8769683</v>
      </c>
      <c r="I319" s="17"/>
      <c r="J319" s="17"/>
      <c r="K319" s="17"/>
      <c r="L319" s="17"/>
      <c r="M319" s="17"/>
      <c r="N319" s="17"/>
      <c r="O319" s="17"/>
      <c r="P319" s="513"/>
      <c r="Q319" s="17"/>
      <c r="R319" s="17"/>
      <c r="S319" s="32"/>
      <c r="T319" s="32"/>
      <c r="U319" s="2"/>
      <c r="V319" s="11"/>
    </row>
    <row r="320" spans="1:26" s="227" customFormat="1" ht="39" customHeight="1">
      <c r="A320" s="223">
        <f t="shared" si="10"/>
        <v>4</v>
      </c>
      <c r="B320" s="204" t="s">
        <v>3551</v>
      </c>
      <c r="C320" s="476">
        <f>'.'!L4606</f>
        <v>9913981</v>
      </c>
      <c r="D320" s="17"/>
      <c r="E320" s="259"/>
      <c r="F320" s="17"/>
      <c r="G320" s="15"/>
      <c r="H320" s="15"/>
      <c r="I320" s="17"/>
      <c r="J320" s="17"/>
      <c r="K320" s="17"/>
      <c r="L320" s="17"/>
      <c r="M320" s="17"/>
      <c r="N320" s="17"/>
      <c r="O320" s="17">
        <v>3720</v>
      </c>
      <c r="P320" s="513">
        <v>9913981</v>
      </c>
      <c r="Q320" s="17"/>
      <c r="R320" s="17"/>
      <c r="S320" s="32"/>
      <c r="T320" s="32"/>
      <c r="U320" s="2"/>
      <c r="V320" s="11"/>
    </row>
    <row r="321" spans="1:22" s="227" customFormat="1" ht="39" customHeight="1">
      <c r="A321" s="223">
        <f t="shared" si="10"/>
        <v>5</v>
      </c>
      <c r="B321" s="204" t="s">
        <v>3552</v>
      </c>
      <c r="C321" s="476">
        <f>'.'!L4607</f>
        <v>5271922</v>
      </c>
      <c r="D321" s="17"/>
      <c r="E321" s="259"/>
      <c r="F321" s="17"/>
      <c r="G321" s="15"/>
      <c r="H321" s="15"/>
      <c r="I321" s="17"/>
      <c r="J321" s="17"/>
      <c r="K321" s="17"/>
      <c r="L321" s="17"/>
      <c r="M321" s="17"/>
      <c r="N321" s="17"/>
      <c r="O321" s="17">
        <v>1972</v>
      </c>
      <c r="P321" s="513">
        <v>5271922</v>
      </c>
      <c r="Q321" s="17"/>
      <c r="R321" s="17"/>
      <c r="S321" s="32"/>
      <c r="T321" s="32"/>
      <c r="U321" s="2"/>
      <c r="V321" s="11"/>
    </row>
    <row r="322" spans="1:22" s="227" customFormat="1" ht="39" customHeight="1">
      <c r="A322" s="223">
        <f t="shared" si="10"/>
        <v>6</v>
      </c>
      <c r="B322" s="16" t="s">
        <v>3553</v>
      </c>
      <c r="C322" s="476">
        <f>'.'!L4608</f>
        <v>3830114</v>
      </c>
      <c r="D322" s="17"/>
      <c r="E322" s="259"/>
      <c r="F322" s="17"/>
      <c r="G322" s="15">
        <v>1327</v>
      </c>
      <c r="H322" s="15">
        <v>3830114</v>
      </c>
      <c r="I322" s="17"/>
      <c r="J322" s="17"/>
      <c r="K322" s="17"/>
      <c r="L322" s="17"/>
      <c r="M322" s="17"/>
      <c r="N322" s="17"/>
      <c r="O322" s="17"/>
      <c r="P322" s="513"/>
      <c r="Q322" s="17"/>
      <c r="R322" s="17"/>
      <c r="S322" s="32"/>
      <c r="T322" s="32"/>
      <c r="U322" s="2"/>
      <c r="V322" s="11"/>
    </row>
    <row r="323" spans="1:22" s="227" customFormat="1" ht="39" customHeight="1">
      <c r="A323" s="223">
        <f t="shared" si="10"/>
        <v>7</v>
      </c>
      <c r="B323" s="16" t="s">
        <v>3554</v>
      </c>
      <c r="C323" s="476">
        <f>'.'!L4609</f>
        <v>3305403</v>
      </c>
      <c r="D323" s="17"/>
      <c r="E323" s="259"/>
      <c r="F323" s="17"/>
      <c r="G323" s="15"/>
      <c r="H323" s="15"/>
      <c r="I323" s="17"/>
      <c r="J323" s="17"/>
      <c r="K323" s="17"/>
      <c r="L323" s="17"/>
      <c r="M323" s="17"/>
      <c r="N323" s="17"/>
      <c r="O323" s="17">
        <v>1235</v>
      </c>
      <c r="P323" s="513">
        <v>3305403</v>
      </c>
      <c r="Q323" s="17"/>
      <c r="R323" s="17"/>
      <c r="S323" s="32"/>
      <c r="T323" s="32"/>
      <c r="U323" s="2"/>
      <c r="V323" s="11"/>
    </row>
    <row r="324" spans="1:22" s="227" customFormat="1" ht="39" customHeight="1">
      <c r="A324" s="223">
        <f t="shared" si="10"/>
        <v>8</v>
      </c>
      <c r="B324" s="16" t="s">
        <v>3555</v>
      </c>
      <c r="C324" s="476">
        <f>'.'!L4610</f>
        <v>11382540</v>
      </c>
      <c r="D324" s="17">
        <v>11382540</v>
      </c>
      <c r="E324" s="259"/>
      <c r="F324" s="17"/>
      <c r="G324" s="15"/>
      <c r="H324" s="15"/>
      <c r="I324" s="17"/>
      <c r="J324" s="17"/>
      <c r="K324" s="17"/>
      <c r="L324" s="17"/>
      <c r="M324" s="17"/>
      <c r="N324" s="17"/>
      <c r="O324" s="17"/>
      <c r="P324" s="513"/>
      <c r="Q324" s="17"/>
      <c r="R324" s="17"/>
      <c r="S324" s="32"/>
      <c r="T324" s="32"/>
      <c r="U324" s="2"/>
      <c r="V324" s="11"/>
    </row>
    <row r="325" spans="1:22" s="227" customFormat="1" ht="39" customHeight="1">
      <c r="A325" s="223">
        <f t="shared" si="10"/>
        <v>9</v>
      </c>
      <c r="B325" s="16" t="s">
        <v>3556</v>
      </c>
      <c r="C325" s="476">
        <f>'.'!L4611</f>
        <v>9568092</v>
      </c>
      <c r="D325" s="17"/>
      <c r="E325" s="259"/>
      <c r="F325" s="17"/>
      <c r="G325" s="15"/>
      <c r="H325" s="15"/>
      <c r="I325" s="17"/>
      <c r="J325" s="17"/>
      <c r="K325" s="17"/>
      <c r="L325" s="17"/>
      <c r="M325" s="17"/>
      <c r="N325" s="17"/>
      <c r="O325" s="17">
        <v>3568</v>
      </c>
      <c r="P325" s="513">
        <v>9568092</v>
      </c>
      <c r="Q325" s="17"/>
      <c r="R325" s="17"/>
      <c r="S325" s="32"/>
      <c r="T325" s="32"/>
      <c r="U325" s="2"/>
      <c r="V325" s="11"/>
    </row>
    <row r="326" spans="1:22" s="227" customFormat="1" ht="39" customHeight="1">
      <c r="A326" s="223">
        <f t="shared" si="10"/>
        <v>10</v>
      </c>
      <c r="B326" s="16" t="s">
        <v>2199</v>
      </c>
      <c r="C326" s="476">
        <f>'.'!L4612</f>
        <v>26383949</v>
      </c>
      <c r="D326" s="17"/>
      <c r="E326" s="259"/>
      <c r="F326" s="17"/>
      <c r="G326" s="15"/>
      <c r="H326" s="15"/>
      <c r="I326" s="17"/>
      <c r="J326" s="17"/>
      <c r="K326" s="17"/>
      <c r="L326" s="17"/>
      <c r="M326" s="17"/>
      <c r="N326" s="17"/>
      <c r="O326" s="17">
        <v>9920</v>
      </c>
      <c r="P326" s="513">
        <v>26383949</v>
      </c>
      <c r="Q326" s="17"/>
      <c r="R326" s="17"/>
      <c r="S326" s="32"/>
      <c r="T326" s="32"/>
      <c r="U326" s="2"/>
      <c r="V326" s="11"/>
    </row>
    <row r="327" spans="1:22" s="227" customFormat="1" ht="39" customHeight="1">
      <c r="A327" s="223">
        <f t="shared" si="10"/>
        <v>11</v>
      </c>
      <c r="B327" s="204" t="s">
        <v>3557</v>
      </c>
      <c r="C327" s="476">
        <f>'.'!L4613</f>
        <v>10343162</v>
      </c>
      <c r="D327" s="17"/>
      <c r="E327" s="259"/>
      <c r="F327" s="17"/>
      <c r="G327" s="15">
        <v>4207</v>
      </c>
      <c r="H327" s="15">
        <v>10343162</v>
      </c>
      <c r="I327" s="17"/>
      <c r="J327" s="17"/>
      <c r="K327" s="17"/>
      <c r="L327" s="17"/>
      <c r="M327" s="17"/>
      <c r="N327" s="17"/>
      <c r="O327" s="17"/>
      <c r="P327" s="513"/>
      <c r="Q327" s="17"/>
      <c r="R327" s="17"/>
      <c r="S327" s="32"/>
      <c r="T327" s="32"/>
      <c r="U327" s="2"/>
      <c r="V327" s="11"/>
    </row>
    <row r="328" spans="1:22" s="227" customFormat="1" ht="39" customHeight="1">
      <c r="A328" s="223">
        <f t="shared" si="10"/>
        <v>12</v>
      </c>
      <c r="B328" s="204" t="s">
        <v>3558</v>
      </c>
      <c r="C328" s="476">
        <f>'.'!L4614</f>
        <v>9321381</v>
      </c>
      <c r="D328" s="17"/>
      <c r="E328" s="259"/>
      <c r="F328" s="17"/>
      <c r="G328" s="15"/>
      <c r="H328" s="15"/>
      <c r="I328" s="17"/>
      <c r="J328" s="17"/>
      <c r="K328" s="17"/>
      <c r="L328" s="17"/>
      <c r="M328" s="17"/>
      <c r="N328" s="17"/>
      <c r="O328" s="17">
        <v>3476</v>
      </c>
      <c r="P328" s="513">
        <v>9321381</v>
      </c>
      <c r="Q328" s="17"/>
      <c r="R328" s="17"/>
      <c r="S328" s="32"/>
      <c r="T328" s="32"/>
      <c r="U328" s="2"/>
      <c r="V328" s="11"/>
    </row>
    <row r="329" spans="1:22" s="227" customFormat="1" ht="39" customHeight="1">
      <c r="A329" s="223">
        <f t="shared" si="10"/>
        <v>13</v>
      </c>
      <c r="B329" s="204" t="s">
        <v>3559</v>
      </c>
      <c r="C329" s="476">
        <f>'.'!L4615</f>
        <v>5566180</v>
      </c>
      <c r="D329" s="17"/>
      <c r="E329" s="259"/>
      <c r="F329" s="17"/>
      <c r="G329" s="15">
        <v>2264</v>
      </c>
      <c r="H329" s="15">
        <v>5566180</v>
      </c>
      <c r="I329" s="17"/>
      <c r="J329" s="17"/>
      <c r="K329" s="17"/>
      <c r="L329" s="17"/>
      <c r="M329" s="17"/>
      <c r="N329" s="17"/>
      <c r="O329" s="17"/>
      <c r="P329" s="513"/>
      <c r="Q329" s="17"/>
      <c r="R329" s="17"/>
      <c r="S329" s="32"/>
      <c r="T329" s="32"/>
      <c r="U329" s="2"/>
      <c r="V329" s="11"/>
    </row>
    <row r="330" spans="1:22" s="227" customFormat="1" ht="39" customHeight="1">
      <c r="A330" s="223">
        <f t="shared" si="10"/>
        <v>14</v>
      </c>
      <c r="B330" s="204" t="s">
        <v>3560</v>
      </c>
      <c r="C330" s="476">
        <f>'.'!L4616</f>
        <v>9600271</v>
      </c>
      <c r="D330" s="17"/>
      <c r="E330" s="259"/>
      <c r="F330" s="17"/>
      <c r="G330" s="15"/>
      <c r="H330" s="15"/>
      <c r="I330" s="17"/>
      <c r="J330" s="17"/>
      <c r="K330" s="17"/>
      <c r="L330" s="17"/>
      <c r="M330" s="17"/>
      <c r="N330" s="17"/>
      <c r="O330" s="17">
        <v>3580</v>
      </c>
      <c r="P330" s="513">
        <v>9600271</v>
      </c>
      <c r="Q330" s="17"/>
      <c r="R330" s="17"/>
      <c r="S330" s="32"/>
      <c r="T330" s="32"/>
      <c r="U330" s="2"/>
      <c r="V330" s="11"/>
    </row>
    <row r="331" spans="1:22" s="227" customFormat="1" ht="39" customHeight="1">
      <c r="A331" s="223">
        <f t="shared" si="10"/>
        <v>15</v>
      </c>
      <c r="B331" s="204" t="s">
        <v>3561</v>
      </c>
      <c r="C331" s="476">
        <f>'.'!L4617</f>
        <v>3319332.0000000005</v>
      </c>
      <c r="D331" s="17"/>
      <c r="E331" s="259"/>
      <c r="F331" s="17"/>
      <c r="G331" s="15">
        <v>1148.4000000000001</v>
      </c>
      <c r="H331" s="15">
        <v>3319332.0000000005</v>
      </c>
      <c r="I331" s="17"/>
      <c r="J331" s="17"/>
      <c r="K331" s="17"/>
      <c r="L331" s="17"/>
      <c r="M331" s="17"/>
      <c r="N331" s="17"/>
      <c r="O331" s="17"/>
      <c r="P331" s="513"/>
      <c r="Q331" s="17"/>
      <c r="R331" s="17"/>
      <c r="S331" s="14"/>
      <c r="T331" s="14"/>
      <c r="U331" s="2"/>
      <c r="V331" s="11"/>
    </row>
    <row r="332" spans="1:22" s="227" customFormat="1" ht="39" customHeight="1">
      <c r="A332" s="223">
        <f t="shared" si="10"/>
        <v>16</v>
      </c>
      <c r="B332" s="514" t="s">
        <v>3562</v>
      </c>
      <c r="C332" s="476">
        <f>'.'!L4618</f>
        <v>7099092</v>
      </c>
      <c r="D332" s="17">
        <v>7099092</v>
      </c>
      <c r="E332" s="259"/>
      <c r="F332" s="17"/>
      <c r="G332" s="15"/>
      <c r="H332" s="15"/>
      <c r="I332" s="17"/>
      <c r="J332" s="17"/>
      <c r="K332" s="17"/>
      <c r="L332" s="17"/>
      <c r="M332" s="17"/>
      <c r="N332" s="17"/>
      <c r="O332" s="17"/>
      <c r="P332" s="513"/>
      <c r="Q332" s="17"/>
      <c r="R332" s="17"/>
      <c r="S332" s="32"/>
      <c r="T332" s="32"/>
      <c r="U332" s="2"/>
      <c r="V332" s="11"/>
    </row>
    <row r="333" spans="1:22" s="227" customFormat="1" ht="39" customHeight="1">
      <c r="A333" s="223">
        <f t="shared" si="10"/>
        <v>17</v>
      </c>
      <c r="B333" s="16" t="s">
        <v>3563</v>
      </c>
      <c r="C333" s="476">
        <f>'.'!L4619</f>
        <v>7984174</v>
      </c>
      <c r="D333" s="17"/>
      <c r="E333" s="259"/>
      <c r="F333" s="17"/>
      <c r="G333" s="15"/>
      <c r="H333" s="15"/>
      <c r="I333" s="17"/>
      <c r="J333" s="17"/>
      <c r="K333" s="17">
        <v>4330</v>
      </c>
      <c r="L333" s="17">
        <v>7984174</v>
      </c>
      <c r="M333" s="17"/>
      <c r="N333" s="17"/>
      <c r="O333" s="17"/>
      <c r="P333" s="513"/>
      <c r="Q333" s="17"/>
      <c r="R333" s="17"/>
      <c r="S333" s="32"/>
      <c r="T333" s="32"/>
      <c r="U333" s="2"/>
      <c r="V333" s="11"/>
    </row>
    <row r="334" spans="1:22" s="227" customFormat="1" ht="39" customHeight="1">
      <c r="A334" s="223">
        <f t="shared" si="10"/>
        <v>18</v>
      </c>
      <c r="B334" s="204" t="s">
        <v>3564</v>
      </c>
      <c r="C334" s="476">
        <f>'.'!L4620</f>
        <v>9799477</v>
      </c>
      <c r="D334" s="17"/>
      <c r="E334" s="259"/>
      <c r="F334" s="17"/>
      <c r="G334" s="15"/>
      <c r="H334" s="15"/>
      <c r="I334" s="17"/>
      <c r="J334" s="17"/>
      <c r="K334" s="17"/>
      <c r="L334" s="17"/>
      <c r="M334" s="17"/>
      <c r="N334" s="17"/>
      <c r="O334" s="17">
        <v>3675</v>
      </c>
      <c r="P334" s="513">
        <v>9799477</v>
      </c>
      <c r="Q334" s="17"/>
      <c r="R334" s="17"/>
      <c r="S334" s="32"/>
      <c r="T334" s="32"/>
      <c r="U334" s="2"/>
      <c r="V334" s="11"/>
    </row>
    <row r="335" spans="1:22" s="227" customFormat="1" ht="39" customHeight="1">
      <c r="A335" s="223">
        <f t="shared" si="10"/>
        <v>19</v>
      </c>
      <c r="B335" s="515" t="s">
        <v>3565</v>
      </c>
      <c r="C335" s="476">
        <f>'.'!L4621</f>
        <v>6886551</v>
      </c>
      <c r="D335" s="17"/>
      <c r="E335" s="259"/>
      <c r="F335" s="17"/>
      <c r="G335" s="15"/>
      <c r="H335" s="15"/>
      <c r="I335" s="17"/>
      <c r="J335" s="17"/>
      <c r="K335" s="17"/>
      <c r="L335" s="17"/>
      <c r="M335" s="17"/>
      <c r="N335" s="17"/>
      <c r="O335" s="17">
        <v>2580</v>
      </c>
      <c r="P335" s="513">
        <v>6886551</v>
      </c>
      <c r="Q335" s="17"/>
      <c r="R335" s="17"/>
      <c r="S335" s="32"/>
      <c r="T335" s="32"/>
      <c r="U335" s="2"/>
      <c r="V335" s="11"/>
    </row>
    <row r="336" spans="1:22" s="227" customFormat="1" ht="39" customHeight="1">
      <c r="A336" s="223">
        <f t="shared" si="10"/>
        <v>20</v>
      </c>
      <c r="B336" s="204" t="s">
        <v>3566</v>
      </c>
      <c r="C336" s="476">
        <f>'.'!L4622</f>
        <v>5224440</v>
      </c>
      <c r="D336" s="476">
        <f>'.'!L4622</f>
        <v>5224440</v>
      </c>
      <c r="E336" s="259"/>
      <c r="F336" s="17"/>
      <c r="G336" s="15"/>
      <c r="H336" s="15"/>
      <c r="I336" s="17"/>
      <c r="J336" s="17"/>
      <c r="K336" s="17"/>
      <c r="L336" s="17"/>
      <c r="M336" s="17"/>
      <c r="N336" s="17"/>
      <c r="O336" s="17"/>
      <c r="P336" s="513"/>
      <c r="Q336" s="17"/>
      <c r="R336" s="17"/>
      <c r="S336" s="32"/>
      <c r="T336" s="32"/>
      <c r="U336" s="2"/>
      <c r="V336" s="11"/>
    </row>
    <row r="337" spans="1:24" s="227" customFormat="1" ht="39" customHeight="1">
      <c r="A337" s="223">
        <f t="shared" si="10"/>
        <v>21</v>
      </c>
      <c r="B337" s="240" t="s">
        <v>2172</v>
      </c>
      <c r="C337" s="476">
        <f>'.'!L4623</f>
        <v>2214199.94</v>
      </c>
      <c r="D337" s="476">
        <f>'.'!L4623</f>
        <v>2214199.94</v>
      </c>
      <c r="E337" s="217"/>
      <c r="F337" s="187"/>
      <c r="G337" s="187"/>
      <c r="H337" s="187"/>
      <c r="I337" s="187"/>
      <c r="J337" s="187"/>
      <c r="K337" s="187"/>
      <c r="L337" s="187"/>
      <c r="M337" s="187"/>
      <c r="N337" s="187"/>
      <c r="O337" s="187"/>
      <c r="P337" s="477"/>
      <c r="Q337" s="187"/>
      <c r="R337" s="187"/>
      <c r="S337" s="452"/>
      <c r="T337" s="452"/>
      <c r="U337" s="187"/>
      <c r="V337" s="11"/>
    </row>
    <row r="338" spans="1:24" s="227" customFormat="1" ht="39" customHeight="1">
      <c r="A338" s="223">
        <f t="shared" si="10"/>
        <v>22</v>
      </c>
      <c r="B338" s="240" t="s">
        <v>2173</v>
      </c>
      <c r="C338" s="476">
        <f>'.'!L4624</f>
        <v>3649340.94</v>
      </c>
      <c r="D338" s="476">
        <f>'.'!L4624</f>
        <v>3649340.94</v>
      </c>
      <c r="E338" s="217"/>
      <c r="F338" s="187"/>
      <c r="G338" s="187"/>
      <c r="H338" s="187"/>
      <c r="I338" s="187"/>
      <c r="J338" s="187"/>
      <c r="K338" s="187"/>
      <c r="L338" s="187"/>
      <c r="M338" s="187"/>
      <c r="N338" s="187"/>
      <c r="O338" s="187"/>
      <c r="P338" s="477"/>
      <c r="Q338" s="187"/>
      <c r="R338" s="187"/>
      <c r="S338" s="452"/>
      <c r="T338" s="452"/>
      <c r="U338" s="187"/>
      <c r="V338" s="11"/>
    </row>
    <row r="339" spans="1:24" s="227" customFormat="1" ht="39" customHeight="1">
      <c r="A339" s="223">
        <f t="shared" si="10"/>
        <v>23</v>
      </c>
      <c r="B339" s="240" t="s">
        <v>2219</v>
      </c>
      <c r="C339" s="476">
        <f>'.'!L4625</f>
        <v>1674367.94</v>
      </c>
      <c r="D339" s="476">
        <f>'.'!L4625</f>
        <v>1674367.94</v>
      </c>
      <c r="E339" s="217"/>
      <c r="F339" s="187"/>
      <c r="G339" s="187"/>
      <c r="H339" s="187"/>
      <c r="I339" s="187"/>
      <c r="J339" s="187"/>
      <c r="K339" s="187"/>
      <c r="L339" s="187"/>
      <c r="M339" s="187"/>
      <c r="N339" s="187"/>
      <c r="O339" s="187"/>
      <c r="P339" s="477"/>
      <c r="Q339" s="187"/>
      <c r="R339" s="187"/>
      <c r="S339" s="452"/>
      <c r="T339" s="452"/>
      <c r="U339" s="187"/>
      <c r="V339" s="11"/>
    </row>
    <row r="340" spans="1:24" s="227" customFormat="1" ht="39" customHeight="1">
      <c r="A340" s="223">
        <f t="shared" si="10"/>
        <v>24</v>
      </c>
      <c r="B340" s="240" t="s">
        <v>2221</v>
      </c>
      <c r="C340" s="476">
        <f>'.'!L4626</f>
        <v>3300954</v>
      </c>
      <c r="D340" s="476">
        <f>'.'!L4626</f>
        <v>3300954</v>
      </c>
      <c r="E340" s="217"/>
      <c r="F340" s="187"/>
      <c r="G340" s="187"/>
      <c r="H340" s="187"/>
      <c r="I340" s="187"/>
      <c r="J340" s="187"/>
      <c r="K340" s="187"/>
      <c r="L340" s="187"/>
      <c r="M340" s="187"/>
      <c r="N340" s="187"/>
      <c r="O340" s="187"/>
      <c r="P340" s="477"/>
      <c r="Q340" s="187"/>
      <c r="R340" s="187"/>
      <c r="S340" s="452"/>
      <c r="T340" s="452"/>
      <c r="U340" s="187"/>
      <c r="V340" s="11"/>
    </row>
    <row r="341" spans="1:24" s="227" customFormat="1" ht="39" customHeight="1">
      <c r="A341" s="223">
        <f t="shared" si="10"/>
        <v>25</v>
      </c>
      <c r="B341" s="240" t="s">
        <v>2238</v>
      </c>
      <c r="C341" s="476">
        <f>'.'!L4627</f>
        <v>3055245</v>
      </c>
      <c r="D341" s="476">
        <f>'.'!L4627</f>
        <v>3055245</v>
      </c>
      <c r="E341" s="217"/>
      <c r="F341" s="187"/>
      <c r="G341" s="187"/>
      <c r="H341" s="187"/>
      <c r="I341" s="187"/>
      <c r="J341" s="187"/>
      <c r="K341" s="187"/>
      <c r="L341" s="187"/>
      <c r="M341" s="187"/>
      <c r="N341" s="187"/>
      <c r="O341" s="187"/>
      <c r="P341" s="477"/>
      <c r="Q341" s="187"/>
      <c r="R341" s="187"/>
      <c r="S341" s="452"/>
      <c r="T341" s="452"/>
      <c r="U341" s="187"/>
      <c r="V341" s="11"/>
    </row>
    <row r="342" spans="1:24" s="227" customFormat="1" ht="39" customHeight="1">
      <c r="A342" s="223">
        <f t="shared" si="10"/>
        <v>26</v>
      </c>
      <c r="B342" s="240" t="s">
        <v>2253</v>
      </c>
      <c r="C342" s="476">
        <f>'.'!L4628</f>
        <v>3656480</v>
      </c>
      <c r="D342" s="476">
        <f>'.'!L4628</f>
        <v>3656480</v>
      </c>
      <c r="E342" s="217"/>
      <c r="F342" s="187"/>
      <c r="G342" s="187"/>
      <c r="H342" s="187"/>
      <c r="I342" s="187"/>
      <c r="J342" s="187"/>
      <c r="K342" s="187"/>
      <c r="L342" s="187"/>
      <c r="M342" s="187"/>
      <c r="N342" s="187"/>
      <c r="O342" s="187"/>
      <c r="P342" s="477"/>
      <c r="Q342" s="187"/>
      <c r="R342" s="187"/>
      <c r="S342" s="452"/>
      <c r="T342" s="452"/>
      <c r="U342" s="187"/>
      <c r="V342" s="11"/>
    </row>
    <row r="343" spans="1:24" s="227" customFormat="1" ht="39" customHeight="1">
      <c r="A343" s="223">
        <f t="shared" si="10"/>
        <v>27</v>
      </c>
      <c r="B343" s="240" t="s">
        <v>2258</v>
      </c>
      <c r="C343" s="476">
        <f>'.'!L4629</f>
        <v>2808280</v>
      </c>
      <c r="D343" s="476">
        <f>'.'!L4629</f>
        <v>2808280</v>
      </c>
      <c r="E343" s="217"/>
      <c r="F343" s="187"/>
      <c r="G343" s="187"/>
      <c r="H343" s="187"/>
      <c r="I343" s="187"/>
      <c r="J343" s="187"/>
      <c r="K343" s="187"/>
      <c r="L343" s="187"/>
      <c r="M343" s="187"/>
      <c r="N343" s="187"/>
      <c r="O343" s="187"/>
      <c r="P343" s="477"/>
      <c r="Q343" s="187"/>
      <c r="R343" s="187"/>
      <c r="S343" s="452"/>
      <c r="T343" s="452"/>
      <c r="U343" s="187"/>
      <c r="V343" s="11"/>
    </row>
    <row r="344" spans="1:24" s="227" customFormat="1" ht="39" customHeight="1">
      <c r="A344" s="223">
        <f t="shared" si="10"/>
        <v>28</v>
      </c>
      <c r="B344" s="240" t="s">
        <v>3898</v>
      </c>
      <c r="C344" s="476">
        <f>'.'!L4630</f>
        <v>4839587.55</v>
      </c>
      <c r="D344" s="476"/>
      <c r="E344" s="217"/>
      <c r="F344" s="187"/>
      <c r="G344" s="187">
        <f>'.'!G4630</f>
        <v>2100</v>
      </c>
      <c r="H344" s="187">
        <f>'.'!L4630</f>
        <v>4839587.55</v>
      </c>
      <c r="I344" s="187"/>
      <c r="J344" s="187"/>
      <c r="K344" s="187"/>
      <c r="L344" s="187"/>
      <c r="M344" s="187"/>
      <c r="N344" s="187"/>
      <c r="O344" s="187"/>
      <c r="P344" s="477"/>
      <c r="Q344" s="187"/>
      <c r="R344" s="187"/>
      <c r="S344" s="452"/>
      <c r="T344" s="452"/>
      <c r="U344" s="187"/>
      <c r="V344" s="11"/>
    </row>
    <row r="345" spans="1:24" s="227" customFormat="1" ht="46.5" customHeight="1">
      <c r="A345" s="1330" t="s">
        <v>146</v>
      </c>
      <c r="B345" s="1331"/>
      <c r="C345" s="15">
        <f>SUM(C317:C344)</f>
        <v>184327618.37</v>
      </c>
      <c r="D345" s="15">
        <f>SUM(D317:D344)</f>
        <v>46194667.820000008</v>
      </c>
      <c r="E345" s="472"/>
      <c r="F345" s="15">
        <f>SUM(F317:F344)</f>
        <v>0</v>
      </c>
      <c r="G345" s="15">
        <f>SUM(G317:G344)</f>
        <v>16008.4</v>
      </c>
      <c r="H345" s="15">
        <f>SUM(H317:H344)</f>
        <v>40097749.549999997</v>
      </c>
      <c r="I345" s="15"/>
      <c r="J345" s="15"/>
      <c r="K345" s="15">
        <f>SUM(K317:K344)</f>
        <v>4330</v>
      </c>
      <c r="L345" s="15">
        <f>SUM(L317:L344)</f>
        <v>7984174</v>
      </c>
      <c r="M345" s="15"/>
      <c r="N345" s="15"/>
      <c r="O345" s="15">
        <f>SUM(O317:O344)</f>
        <v>33726</v>
      </c>
      <c r="P345" s="15">
        <f>SUM(P317:P344)</f>
        <v>90051027</v>
      </c>
      <c r="Q345" s="15"/>
      <c r="R345" s="15"/>
      <c r="S345" s="32"/>
      <c r="T345" s="32"/>
      <c r="U345" s="2"/>
      <c r="V345" s="11"/>
      <c r="W345" s="11"/>
      <c r="X345" s="11"/>
    </row>
    <row r="346" spans="1:24" ht="39" hidden="1" customHeight="1"/>
    <row r="347" spans="1:24" ht="39" hidden="1" customHeight="1"/>
    <row r="348" spans="1:24" ht="39" hidden="1" customHeight="1"/>
    <row r="349" spans="1:24" s="227" customFormat="1" ht="39" hidden="1" customHeight="1">
      <c r="A349" s="1334" t="s">
        <v>206</v>
      </c>
      <c r="B349" s="1334"/>
      <c r="C349" s="1334"/>
      <c r="D349" s="1334"/>
      <c r="E349" s="1334"/>
      <c r="F349" s="1334"/>
      <c r="G349" s="1334"/>
      <c r="H349" s="1334"/>
      <c r="I349" s="1334"/>
      <c r="J349" s="1334"/>
      <c r="K349" s="1334"/>
      <c r="L349" s="1334"/>
      <c r="M349" s="1334"/>
      <c r="N349" s="1334"/>
      <c r="O349" s="1334"/>
      <c r="P349" s="1334"/>
      <c r="Q349" s="1334"/>
      <c r="R349" s="1334"/>
      <c r="S349" s="1334"/>
      <c r="T349" s="247"/>
      <c r="U349" s="247"/>
      <c r="V349" s="228"/>
    </row>
    <row r="350" spans="1:24" ht="39" hidden="1" customHeight="1"/>
    <row r="351" spans="1:24" ht="39" hidden="1" customHeight="1"/>
    <row r="352" spans="1:24" ht="39" hidden="1" customHeight="1"/>
  </sheetData>
  <sheetProtection selectLockedCells="1" selectUnlockedCells="1"/>
  <sortState ref="B3798:U3854">
    <sortCondition ref="B3798"/>
  </sortState>
  <mergeCells count="24">
    <mergeCell ref="A200:B200"/>
    <mergeCell ref="A201:S201"/>
    <mergeCell ref="A315:B315"/>
    <mergeCell ref="O4:U4"/>
    <mergeCell ref="T5:U5"/>
    <mergeCell ref="A8:S8"/>
    <mergeCell ref="A94:B94"/>
    <mergeCell ref="A95:S95"/>
    <mergeCell ref="A345:B345"/>
    <mergeCell ref="A316:S316"/>
    <mergeCell ref="A349:S349"/>
    <mergeCell ref="O1:S1"/>
    <mergeCell ref="A2:S2"/>
    <mergeCell ref="A4:A6"/>
    <mergeCell ref="B4:B6"/>
    <mergeCell ref="C4:C5"/>
    <mergeCell ref="D4:N4"/>
    <mergeCell ref="E5:F5"/>
    <mergeCell ref="G5:H5"/>
    <mergeCell ref="I5:J5"/>
    <mergeCell ref="K5:L5"/>
    <mergeCell ref="M5:N5"/>
    <mergeCell ref="O5:P5"/>
    <mergeCell ref="Q5:R5"/>
  </mergeCells>
  <conditionalFormatting sqref="D316:D335 H316">
    <cfRule type="cellIs" dxfId="118" priority="25" stopIfTrue="1" operator="equal">
      <formula>"н/д"</formula>
    </cfRule>
  </conditionalFormatting>
  <dataValidations count="2">
    <dataValidation type="decimal" operator="greaterThan" allowBlank="1" showInputMessage="1" showErrorMessage="1" error="Введите положительное число." sqref="IS334 WVE334 WLI334 WBM334 VRQ334 VHU334 UXY334 UOC334 UEG334 TUK334 TKO334 TAS334 SQW334 SHA334 RXE334 RNI334 RDM334 QTQ334 QJU334 PZY334 PQC334 PGG334 OWK334 OMO334 OCS334 NSW334 NJA334 MZE334 MPI334 MFM334 LVQ334 LLU334 LBY334 KSC334 KIG334 JYK334 JOO334 JES334 IUW334 ILA334 IBE334 HRI334 HHM334 GXQ334 GNU334 GDY334 FUC334 FKG334 FAK334 EQO334 EGS334 DWW334 DNA334 DDE334 CTI334 CJM334 BZQ334 BPU334 BFY334 AWC334 AMG334 ACK334 SO334 BZQ159:BZQ161 CJM159:CJM161 CTI159:CTI161 DDE159:DDE161 DNA159:DNA161 DWW159:DWW161 EGS159:EGS161 EQO159:EQO161 FAK159:FAK161 FKG159:FKG161 FUC159:FUC161 GDY159:GDY161 GNU159:GNU161 GXQ159:GXQ161 HHM159:HHM161 HRI159:HRI161 IBE159:IBE161 ILA159:ILA161 IUW159:IUW161 JES159:JES161 JOO159:JOO161 JYK159:JYK161 KIG159:KIG161 KSC159:KSC161 LBY159:LBY161 LLU159:LLU161 LVQ159:LVQ161 MFM159:MFM161 MPI159:MPI161 MZE159:MZE161 NJA159:NJA161 NSW159:NSW161 OCS159:OCS161 OMO159:OMO161 OWK159:OWK161 PGG159:PGG161 PQC159:PQC161 PZY159:PZY161 QJU159:QJU161 QTQ159:QTQ161 RDM159:RDM161 RNI159:RNI161 RXE159:RXE161 SHA159:SHA161 SQW159:SQW161 TAS159:TAS161 TKO159:TKO161 TUK159:TUK161 UEG159:UEG161 UOC159:UOC161 UXY159:UXY161 VHU159:VHU161 VRQ159:VRQ161 WBM159:WBM161 WLI159:WLI161 WVE159:WVE161 WVE154 WLI154 WBM154 VRQ154 VHU154 UXY154 UOC154 UEG154 TUK154 TKO154 TAS154 SQW154 SHA154 RXE154 RNI154 RDM154 QTQ154 QJU154 PZY154 PQC154 PGG154 OWK154 OMO154 OCS154 NSW154 NJA154 MZE154 MPI154 MFM154 LVQ154 LLU154 LBY154 KSC154 KIG154 JYK154 JOO154 JES154 IUW154 ILA154 IBE154 HRI154 HHM154 GXQ154 GNU154 GDY154 FUC154 FKG154 FAK154 EQO154 EGS154 DWW154 DNA154 DDE154 CTI154 CJM154 BZQ154 BPU154 BFY154 AWC154 AMG154 ACK154 SO154 IS154 IS159:IS161 WVE142 WLI142 WBM142 VRQ142 VHU142 UXY142 UOC142 UEG142 TUK142 TKO142 TAS142 SQW142 SHA142 RXE142 RNI142 RDM142 QTQ142 QJU142 PZY142 PQC142 PGG142 OWK142 OMO142 OCS142 NSW142 NJA142 MZE142 MPI142 MFM142 LVQ142 LLU142 LBY142 KSC142 KIG142 JYK142 JOO142 JES142 IUW142 ILA142 IBE142 HRI142 HHM142 GXQ142 GNU142 GDY142 FUC142 FKG142 FAK142 EQO142 EGS142 DWW142 DNA142 DDE142 CTI142 CJM142 BZQ142 BPU142 BFY142 AWC142 AMG142 ACK142 SO142 IS142 SO159:SO161 ACK159:ACK161 WVE166 WLI166 WBM166 VRQ166 VHU166 UXY166 UOC166 UEG166 TUK166 TKO166 TAS166 SQW166 SHA166 RXE166 RNI166 RDM166 QTQ166 QJU166 PZY166 PQC166 PGG166 OWK166 OMO166 OCS166 NSW166 NJA166 MZE166 MPI166 MFM166 LVQ166 LLU166 LBY166 KSC166 KIG166 JYK166 JOO166 JES166 IUW166 ILA166 IBE166 HRI166 HHM166 GXQ166 GNU166 GDY166 FUC166 FKG166 FAK166 EQO166 EGS166 DWW166 DNA166 DDE166 CTI166 CJM166 BZQ166 BPU166 BFY166 AWC166 AMG166 ACK166 SO166 IS166 AMG159:AMG161 AWC159:AWC161 BFY159:BFY161 BPU159:BPU161 UOC268 UXY268 VHU268 VRQ268 WBM268 WLI268 WVE268 AMG253:AMG255 IS260 SO260 ACK260 AMG260 AWC260 BFY260 BPU260 BZQ260 CJM260 CTI260 DDE260 DNA260 DWW260 EGS260 EQO260 FAK260 FKG260 FUC260 GDY260 GNU260 GXQ260 HHM260 HRI260 IBE260 ILA260 IUW260 JES260 JOO260 JYK260 KIG260 KSC260 LBY260 LLU260 LVQ260 MFM260 MPI260 MZE260 NJA260 NSW260 OCS260 OMO260 OWK260 PGG260 PQC260 PZY260 QJU260 QTQ260 RDM260 RNI260 RXE260 SHA260 SQW260 TAS260 TKO260 TUK260 UEG260 UOC260 UXY260 VHU260 VRQ260 WBM260 WLI260 WVE260 ACK253:ACK255 IS278:IS282 SO278:SO282 ACK278:ACK282 AMG278:AMG282 AWC278:AWC282 BFY278:BFY282 BPU278:BPU282 BZQ278:BZQ282 CJM278:CJM282 CTI278:CTI282 DDE278:DDE282 DNA278:DNA282 DWW278:DWW282 EGS278:EGS282 EQO278:EQO282 FAK278:FAK282 FKG278:FKG282 FUC278:FUC282 GDY278:GDY282 GNU278:GNU282 GXQ278:GXQ282 HHM278:HHM282 HRI278:HRI282 IBE278:IBE282 ILA278:ILA282 IUW278:IUW282 JES278:JES282 JOO278:JOO282 JYK278:JYK282 KIG278:KIG282 KSC278:KSC282 LBY278:LBY282 LLU278:LLU282 LVQ278:LVQ282 MFM278:MFM282 MPI278:MPI282 MZE278:MZE282 NJA278:NJA282 NSW278:NSW282 OCS278:OCS282 OMO278:OMO282 OWK278:OWK282 PGG278:PGG282 PQC278:PQC282 PZY278:PZY282 QJU278:QJU282 QTQ278:QTQ282 RDM278:RDM282 RNI278:RNI282 RXE278:RXE282 SHA278:SHA282 SQW278:SQW282 TAS278:TAS282 TKO278:TKO282 TUK278:TUK282 UEG278:UEG282 UOC278:UOC282 UXY278:UXY282 VHU278:VHU282 VRQ278:VRQ282 WBM278:WBM282 WLI278:WLI282 WVE278:WVE282 SO253:SO255 IS234 SO234 ACK234 AMG234 AWC234 BFY234 BPU234 BZQ234 CJM234 CTI234 DDE234 DNA234 DWW234 EGS234 EQO234 FAK234 FKG234 FUC234 GDY234 GNU234 GXQ234 HHM234 HRI234 IBE234 ILA234 IUW234 JES234 JOO234 JYK234 KIG234 KSC234 LBY234 LLU234 LVQ234 MFM234 MPI234 MZE234 NJA234 NSW234 OCS234 OMO234 OWK234 PGG234 PQC234 PZY234 QJU234 QTQ234 RDM234 RNI234 RXE234 SHA234 SQW234 TAS234 TKO234 TUK234 UEG234 UOC234 UXY234 VHU234 VRQ234 WBM234 WLI234 WVE234 IS253:IS255 IS249 SO249 ACK249 AMG249 AWC249 BFY249 BPU249 BZQ249 CJM249 CTI249 DDE249 DNA249 DWW249 EGS249 EQO249 FAK249 FKG249 FUC249 GDY249 GNU249 GXQ249 HHM249 HRI249 IBE249 ILA249 IUW249 JES249 JOO249 JYK249 KIG249 KSC249 LBY249 LLU249 LVQ249 MFM249 MPI249 MZE249 NJA249 NSW249 OCS249 OMO249 OWK249 PGG249 PQC249 PZY249 QJU249 QTQ249 RDM249 RNI249 RXE249 SHA249 SQW249 TAS249 TKO249 TUK249 UEG249 UOC249 UXY249 VHU249 VRQ249 WBM249 WLI249 WVE249 WVE253:WVE255 WLI253:WLI255 WBM253:WBM255 VRQ253:VRQ255 VHU253:VHU255 UXY253:UXY255 UOC253:UOC255 UEG253:UEG255 TUK253:TUK255 TKO253:TKO255 TAS253:TAS255 SQW253:SQW255 SHA253:SHA255 RXE253:RXE255 RNI253:RNI255 RDM253:RDM255 QTQ253:QTQ255 QJU253:QJU255 PZY253:PZY255 PQC253:PQC255 PGG253:PGG255 OWK253:OWK255 OMO253:OMO255 OCS253:OCS255 NSW253:NSW255 NJA253:NJA255 MZE253:MZE255 MPI253:MPI255 MFM253:MFM255 LVQ253:LVQ255 LLU253:LLU255 LBY253:LBY255 KSC253:KSC255 KIG253:KIG255 JYK253:JYK255 JOO253:JOO255 JES253:JES255 IUW253:IUW255 ILA253:ILA255 IBE253:IBE255 HRI253:HRI255 HHM253:HHM255 GXQ253:GXQ255 GNU253:GNU255 GDY253:GDY255 FUC253:FUC255 FKG253:FKG255 FAK253:FAK255 EQO253:EQO255 EGS253:EGS255 DWW253:DWW255 DNA253:DNA255 DDE253:DDE255 CTI253:CTI255 CJM253:CJM255 BZQ253:BZQ255 IS275 SO275 ACK275 AMG275 AWC275 BFY275 BPU275 BZQ275 CJM275 CTI275 DDE275 DNA275 DWW275 EGS275 EQO275 FAK275 FKG275 FUC275 GDY275 GNU275 GXQ275 HHM275 HRI275 IBE275 ILA275 IUW275 JES275 JOO275 JYK275 KIG275 KSC275 LBY275 LLU275 LVQ275 MFM275 MPI275 MZE275 NJA275 NSW275 OCS275 OMO275 OWK275 PGG275 PQC275 PZY275 QJU275 QTQ275 RDM275 RNI275 RXE275 SHA275 SQW275 TAS275 TKO275 TUK275 UEG275 UOC275 UXY275 VHU275 VRQ275 WBM275 WLI275 WVE275 BPU253:BPU255 IS237 SO237 ACK237 AMG237 AWC237 BFY237 BPU237 BZQ237 CJM237 CTI237 DDE237 DNA237 DWW237 EGS237 EQO237 FAK237 FKG237 FUC237 GDY237 GNU237 GXQ237 HHM237 HRI237 IBE237 ILA237 IUW237 JES237 JOO237 JYK237 KIG237 KSC237 LBY237 LLU237 LVQ237 MFM237 MPI237 MZE237 NJA237 NSW237 OCS237 OMO237 OWK237 PGG237 PQC237 PZY237 QJU237 QTQ237 RDM237 RNI237 RXE237 SHA237 SQW237 TAS237 TKO237 TUK237 UEG237 UOC237 UXY237 VHU237 VRQ237 WBM237 WLI237 WVE237 BFY253:BFY255 IS273 SO273 ACK273 AMG273 AWC273 BFY273 BPU273 BZQ273 CJM273 CTI273 DDE273 DNA273 DWW273 EGS273 EQO273 FAK273 FKG273 FUC273 GDY273 GNU273 GXQ273 HHM273 HRI273 IBE273 ILA273 IUW273 JES273 JOO273 JYK273 KIG273 KSC273 LBY273 LLU273 LVQ273 MFM273 MPI273 MZE273 NJA273 NSW273 OCS273 OMO273 OWK273 PGG273 PQC273 PZY273 QJU273 QTQ273 RDM273 RNI273 RXE273 SHA273 SQW273 TAS273 TKO273 TUK273 UEG273 UOC273 UXY273 VHU273 VRQ273 WBM273 WLI273 WVE273 AWC253:AWC255 IS268 SO268 ACK268 AMG268 AWC268 BFY268 BPU268 BZQ268 CJM268 CTI268 DDE268 DNA268 DWW268 EGS268 EQO268 FAK268 FKG268 FUC268 GDY268 GNU268 GXQ268 HHM268 HRI268 IBE268 ILA268 IUW268 JES268 JOO268 JYK268 KIG268 KSC268 LBY268 LLU268 LVQ268 MFM268 MPI268 MZE268 NJA268 NSW268 OCS268 OMO268 OWK268 PGG268 PQC268 PZY268 QJU268 QTQ268 RDM268 RNI268 RXE268 SHA268 SQW268 TAS268 TKO268 TUK268 UEG268 IS33 SO33 ACK33 AMG33 AWC33 BFY33 BPU33 BZQ33 CJM33 CTI33 DDE33 DNA33 DWW33 EGS33 EQO33 FAK33 FKG33 FUC33 GDY33 GNU33 GXQ33 HHM33 HRI33 IBE33 ILA33 IUW33 JES33 JOO33 JYK33 KIG33 KSC33 LBY33 LLU33 LVQ33 MFM33 MPI33 MZE33 NJA33 NSW33 OCS33 OMO33 OWK33 PGG33 PQC33 PZY33 QJU33 QTQ33 RDM33 RNI33 RXE33 SHA33 SQW33 TAS33 TKO33 TUK33 UEG33 UOC33 UXY33 VHU33 VRQ33 WBM33 WLI33 WVE3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BZQ73:BZQ93 CJM73:CJM93 CTI73:CTI93 DDE73:DDE93 DNA73:DNA93 DWW73:DWW93 EGS73:EGS93 EQO73:EQO93 FAK73:FAK93 FKG73:FKG93 FUC73:FUC93 GDY73:GDY93 GNU73:GNU93 GXQ73:GXQ93 HHM73:HHM93 HRI73:HRI93 IBE73:IBE93 ILA73:ILA93 IUW73:IUW93 JES73:JES93 JOO73:JOO93 JYK73:JYK93 KIG73:KIG93 KSC73:KSC93 LBY73:LBY93 LLU73:LLU93 LVQ73:LVQ93 MFM73:MFM93 MPI73:MPI93 MZE73:MZE93 NJA73:NJA93 NSW73:NSW93 OCS73:OCS93 OMO73:OMO93 OWK73:OWK93 PGG73:PGG93 PQC73:PQC93 PZY73:PZY93 QJU73:QJU93 QTQ73:QTQ93 RDM73:RDM93 RNI73:RNI93 RXE73:RXE93 SHA73:SHA93 SQW73:SQW93 TAS73:TAS93 TKO73:TKO93 TUK73:TUK93 UEG73:UEG93 UOC73:UOC93 UXY73:UXY93 VHU73:VHU93 VRQ73:VRQ93 WBM73:WBM93 WLI73:WLI93 WVE73:WVE93 IS73:IS93 SO73:SO93 ACK73:ACK93 AMG73:AMG93 AWC73:AWC93 BFY73:BFY93 BPU73:BPU93 WVE177:WVE179 WLI177:WLI179 WBM177:WBM179 VRQ177:VRQ179 VHU177:VHU179 UXY177:UXY179 UOC177:UOC179 UEG177:UEG179 TUK177:TUK179 TKO177:TKO179 TAS177:TAS179 SQW177:SQW179 SHA177:SHA179 RXE177:RXE179 RNI177:RNI179 RDM177:RDM179 QTQ177:QTQ179 QJU177:QJU179 PZY177:PZY179 PQC177:PQC179 PGG177:PGG179 OWK177:OWK179 OMO177:OMO179 OCS177:OCS179 NSW177:NSW179 NJA177:NJA179 MZE177:MZE179 MPI177:MPI179 MFM177:MFM179 LVQ177:LVQ179 LLU177:LLU179 LBY177:LBY179 KSC177:KSC179 KIG177:KIG179 JYK177:JYK179 JOO177:JOO179 JES177:JES179 IUW177:IUW179 ILA177:ILA179 IBE177:IBE179 HRI177:HRI179 HHM177:HHM179 GXQ177:GXQ179 GNU177:GNU179 GDY177:GDY179 FUC177:FUC179 FKG177:FKG179 FAK177:FAK179 EQO177:EQO179 EGS177:EGS179 DWW177:DWW179 DNA177:DNA179 DDE177:DDE179 CTI177:CTI179 CJM177:CJM179 BZQ177:BZQ179 BPU177:BPU179 BFY177:BFY179 AWC177:AWC179 AMG177:AMG179 ACK177:ACK179 SO177:SO179 IS177:IS179">
      <formula1>0</formula1>
      <formula2>0</formula2>
    </dataValidation>
    <dataValidation type="whole" operator="greaterThanOrEqual" allowBlank="1" showInputMessage="1" showErrorMessage="1" error="Введите целое положительное число." sqref="WVM316 WLQ316 WBU316 VRY316 VIC316 UYG316 UOK316 UEO316 TUS316 TKW316 TBA316 SRE316 SHI316 RXM316 RNQ316 RDU316 QTY316 QKC316 QAG316 PQK316 PGO316 OWS316 OMW316 ODA316 NTE316 NJI316 MZM316 MPQ316 MFU316 LVY316 LMC316 LCG316 KSK316 KIO316 JYS316 JOW316 JFA316 IVE316 ILI316 IBM316 HRQ316 HHU316 GXY316 GOC316 GEG316 FUK316 FKO316 FAS316 EQW316 EHA316 DXE316 DNI316 DDM316 CTQ316 CJU316 BZY316 BQC316 BGG316 AWK316 AMO316 ACS316 SW316 JA316 WVE316 WLI316 WBM316 VRQ316 VHU316 UXY316 UOC316 UEG316 TUK316 TKO316 TAS316 SQW316 SHA316 RXE316 RNI316 RDM316 QTQ316 QJU316 PZY316 PQC316 PGG316 OWK316 OMO316 OCS316 NSW316 NJA316 MZE316 MPI316 MFM316 LVQ316 LLU316 LBY316 KSC316 KIG316 JYK316 JOO316 JES316 IUW316 ILA316 IBE316 HRI316 HHM316 GXQ316 GNU316 GDY316 FUC316 FKG316 FAK316 EQO316 EGS316 DWW316 DNA316 DDE316 CTI316 CJM316 BZQ316 BPU316 BFY316 AWC316 AMG316 ACK316 SO316 IS316 WVE329:WVE330 WLI329:WLI330 WBM329:WBM330 VRQ329:VRQ330 VHU329:VHU330 UXY329:UXY330 UOC329:UOC330 UEG329:UEG330 TUK329:TUK330 TKO329:TKO330 TAS329:TAS330 SQW329:SQW330 SHA329:SHA330 RXE329:RXE330 RNI329:RNI330 RDM329:RDM330 QTQ329:QTQ330 QJU329:QJU330 PZY329:PZY330 PQC329:PQC330 PGG329:PGG330 OWK329:OWK330 OMO329:OMO330 OCS329:OCS330 NSW329:NSW330 NJA329:NJA330 MZE329:MZE330 MPI329:MPI330 MFM329:MFM330 LVQ329:LVQ330 LLU329:LLU330 LBY329:LBY330 KSC329:KSC330 KIG329:KIG330 JYK329:JYK330 JOO329:JOO330 JES329:JES330 IUW329:IUW330 ILA329:ILA330 IBE329:IBE330 HRI329:HRI330 HHM329:HHM330 GXQ329:GXQ330 GNU329:GNU330 GDY329:GDY330 FUC329:FUC330 FKG329:FKG330 FAK329:FAK330 EQO329:EQO330 EGS329:EGS330 DWW329:DWW330 DNA329:DNA330 DDE329:DDE330 CTI329:CTI330 CJM329:CJM330 BZQ329:BZQ330 BPU329:BPU330 BFY329:BFY330 AWC329:AWC330 AMG329:AMG330 ACK329:ACK330 SO329:SO330 IS329:IS330 WVI328 WLM328 WBQ328 VRU328 VHY328 UYC328 UOG328 UEK328 TUO328 TKS328 TAW328 SRA328 SHE328 RXI328 RNM328 RDQ328 QTU328 QJY328 QAC328 PQG328 PGK328 OWO328 OMS328 OCW328 NTA328 NJE328 MZI328 MPM328 MFQ328 LVU328 LLY328 LCC328 KSG328 KIK328 JYO328 JOS328 JEW328 IVA328 ILE328 IBI328 HRM328 HHQ328 GXU328 GNY328 GEC328 FUG328 FKK328 FAO328 EQS328 EGW328 DXA328 DNE328 DDI328 CTM328 CJQ328 BZU328 BPY328 BGC328 AWG328 AMK328 ACO328 SS328 IW328 WVM318:WVM319 WLQ318:WLQ319 WBU318:WBU319 VRY318:VRY319 VIC318:VIC319 UYG318:UYG319 UOK318:UOK319 UEO318:UEO319 TUS318:TUS319 TKW318:TKW319 TBA318:TBA319 SRE318:SRE319 SHI318:SHI319 RXM318:RXM319 RNQ318:RNQ319 RDU318:RDU319 QTY318:QTY319 QKC318:QKC319 QAG318:QAG319 PQK318:PQK319 PGO318:PGO319 OWS318:OWS319 OMW318:OMW319 ODA318:ODA319 NTE318:NTE319 NJI318:NJI319 MZM318:MZM319 MPQ318:MPQ319 MFU318:MFU319 LVY318:LVY319 LMC318:LMC319 LCG318:LCG319 KSK318:KSK319 KIO318:KIO319 JYS318:JYS319 JOW318:JOW319 JFA318:JFA319 IVE318:IVE319 ILI318:ILI319 IBM318:IBM319 HRQ318:HRQ319 HHU318:HHU319 GXY318:GXY319 GOC318:GOC319 GEG318:GEG319 FUK318:FUK319 FKO318:FKO319 FAS318:FAS319 EQW318:EQW319 EHA318:EHA319 DXE318:DXE319 DNI318:DNI319 DDM318:DDM319 CTQ318:CTQ319 CJU318:CJU319 BZY318:BZY319 BQC318:BQC319 BGG318:BGG319 AWK318:AWK319 AMO318:AMO319 ACS318:ACS319 SW318:SW319 JA318:JA319 WVE318 WLI318 WBM318 VRQ318 VHU318 UXY318 UOC318 UEG318 TUK318 TKO318 TAS318 SQW318 SHA318 RXE318 RNI318 RDM318 QTQ318 QJU318 PZY318 PQC318 PGG318 OWK318 OMO318 OCS318 NSW318 NJA318 MZE318 MPI318 MFM318 LVQ318 LLU318 LBY318 KSC318 KIG318 JYK318 JOO318 JES318 IUW318 ILA318 IBE318 HRI318 HHM318 GXQ318 GNU318 GDY318 FUC318 FKG318 FAK318 EQO318 EGS318 DWW318 DNA318 DDE318 CTI318 CJM318 BZQ318 BPU318 BFY318 AWC318 AMG318 ACK318 SO318 IS318 WVI326 WLM326 WBQ326 VRU326 VHY326 UYC326 UOG326 UEK326 TUO326 TKS326 TAW326 SRA326 SHE326 RXI326 RNM326 RDQ326 QTU326 QJY326 QAC326 PQG326 PGK326 OWO326 OMS326 OCW326 NTA326 NJE326 MZI326 MPM326 MFQ326 LVU326 LLY326 LCC326 KSG326 KIK326 JYO326 JOS326 JEW326 IVA326 ILE326 IBI326 HRM326 HHQ326 GXU326 GNY326 GEC326 FUG326 FKK326 FAO326 EQS326 EGW326 DXA326 DNE326 DDI326 CTM326 CJQ326 BZU326 BPY326 BGC326 AWG326 AMK326 ACO326 SS326 IW326 WVI336:WVI344 WLM336:WLM344 WBQ336:WBQ344 VRU336:VRU344 VHY336:VHY344 UYC336:UYC344 UOG336:UOG344 UEK336:UEK344 TUO336:TUO344 TKS336:TKS344 TAW336:TAW344 SRA336:SRA344 SHE336:SHE344 RXI336:RXI344 RNM336:RNM344 RDQ336:RDQ344 QTU336:QTU344 QJY336:QJY344 QAC336:QAC344 PQG336:PQG344 PGK336:PGK344 OWO336:OWO344 OMS336:OMS344 OCW336:OCW344 NTA336:NTA344 NJE336:NJE344 MZI336:MZI344 MPM336:MPM344 MFQ336:MFQ344 LVU336:LVU344 LLY336:LLY344 LCC336:LCC344 KSG336:KSG344 KIK336:KIK344 JYO336:JYO344 JOS336:JOS344 JEW336:JEW344 IVA336:IVA344 ILE336:ILE344 IBI336:IBI344 HRM336:HRM344 HHQ336:HHQ344 GXU336:GXU344 GNY336:GNY344 GEC336:GEC344 FUG336:FUG344 FKK336:FKK344 FAO336:FAO344 EQS336:EQS344 EGW336:EGW344 DXA336:DXA344 DNE336:DNE344 DDI336:DDI344 CTM336:CTM344 CJQ336:CJQ344 BZU336:BZU344 BPY336:BPY344 BGC336:BGC344 AWG336:AWG344 AMK336:AMK344 ACO336:ACO344 SS336:SS344 IW336:IW344 WVM330 WLQ330 WBU330 VRY330 VIC330 UYG330 UOK330 UEO330 TUS330 TKW330 TBA330 SRE330 SHI330 RXM330 RNQ330 RDU330 QTY330 QKC330 QAG330 PQK330 PGO330 OWS330 OMW330 ODA330 NTE330 NJI330 MZM330 MPQ330 MFU330 LVY330 LMC330 LCG330 KSK330 KIO330 JYS330 JOW330 JFA330 IVE330 ILI330 IBM330 HRQ330 HHU330 GXY330 GOC330 GEG330 FUK330 FKO330 FAS330 EQW330 EHA330 DXE330 DNI330 DDM330 CTQ330 CJU330 BZY330 BQC330 BGG330 AWK330 AMO330 ACS330 SW330 JA330 BZU160:BZU161 CJQ160:CJQ161 CTM160:CTM161 DDI160:DDI161 DNE160:DNE161 DXA160:DXA161 EGW160:EGW161 EQS160:EQS161 FAO160:FAO161 FKK160:FKK161 FUG160:FUG161 GEC160:GEC161 GNY160:GNY161 GXU160:GXU161 HHQ160:HHQ161 HRM160:HRM161 IBI160:IBI161 ILE160:ILE161 IVA160:IVA161 JEW160:JEW161 JOS160:JOS161 JYO160:JYO161 KIK160:KIK161 KSG160:KSG161 LCC160:LCC161 LLY160:LLY161 LVU160:LVU161 MFQ160:MFQ161 MPM160:MPM161 MZI160:MZI161 NJE160:NJE161 NTA160:NTA161 OCW160:OCW161 OMS160:OMS161 OWO160:OWO161 PGK160:PGK161 PQG160:PQG161 QAC160:QAC161 QJY160:QJY161 QTU160:QTU161 RDQ160:RDQ161 RNM160:RNM161 RXI160:RXI161 SHE160:SHE161 SRA160:SRA161 TAW160:TAW161 TKS160:TKS161 TUO160:TUO161 UEK160:UEK161 UOG160:UOG161 UYC160:UYC161 VHY160:VHY161 VRU160:VRU161 WBQ160:WBQ161 WLM160:WLM161 WVI160:WVI161 WVI172:WVI173 WLM172:WLM173 WBQ172:WBQ173 VRU172:VRU173 VHY172:VHY173 UYC172:UYC173 UOG172:UOG173 UEK172:UEK173 TUO172:TUO173 TKS172:TKS173 TAW172:TAW173 SRA172:SRA173 SHE172:SHE173 RXI172:RXI173 RNM172:RNM173 RDQ172:RDQ173 QTU172:QTU173 QJY172:QJY173 QAC172:QAC173 PQG172:PQG173 PGK172:PGK173 OWO172:OWO173 OMS172:OMS173 OCW172:OCW173 NTA172:NTA173 NJE172:NJE173 MZI172:MZI173 MPM172:MPM173 MFQ172:MFQ173 LVU172:LVU173 LLY172:LLY173 LCC172:LCC173 KSG172:KSG173 KIK172:KIK173 JYO172:JYO173 JOS172:JOS173 JEW172:JEW173 IVA172:IVA173 ILE172:ILE173 IBI172:IBI173 HRM172:HRM173 HHQ172:HHQ173 GXU172:GXU173 GNY172:GNY173 GEC172:GEC173 FUG172:FUG173 FKK172:FKK173 FAO172:FAO173 EQS172:EQS173 EGW172:EGW173 DXA172:DXA173 DNE172:DNE173 DDI172:DDI173 CTM172:CTM173 CJQ172:CJQ173 BZU172:BZU173 BPY172:BPY173 BGC172:BGC173 AWG172:AWG173 AMK172:AMK173 ACO172:ACO173 SS172:SS173 IW172:IW173 AMK160:AMK161 AWG160:AWG161 WVE162 WLI162 WBM162 VRQ162 VHU162 UXY162 UOC162 UEG162 TUK162 TKO162 TAS162 SQW162 SHA162 RXE162 RNI162 RDM162 QTQ162 QJU162 PZY162 PQC162 PGG162 OWK162 OMO162 OCS162 NSW162 NJA162 MZE162 MPI162 MFM162 LVQ162 LLU162 LBY162 KSC162 KIG162 JYK162 JOO162 JES162 IUW162 ILA162 IBE162 HRI162 HHM162 GXQ162 GNU162 GDY162 FUC162 FKG162 FAK162 EQO162 EGS162 DWW162 DNA162 DDE162 CTI162 CJM162 BZQ162 BPU162 BFY162 AWC162 AMG162 ACK162 SO162 IS162 BGC160:BGC161 WVI163 WLM163 WBQ163 VRU163 VHY163 UYC163 UOG163 UEK163 TUO163 TKS163 TAW163 SRA163 SHE163 RXI163 RNM163 RDQ163 QTU163 QJY163 QAC163 PQG163 PGK163 OWO163 OMS163 OCW163 NTA163 NJE163 MZI163 MPM163 MFQ163 LVU163 LLY163 LCC163 KSG163 KIK163 JYO163 JOS163 JEW163 IVA163 ILE163 IBI163 HRM163 HHQ163 GXU163 GNY163 GEC163 FUG163 FKK163 FAO163 EQS163 EGW163 DXA163 DNE163 DDI163 CTM163 CJQ163 BZU163 BPY163 BGC163 AWG163 AMK163 ACO163 SS163 IW163 IW160:IW161 SS160:SS161 WVE164 WLI164 WBM164 VRQ164 VHU164 UXY164 UOC164 UEG164 TUK164 TKO164 TAS164 SQW164 SHA164 RXE164 RNI164 RDM164 QTQ164 QJU164 PZY164 PQC164 PGG164 OWK164 OMO164 OCS164 NSW164 NJA164 MZE164 MPI164 MFM164 LVQ164 LLU164 LBY164 KSC164 KIG164 JYK164 JOO164 JES164 IUW164 ILA164 IBE164 HRI164 HHM164 GXQ164 GNU164 GDY164 FUC164 FKG164 FAK164 EQO164 EGS164 DWW164 DNA164 DDE164 CTI164 CJM164 BZQ164 BPU164 BFY164 AWC164 AMG164 ACK164 SO164 IS164 WVE171 WLI171 WBM171 VRQ171 VHU171 UXY171 UOC171 UEG171 TUK171 TKO171 TAS171 SQW171 SHA171 RXE171 RNI171 RDM171 QTQ171 QJU171 PZY171 PQC171 PGG171 OWK171 OMO171 OCS171 NSW171 NJA171 MZE171 MPI171 MFM171 LVQ171 LLU171 LBY171 KSC171 KIG171 JYK171 JOO171 JES171 IUW171 ILA171 IBE171 HRI171 HHM171 GXQ171 GNU171 GDY171 FUC171 FKG171 FAK171 EQO171 EGS171 DWW171 DNA171 DDE171 CTI171 CJM171 BZQ171 BPU171 BFY171 AWC171 AMG171 ACK171 SO171 IS171 BPY160:BPY161 ACO160:ACO161 RNM270:RNM272 RXI270:RXI272 SHE270:SHE272 SRA270:SRA272 TAW270:TAW272 TKS270:TKS272 TUO270:TUO272 UEK270:UEK272 UOG270:UOG272 UYC270:UYC272 VHY270:VHY272 VRU270:VRU272 WBQ270:WBQ272 WLM270:WLM272 WVI270:WVI272 WVI254:WVI255 WLM254:WLM255 WBQ254:WBQ255 VRU254:VRU255 VHY254:VHY255 UYC254:UYC255 UOG254:UOG255 UEK254:UEK255 TUO254:TUO255 TKS254:TKS255 TAW254:TAW255 SRA254:SRA255 SHE254:SHE255 RXI254:RXI255 RNM254:RNM255 RDQ254:RDQ255 QTU254:QTU255 QJY254:QJY255 QAC254:QAC255 PQG254:PQG255 PGK254:PGK255 OWO254:OWO255 OMS254:OMS255 OCW254:OCW255 NTA254:NTA255 NJE254:NJE255 MZI254:MZI255 MPM254:MPM255 MFQ254:MFQ255 LVU254:LVU255 LLY254:LLY255 LCC254:LCC255 KSG254:KSG255 KIK254:KIK255 JYO254:JYO255 JOS254:JOS255 JEW254:JEW255 IVA254:IVA255 ILE254:ILE255 IBI254:IBI255 HRM254:HRM255 HHQ254:HHQ255 GXU254:GXU255 GNY254:GNY255 GEC254:GEC255 FUG254:FUG255 FKK254:FKK255 FAO254:FAO255 EQS254:EQS255 EGW254:EGW255 DXA254:DXA255 DNE254:DNE255 DDI254:DDI255 CTM254:CTM255 CJQ254:CJQ255 BZU254:BZU255 ACO254:ACO255 JA278 SW278 ACS278 AMO278 AWK278 BGG278 BQC278 BZY278 CJU278 CTQ278 DDM278 DNI278 DXE278 EHA278 EQW278 FAS278 FKO278 FUK278 GEG278 GOC278 GXY278 HHU278 HRQ278 IBM278 ILI278 IVE278 JFA278 JOW278 JYS278 KIO278 KSK278 LCG278 LMC278 LVY278 MFU278 MPQ278 MZM278 NJI278 NTE278 ODA278 OMW278 OWS278 PGO278 PQK278 QAG278 QKC278 QTY278 RDU278 RNQ278 RXM278 SHI278 SRE278 TBA278 TKW278 TUS278 UEO278 UOK278 UYG278 VIC278 VRY278 WBU278 WLQ278 WVM278 BPY254:BPY255 IS269 SO269 ACK269 AMG269 AWC269 BFY269 BPU269 BZQ269 CJM269 CTI269 DDE269 DNA269 DWW269 EGS269 EQO269 FAK269 FKG269 FUC269 GDY269 GNU269 GXQ269 HHM269 HRI269 IBE269 ILA269 IUW269 JES269 JOO269 JYK269 KIG269 KSC269 LBY269 LLU269 LVQ269 MFM269 MPI269 MZE269 NJA269 NSW269 OCS269 OMO269 OWK269 PGG269 PQC269 PZY269 QJU269 QTQ269 RDM269 RNI269 RXE269 SHA269 SQW269 TAS269 TKO269 TUK269 UEG269 UOC269 UXY269 VHU269 VRQ269 WBM269 WLI269 WVE269 IS258 SO258 ACK258 AMG258 AWC258 BFY258 BPU258 BZQ258 CJM258 CTI258 DDE258 DNA258 DWW258 EGS258 EQO258 FAK258 FKG258 FUC258 GDY258 GNU258 GXQ258 HHM258 HRI258 IBE258 ILA258 IUW258 JES258 JOO258 JYK258 KIG258 KSC258 LBY258 LLU258 LVQ258 MFM258 MPI258 MZE258 NJA258 NSW258 OCS258 OMO258 OWK258 PGG258 PQC258 PZY258 QJU258 QTQ258 RDM258 RNI258 RXE258 SHA258 SQW258 TAS258 TKO258 TUK258 UEG258 UOC258 UXY258 VHU258 VRQ258 WBM258 WLI258 WVE258 SS254:SS255 IW254:IW255 IW257 SS257 ACO257 AMK257 AWG257 BGC257 BPY257 BZU257 CJQ257 CTM257 DDI257 DNE257 DXA257 EGW257 EQS257 FAO257 FKK257 FUG257 GEC257 GNY257 GXU257 HHQ257 HRM257 IBI257 ILE257 IVA257 JEW257 JOS257 JYO257 KIK257 KSG257 LCC257 LLY257 LVU257 MFQ257 MPM257 MZI257 NJE257 NTA257 OCW257 OMS257 OWO257 PGK257 PQG257 QAC257 QJY257 QTU257 RDQ257 RNM257 RXI257 SHE257 SRA257 TAW257 TKS257 TUO257 UEK257 UOG257 UYC257 VHY257 VRU257 WBQ257 WLM257 WVI257 BGC254:BGC255 IS256 SO256 ACK256 AMG256 AWC256 BFY256 BPU256 BZQ256 CJM256 CTI256 DDE256 DNA256 DWW256 EGS256 EQO256 FAK256 FKG256 FUC256 GDY256 GNU256 GXQ256 HHM256 HRI256 IBE256 ILA256 IUW256 JES256 JOO256 JYK256 KIG256 KSC256 LBY256 LLU256 LVQ256 MFM256 MPI256 MZE256 NJA256 NSW256 OCS256 OMO256 OWK256 PGG256 PQC256 PZY256 QJU256 QTQ256 RDM256 RNI256 RXE256 SHA256 SQW256 TAS256 TKO256 TUK256 UEG256 UOC256 UXY256 VHU256 VRQ256 WBM256 WLI256 WVE256 AWG254:AWG255 IS267 SO267 ACK267 AMG267 AWC267 BFY267 BPU267 BZQ267 CJM267 CTI267 DDE267 DNA267 DWW267 EGS267 EQO267 FAK267 FKG267 FUC267 GDY267 GNU267 GXQ267 HHM267 HRI267 IBE267 ILA267 IUW267 JES267 JOO267 JYK267 KIG267 KSC267 LBY267 LLU267 LVQ267 MFM267 MPI267 MZE267 NJA267 NSW267 OCS267 OMO267 OWK267 PGG267 PQC267 PZY267 QJU267 QTQ267 RDM267 RNI267 RXE267 SHA267 SQW267 TAS267 TKO267 TUK267 UEG267 UOC267 UXY267 VHU267 VRQ267 WBM267 WLI267 WVE267 AMK254:AMK255 IW270:IW272 SS270:SS272 ACO270:ACO272 AMK270:AMK272 AWG270:AWG272 BGC270:BGC272 BPY270:BPY272 BZU270:BZU272 CJQ270:CJQ272 CTM270:CTM272 DDI270:DDI272 DNE270:DNE272 DXA270:DXA272 EGW270:EGW272 EQS270:EQS272 FAO270:FAO272 FKK270:FKK272 FUG270:FUG272 GEC270:GEC272 GNY270:GNY272 GXU270:GXU272 HHQ270:HHQ272 HRM270:HRM272 IBI270:IBI272 ILE270:ILE272 IVA270:IVA272 JEW270:JEW272 JOS270:JOS272 JYO270:JYO272 KIK270:KIK272 KSG270:KSG272 LCC270:LCC272 LLY270:LLY272 LVU270:LVU272 MFQ270:MFQ272 MPM270:MPM272 MZI270:MZI272 NJE270:NJE272 NTA270:NTA272 OCW270:OCW272 OMS270:OMS272 OWO270:OWO272 PGK270:PGK272 PQG270:PQG272 QAC270:QAC272 QJY270:QJY272 QTU270:QTU272 RDQ270:RDQ272 BPY73:BPY93 SS73:SS93 IW73:IW93 BGC73:BGC93 AWG73:AWG93 AMK73:AMK93 WVI73:WVI93 WLM73:WLM93 WBQ73:WBQ93 VRU73:VRU93 VHY73:VHY93 UYC73:UYC93 UOG73:UOG93 UEK73:UEK93 TUO73:TUO93 TKS73:TKS93 TAW73:TAW93 SRA73:SRA93 SHE73:SHE93 RXI73:RXI93 RNM73:RNM93 RDQ73:RDQ93 QTU73:QTU93 QJY73:QJY93 QAC73:QAC93 PQG73:PQG93 PGK73:PGK93 OWO73:OWO93 OMS73:OMS93 OCW73:OCW93 NTA73:NTA93 NJE73:NJE93 MZI73:MZI93 MPM73:MPM93 MFQ73:MFQ93 LVU73:LVU93 LLY73:LLY93 LCC73:LCC93 KSG73:KSG93 KIK73:KIK93 JYO73:JYO93 JOS73:JOS93 JEW73:JEW93 IVA73:IVA93 ILE73:ILE93 IBI73:IBI93 HRM73:HRM93 HHQ73:HHQ93 GXU73:GXU93 GNY73:GNY93 GEC73:GEC93 FUG73:FUG93 FKK73:FKK93 FAO73:FAO93 EQS73:EQS93 EGW73:EGW93 DXA73:DXA93 DNE73:DNE93 DDI73:DDI93 CTM73:CTM93 CJQ73:CJQ93 BZU73:BZU93 ACO73:ACO93">
      <formula1>1</formula1>
      <formula2>0</formula2>
    </dataValidation>
  </dataValidations>
  <pageMargins left="0.19685039370078741" right="0.19685039370078741" top="0.78740157480314965" bottom="0.39370078740157483" header="0.51181102362204722" footer="0.51181102362204722"/>
  <pageSetup paperSize="9" scale="35" firstPageNumber="0" fitToHeight="0" orientation="landscape" r:id="rId1"/>
  <headerFooter alignWithMargins="0"/>
  <colBreaks count="1" manualBreakCount="1">
    <brk id="2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4678"/>
  <sheetViews>
    <sheetView topLeftCell="T4671" zoomScale="60" zoomScaleNormal="60" zoomScaleSheetLayoutView="50" workbookViewId="0">
      <selection activeCell="AJ4688" sqref="AJ4688"/>
    </sheetView>
  </sheetViews>
  <sheetFormatPr defaultColWidth="8.85546875" defaultRowHeight="18.75" outlineLevelRow="1"/>
  <cols>
    <col min="1" max="1" width="0.28515625" style="559" hidden="1" customWidth="1"/>
    <col min="2" max="2" width="66.140625" style="560" hidden="1" customWidth="1"/>
    <col min="3" max="3" width="44.140625" style="561" hidden="1" customWidth="1"/>
    <col min="4" max="4" width="69.140625" style="561" hidden="1" customWidth="1"/>
    <col min="5" max="5" width="0.140625" style="561" hidden="1" customWidth="1"/>
    <col min="6" max="6" width="47.7109375" style="561" hidden="1" customWidth="1"/>
    <col min="7" max="7" width="33.42578125" style="561" hidden="1" customWidth="1"/>
    <col min="8" max="8" width="58.42578125" style="561" hidden="1" customWidth="1"/>
    <col min="9" max="9" width="69.140625" style="561" hidden="1" customWidth="1"/>
    <col min="10" max="10" width="62" style="561" hidden="1" customWidth="1"/>
    <col min="11" max="11" width="37" style="556" hidden="1" customWidth="1"/>
    <col min="12" max="12" width="25.42578125" style="562" hidden="1" customWidth="1"/>
    <col min="13" max="13" width="25.42578125" style="563" hidden="1" customWidth="1"/>
    <col min="14" max="14" width="19.85546875" style="564" hidden="1" customWidth="1"/>
    <col min="15" max="15" width="21.5703125" style="565" hidden="1" customWidth="1"/>
    <col min="16" max="16" width="12" style="564" hidden="1" customWidth="1"/>
    <col min="17" max="17" width="21.5703125" style="564" hidden="1" customWidth="1"/>
    <col min="18" max="18" width="144.140625" style="561" hidden="1" customWidth="1"/>
    <col min="19" max="19" width="48" style="555" hidden="1" customWidth="1"/>
    <col min="20" max="20" width="0.28515625" style="556" customWidth="1"/>
    <col min="21" max="21" width="51.28515625" style="558" hidden="1" customWidth="1"/>
    <col min="22" max="22" width="18.42578125" style="560" hidden="1" customWidth="1"/>
    <col min="23" max="23" width="15.5703125" style="560" hidden="1" customWidth="1"/>
    <col min="24" max="24" width="3" style="560" customWidth="1"/>
    <col min="25" max="25" width="4.85546875" style="560" customWidth="1"/>
    <col min="26" max="26" width="8.140625" style="560" customWidth="1"/>
    <col min="27" max="16360" width="8.85546875" style="29"/>
    <col min="16361" max="16361" width="0.7109375" style="29" customWidth="1"/>
    <col min="16362" max="16375" width="8.85546875" style="29" hidden="1" customWidth="1"/>
    <col min="16376" max="16382" width="8.85546875" style="29"/>
    <col min="16383" max="16383" width="17.7109375" style="29" bestFit="1" customWidth="1"/>
    <col min="16384" max="16384" width="12" style="29" customWidth="1"/>
  </cols>
  <sheetData>
    <row r="1" spans="1:26" s="244" customFormat="1" hidden="1">
      <c r="A1" s="1368" t="s">
        <v>211</v>
      </c>
      <c r="B1" s="1368"/>
      <c r="C1" s="1368"/>
      <c r="D1" s="1368"/>
      <c r="E1" s="1368"/>
      <c r="F1" s="1368"/>
      <c r="G1" s="1368"/>
      <c r="H1" s="1368"/>
      <c r="I1" s="1368"/>
      <c r="J1" s="1390"/>
      <c r="K1" s="1368"/>
      <c r="L1" s="1368"/>
      <c r="M1" s="1368"/>
      <c r="N1" s="1391"/>
      <c r="O1" s="1368"/>
      <c r="P1" s="1368"/>
      <c r="Q1" s="1368"/>
      <c r="R1" s="1368"/>
      <c r="S1" s="555"/>
      <c r="T1" s="556"/>
      <c r="U1" s="557"/>
      <c r="V1" s="556"/>
      <c r="W1" s="556"/>
      <c r="X1" s="556"/>
      <c r="Y1" s="556"/>
      <c r="Z1" s="556"/>
    </row>
    <row r="2" spans="1:26" s="244" customFormat="1" hidden="1">
      <c r="A2" s="1368" t="s">
        <v>437</v>
      </c>
      <c r="B2" s="1368"/>
      <c r="C2" s="1368"/>
      <c r="D2" s="1368"/>
      <c r="E2" s="1368"/>
      <c r="F2" s="1368"/>
      <c r="G2" s="1368"/>
      <c r="H2" s="1368"/>
      <c r="I2" s="1368"/>
      <c r="J2" s="1390"/>
      <c r="K2" s="1368"/>
      <c r="L2" s="1368"/>
      <c r="M2" s="1368"/>
      <c r="N2" s="1391"/>
      <c r="O2" s="1368"/>
      <c r="P2" s="1368"/>
      <c r="Q2" s="1368"/>
      <c r="R2" s="1368"/>
      <c r="S2" s="555"/>
      <c r="T2" s="556"/>
      <c r="U2" s="558"/>
      <c r="V2" s="556"/>
      <c r="W2" s="556"/>
      <c r="X2" s="556"/>
      <c r="Y2" s="556"/>
      <c r="Z2" s="556"/>
    </row>
    <row r="3" spans="1:26" s="244" customFormat="1" hidden="1">
      <c r="A3" s="559"/>
      <c r="B3" s="560"/>
      <c r="C3" s="561"/>
      <c r="D3" s="561"/>
      <c r="E3" s="561"/>
      <c r="F3" s="561"/>
      <c r="G3" s="561"/>
      <c r="H3" s="561"/>
      <c r="I3" s="561"/>
      <c r="J3" s="561"/>
      <c r="K3" s="556"/>
      <c r="L3" s="562"/>
      <c r="M3" s="563"/>
      <c r="N3" s="564"/>
      <c r="O3" s="565"/>
      <c r="P3" s="564"/>
      <c r="Q3" s="564"/>
      <c r="R3" s="561"/>
      <c r="S3" s="555"/>
      <c r="T3" s="556"/>
      <c r="U3" s="557"/>
      <c r="V3" s="556"/>
      <c r="W3" s="556"/>
      <c r="X3" s="556"/>
      <c r="Y3" s="556"/>
      <c r="Z3" s="556"/>
    </row>
    <row r="4" spans="1:26" s="244" customFormat="1" hidden="1">
      <c r="A4" s="1392" t="s">
        <v>1</v>
      </c>
      <c r="B4" s="1393" t="s">
        <v>2</v>
      </c>
      <c r="C4" s="1394" t="s">
        <v>4</v>
      </c>
      <c r="D4" s="1394" t="s">
        <v>107</v>
      </c>
      <c r="E4" s="1394" t="s">
        <v>108</v>
      </c>
      <c r="F4" s="1394" t="s">
        <v>109</v>
      </c>
      <c r="G4" s="1394" t="s">
        <v>110</v>
      </c>
      <c r="H4" s="1394" t="s">
        <v>5</v>
      </c>
      <c r="I4" s="1394" t="s">
        <v>6</v>
      </c>
      <c r="J4" s="1394" t="s">
        <v>111</v>
      </c>
      <c r="K4" s="1398" t="s">
        <v>10</v>
      </c>
      <c r="L4" s="1395" t="s">
        <v>11</v>
      </c>
      <c r="M4" s="1395"/>
      <c r="N4" s="1395"/>
      <c r="O4" s="1395"/>
      <c r="P4" s="1395"/>
      <c r="Q4" s="1395"/>
      <c r="R4" s="1396" t="s">
        <v>112</v>
      </c>
      <c r="S4" s="555"/>
      <c r="T4" s="556"/>
      <c r="U4" s="557"/>
      <c r="V4" s="556"/>
      <c r="W4" s="556"/>
      <c r="X4" s="556"/>
      <c r="Y4" s="556"/>
      <c r="Z4" s="556"/>
    </row>
    <row r="5" spans="1:26" s="244" customFormat="1" hidden="1">
      <c r="A5" s="1392"/>
      <c r="B5" s="1393"/>
      <c r="C5" s="1394"/>
      <c r="D5" s="1394"/>
      <c r="E5" s="1394"/>
      <c r="F5" s="1394"/>
      <c r="G5" s="1394"/>
      <c r="H5" s="1394"/>
      <c r="I5" s="1394"/>
      <c r="J5" s="1394"/>
      <c r="K5" s="1398"/>
      <c r="L5" s="1397" t="s">
        <v>17</v>
      </c>
      <c r="M5" s="1395" t="s">
        <v>19</v>
      </c>
      <c r="N5" s="1395"/>
      <c r="O5" s="1395"/>
      <c r="P5" s="1395"/>
      <c r="Q5" s="1395"/>
      <c r="R5" s="1396"/>
      <c r="S5" s="555"/>
      <c r="T5" s="556"/>
      <c r="U5" s="558"/>
      <c r="V5" s="556"/>
      <c r="W5" s="556"/>
      <c r="X5" s="556"/>
      <c r="Y5" s="556"/>
      <c r="Z5" s="556"/>
    </row>
    <row r="6" spans="1:26" s="244" customFormat="1" ht="100.5" hidden="1">
      <c r="A6" s="1392"/>
      <c r="B6" s="1393"/>
      <c r="C6" s="1394"/>
      <c r="D6" s="1394"/>
      <c r="E6" s="1394"/>
      <c r="F6" s="1394"/>
      <c r="G6" s="1394"/>
      <c r="H6" s="1394"/>
      <c r="I6" s="1394"/>
      <c r="J6" s="1394"/>
      <c r="K6" s="1398"/>
      <c r="L6" s="1397"/>
      <c r="M6" s="566" t="s">
        <v>113</v>
      </c>
      <c r="N6" s="567" t="s">
        <v>4269</v>
      </c>
      <c r="O6" s="568" t="s">
        <v>114</v>
      </c>
      <c r="P6" s="567" t="s">
        <v>115</v>
      </c>
      <c r="Q6" s="567" t="s">
        <v>3905</v>
      </c>
      <c r="R6" s="1396"/>
      <c r="S6" s="555"/>
      <c r="T6" s="556"/>
      <c r="U6" s="557"/>
      <c r="V6" s="556"/>
      <c r="W6" s="556"/>
      <c r="X6" s="556"/>
      <c r="Y6" s="556"/>
      <c r="Z6" s="556"/>
    </row>
    <row r="7" spans="1:26" s="244" customFormat="1" hidden="1">
      <c r="A7" s="1392"/>
      <c r="B7" s="1393"/>
      <c r="C7" s="1394"/>
      <c r="D7" s="1394"/>
      <c r="E7" s="1394"/>
      <c r="F7" s="1394"/>
      <c r="G7" s="1394"/>
      <c r="H7" s="1394"/>
      <c r="I7" s="1394"/>
      <c r="J7" s="1394"/>
      <c r="K7" s="1398"/>
      <c r="L7" s="562" t="s">
        <v>26</v>
      </c>
      <c r="M7" s="563" t="s">
        <v>26</v>
      </c>
      <c r="N7" s="564" t="s">
        <v>26</v>
      </c>
      <c r="O7" s="565" t="s">
        <v>26</v>
      </c>
      <c r="P7" s="564" t="s">
        <v>26</v>
      </c>
      <c r="Q7" s="564" t="s">
        <v>26</v>
      </c>
      <c r="R7" s="561" t="s">
        <v>27</v>
      </c>
      <c r="S7" s="555"/>
      <c r="T7" s="556"/>
      <c r="U7" s="558"/>
      <c r="V7" s="556"/>
      <c r="W7" s="556"/>
      <c r="X7" s="556"/>
      <c r="Y7" s="556"/>
      <c r="Z7" s="556"/>
    </row>
    <row r="8" spans="1:26" s="244" customFormat="1" hidden="1">
      <c r="A8" s="559">
        <v>1</v>
      </c>
      <c r="B8" s="569">
        <v>2</v>
      </c>
      <c r="C8" s="561">
        <v>3</v>
      </c>
      <c r="D8" s="561">
        <v>4</v>
      </c>
      <c r="E8" s="561">
        <v>5</v>
      </c>
      <c r="F8" s="561">
        <v>6</v>
      </c>
      <c r="G8" s="561">
        <v>7</v>
      </c>
      <c r="H8" s="561">
        <v>8</v>
      </c>
      <c r="I8" s="561">
        <v>9</v>
      </c>
      <c r="J8" s="561">
        <v>10</v>
      </c>
      <c r="K8" s="570">
        <v>11</v>
      </c>
      <c r="L8" s="562">
        <v>12</v>
      </c>
      <c r="M8" s="563"/>
      <c r="N8" s="564">
        <v>14</v>
      </c>
      <c r="O8" s="565">
        <v>15</v>
      </c>
      <c r="P8" s="564">
        <v>16</v>
      </c>
      <c r="Q8" s="564">
        <v>17</v>
      </c>
      <c r="R8" s="561">
        <v>18</v>
      </c>
      <c r="S8" s="555"/>
      <c r="T8" s="556"/>
      <c r="U8" s="558"/>
      <c r="V8" s="556"/>
      <c r="W8" s="556"/>
      <c r="X8" s="556"/>
      <c r="Y8" s="556"/>
      <c r="Z8" s="556"/>
    </row>
    <row r="9" spans="1:26" s="35" customFormat="1" hidden="1">
      <c r="A9" s="1365" t="s">
        <v>210</v>
      </c>
      <c r="B9" s="1365"/>
      <c r="C9" s="571" t="s">
        <v>28</v>
      </c>
      <c r="D9" s="571">
        <f>D10+D1456+D2882</f>
        <v>49938070.928694256</v>
      </c>
      <c r="E9" s="571">
        <f ca="1">E10+E1456+E2882</f>
        <v>6691630.2809999995</v>
      </c>
      <c r="F9" s="571" t="s">
        <v>28</v>
      </c>
      <c r="G9" s="571">
        <f>G10+G1456+G2882</f>
        <v>3618432.6791119995</v>
      </c>
      <c r="H9" s="571" t="s">
        <v>28</v>
      </c>
      <c r="I9" s="571" t="s">
        <v>28</v>
      </c>
      <c r="J9" s="571">
        <f>J10+J1456+J2882</f>
        <v>247019</v>
      </c>
      <c r="K9" s="572" t="s">
        <v>28</v>
      </c>
      <c r="L9" s="573">
        <f t="shared" ref="L9:Q9" si="0">L10+L1456+L2882</f>
        <v>11082989657.750004</v>
      </c>
      <c r="M9" s="574">
        <f t="shared" si="0"/>
        <v>10889997132.559999</v>
      </c>
      <c r="N9" s="575">
        <f t="shared" si="0"/>
        <v>106611401.94</v>
      </c>
      <c r="O9" s="576">
        <f t="shared" si="0"/>
        <v>20718309.18</v>
      </c>
      <c r="P9" s="575">
        <f t="shared" si="0"/>
        <v>0</v>
      </c>
      <c r="Q9" s="575">
        <f t="shared" si="0"/>
        <v>65662814.069999993</v>
      </c>
      <c r="R9" s="571"/>
      <c r="S9" s="564">
        <f>L9-M9-N9-O9-P9-Q9</f>
        <v>4.3585896492004395E-6</v>
      </c>
      <c r="T9" s="577" t="e">
        <f>'1.перечень МКД'!#REF!</f>
        <v>#REF!</v>
      </c>
      <c r="U9" s="557" t="e">
        <f>T9-L9</f>
        <v>#REF!</v>
      </c>
      <c r="V9" s="578"/>
      <c r="W9" s="578"/>
      <c r="X9" s="579"/>
      <c r="Y9" s="579"/>
      <c r="Z9" s="579"/>
    </row>
    <row r="10" spans="1:26" s="35" customFormat="1" hidden="1">
      <c r="A10" s="1365" t="s">
        <v>209</v>
      </c>
      <c r="B10" s="1365"/>
      <c r="C10" s="571" t="s">
        <v>28</v>
      </c>
      <c r="D10" s="571">
        <f>D12+D517+D1016</f>
        <v>14997370.740013795</v>
      </c>
      <c r="E10" s="571">
        <f>E12+E517+E1016</f>
        <v>2758608.0629999992</v>
      </c>
      <c r="F10" s="571" t="s">
        <v>28</v>
      </c>
      <c r="G10" s="571">
        <f>G12+G517+G1016</f>
        <v>1170724.1463520001</v>
      </c>
      <c r="H10" s="571" t="s">
        <v>28</v>
      </c>
      <c r="I10" s="571" t="s">
        <v>28</v>
      </c>
      <c r="J10" s="571">
        <f>J12+J517+J1016</f>
        <v>76237</v>
      </c>
      <c r="K10" s="572" t="s">
        <v>28</v>
      </c>
      <c r="L10" s="573">
        <f>M10+N10+O10+P10+Q10</f>
        <v>3219286742.980001</v>
      </c>
      <c r="M10" s="574">
        <f>M12+M517+M1016</f>
        <v>3183512837.1800008</v>
      </c>
      <c r="N10" s="575">
        <f>N12+N517+N1016</f>
        <v>29209535.77</v>
      </c>
      <c r="O10" s="576">
        <f>O12+O517+O1016</f>
        <v>4262075.5500000007</v>
      </c>
      <c r="P10" s="575">
        <f>P12+P517+P1016</f>
        <v>0</v>
      </c>
      <c r="Q10" s="575">
        <f>Q12+Q517+Q1016</f>
        <v>2302294.48</v>
      </c>
      <c r="R10" s="571"/>
      <c r="S10" s="564">
        <f>L10-M10-N10-O10-P10-Q10</f>
        <v>1.9045546650886536E-7</v>
      </c>
      <c r="T10" s="577" t="e">
        <f>'1.перечень МКД'!#REF!</f>
        <v>#REF!</v>
      </c>
      <c r="U10" s="557" t="e">
        <f>L10-T10</f>
        <v>#REF!</v>
      </c>
      <c r="V10" s="578"/>
      <c r="W10" s="578"/>
      <c r="X10" s="579"/>
      <c r="Y10" s="579"/>
      <c r="Z10" s="579"/>
    </row>
    <row r="11" spans="1:26" s="244" customFormat="1" hidden="1">
      <c r="A11" s="1345" t="s">
        <v>140</v>
      </c>
      <c r="B11" s="1345"/>
      <c r="C11" s="1345"/>
      <c r="D11" s="1345"/>
      <c r="E11" s="1345"/>
      <c r="F11" s="1345"/>
      <c r="G11" s="1345"/>
      <c r="H11" s="1345"/>
      <c r="I11" s="1345"/>
      <c r="J11" s="1345"/>
      <c r="K11" s="1345"/>
      <c r="L11" s="1345"/>
      <c r="M11" s="1345"/>
      <c r="N11" s="1345"/>
      <c r="O11" s="1345"/>
      <c r="P11" s="1345"/>
      <c r="Q11" s="1345"/>
      <c r="R11" s="1345"/>
      <c r="S11" s="555"/>
      <c r="T11" s="556"/>
      <c r="U11" s="558"/>
      <c r="V11" s="556"/>
      <c r="W11" s="556"/>
      <c r="X11" s="556"/>
      <c r="Y11" s="556"/>
      <c r="Z11" s="556"/>
    </row>
    <row r="12" spans="1:26" s="249" customFormat="1" hidden="1">
      <c r="A12" s="580"/>
      <c r="B12" s="581" t="s">
        <v>162</v>
      </c>
      <c r="C12" s="561" t="s">
        <v>28</v>
      </c>
      <c r="D12" s="582">
        <f>D515</f>
        <v>6533664.3100000005</v>
      </c>
      <c r="E12" s="582">
        <f>E515</f>
        <v>1060724.8499999996</v>
      </c>
      <c r="F12" s="561" t="s">
        <v>28</v>
      </c>
      <c r="G12" s="582">
        <f>G515</f>
        <v>405860.2</v>
      </c>
      <c r="H12" s="561" t="s">
        <v>28</v>
      </c>
      <c r="I12" s="561" t="s">
        <v>28</v>
      </c>
      <c r="J12" s="582">
        <f>J515</f>
        <v>30543</v>
      </c>
      <c r="K12" s="583" t="s">
        <v>28</v>
      </c>
      <c r="L12" s="584">
        <f t="shared" ref="L12:Q12" si="1">L515</f>
        <v>1377419297.8000009</v>
      </c>
      <c r="M12" s="585">
        <f t="shared" si="1"/>
        <v>1363649917.8000004</v>
      </c>
      <c r="N12" s="586">
        <f t="shared" si="1"/>
        <v>10351250.139999999</v>
      </c>
      <c r="O12" s="587">
        <f t="shared" si="1"/>
        <v>2201834.8000000003</v>
      </c>
      <c r="P12" s="586">
        <f t="shared" si="1"/>
        <v>0</v>
      </c>
      <c r="Q12" s="586">
        <f t="shared" si="1"/>
        <v>1216295.06</v>
      </c>
      <c r="R12" s="582"/>
      <c r="S12" s="586">
        <f>L12-M12-N12-O12-P12-Q12</f>
        <v>4.7776848077774048E-7</v>
      </c>
      <c r="T12" s="588" t="e">
        <f>'1.перечень МКД'!#REF!</f>
        <v>#REF!</v>
      </c>
      <c r="U12" s="589" t="e">
        <f>T12-L12</f>
        <v>#REF!</v>
      </c>
      <c r="V12" s="578"/>
      <c r="W12" s="578"/>
      <c r="X12" s="590"/>
      <c r="Y12" s="590"/>
      <c r="Z12" s="590"/>
    </row>
    <row r="13" spans="1:26" s="244" customFormat="1" hidden="1">
      <c r="A13" s="1345" t="s">
        <v>139</v>
      </c>
      <c r="B13" s="1345"/>
      <c r="C13" s="1345"/>
      <c r="D13" s="1345"/>
      <c r="E13" s="1345"/>
      <c r="F13" s="1345"/>
      <c r="G13" s="1345"/>
      <c r="H13" s="1345"/>
      <c r="I13" s="1345"/>
      <c r="J13" s="1345"/>
      <c r="K13" s="1345"/>
      <c r="L13" s="1345"/>
      <c r="M13" s="1345"/>
      <c r="N13" s="1345"/>
      <c r="O13" s="1345"/>
      <c r="P13" s="1345"/>
      <c r="Q13" s="1345"/>
      <c r="R13" s="1345"/>
      <c r="S13" s="555"/>
      <c r="T13" s="556"/>
      <c r="U13" s="558"/>
      <c r="V13" s="556"/>
      <c r="W13" s="556"/>
      <c r="X13" s="556"/>
      <c r="Y13" s="556"/>
      <c r="Z13" s="556"/>
    </row>
    <row r="14" spans="1:26" s="75" customFormat="1" hidden="1">
      <c r="A14" s="591">
        <v>1</v>
      </c>
      <c r="B14" s="592" t="s">
        <v>438</v>
      </c>
      <c r="C14" s="593" t="s">
        <v>217</v>
      </c>
      <c r="D14" s="594">
        <v>61588</v>
      </c>
      <c r="E14" s="594">
        <v>10121</v>
      </c>
      <c r="F14" s="594" t="s">
        <v>233</v>
      </c>
      <c r="G14" s="594">
        <v>2568</v>
      </c>
      <c r="H14" s="594">
        <v>9</v>
      </c>
      <c r="I14" s="594">
        <v>7</v>
      </c>
      <c r="J14" s="594">
        <v>266</v>
      </c>
      <c r="K14" s="590" t="s">
        <v>284</v>
      </c>
      <c r="L14" s="595">
        <f>M14+N14+O14+P14+Q14</f>
        <v>26200668.260000002</v>
      </c>
      <c r="M14" s="596">
        <v>26155713.260000002</v>
      </c>
      <c r="N14" s="597">
        <v>44955</v>
      </c>
      <c r="O14" s="598"/>
      <c r="P14" s="597"/>
      <c r="Q14" s="597"/>
      <c r="R14" s="599">
        <f>M14/E14</f>
        <v>2584.3012805058788</v>
      </c>
      <c r="S14" s="586">
        <f t="shared" ref="S14:S45" si="2">L14-M14-N14-O14-P14-Q14</f>
        <v>0</v>
      </c>
      <c r="T14" s="588"/>
      <c r="U14" s="597">
        <f>M14+N14+O14+P14+Q14</f>
        <v>26200668.260000002</v>
      </c>
      <c r="V14" s="589"/>
      <c r="W14" s="600"/>
      <c r="X14" s="601"/>
      <c r="Y14" s="601"/>
      <c r="Z14" s="601"/>
    </row>
    <row r="15" spans="1:26" s="75" customFormat="1" hidden="1">
      <c r="A15" s="1349">
        <v>2</v>
      </c>
      <c r="B15" s="1370" t="s">
        <v>439</v>
      </c>
      <c r="C15" s="602" t="s">
        <v>271</v>
      </c>
      <c r="D15" s="603">
        <v>15087</v>
      </c>
      <c r="E15" s="599">
        <v>2636</v>
      </c>
      <c r="F15" s="604" t="s">
        <v>233</v>
      </c>
      <c r="G15" s="594">
        <v>1342</v>
      </c>
      <c r="H15" s="594">
        <v>5</v>
      </c>
      <c r="I15" s="594">
        <v>4</v>
      </c>
      <c r="J15" s="594">
        <v>56</v>
      </c>
      <c r="K15" s="590" t="s">
        <v>33</v>
      </c>
      <c r="L15" s="1357">
        <f>M15+N15+O15+P15+Q15+M16+N16+O16+P16+Q16</f>
        <v>4338795.45</v>
      </c>
      <c r="M15" s="585">
        <v>2815381.8</v>
      </c>
      <c r="N15" s="586"/>
      <c r="O15" s="587">
        <v>8412.33</v>
      </c>
      <c r="P15" s="586"/>
      <c r="Q15" s="586"/>
      <c r="R15" s="582">
        <f>M15/G15</f>
        <v>2097.8999999999996</v>
      </c>
      <c r="S15" s="586">
        <f t="shared" si="2"/>
        <v>1515001.3200000003</v>
      </c>
      <c r="T15" s="605"/>
      <c r="U15" s="597">
        <f t="shared" ref="U15:U78" si="3">M15+N15+O15+P15+Q15</f>
        <v>2823794.13</v>
      </c>
      <c r="V15" s="589"/>
      <c r="W15" s="600"/>
      <c r="X15" s="601"/>
      <c r="Y15" s="601"/>
      <c r="Z15" s="601"/>
    </row>
    <row r="16" spans="1:26" s="75" customFormat="1" ht="37.5" hidden="1">
      <c r="A16" s="1349"/>
      <c r="B16" s="1370"/>
      <c r="C16" s="593"/>
      <c r="D16" s="603"/>
      <c r="E16" s="599"/>
      <c r="F16" s="594"/>
      <c r="G16" s="594"/>
      <c r="H16" s="594"/>
      <c r="I16" s="594"/>
      <c r="J16" s="594"/>
      <c r="K16" s="606" t="s">
        <v>30</v>
      </c>
      <c r="L16" s="1357"/>
      <c r="M16" s="585">
        <v>1510488</v>
      </c>
      <c r="N16" s="586"/>
      <c r="O16" s="587">
        <v>4513.32</v>
      </c>
      <c r="P16" s="586"/>
      <c r="Q16" s="586"/>
      <c r="R16" s="582">
        <f>M16/J15</f>
        <v>26973</v>
      </c>
      <c r="S16" s="586">
        <f t="shared" si="2"/>
        <v>-1515001.32</v>
      </c>
      <c r="T16" s="588"/>
      <c r="U16" s="597">
        <f t="shared" si="3"/>
        <v>1515001.32</v>
      </c>
      <c r="V16" s="589"/>
      <c r="W16" s="600"/>
      <c r="X16" s="601"/>
      <c r="Y16" s="601"/>
      <c r="Z16" s="601"/>
    </row>
    <row r="17" spans="1:30" s="246" customFormat="1" ht="356.25" hidden="1">
      <c r="A17" s="591">
        <v>3</v>
      </c>
      <c r="B17" s="592" t="s">
        <v>440</v>
      </c>
      <c r="C17" s="593" t="s">
        <v>271</v>
      </c>
      <c r="D17" s="594">
        <v>51205</v>
      </c>
      <c r="E17" s="594">
        <v>4500</v>
      </c>
      <c r="F17" s="594" t="s">
        <v>233</v>
      </c>
      <c r="G17" s="594">
        <v>1637</v>
      </c>
      <c r="H17" s="594">
        <v>9</v>
      </c>
      <c r="I17" s="594">
        <v>4</v>
      </c>
      <c r="J17" s="594">
        <v>130</v>
      </c>
      <c r="K17" s="590" t="s">
        <v>30</v>
      </c>
      <c r="L17" s="595">
        <f>M17+N17+O17+P17+Q17</f>
        <v>6975447.5999999996</v>
      </c>
      <c r="M17" s="607">
        <v>6963030</v>
      </c>
      <c r="N17" s="597"/>
      <c r="O17" s="587">
        <v>12417.6</v>
      </c>
      <c r="P17" s="594"/>
      <c r="Q17" s="597"/>
      <c r="R17" s="599">
        <f>M17/J17</f>
        <v>53561.769230769234</v>
      </c>
      <c r="S17" s="586">
        <f t="shared" si="2"/>
        <v>-3.7289282772690058E-10</v>
      </c>
      <c r="T17" s="588" t="s">
        <v>3689</v>
      </c>
      <c r="U17" s="597">
        <f t="shared" si="3"/>
        <v>6975447.5999999996</v>
      </c>
      <c r="V17" s="589"/>
      <c r="W17" s="600"/>
      <c r="X17" s="589"/>
      <c r="Y17" s="589"/>
      <c r="Z17" s="591"/>
      <c r="AA17" s="36"/>
      <c r="AB17" s="14"/>
      <c r="AD17" s="72"/>
    </row>
    <row r="18" spans="1:30" s="75" customFormat="1" hidden="1">
      <c r="A18" s="591">
        <f t="shared" ref="A18:A69" si="4">A17+1</f>
        <v>4</v>
      </c>
      <c r="B18" s="592" t="s">
        <v>441</v>
      </c>
      <c r="C18" s="602" t="s">
        <v>271</v>
      </c>
      <c r="D18" s="603">
        <v>12609</v>
      </c>
      <c r="E18" s="594">
        <v>2360</v>
      </c>
      <c r="F18" s="608" t="s">
        <v>222</v>
      </c>
      <c r="G18" s="603">
        <v>1031</v>
      </c>
      <c r="H18" s="609">
        <v>5</v>
      </c>
      <c r="I18" s="609">
        <v>4</v>
      </c>
      <c r="J18" s="609">
        <v>70</v>
      </c>
      <c r="K18" s="610" t="s">
        <v>224</v>
      </c>
      <c r="L18" s="595">
        <f>M18+N18+O18+P18+Q18</f>
        <v>1153845</v>
      </c>
      <c r="M18" s="585">
        <v>1118880</v>
      </c>
      <c r="N18" s="586">
        <v>34965</v>
      </c>
      <c r="O18" s="587"/>
      <c r="P18" s="586"/>
      <c r="Q18" s="586"/>
      <c r="R18" s="582">
        <f>M18/J18</f>
        <v>15984</v>
      </c>
      <c r="S18" s="586">
        <f t="shared" si="2"/>
        <v>0</v>
      </c>
      <c r="T18" s="605"/>
      <c r="U18" s="597">
        <f t="shared" si="3"/>
        <v>1153845</v>
      </c>
      <c r="V18" s="589"/>
      <c r="W18" s="600"/>
      <c r="X18" s="601"/>
      <c r="Y18" s="601"/>
      <c r="Z18" s="601"/>
    </row>
    <row r="19" spans="1:30" s="75" customFormat="1" hidden="1">
      <c r="A19" s="1349">
        <v>5</v>
      </c>
      <c r="B19" s="592" t="s">
        <v>442</v>
      </c>
      <c r="C19" s="602" t="s">
        <v>271</v>
      </c>
      <c r="D19" s="603">
        <v>26851</v>
      </c>
      <c r="E19" s="594">
        <v>3865</v>
      </c>
      <c r="F19" s="604" t="s">
        <v>233</v>
      </c>
      <c r="G19" s="603">
        <v>705</v>
      </c>
      <c r="H19" s="609">
        <v>13</v>
      </c>
      <c r="I19" s="609">
        <v>1</v>
      </c>
      <c r="J19" s="609">
        <v>72</v>
      </c>
      <c r="K19" s="590" t="s">
        <v>33</v>
      </c>
      <c r="L19" s="1357">
        <f>M19+N19+O19+P19+Q19+M20+N20+O20+P20+Q20</f>
        <v>2961958.79</v>
      </c>
      <c r="M19" s="611">
        <v>1479019.5</v>
      </c>
      <c r="N19" s="612"/>
      <c r="O19" s="613">
        <v>4419.29</v>
      </c>
      <c r="P19" s="586"/>
      <c r="Q19" s="614"/>
      <c r="R19" s="582">
        <f>M19/G19</f>
        <v>2097.9</v>
      </c>
      <c r="S19" s="586">
        <f t="shared" si="2"/>
        <v>1478520</v>
      </c>
      <c r="T19" s="605"/>
      <c r="U19" s="597">
        <f t="shared" si="3"/>
        <v>1483438.79</v>
      </c>
      <c r="V19" s="589"/>
      <c r="W19" s="600"/>
      <c r="X19" s="601"/>
      <c r="Y19" s="601"/>
      <c r="Z19" s="601"/>
    </row>
    <row r="20" spans="1:30" s="75" customFormat="1" hidden="1">
      <c r="A20" s="1349"/>
      <c r="B20" s="592"/>
      <c r="C20" s="593"/>
      <c r="D20" s="603"/>
      <c r="E20" s="594"/>
      <c r="F20" s="615"/>
      <c r="G20" s="603"/>
      <c r="H20" s="609"/>
      <c r="I20" s="609"/>
      <c r="J20" s="609"/>
      <c r="K20" s="590" t="s">
        <v>224</v>
      </c>
      <c r="L20" s="1357"/>
      <c r="M20" s="611">
        <v>1438560</v>
      </c>
      <c r="N20" s="612">
        <v>39960</v>
      </c>
      <c r="O20" s="613"/>
      <c r="P20" s="586"/>
      <c r="Q20" s="614"/>
      <c r="R20" s="582">
        <f>M20/J19</f>
        <v>19980</v>
      </c>
      <c r="S20" s="586">
        <f t="shared" si="2"/>
        <v>-1478520</v>
      </c>
      <c r="T20" s="588"/>
      <c r="U20" s="597">
        <f t="shared" si="3"/>
        <v>1478520</v>
      </c>
      <c r="V20" s="589"/>
      <c r="W20" s="600"/>
      <c r="X20" s="601"/>
      <c r="Y20" s="601"/>
      <c r="Z20" s="601"/>
    </row>
    <row r="21" spans="1:30" s="249" customFormat="1" hidden="1">
      <c r="A21" s="591">
        <v>6</v>
      </c>
      <c r="B21" s="616" t="s">
        <v>443</v>
      </c>
      <c r="C21" s="617" t="s">
        <v>271</v>
      </c>
      <c r="D21" s="618">
        <v>12507</v>
      </c>
      <c r="E21" s="619">
        <v>1979</v>
      </c>
      <c r="F21" s="620" t="s">
        <v>222</v>
      </c>
      <c r="G21" s="620">
        <v>1430</v>
      </c>
      <c r="H21" s="620">
        <v>5</v>
      </c>
      <c r="I21" s="620">
        <v>2</v>
      </c>
      <c r="J21" s="594">
        <v>127</v>
      </c>
      <c r="K21" s="610" t="s">
        <v>224</v>
      </c>
      <c r="L21" s="595">
        <f t="shared" ref="L21:L27" si="5">M21+N21+O21+P21+Q21</f>
        <v>2064933</v>
      </c>
      <c r="M21" s="596">
        <v>2029968</v>
      </c>
      <c r="N21" s="564">
        <v>34965</v>
      </c>
      <c r="O21" s="598"/>
      <c r="P21" s="597"/>
      <c r="Q21" s="597"/>
      <c r="R21" s="582">
        <f>M21/J21</f>
        <v>15984</v>
      </c>
      <c r="S21" s="586">
        <f t="shared" si="2"/>
        <v>0</v>
      </c>
      <c r="T21" s="588"/>
      <c r="U21" s="597">
        <f t="shared" si="3"/>
        <v>2064933</v>
      </c>
      <c r="V21" s="589"/>
      <c r="W21" s="600"/>
      <c r="X21" s="590"/>
      <c r="Y21" s="590"/>
      <c r="Z21" s="590"/>
    </row>
    <row r="22" spans="1:30" s="249" customFormat="1" ht="37.5" hidden="1">
      <c r="A22" s="591">
        <f t="shared" si="4"/>
        <v>7</v>
      </c>
      <c r="B22" s="592" t="s">
        <v>444</v>
      </c>
      <c r="C22" s="593" t="s">
        <v>271</v>
      </c>
      <c r="D22" s="594">
        <v>22481</v>
      </c>
      <c r="E22" s="594">
        <v>2508</v>
      </c>
      <c r="F22" s="594" t="s">
        <v>233</v>
      </c>
      <c r="G22" s="594">
        <v>674</v>
      </c>
      <c r="H22" s="594">
        <v>12</v>
      </c>
      <c r="I22" s="594">
        <v>1</v>
      </c>
      <c r="J22" s="594">
        <v>80</v>
      </c>
      <c r="K22" s="590" t="s">
        <v>30</v>
      </c>
      <c r="L22" s="595">
        <f t="shared" si="5"/>
        <v>2643673.7400000007</v>
      </c>
      <c r="M22" s="596">
        <v>2635861.5000000005</v>
      </c>
      <c r="N22" s="597"/>
      <c r="O22" s="587">
        <v>7812.24</v>
      </c>
      <c r="P22" s="594"/>
      <c r="Q22" s="597"/>
      <c r="R22" s="599">
        <f>M22/J22</f>
        <v>32948.268750000003</v>
      </c>
      <c r="S22" s="586">
        <f t="shared" si="2"/>
        <v>2.2373569663614035E-10</v>
      </c>
      <c r="T22" s="588"/>
      <c r="U22" s="597">
        <f t="shared" si="3"/>
        <v>2643673.7400000007</v>
      </c>
      <c r="V22" s="589"/>
      <c r="W22" s="600"/>
      <c r="X22" s="590"/>
      <c r="Y22" s="590"/>
      <c r="Z22" s="590"/>
    </row>
    <row r="23" spans="1:30" s="249" customFormat="1" ht="37.5" hidden="1">
      <c r="A23" s="591">
        <f t="shared" si="4"/>
        <v>8</v>
      </c>
      <c r="B23" s="592" t="s">
        <v>445</v>
      </c>
      <c r="C23" s="617" t="s">
        <v>271</v>
      </c>
      <c r="D23" s="618">
        <v>11006</v>
      </c>
      <c r="E23" s="619">
        <v>2289</v>
      </c>
      <c r="F23" s="620" t="s">
        <v>222</v>
      </c>
      <c r="G23" s="594">
        <v>917</v>
      </c>
      <c r="H23" s="620">
        <v>5</v>
      </c>
      <c r="I23" s="620">
        <v>3</v>
      </c>
      <c r="J23" s="620">
        <v>58</v>
      </c>
      <c r="K23" s="610" t="s">
        <v>30</v>
      </c>
      <c r="L23" s="595">
        <f t="shared" si="5"/>
        <v>1569108.51</v>
      </c>
      <c r="M23" s="596">
        <v>1564434</v>
      </c>
      <c r="N23" s="586"/>
      <c r="O23" s="598">
        <v>4674.51</v>
      </c>
      <c r="P23" s="597"/>
      <c r="Q23" s="597"/>
      <c r="R23" s="599">
        <f>M23/J23</f>
        <v>26973</v>
      </c>
      <c r="S23" s="586">
        <f t="shared" si="2"/>
        <v>9.0949470177292824E-12</v>
      </c>
      <c r="T23" s="588"/>
      <c r="U23" s="597">
        <f t="shared" si="3"/>
        <v>1569108.51</v>
      </c>
      <c r="V23" s="589"/>
      <c r="W23" s="600"/>
      <c r="X23" s="590"/>
      <c r="Y23" s="590"/>
      <c r="Z23" s="590"/>
    </row>
    <row r="24" spans="1:30" s="249" customFormat="1" hidden="1">
      <c r="A24" s="591">
        <f t="shared" si="4"/>
        <v>9</v>
      </c>
      <c r="B24" s="621" t="s">
        <v>446</v>
      </c>
      <c r="C24" s="593" t="s">
        <v>217</v>
      </c>
      <c r="D24" s="594">
        <v>15577</v>
      </c>
      <c r="E24" s="593">
        <v>3339</v>
      </c>
      <c r="F24" s="593" t="s">
        <v>233</v>
      </c>
      <c r="G24" s="622">
        <v>627.5</v>
      </c>
      <c r="H24" s="593">
        <v>9</v>
      </c>
      <c r="I24" s="593">
        <v>2</v>
      </c>
      <c r="J24" s="593">
        <v>72</v>
      </c>
      <c r="K24" s="590" t="s">
        <v>33</v>
      </c>
      <c r="L24" s="595">
        <f t="shared" si="5"/>
        <v>1321683.48</v>
      </c>
      <c r="M24" s="585">
        <v>1317750</v>
      </c>
      <c r="N24" s="586"/>
      <c r="O24" s="587">
        <v>3933.48</v>
      </c>
      <c r="P24" s="586"/>
      <c r="Q24" s="586"/>
      <c r="R24" s="582">
        <f>M24/G24</f>
        <v>2100</v>
      </c>
      <c r="S24" s="586">
        <f t="shared" si="2"/>
        <v>-1.8644641386345029E-11</v>
      </c>
      <c r="T24" s="588"/>
      <c r="U24" s="597">
        <f t="shared" si="3"/>
        <v>1321683.48</v>
      </c>
      <c r="V24" s="589"/>
      <c r="W24" s="600"/>
      <c r="X24" s="590"/>
      <c r="Y24" s="590"/>
      <c r="Z24" s="590"/>
    </row>
    <row r="25" spans="1:30" s="249" customFormat="1" ht="37.5" hidden="1">
      <c r="A25" s="591">
        <f t="shared" si="4"/>
        <v>10</v>
      </c>
      <c r="B25" s="581" t="s">
        <v>447</v>
      </c>
      <c r="C25" s="602" t="s">
        <v>271</v>
      </c>
      <c r="D25" s="603">
        <v>6330</v>
      </c>
      <c r="E25" s="599">
        <v>1792</v>
      </c>
      <c r="F25" s="608" t="s">
        <v>222</v>
      </c>
      <c r="G25" s="594">
        <v>773</v>
      </c>
      <c r="H25" s="594">
        <v>3</v>
      </c>
      <c r="I25" s="594">
        <v>4</v>
      </c>
      <c r="J25" s="594">
        <v>24</v>
      </c>
      <c r="K25" s="606" t="s">
        <v>30</v>
      </c>
      <c r="L25" s="595">
        <f t="shared" si="5"/>
        <v>338221.85000000003</v>
      </c>
      <c r="M25" s="623">
        <v>336287.57</v>
      </c>
      <c r="N25" s="586"/>
      <c r="O25" s="587">
        <v>1934.28</v>
      </c>
      <c r="P25" s="586"/>
      <c r="Q25" s="586"/>
      <c r="R25" s="599">
        <f>M25/J25</f>
        <v>14011.982083333334</v>
      </c>
      <c r="S25" s="586">
        <f t="shared" si="2"/>
        <v>2.7966962079517543E-11</v>
      </c>
      <c r="T25" s="588"/>
      <c r="U25" s="597">
        <f t="shared" si="3"/>
        <v>338221.85000000003</v>
      </c>
      <c r="V25" s="589"/>
      <c r="W25" s="600"/>
      <c r="X25" s="590"/>
      <c r="Y25" s="590"/>
      <c r="Z25" s="590"/>
    </row>
    <row r="26" spans="1:30" s="249" customFormat="1" hidden="1">
      <c r="A26" s="591">
        <f t="shared" si="4"/>
        <v>11</v>
      </c>
      <c r="B26" s="624" t="s">
        <v>448</v>
      </c>
      <c r="C26" s="593" t="s">
        <v>271</v>
      </c>
      <c r="D26" s="625">
        <v>31692</v>
      </c>
      <c r="E26" s="626">
        <v>5040</v>
      </c>
      <c r="F26" s="625" t="s">
        <v>233</v>
      </c>
      <c r="G26" s="625">
        <v>1026</v>
      </c>
      <c r="H26" s="625">
        <v>13</v>
      </c>
      <c r="I26" s="625">
        <v>2</v>
      </c>
      <c r="J26" s="625">
        <v>99</v>
      </c>
      <c r="K26" s="606" t="s">
        <v>33</v>
      </c>
      <c r="L26" s="595">
        <f t="shared" si="5"/>
        <v>1635801.1099999999</v>
      </c>
      <c r="M26" s="627">
        <v>1629369.63</v>
      </c>
      <c r="N26" s="628"/>
      <c r="O26" s="587">
        <v>6431.48</v>
      </c>
      <c r="P26" s="586"/>
      <c r="Q26" s="586"/>
      <c r="R26" s="582">
        <f>M26/G26</f>
        <v>1588.0795614035087</v>
      </c>
      <c r="S26" s="586">
        <f t="shared" si="2"/>
        <v>-1.8189894035458565E-11</v>
      </c>
      <c r="T26" s="588"/>
      <c r="U26" s="597">
        <f t="shared" si="3"/>
        <v>1635801.1099999999</v>
      </c>
      <c r="V26" s="589"/>
      <c r="W26" s="600"/>
      <c r="X26" s="590"/>
      <c r="Y26" s="590"/>
      <c r="Z26" s="590"/>
    </row>
    <row r="27" spans="1:30" ht="37.5" hidden="1">
      <c r="A27" s="591">
        <f t="shared" si="4"/>
        <v>12</v>
      </c>
      <c r="B27" s="592" t="s">
        <v>449</v>
      </c>
      <c r="C27" s="602" t="s">
        <v>271</v>
      </c>
      <c r="D27" s="603">
        <v>9643</v>
      </c>
      <c r="E27" s="594">
        <v>1763</v>
      </c>
      <c r="F27" s="608" t="s">
        <v>222</v>
      </c>
      <c r="G27" s="603">
        <v>874</v>
      </c>
      <c r="H27" s="609">
        <v>5</v>
      </c>
      <c r="I27" s="609">
        <v>3</v>
      </c>
      <c r="J27" s="609">
        <v>60</v>
      </c>
      <c r="K27" s="606" t="s">
        <v>30</v>
      </c>
      <c r="L27" s="595">
        <f t="shared" si="5"/>
        <v>653702.12</v>
      </c>
      <c r="M27" s="623">
        <v>648866.42000000004</v>
      </c>
      <c r="N27" s="586"/>
      <c r="O27" s="587">
        <v>4835.7</v>
      </c>
      <c r="P27" s="586"/>
      <c r="Q27" s="586"/>
      <c r="R27" s="599">
        <f>M27/J27</f>
        <v>10814.440333333334</v>
      </c>
      <c r="S27" s="586">
        <f t="shared" si="2"/>
        <v>-4.638422979041934E-11</v>
      </c>
      <c r="T27" s="588"/>
      <c r="U27" s="597">
        <f t="shared" si="3"/>
        <v>653702.12</v>
      </c>
      <c r="V27" s="589"/>
      <c r="W27" s="600"/>
    </row>
    <row r="28" spans="1:30" s="75" customFormat="1" hidden="1">
      <c r="A28" s="1349">
        <v>13</v>
      </c>
      <c r="B28" s="1346" t="s">
        <v>450</v>
      </c>
      <c r="C28" s="602" t="s">
        <v>271</v>
      </c>
      <c r="D28" s="603">
        <v>3011</v>
      </c>
      <c r="E28" s="594">
        <v>622</v>
      </c>
      <c r="F28" s="608" t="s">
        <v>222</v>
      </c>
      <c r="G28" s="603">
        <v>1247</v>
      </c>
      <c r="H28" s="609">
        <v>3</v>
      </c>
      <c r="I28" s="609">
        <v>1</v>
      </c>
      <c r="J28" s="609">
        <v>12</v>
      </c>
      <c r="K28" s="629" t="s">
        <v>38</v>
      </c>
      <c r="L28" s="1357">
        <f>M28+N28+O28+P28+Q28+M29+N29+O29+P29+Q29</f>
        <v>2057804.6</v>
      </c>
      <c r="M28" s="585">
        <v>1242756</v>
      </c>
      <c r="N28" s="630"/>
      <c r="O28" s="631">
        <v>4304</v>
      </c>
      <c r="P28" s="630"/>
      <c r="Q28" s="630">
        <v>8727</v>
      </c>
      <c r="R28" s="599">
        <f>M28/E28</f>
        <v>1998</v>
      </c>
      <c r="S28" s="586">
        <f t="shared" si="2"/>
        <v>802017.60000000009</v>
      </c>
      <c r="T28" s="1377" t="s">
        <v>3690</v>
      </c>
      <c r="U28" s="597">
        <f t="shared" si="3"/>
        <v>1255787</v>
      </c>
      <c r="V28" s="589"/>
      <c r="W28" s="600"/>
      <c r="X28" s="601"/>
      <c r="Y28" s="601"/>
      <c r="Z28" s="601"/>
    </row>
    <row r="29" spans="1:30" s="75" customFormat="1" hidden="1">
      <c r="A29" s="1349"/>
      <c r="B29" s="1346"/>
      <c r="C29" s="602"/>
      <c r="D29" s="603"/>
      <c r="E29" s="594"/>
      <c r="F29" s="608"/>
      <c r="G29" s="603"/>
      <c r="H29" s="609"/>
      <c r="I29" s="609"/>
      <c r="J29" s="609"/>
      <c r="K29" s="632" t="s">
        <v>33</v>
      </c>
      <c r="L29" s="1357"/>
      <c r="M29" s="585">
        <v>789609.6</v>
      </c>
      <c r="N29" s="630"/>
      <c r="O29" s="631">
        <v>3078</v>
      </c>
      <c r="P29" s="630"/>
      <c r="Q29" s="630">
        <v>9330</v>
      </c>
      <c r="R29" s="582">
        <f>M29/G28</f>
        <v>633.20737770649555</v>
      </c>
      <c r="S29" s="586">
        <f t="shared" si="2"/>
        <v>-802017.6</v>
      </c>
      <c r="T29" s="1377"/>
      <c r="U29" s="597">
        <f t="shared" si="3"/>
        <v>802017.6</v>
      </c>
      <c r="V29" s="589"/>
      <c r="W29" s="600"/>
      <c r="X29" s="601"/>
      <c r="Y29" s="601"/>
      <c r="Z29" s="601"/>
    </row>
    <row r="30" spans="1:30" s="249" customFormat="1" ht="37.5" hidden="1">
      <c r="A30" s="591">
        <v>14</v>
      </c>
      <c r="B30" s="592" t="s">
        <v>451</v>
      </c>
      <c r="C30" s="593" t="s">
        <v>271</v>
      </c>
      <c r="D30" s="594">
        <v>13122</v>
      </c>
      <c r="E30" s="594">
        <v>2748</v>
      </c>
      <c r="F30" s="594" t="s">
        <v>222</v>
      </c>
      <c r="G30" s="594">
        <v>1153</v>
      </c>
      <c r="H30" s="594">
        <v>5</v>
      </c>
      <c r="I30" s="594">
        <v>4</v>
      </c>
      <c r="J30" s="594">
        <v>64</v>
      </c>
      <c r="K30" s="590" t="s">
        <v>30</v>
      </c>
      <c r="L30" s="595">
        <f t="shared" ref="L30:L38" si="6">M30+N30+O30+P30+Q30</f>
        <v>1731430.08</v>
      </c>
      <c r="M30" s="596">
        <v>1726272</v>
      </c>
      <c r="N30" s="597"/>
      <c r="O30" s="587">
        <v>5158.08</v>
      </c>
      <c r="P30" s="594"/>
      <c r="Q30" s="597"/>
      <c r="R30" s="599">
        <f>M30/J30</f>
        <v>26973</v>
      </c>
      <c r="S30" s="586">
        <f t="shared" si="2"/>
        <v>7.4578565545380116E-11</v>
      </c>
      <c r="T30" s="588"/>
      <c r="U30" s="597">
        <f t="shared" si="3"/>
        <v>1731430.08</v>
      </c>
      <c r="V30" s="589"/>
      <c r="W30" s="600"/>
      <c r="X30" s="590"/>
      <c r="Y30" s="590"/>
      <c r="Z30" s="590"/>
    </row>
    <row r="31" spans="1:30" s="249" customFormat="1" hidden="1">
      <c r="A31" s="591">
        <f t="shared" si="4"/>
        <v>15</v>
      </c>
      <c r="B31" s="616" t="s">
        <v>452</v>
      </c>
      <c r="C31" s="602" t="s">
        <v>271</v>
      </c>
      <c r="D31" s="618">
        <v>12345</v>
      </c>
      <c r="E31" s="619">
        <v>2773</v>
      </c>
      <c r="F31" s="608" t="s">
        <v>222</v>
      </c>
      <c r="G31" s="594">
        <v>1152</v>
      </c>
      <c r="H31" s="633">
        <v>5</v>
      </c>
      <c r="I31" s="633">
        <v>4</v>
      </c>
      <c r="J31" s="633">
        <v>64</v>
      </c>
      <c r="K31" s="634" t="s">
        <v>33</v>
      </c>
      <c r="L31" s="595">
        <f t="shared" si="6"/>
        <v>3928459.07</v>
      </c>
      <c r="M31" s="635">
        <v>3916423.55</v>
      </c>
      <c r="N31" s="636"/>
      <c r="O31" s="637">
        <v>12035.52</v>
      </c>
      <c r="P31" s="636"/>
      <c r="Q31" s="638"/>
      <c r="R31" s="582">
        <f>M31/G31</f>
        <v>3399.6732204861109</v>
      </c>
      <c r="S31" s="586">
        <f t="shared" si="2"/>
        <v>1.8189894035458565E-11</v>
      </c>
      <c r="T31" s="588"/>
      <c r="U31" s="597">
        <f t="shared" si="3"/>
        <v>3928459.07</v>
      </c>
      <c r="V31" s="589"/>
      <c r="W31" s="600"/>
      <c r="X31" s="590"/>
      <c r="Y31" s="590"/>
      <c r="Z31" s="590"/>
    </row>
    <row r="32" spans="1:30" s="113" customFormat="1" ht="37.5" hidden="1">
      <c r="A32" s="591">
        <f t="shared" si="4"/>
        <v>16</v>
      </c>
      <c r="B32" s="592" t="s">
        <v>453</v>
      </c>
      <c r="C32" s="593" t="s">
        <v>221</v>
      </c>
      <c r="D32" s="603">
        <v>21140</v>
      </c>
      <c r="E32" s="594">
        <v>2280</v>
      </c>
      <c r="F32" s="615" t="s">
        <v>233</v>
      </c>
      <c r="G32" s="603">
        <v>705</v>
      </c>
      <c r="H32" s="609">
        <v>12</v>
      </c>
      <c r="I32" s="609">
        <v>1</v>
      </c>
      <c r="J32" s="609">
        <v>72</v>
      </c>
      <c r="K32" s="606" t="s">
        <v>30</v>
      </c>
      <c r="L32" s="595">
        <f t="shared" si="6"/>
        <v>1481095.48</v>
      </c>
      <c r="M32" s="611">
        <v>1474218.04</v>
      </c>
      <c r="N32" s="612"/>
      <c r="O32" s="613">
        <v>6877.44</v>
      </c>
      <c r="P32" s="586"/>
      <c r="Q32" s="614"/>
      <c r="R32" s="599">
        <f>M32/J32</f>
        <v>20475.250555555554</v>
      </c>
      <c r="S32" s="586">
        <f t="shared" si="2"/>
        <v>-5.5479176808148623E-11</v>
      </c>
      <c r="T32" s="605"/>
      <c r="U32" s="597">
        <f t="shared" si="3"/>
        <v>1481095.48</v>
      </c>
      <c r="V32" s="589"/>
      <c r="W32" s="600"/>
      <c r="X32" s="639"/>
      <c r="Y32" s="639"/>
      <c r="Z32" s="639"/>
    </row>
    <row r="33" spans="1:30" s="249" customFormat="1" ht="37.5" hidden="1">
      <c r="A33" s="591">
        <f t="shared" si="4"/>
        <v>17</v>
      </c>
      <c r="B33" s="592" t="s">
        <v>454</v>
      </c>
      <c r="C33" s="593" t="s">
        <v>217</v>
      </c>
      <c r="D33" s="603">
        <v>9337</v>
      </c>
      <c r="E33" s="594">
        <v>1952</v>
      </c>
      <c r="F33" s="604" t="s">
        <v>233</v>
      </c>
      <c r="G33" s="603">
        <v>670</v>
      </c>
      <c r="H33" s="609">
        <v>5</v>
      </c>
      <c r="I33" s="609">
        <v>4</v>
      </c>
      <c r="J33" s="609">
        <v>59</v>
      </c>
      <c r="K33" s="606" t="s">
        <v>30</v>
      </c>
      <c r="L33" s="595">
        <f t="shared" si="6"/>
        <v>1114949.3800000001</v>
      </c>
      <c r="M33" s="623">
        <v>1110194.28</v>
      </c>
      <c r="N33" s="586"/>
      <c r="O33" s="587">
        <v>4755.1000000000004</v>
      </c>
      <c r="P33" s="586"/>
      <c r="Q33" s="586"/>
      <c r="R33" s="599">
        <f>M33/J33</f>
        <v>18816.85220338983</v>
      </c>
      <c r="S33" s="586">
        <f t="shared" si="2"/>
        <v>9.276845958083868E-11</v>
      </c>
      <c r="T33" s="605"/>
      <c r="U33" s="597">
        <f t="shared" si="3"/>
        <v>1114949.3800000001</v>
      </c>
      <c r="V33" s="589"/>
      <c r="W33" s="600"/>
      <c r="X33" s="590"/>
      <c r="Y33" s="590"/>
      <c r="Z33" s="590"/>
    </row>
    <row r="34" spans="1:30" s="113" customFormat="1" hidden="1">
      <c r="A34" s="591">
        <f t="shared" si="4"/>
        <v>18</v>
      </c>
      <c r="B34" s="616" t="s">
        <v>455</v>
      </c>
      <c r="C34" s="602" t="s">
        <v>271</v>
      </c>
      <c r="D34" s="618">
        <v>7697</v>
      </c>
      <c r="E34" s="619">
        <v>1674</v>
      </c>
      <c r="F34" s="604" t="s">
        <v>233</v>
      </c>
      <c r="G34" s="633">
        <v>605</v>
      </c>
      <c r="H34" s="640">
        <v>5</v>
      </c>
      <c r="I34" s="633">
        <v>3</v>
      </c>
      <c r="J34" s="633">
        <v>39</v>
      </c>
      <c r="K34" s="590" t="s">
        <v>33</v>
      </c>
      <c r="L34" s="595">
        <f t="shared" si="6"/>
        <v>1261587.44</v>
      </c>
      <c r="M34" s="635">
        <v>1257795</v>
      </c>
      <c r="N34" s="636"/>
      <c r="O34" s="641">
        <v>3792.44</v>
      </c>
      <c r="P34" s="636"/>
      <c r="Q34" s="638"/>
      <c r="R34" s="582">
        <f>M34/G34</f>
        <v>2079</v>
      </c>
      <c r="S34" s="586">
        <f t="shared" si="2"/>
        <v>-5.5933924159035087E-11</v>
      </c>
      <c r="T34" s="605"/>
      <c r="U34" s="597">
        <f t="shared" si="3"/>
        <v>1261587.44</v>
      </c>
      <c r="V34" s="589"/>
      <c r="W34" s="600"/>
      <c r="X34" s="639"/>
      <c r="Y34" s="639"/>
      <c r="Z34" s="639"/>
    </row>
    <row r="35" spans="1:30" s="113" customFormat="1" ht="37.5" hidden="1">
      <c r="A35" s="591">
        <f t="shared" si="4"/>
        <v>19</v>
      </c>
      <c r="B35" s="592" t="s">
        <v>456</v>
      </c>
      <c r="C35" s="617" t="s">
        <v>271</v>
      </c>
      <c r="D35" s="618">
        <v>38836</v>
      </c>
      <c r="E35" s="619">
        <v>6718.5</v>
      </c>
      <c r="F35" s="642" t="s">
        <v>233</v>
      </c>
      <c r="G35" s="594">
        <v>1545.2</v>
      </c>
      <c r="H35" s="640">
        <v>9</v>
      </c>
      <c r="I35" s="633">
        <v>3</v>
      </c>
      <c r="J35" s="594">
        <v>144</v>
      </c>
      <c r="K35" s="606" t="s">
        <v>366</v>
      </c>
      <c r="L35" s="595">
        <f t="shared" si="6"/>
        <v>6096862.5</v>
      </c>
      <c r="M35" s="585">
        <v>5970000</v>
      </c>
      <c r="N35" s="586">
        <v>126862.5</v>
      </c>
      <c r="O35" s="565"/>
      <c r="P35" s="564"/>
      <c r="Q35" s="586"/>
      <c r="R35" s="582">
        <v>2000000</v>
      </c>
      <c r="S35" s="586">
        <f t="shared" si="2"/>
        <v>0</v>
      </c>
      <c r="T35" s="588"/>
      <c r="U35" s="597">
        <f t="shared" si="3"/>
        <v>6096862.5</v>
      </c>
      <c r="V35" s="589"/>
      <c r="W35" s="600"/>
      <c r="X35" s="639"/>
      <c r="Y35" s="639"/>
      <c r="Z35" s="639"/>
    </row>
    <row r="36" spans="1:30" s="249" customFormat="1" ht="37.5" hidden="1">
      <c r="A36" s="591">
        <f t="shared" si="4"/>
        <v>20</v>
      </c>
      <c r="B36" s="592" t="s">
        <v>457</v>
      </c>
      <c r="C36" s="617" t="s">
        <v>271</v>
      </c>
      <c r="D36" s="618">
        <v>35318</v>
      </c>
      <c r="E36" s="619">
        <v>10670</v>
      </c>
      <c r="F36" s="642" t="s">
        <v>233</v>
      </c>
      <c r="G36" s="594">
        <v>1437</v>
      </c>
      <c r="H36" s="640">
        <v>9</v>
      </c>
      <c r="I36" s="633">
        <v>3</v>
      </c>
      <c r="J36" s="633">
        <v>161</v>
      </c>
      <c r="K36" s="606" t="s">
        <v>366</v>
      </c>
      <c r="L36" s="595">
        <f t="shared" si="6"/>
        <v>4085718.75</v>
      </c>
      <c r="M36" s="585">
        <v>3980000</v>
      </c>
      <c r="N36" s="586">
        <v>105718.75</v>
      </c>
      <c r="O36" s="565"/>
      <c r="P36" s="564"/>
      <c r="Q36" s="586"/>
      <c r="R36" s="582">
        <v>2000000</v>
      </c>
      <c r="S36" s="586">
        <f t="shared" si="2"/>
        <v>0</v>
      </c>
      <c r="T36" s="588"/>
      <c r="U36" s="597">
        <f t="shared" si="3"/>
        <v>4085718.75</v>
      </c>
      <c r="V36" s="589"/>
      <c r="W36" s="600"/>
      <c r="X36" s="590"/>
      <c r="Y36" s="590"/>
      <c r="Z36" s="590"/>
    </row>
    <row r="37" spans="1:30" s="249" customFormat="1" hidden="1">
      <c r="A37" s="591">
        <f t="shared" si="4"/>
        <v>21</v>
      </c>
      <c r="B37" s="592" t="s">
        <v>458</v>
      </c>
      <c r="C37" s="593" t="s">
        <v>271</v>
      </c>
      <c r="D37" s="582">
        <v>10019</v>
      </c>
      <c r="E37" s="582">
        <v>2121</v>
      </c>
      <c r="F37" s="643" t="s">
        <v>233</v>
      </c>
      <c r="G37" s="582">
        <v>396</v>
      </c>
      <c r="H37" s="582">
        <v>9</v>
      </c>
      <c r="I37" s="582">
        <v>1</v>
      </c>
      <c r="J37" s="582">
        <v>51</v>
      </c>
      <c r="K37" s="606" t="s">
        <v>33</v>
      </c>
      <c r="L37" s="595">
        <f t="shared" si="6"/>
        <v>651290.25</v>
      </c>
      <c r="M37" s="611">
        <v>649350</v>
      </c>
      <c r="N37" s="586"/>
      <c r="O37" s="587">
        <v>1940.25</v>
      </c>
      <c r="P37" s="586"/>
      <c r="Q37" s="586"/>
      <c r="R37" s="582">
        <f>M37/G37</f>
        <v>1639.7727272727273</v>
      </c>
      <c r="S37" s="586">
        <f t="shared" si="2"/>
        <v>0</v>
      </c>
      <c r="T37" s="588"/>
      <c r="U37" s="597">
        <f t="shared" si="3"/>
        <v>651290.25</v>
      </c>
      <c r="V37" s="589"/>
      <c r="W37" s="600"/>
      <c r="X37" s="590"/>
      <c r="Y37" s="590"/>
      <c r="Z37" s="590"/>
    </row>
    <row r="38" spans="1:30" s="249" customFormat="1" hidden="1">
      <c r="A38" s="591">
        <f t="shared" si="4"/>
        <v>22</v>
      </c>
      <c r="B38" s="592" t="s">
        <v>459</v>
      </c>
      <c r="C38" s="602" t="s">
        <v>271</v>
      </c>
      <c r="D38" s="603">
        <v>13938</v>
      </c>
      <c r="E38" s="594">
        <v>2282</v>
      </c>
      <c r="F38" s="608" t="s">
        <v>222</v>
      </c>
      <c r="G38" s="603">
        <v>1141</v>
      </c>
      <c r="H38" s="609">
        <v>5</v>
      </c>
      <c r="I38" s="609">
        <v>4</v>
      </c>
      <c r="J38" s="609">
        <v>81</v>
      </c>
      <c r="K38" s="590" t="s">
        <v>33</v>
      </c>
      <c r="L38" s="595">
        <f t="shared" si="6"/>
        <v>4005021.25</v>
      </c>
      <c r="M38" s="585">
        <v>3993100.65</v>
      </c>
      <c r="N38" s="586"/>
      <c r="O38" s="587">
        <v>11920.6</v>
      </c>
      <c r="P38" s="586"/>
      <c r="Q38" s="586"/>
      <c r="R38" s="582">
        <f>M38/G38</f>
        <v>3499.65</v>
      </c>
      <c r="S38" s="586">
        <f t="shared" si="2"/>
        <v>9.276845958083868E-11</v>
      </c>
      <c r="T38" s="605"/>
      <c r="U38" s="597">
        <f t="shared" si="3"/>
        <v>4005021.25</v>
      </c>
      <c r="V38" s="589"/>
      <c r="W38" s="600"/>
      <c r="X38" s="590"/>
      <c r="Y38" s="590"/>
      <c r="Z38" s="590"/>
    </row>
    <row r="39" spans="1:30" s="249" customFormat="1" ht="37.5" hidden="1">
      <c r="A39" s="591">
        <f t="shared" si="4"/>
        <v>23</v>
      </c>
      <c r="B39" s="592" t="s">
        <v>460</v>
      </c>
      <c r="C39" s="602" t="s">
        <v>271</v>
      </c>
      <c r="D39" s="603">
        <v>20065</v>
      </c>
      <c r="E39" s="594">
        <v>3307</v>
      </c>
      <c r="F39" s="604" t="s">
        <v>233</v>
      </c>
      <c r="G39" s="603">
        <v>1405</v>
      </c>
      <c r="H39" s="609">
        <v>5</v>
      </c>
      <c r="I39" s="609">
        <v>6</v>
      </c>
      <c r="J39" s="609">
        <v>86</v>
      </c>
      <c r="K39" s="606" t="s">
        <v>30</v>
      </c>
      <c r="L39" s="1357">
        <f>M39+N39+O39+P39+Q39+M40+N40+O40+P40+Q40</f>
        <v>5451715.3399999999</v>
      </c>
      <c r="M39" s="585">
        <v>2319678</v>
      </c>
      <c r="N39" s="586"/>
      <c r="O39" s="587">
        <v>6931.17</v>
      </c>
      <c r="P39" s="586"/>
      <c r="Q39" s="586"/>
      <c r="R39" s="599">
        <f>M39/J39</f>
        <v>26973</v>
      </c>
      <c r="S39" s="586">
        <f t="shared" si="2"/>
        <v>3125106.17</v>
      </c>
      <c r="T39" s="605"/>
      <c r="U39" s="597">
        <f t="shared" si="3"/>
        <v>2326609.17</v>
      </c>
      <c r="V39" s="589"/>
      <c r="W39" s="600"/>
      <c r="X39" s="590"/>
      <c r="Y39" s="590"/>
      <c r="Z39" s="590"/>
    </row>
    <row r="40" spans="1:30" s="249" customFormat="1" hidden="1">
      <c r="A40" s="591"/>
      <c r="B40" s="592"/>
      <c r="C40" s="602"/>
      <c r="D40" s="603"/>
      <c r="E40" s="594"/>
      <c r="F40" s="604"/>
      <c r="G40" s="603"/>
      <c r="H40" s="609"/>
      <c r="I40" s="609"/>
      <c r="J40" s="609"/>
      <c r="K40" s="606" t="s">
        <v>33</v>
      </c>
      <c r="L40" s="1357"/>
      <c r="M40" s="585">
        <v>3097734.17</v>
      </c>
      <c r="N40" s="630"/>
      <c r="O40" s="631">
        <v>7372</v>
      </c>
      <c r="P40" s="630"/>
      <c r="Q40" s="630">
        <v>20000</v>
      </c>
      <c r="R40" s="582">
        <f>M40/G39</f>
        <v>2204.7930035587187</v>
      </c>
      <c r="S40" s="586">
        <f t="shared" si="2"/>
        <v>-3125106.17</v>
      </c>
      <c r="T40" s="605" t="s">
        <v>3691</v>
      </c>
      <c r="U40" s="597">
        <f t="shared" si="3"/>
        <v>3125106.17</v>
      </c>
      <c r="V40" s="589"/>
      <c r="W40" s="600"/>
      <c r="X40" s="590"/>
      <c r="Y40" s="590"/>
      <c r="Z40" s="590"/>
    </row>
    <row r="41" spans="1:30" s="75" customFormat="1" ht="37.5" hidden="1">
      <c r="A41" s="591">
        <f>A39+1</f>
        <v>24</v>
      </c>
      <c r="B41" s="592" t="s">
        <v>461</v>
      </c>
      <c r="C41" s="602" t="s">
        <v>271</v>
      </c>
      <c r="D41" s="603">
        <v>12482</v>
      </c>
      <c r="E41" s="594">
        <v>3265.8</v>
      </c>
      <c r="F41" s="608" t="s">
        <v>222</v>
      </c>
      <c r="G41" s="603">
        <v>1145.2</v>
      </c>
      <c r="H41" s="609">
        <v>5</v>
      </c>
      <c r="I41" s="609">
        <v>4</v>
      </c>
      <c r="J41" s="609">
        <v>80</v>
      </c>
      <c r="K41" s="606" t="s">
        <v>30</v>
      </c>
      <c r="L41" s="595">
        <f>M41+N41+O41+P41+Q41</f>
        <v>1064433.33</v>
      </c>
      <c r="M41" s="623">
        <v>1057985.73</v>
      </c>
      <c r="N41" s="586"/>
      <c r="O41" s="587">
        <v>6447.6</v>
      </c>
      <c r="P41" s="586"/>
      <c r="Q41" s="586"/>
      <c r="R41" s="599">
        <f>M41/J41</f>
        <v>13224.821625</v>
      </c>
      <c r="S41" s="586">
        <f t="shared" si="2"/>
        <v>9.276845958083868E-11</v>
      </c>
      <c r="T41" s="605"/>
      <c r="U41" s="597">
        <f t="shared" si="3"/>
        <v>1064433.33</v>
      </c>
      <c r="V41" s="589"/>
      <c r="W41" s="600"/>
      <c r="X41" s="601"/>
      <c r="Y41" s="601"/>
      <c r="Z41" s="601"/>
    </row>
    <row r="42" spans="1:30" s="246" customFormat="1" ht="37.5" hidden="1">
      <c r="A42" s="591">
        <f t="shared" si="4"/>
        <v>25</v>
      </c>
      <c r="B42" s="592" t="s">
        <v>462</v>
      </c>
      <c r="C42" s="602" t="s">
        <v>271</v>
      </c>
      <c r="D42" s="603">
        <v>23888</v>
      </c>
      <c r="E42" s="594">
        <v>2550</v>
      </c>
      <c r="F42" s="604" t="s">
        <v>233</v>
      </c>
      <c r="G42" s="603">
        <v>1461.6</v>
      </c>
      <c r="H42" s="609">
        <v>5</v>
      </c>
      <c r="I42" s="609">
        <v>6</v>
      </c>
      <c r="J42" s="609">
        <v>98</v>
      </c>
      <c r="K42" s="606" t="s">
        <v>30</v>
      </c>
      <c r="L42" s="595">
        <f>M42+N42+O42+P42+Q42</f>
        <v>2651252.3100000005</v>
      </c>
      <c r="M42" s="585">
        <v>2643354.0000000005</v>
      </c>
      <c r="N42" s="586"/>
      <c r="O42" s="587">
        <v>7898.31</v>
      </c>
      <c r="P42" s="586"/>
      <c r="Q42" s="586"/>
      <c r="R42" s="599">
        <f>M42/J42</f>
        <v>26973.000000000004</v>
      </c>
      <c r="S42" s="586">
        <f t="shared" si="2"/>
        <v>5.5479176808148623E-11</v>
      </c>
      <c r="T42" s="588"/>
      <c r="U42" s="597">
        <f t="shared" si="3"/>
        <v>2651252.3100000005</v>
      </c>
      <c r="V42" s="589"/>
      <c r="W42" s="600"/>
      <c r="X42" s="589"/>
      <c r="Y42" s="589"/>
      <c r="Z42" s="591"/>
      <c r="AA42" s="36"/>
      <c r="AB42" s="14"/>
      <c r="AD42" s="72"/>
    </row>
    <row r="43" spans="1:30" s="75" customFormat="1" ht="37.5" hidden="1">
      <c r="A43" s="1349">
        <v>26</v>
      </c>
      <c r="B43" s="592" t="s">
        <v>463</v>
      </c>
      <c r="C43" s="593" t="s">
        <v>271</v>
      </c>
      <c r="D43" s="603">
        <v>18631</v>
      </c>
      <c r="E43" s="644" t="s">
        <v>375</v>
      </c>
      <c r="F43" s="608" t="s">
        <v>222</v>
      </c>
      <c r="G43" s="603">
        <v>1731</v>
      </c>
      <c r="H43" s="609">
        <v>5</v>
      </c>
      <c r="I43" s="609">
        <v>6</v>
      </c>
      <c r="J43" s="609">
        <v>120</v>
      </c>
      <c r="K43" s="606" t="s">
        <v>30</v>
      </c>
      <c r="L43" s="1357">
        <f>M43+N43+O43+P43+Q43+M44+N44+O44+P44+Q44</f>
        <v>8125782.7400000002</v>
      </c>
      <c r="M43" s="585">
        <v>2567305.37</v>
      </c>
      <c r="N43" s="586"/>
      <c r="O43" s="587">
        <v>9671.4</v>
      </c>
      <c r="P43" s="586"/>
      <c r="Q43" s="586"/>
      <c r="R43" s="599">
        <f>M43/J43</f>
        <v>21394.211416666669</v>
      </c>
      <c r="S43" s="586">
        <f t="shared" si="2"/>
        <v>5548805.9699999997</v>
      </c>
      <c r="T43" s="588"/>
      <c r="U43" s="597">
        <f t="shared" si="3"/>
        <v>2576976.77</v>
      </c>
      <c r="V43" s="589"/>
      <c r="W43" s="600"/>
      <c r="X43" s="601"/>
      <c r="Y43" s="601"/>
      <c r="Z43" s="601"/>
    </row>
    <row r="44" spans="1:30" s="75" customFormat="1" hidden="1">
      <c r="A44" s="1349"/>
      <c r="B44" s="592"/>
      <c r="C44" s="593" t="s">
        <v>271</v>
      </c>
      <c r="D44" s="603">
        <v>18632</v>
      </c>
      <c r="E44" s="644" t="s">
        <v>376</v>
      </c>
      <c r="F44" s="608" t="s">
        <v>222</v>
      </c>
      <c r="G44" s="603">
        <v>1731</v>
      </c>
      <c r="H44" s="609">
        <v>5</v>
      </c>
      <c r="I44" s="609">
        <v>6</v>
      </c>
      <c r="J44" s="609">
        <v>120</v>
      </c>
      <c r="K44" s="588" t="s">
        <v>33</v>
      </c>
      <c r="L44" s="1357"/>
      <c r="M44" s="585">
        <v>5539134.5700000003</v>
      </c>
      <c r="N44" s="586"/>
      <c r="O44" s="587">
        <v>9671.4</v>
      </c>
      <c r="P44" s="586"/>
      <c r="Q44" s="586"/>
      <c r="R44" s="582">
        <f>M44/G44</f>
        <v>3199.9622010398616</v>
      </c>
      <c r="S44" s="586">
        <f t="shared" si="2"/>
        <v>-5548805.9700000007</v>
      </c>
      <c r="T44" s="605"/>
      <c r="U44" s="597">
        <f t="shared" si="3"/>
        <v>5548805.9700000007</v>
      </c>
      <c r="V44" s="589"/>
      <c r="W44" s="600"/>
      <c r="X44" s="601"/>
      <c r="Y44" s="601"/>
      <c r="Z44" s="601"/>
    </row>
    <row r="45" spans="1:30" s="28" customFormat="1" ht="37.5" hidden="1">
      <c r="A45" s="591">
        <v>27</v>
      </c>
      <c r="B45" s="592" t="s">
        <v>464</v>
      </c>
      <c r="C45" s="602" t="s">
        <v>271</v>
      </c>
      <c r="D45" s="603">
        <v>12843</v>
      </c>
      <c r="E45" s="594">
        <v>2304</v>
      </c>
      <c r="F45" s="608" t="s">
        <v>222</v>
      </c>
      <c r="G45" s="603">
        <v>1152</v>
      </c>
      <c r="H45" s="609">
        <v>5</v>
      </c>
      <c r="I45" s="609">
        <v>4</v>
      </c>
      <c r="J45" s="609">
        <v>80</v>
      </c>
      <c r="K45" s="606" t="s">
        <v>30</v>
      </c>
      <c r="L45" s="595">
        <f>M45+N45+O45+P45+Q45</f>
        <v>1606742.7999999998</v>
      </c>
      <c r="M45" s="585">
        <v>1600295.1999999997</v>
      </c>
      <c r="N45" s="586"/>
      <c r="O45" s="587">
        <v>6447.6</v>
      </c>
      <c r="P45" s="586"/>
      <c r="Q45" s="586"/>
      <c r="R45" s="599">
        <f>M45/J45</f>
        <v>20003.689999999995</v>
      </c>
      <c r="S45" s="586">
        <f t="shared" si="2"/>
        <v>9.276845958083868E-11</v>
      </c>
      <c r="T45" s="605"/>
      <c r="U45" s="597">
        <f t="shared" si="3"/>
        <v>1606742.7999999998</v>
      </c>
      <c r="V45" s="589"/>
      <c r="W45" s="600"/>
      <c r="X45" s="592"/>
      <c r="Y45" s="592"/>
      <c r="Z45" s="592"/>
    </row>
    <row r="46" spans="1:30" s="28" customFormat="1" hidden="1">
      <c r="A46" s="591">
        <f t="shared" si="4"/>
        <v>28</v>
      </c>
      <c r="B46" s="592" t="s">
        <v>465</v>
      </c>
      <c r="C46" s="602" t="s">
        <v>271</v>
      </c>
      <c r="D46" s="603">
        <v>12400</v>
      </c>
      <c r="E46" s="594">
        <v>2200</v>
      </c>
      <c r="F46" s="608" t="s">
        <v>222</v>
      </c>
      <c r="G46" s="603">
        <v>1100</v>
      </c>
      <c r="H46" s="609">
        <v>5</v>
      </c>
      <c r="I46" s="609">
        <v>4</v>
      </c>
      <c r="J46" s="609">
        <v>71</v>
      </c>
      <c r="K46" s="590" t="s">
        <v>33</v>
      </c>
      <c r="L46" s="595">
        <f>M46+N46+O46+P46+Q46</f>
        <v>3842242.25</v>
      </c>
      <c r="M46" s="585">
        <v>3830750</v>
      </c>
      <c r="N46" s="586"/>
      <c r="O46" s="587">
        <v>11492.25</v>
      </c>
      <c r="P46" s="586"/>
      <c r="Q46" s="586"/>
      <c r="R46" s="582">
        <f>M46/G46</f>
        <v>3482.5</v>
      </c>
      <c r="S46" s="586">
        <f t="shared" ref="S46:S71" si="7">L46-M46-N46-O46-P46-Q46</f>
        <v>0</v>
      </c>
      <c r="T46" s="605"/>
      <c r="U46" s="597">
        <f t="shared" si="3"/>
        <v>3842242.25</v>
      </c>
      <c r="V46" s="589"/>
      <c r="W46" s="600"/>
      <c r="X46" s="592"/>
      <c r="Y46" s="592"/>
      <c r="Z46" s="592"/>
    </row>
    <row r="47" spans="1:30" s="28" customFormat="1" hidden="1">
      <c r="A47" s="591">
        <f t="shared" si="4"/>
        <v>29</v>
      </c>
      <c r="B47" s="592" t="s">
        <v>466</v>
      </c>
      <c r="C47" s="593" t="s">
        <v>217</v>
      </c>
      <c r="D47" s="582">
        <v>14224</v>
      </c>
      <c r="E47" s="626">
        <v>2260</v>
      </c>
      <c r="F47" s="643" t="s">
        <v>222</v>
      </c>
      <c r="G47" s="625">
        <v>1143</v>
      </c>
      <c r="H47" s="625">
        <v>5</v>
      </c>
      <c r="I47" s="582">
        <v>5</v>
      </c>
      <c r="J47" s="582">
        <v>100</v>
      </c>
      <c r="K47" s="610" t="s">
        <v>224</v>
      </c>
      <c r="L47" s="595">
        <f>M47+N47+O47+P47+Q47</f>
        <v>1569478.12</v>
      </c>
      <c r="M47" s="627">
        <v>1534513.12</v>
      </c>
      <c r="N47" s="628">
        <v>34965</v>
      </c>
      <c r="O47" s="587"/>
      <c r="P47" s="586"/>
      <c r="Q47" s="586"/>
      <c r="R47" s="582">
        <f>M47/J47</f>
        <v>15345.131200000002</v>
      </c>
      <c r="S47" s="586">
        <f t="shared" si="7"/>
        <v>0</v>
      </c>
      <c r="T47" s="645"/>
      <c r="U47" s="597">
        <f t="shared" si="3"/>
        <v>1569478.12</v>
      </c>
      <c r="V47" s="589"/>
      <c r="W47" s="600"/>
      <c r="X47" s="592"/>
      <c r="Y47" s="592"/>
      <c r="Z47" s="592"/>
    </row>
    <row r="48" spans="1:30" s="28" customFormat="1" hidden="1">
      <c r="A48" s="591">
        <f t="shared" si="4"/>
        <v>30</v>
      </c>
      <c r="B48" s="592" t="s">
        <v>467</v>
      </c>
      <c r="C48" s="593" t="s">
        <v>217</v>
      </c>
      <c r="D48" s="582">
        <v>30660</v>
      </c>
      <c r="E48" s="646">
        <v>2241.6</v>
      </c>
      <c r="F48" s="582" t="s">
        <v>233</v>
      </c>
      <c r="G48" s="582">
        <v>1335.5</v>
      </c>
      <c r="H48" s="582">
        <v>9</v>
      </c>
      <c r="I48" s="582">
        <v>1</v>
      </c>
      <c r="J48" s="582">
        <v>49</v>
      </c>
      <c r="K48" s="610" t="s">
        <v>224</v>
      </c>
      <c r="L48" s="595">
        <f>M48+N48+O48+P48+Q48</f>
        <v>988135.82</v>
      </c>
      <c r="M48" s="585">
        <v>953170.82</v>
      </c>
      <c r="N48" s="586">
        <v>34965</v>
      </c>
      <c r="O48" s="587"/>
      <c r="P48" s="586"/>
      <c r="Q48" s="586"/>
      <c r="R48" s="582">
        <f>M48/J48</f>
        <v>19452.465714285714</v>
      </c>
      <c r="S48" s="586">
        <f t="shared" si="7"/>
        <v>0</v>
      </c>
      <c r="T48" s="588"/>
      <c r="U48" s="597">
        <f t="shared" si="3"/>
        <v>988135.82</v>
      </c>
      <c r="V48" s="589"/>
      <c r="W48" s="600"/>
      <c r="X48" s="592"/>
      <c r="Y48" s="592"/>
      <c r="Z48" s="592"/>
    </row>
    <row r="49" spans="1:30" s="249" customFormat="1" ht="37.5" hidden="1">
      <c r="A49" s="591">
        <f t="shared" si="4"/>
        <v>31</v>
      </c>
      <c r="B49" s="592" t="s">
        <v>468</v>
      </c>
      <c r="C49" s="617" t="s">
        <v>217</v>
      </c>
      <c r="D49" s="582">
        <v>12215</v>
      </c>
      <c r="E49" s="646">
        <v>2050</v>
      </c>
      <c r="F49" s="582" t="s">
        <v>222</v>
      </c>
      <c r="G49" s="582">
        <v>1142</v>
      </c>
      <c r="H49" s="582">
        <v>5</v>
      </c>
      <c r="I49" s="582">
        <v>4</v>
      </c>
      <c r="J49" s="582">
        <v>76</v>
      </c>
      <c r="K49" s="610" t="s">
        <v>30</v>
      </c>
      <c r="L49" s="595">
        <f>M49+N49+O49+P49+Q49</f>
        <v>2160790.4000000004</v>
      </c>
      <c r="M49" s="585">
        <f>2049948+104717.18</f>
        <v>2154665.1800000002</v>
      </c>
      <c r="N49" s="586"/>
      <c r="O49" s="598">
        <v>6125.22</v>
      </c>
      <c r="P49" s="586"/>
      <c r="Q49" s="586"/>
      <c r="R49" s="599">
        <f>M49/J49</f>
        <v>28350.857631578951</v>
      </c>
      <c r="S49" s="586">
        <f t="shared" si="7"/>
        <v>2.0463630789890885E-10</v>
      </c>
      <c r="T49" s="605"/>
      <c r="U49" s="597">
        <f t="shared" si="3"/>
        <v>2160790.4000000004</v>
      </c>
      <c r="V49" s="589"/>
      <c r="W49" s="600"/>
      <c r="X49" s="590"/>
      <c r="Y49" s="590"/>
      <c r="Z49" s="590"/>
    </row>
    <row r="50" spans="1:30" s="517" customFormat="1" hidden="1">
      <c r="A50" s="1383">
        <v>32</v>
      </c>
      <c r="B50" s="592" t="s">
        <v>469</v>
      </c>
      <c r="C50" s="1384" t="s">
        <v>271</v>
      </c>
      <c r="D50" s="1375">
        <v>8312</v>
      </c>
      <c r="E50" s="1378">
        <v>1460</v>
      </c>
      <c r="F50" s="1375" t="s">
        <v>222</v>
      </c>
      <c r="G50" s="1374">
        <v>666</v>
      </c>
      <c r="H50" s="1374">
        <v>5</v>
      </c>
      <c r="I50" s="1375">
        <v>2</v>
      </c>
      <c r="J50" s="1375">
        <v>40</v>
      </c>
      <c r="K50" s="610" t="s">
        <v>224</v>
      </c>
      <c r="L50" s="1357">
        <f>M50+N50+O50+P50+Q50+M51+N51+O51+P51+Q51</f>
        <v>1441218.1400000001</v>
      </c>
      <c r="M50" s="627">
        <v>579030.04</v>
      </c>
      <c r="N50" s="628">
        <v>34965</v>
      </c>
      <c r="O50" s="587"/>
      <c r="P50" s="586"/>
      <c r="Q50" s="586"/>
      <c r="R50" s="582">
        <f>M50/J50</f>
        <v>14475.751</v>
      </c>
      <c r="S50" s="586">
        <f t="shared" si="7"/>
        <v>827223.10000000009</v>
      </c>
      <c r="T50" s="588"/>
      <c r="U50" s="597">
        <f t="shared" si="3"/>
        <v>613995.04</v>
      </c>
      <c r="V50" s="589"/>
      <c r="W50" s="600"/>
      <c r="X50" s="589"/>
      <c r="Y50" s="647"/>
      <c r="Z50" s="648"/>
      <c r="AA50" s="36"/>
      <c r="AB50" s="72"/>
      <c r="AC50" s="246"/>
      <c r="AD50" s="72"/>
    </row>
    <row r="51" spans="1:30" s="517" customFormat="1" ht="37.5" hidden="1">
      <c r="A51" s="1383"/>
      <c r="B51" s="592"/>
      <c r="C51" s="1384"/>
      <c r="D51" s="1375"/>
      <c r="E51" s="1378"/>
      <c r="F51" s="1375"/>
      <c r="G51" s="1374"/>
      <c r="H51" s="1374"/>
      <c r="I51" s="1375"/>
      <c r="J51" s="1375"/>
      <c r="K51" s="606" t="s">
        <v>30</v>
      </c>
      <c r="L51" s="1357"/>
      <c r="M51" s="627">
        <v>823999.3</v>
      </c>
      <c r="N51" s="628"/>
      <c r="O51" s="587">
        <v>3223.8</v>
      </c>
      <c r="P51" s="586"/>
      <c r="Q51" s="586"/>
      <c r="R51" s="599">
        <f>M51/J50</f>
        <v>20599.982500000002</v>
      </c>
      <c r="S51" s="586">
        <f t="shared" si="7"/>
        <v>-827223.10000000009</v>
      </c>
      <c r="T51" s="588"/>
      <c r="U51" s="597">
        <f t="shared" si="3"/>
        <v>827223.10000000009</v>
      </c>
      <c r="V51" s="589"/>
      <c r="W51" s="600"/>
      <c r="X51" s="589"/>
      <c r="Y51" s="647"/>
      <c r="Z51" s="648"/>
      <c r="AA51" s="36"/>
      <c r="AB51" s="72"/>
      <c r="AC51" s="246"/>
      <c r="AD51" s="72"/>
    </row>
    <row r="52" spans="1:30" s="246" customFormat="1" hidden="1">
      <c r="A52" s="1349">
        <v>33</v>
      </c>
      <c r="B52" s="592" t="s">
        <v>470</v>
      </c>
      <c r="C52" s="1384" t="s">
        <v>217</v>
      </c>
      <c r="D52" s="1375">
        <v>13463</v>
      </c>
      <c r="E52" s="1378">
        <v>2411</v>
      </c>
      <c r="F52" s="1379" t="s">
        <v>222</v>
      </c>
      <c r="G52" s="1374">
        <v>1145.2</v>
      </c>
      <c r="H52" s="1374">
        <v>5</v>
      </c>
      <c r="I52" s="1375">
        <v>4</v>
      </c>
      <c r="J52" s="1375">
        <v>60</v>
      </c>
      <c r="K52" s="606" t="s">
        <v>33</v>
      </c>
      <c r="L52" s="1357">
        <f>M52+N52+O52+P52+Q52+M53+N53+O53+P53+Q53</f>
        <v>7573014.3399999999</v>
      </c>
      <c r="M52" s="611">
        <v>3937371.1100000003</v>
      </c>
      <c r="N52" s="628"/>
      <c r="O52" s="587">
        <v>11964.48</v>
      </c>
      <c r="P52" s="586"/>
      <c r="Q52" s="586"/>
      <c r="R52" s="582">
        <f>M52/G52</f>
        <v>3438.151510653161</v>
      </c>
      <c r="S52" s="586">
        <f t="shared" si="7"/>
        <v>3623678.7499999995</v>
      </c>
      <c r="T52" s="605"/>
      <c r="U52" s="597">
        <f t="shared" si="3"/>
        <v>3949335.5900000003</v>
      </c>
      <c r="V52" s="589"/>
      <c r="W52" s="600"/>
      <c r="X52" s="589"/>
      <c r="Y52" s="589"/>
      <c r="Z52" s="591"/>
      <c r="AA52" s="36"/>
      <c r="AB52" s="14"/>
      <c r="AD52" s="72"/>
    </row>
    <row r="53" spans="1:30" s="246" customFormat="1" hidden="1">
      <c r="A53" s="1349"/>
      <c r="B53" s="592"/>
      <c r="C53" s="1384"/>
      <c r="D53" s="1375"/>
      <c r="E53" s="1378"/>
      <c r="F53" s="1379"/>
      <c r="G53" s="1374"/>
      <c r="H53" s="1374"/>
      <c r="I53" s="1375"/>
      <c r="J53" s="1375"/>
      <c r="K53" s="606" t="s">
        <v>38</v>
      </c>
      <c r="L53" s="1357"/>
      <c r="M53" s="611">
        <v>3612883.5</v>
      </c>
      <c r="N53" s="649"/>
      <c r="O53" s="587">
        <v>10795.25</v>
      </c>
      <c r="P53" s="586"/>
      <c r="Q53" s="586"/>
      <c r="R53" s="599">
        <f>M53/E52</f>
        <v>1498.5</v>
      </c>
      <c r="S53" s="586">
        <f t="shared" si="7"/>
        <v>-3623678.75</v>
      </c>
      <c r="T53" s="588"/>
      <c r="U53" s="597">
        <f t="shared" si="3"/>
        <v>3623678.75</v>
      </c>
      <c r="V53" s="589"/>
      <c r="W53" s="600"/>
      <c r="X53" s="589"/>
      <c r="Y53" s="589"/>
      <c r="Z53" s="591"/>
      <c r="AA53" s="36"/>
      <c r="AB53" s="72"/>
      <c r="AD53" s="72"/>
    </row>
    <row r="54" spans="1:30" s="249" customFormat="1" ht="37.5" hidden="1">
      <c r="A54" s="591">
        <v>34</v>
      </c>
      <c r="B54" s="592" t="s">
        <v>471</v>
      </c>
      <c r="C54" s="593" t="s">
        <v>271</v>
      </c>
      <c r="D54" s="618">
        <v>12964</v>
      </c>
      <c r="E54" s="594">
        <v>2124</v>
      </c>
      <c r="F54" s="593" t="s">
        <v>233</v>
      </c>
      <c r="G54" s="618">
        <v>739</v>
      </c>
      <c r="H54" s="650">
        <v>6</v>
      </c>
      <c r="I54" s="650">
        <v>3</v>
      </c>
      <c r="J54" s="650">
        <v>54</v>
      </c>
      <c r="K54" s="610" t="s">
        <v>30</v>
      </c>
      <c r="L54" s="595">
        <f t="shared" ref="L54:L69" si="8">M54+N54+O54+P54+Q54</f>
        <v>1243741.8599999999</v>
      </c>
      <c r="M54" s="585">
        <v>1239067.3499999999</v>
      </c>
      <c r="N54" s="586"/>
      <c r="O54" s="587">
        <v>4674.51</v>
      </c>
      <c r="P54" s="586"/>
      <c r="Q54" s="586"/>
      <c r="R54" s="599">
        <f t="shared" ref="R54:R64" si="9">M54/J54</f>
        <v>22945.691666666666</v>
      </c>
      <c r="S54" s="586">
        <f t="shared" si="7"/>
        <v>9.0949470177292824E-12</v>
      </c>
      <c r="T54" s="605"/>
      <c r="U54" s="597">
        <f t="shared" si="3"/>
        <v>1243741.8599999999</v>
      </c>
      <c r="V54" s="589"/>
      <c r="W54" s="600"/>
      <c r="X54" s="590"/>
      <c r="Y54" s="590"/>
      <c r="Z54" s="590"/>
    </row>
    <row r="55" spans="1:30" s="75" customFormat="1" hidden="1">
      <c r="A55" s="591">
        <f t="shared" si="4"/>
        <v>35</v>
      </c>
      <c r="B55" s="616" t="s">
        <v>472</v>
      </c>
      <c r="C55" s="617" t="s">
        <v>271</v>
      </c>
      <c r="D55" s="618">
        <v>15880</v>
      </c>
      <c r="E55" s="619">
        <v>3445</v>
      </c>
      <c r="F55" s="620" t="s">
        <v>233</v>
      </c>
      <c r="G55" s="594">
        <v>1530</v>
      </c>
      <c r="H55" s="620">
        <v>5</v>
      </c>
      <c r="I55" s="620">
        <v>6</v>
      </c>
      <c r="J55" s="620">
        <v>99</v>
      </c>
      <c r="K55" s="590" t="s">
        <v>224</v>
      </c>
      <c r="L55" s="595">
        <f t="shared" si="8"/>
        <v>1617381</v>
      </c>
      <c r="M55" s="596">
        <v>1582416</v>
      </c>
      <c r="N55" s="597">
        <v>34965</v>
      </c>
      <c r="O55" s="598"/>
      <c r="P55" s="597">
        <v>0</v>
      </c>
      <c r="Q55" s="597"/>
      <c r="R55" s="582">
        <f t="shared" si="9"/>
        <v>15984</v>
      </c>
      <c r="S55" s="586">
        <f t="shared" si="7"/>
        <v>0</v>
      </c>
      <c r="T55" s="605"/>
      <c r="U55" s="597">
        <f t="shared" si="3"/>
        <v>1617381</v>
      </c>
      <c r="V55" s="589"/>
      <c r="W55" s="600"/>
      <c r="X55" s="601"/>
      <c r="Y55" s="601"/>
      <c r="Z55" s="601"/>
    </row>
    <row r="56" spans="1:30" s="75" customFormat="1" ht="37.5" hidden="1">
      <c r="A56" s="591">
        <f t="shared" si="4"/>
        <v>36</v>
      </c>
      <c r="B56" s="592" t="s">
        <v>473</v>
      </c>
      <c r="C56" s="593" t="s">
        <v>217</v>
      </c>
      <c r="D56" s="594">
        <v>8913</v>
      </c>
      <c r="E56" s="594">
        <v>1878</v>
      </c>
      <c r="F56" s="594" t="s">
        <v>222</v>
      </c>
      <c r="G56" s="594">
        <v>840</v>
      </c>
      <c r="H56" s="594">
        <v>5</v>
      </c>
      <c r="I56" s="594">
        <v>3</v>
      </c>
      <c r="J56" s="594">
        <v>60</v>
      </c>
      <c r="K56" s="590" t="s">
        <v>30</v>
      </c>
      <c r="L56" s="595">
        <f t="shared" si="8"/>
        <v>1623215.7</v>
      </c>
      <c r="M56" s="596">
        <v>1618380</v>
      </c>
      <c r="N56" s="597"/>
      <c r="O56" s="587">
        <v>4835.7</v>
      </c>
      <c r="P56" s="594"/>
      <c r="Q56" s="597"/>
      <c r="R56" s="599">
        <f t="shared" si="9"/>
        <v>26973</v>
      </c>
      <c r="S56" s="586">
        <f t="shared" si="7"/>
        <v>-4.638422979041934E-11</v>
      </c>
      <c r="T56" s="588"/>
      <c r="U56" s="597">
        <f t="shared" si="3"/>
        <v>1623215.7</v>
      </c>
      <c r="V56" s="589"/>
      <c r="W56" s="600"/>
      <c r="X56" s="601"/>
      <c r="Y56" s="601"/>
      <c r="Z56" s="601"/>
    </row>
    <row r="57" spans="1:30" s="75" customFormat="1" hidden="1">
      <c r="A57" s="591">
        <f t="shared" si="4"/>
        <v>37</v>
      </c>
      <c r="B57" s="592" t="s">
        <v>474</v>
      </c>
      <c r="C57" s="602" t="s">
        <v>271</v>
      </c>
      <c r="D57" s="644">
        <v>13622</v>
      </c>
      <c r="E57" s="593">
        <v>2290</v>
      </c>
      <c r="F57" s="608" t="s">
        <v>222</v>
      </c>
      <c r="G57" s="593">
        <v>1152</v>
      </c>
      <c r="H57" s="593">
        <v>5</v>
      </c>
      <c r="I57" s="593">
        <v>4</v>
      </c>
      <c r="J57" s="593">
        <v>80</v>
      </c>
      <c r="K57" s="590" t="s">
        <v>224</v>
      </c>
      <c r="L57" s="595">
        <f t="shared" si="8"/>
        <v>992300.05</v>
      </c>
      <c r="M57" s="623">
        <v>957335.05</v>
      </c>
      <c r="N57" s="586">
        <v>34965</v>
      </c>
      <c r="O57" s="587"/>
      <c r="P57" s="586"/>
      <c r="Q57" s="586"/>
      <c r="R57" s="582">
        <f t="shared" si="9"/>
        <v>11966.688125000001</v>
      </c>
      <c r="S57" s="586">
        <f t="shared" si="7"/>
        <v>0</v>
      </c>
      <c r="T57" s="588"/>
      <c r="U57" s="597">
        <f t="shared" si="3"/>
        <v>992300.05</v>
      </c>
      <c r="V57" s="589"/>
      <c r="W57" s="600"/>
      <c r="X57" s="601"/>
      <c r="Y57" s="601"/>
      <c r="Z57" s="601"/>
    </row>
    <row r="58" spans="1:30" s="249" customFormat="1" hidden="1">
      <c r="A58" s="591">
        <f t="shared" si="4"/>
        <v>38</v>
      </c>
      <c r="B58" s="592" t="s">
        <v>475</v>
      </c>
      <c r="C58" s="602" t="s">
        <v>271</v>
      </c>
      <c r="D58" s="644">
        <v>10154</v>
      </c>
      <c r="E58" s="593">
        <v>2290</v>
      </c>
      <c r="F58" s="593" t="s">
        <v>222</v>
      </c>
      <c r="G58" s="593">
        <v>900</v>
      </c>
      <c r="H58" s="593">
        <v>5</v>
      </c>
      <c r="I58" s="593">
        <v>3</v>
      </c>
      <c r="J58" s="593">
        <v>60</v>
      </c>
      <c r="K58" s="590" t="s">
        <v>224</v>
      </c>
      <c r="L58" s="595">
        <f t="shared" si="8"/>
        <v>877553.44</v>
      </c>
      <c r="M58" s="627">
        <v>845585.44</v>
      </c>
      <c r="N58" s="586">
        <v>31968</v>
      </c>
      <c r="O58" s="587"/>
      <c r="P58" s="586"/>
      <c r="Q58" s="586"/>
      <c r="R58" s="582">
        <f t="shared" si="9"/>
        <v>14093.090666666665</v>
      </c>
      <c r="S58" s="586">
        <f t="shared" si="7"/>
        <v>0</v>
      </c>
      <c r="T58" s="605"/>
      <c r="U58" s="597">
        <f t="shared" si="3"/>
        <v>877553.44</v>
      </c>
      <c r="V58" s="589"/>
      <c r="W58" s="600"/>
      <c r="X58" s="590"/>
      <c r="Y58" s="590"/>
      <c r="Z58" s="590"/>
    </row>
    <row r="59" spans="1:30" s="249" customFormat="1" ht="37.5" hidden="1">
      <c r="A59" s="591">
        <f t="shared" si="4"/>
        <v>39</v>
      </c>
      <c r="B59" s="616" t="s">
        <v>476</v>
      </c>
      <c r="C59" s="593" t="s">
        <v>271</v>
      </c>
      <c r="D59" s="618">
        <v>11764</v>
      </c>
      <c r="E59" s="619">
        <v>1929</v>
      </c>
      <c r="F59" s="620" t="s">
        <v>222</v>
      </c>
      <c r="G59" s="620">
        <v>1115</v>
      </c>
      <c r="H59" s="651">
        <v>4</v>
      </c>
      <c r="I59" s="620">
        <v>3</v>
      </c>
      <c r="J59" s="620">
        <v>23</v>
      </c>
      <c r="K59" s="610" t="s">
        <v>30</v>
      </c>
      <c r="L59" s="595">
        <f t="shared" si="8"/>
        <v>410516.64</v>
      </c>
      <c r="M59" s="596">
        <v>408662.96</v>
      </c>
      <c r="N59" s="586"/>
      <c r="O59" s="598">
        <v>1853.68</v>
      </c>
      <c r="P59" s="597"/>
      <c r="Q59" s="597"/>
      <c r="R59" s="599">
        <f t="shared" si="9"/>
        <v>17767.954782608696</v>
      </c>
      <c r="S59" s="586">
        <f t="shared" si="7"/>
        <v>-7.0485839387401938E-12</v>
      </c>
      <c r="T59" s="588"/>
      <c r="U59" s="597">
        <f t="shared" si="3"/>
        <v>410516.64</v>
      </c>
      <c r="V59" s="589"/>
      <c r="W59" s="600"/>
      <c r="X59" s="590"/>
      <c r="Y59" s="590"/>
      <c r="Z59" s="590"/>
    </row>
    <row r="60" spans="1:30" s="249" customFormat="1" hidden="1">
      <c r="A60" s="591">
        <f t="shared" si="4"/>
        <v>40</v>
      </c>
      <c r="B60" s="592" t="s">
        <v>477</v>
      </c>
      <c r="C60" s="593" t="s">
        <v>217</v>
      </c>
      <c r="D60" s="582">
        <v>12666</v>
      </c>
      <c r="E60" s="646">
        <v>2573</v>
      </c>
      <c r="F60" s="582" t="s">
        <v>222</v>
      </c>
      <c r="G60" s="582">
        <v>1135</v>
      </c>
      <c r="H60" s="582">
        <v>5</v>
      </c>
      <c r="I60" s="582">
        <v>4</v>
      </c>
      <c r="J60" s="582">
        <v>80</v>
      </c>
      <c r="K60" s="610" t="s">
        <v>224</v>
      </c>
      <c r="L60" s="595">
        <f t="shared" si="8"/>
        <v>1313685</v>
      </c>
      <c r="M60" s="585">
        <v>1278720</v>
      </c>
      <c r="N60" s="586">
        <v>34965</v>
      </c>
      <c r="O60" s="587"/>
      <c r="P60" s="586"/>
      <c r="Q60" s="586"/>
      <c r="R60" s="582">
        <f t="shared" si="9"/>
        <v>15984</v>
      </c>
      <c r="S60" s="586">
        <f t="shared" si="7"/>
        <v>0</v>
      </c>
      <c r="T60" s="605"/>
      <c r="U60" s="597">
        <f t="shared" si="3"/>
        <v>1313685</v>
      </c>
      <c r="V60" s="589"/>
      <c r="W60" s="600"/>
      <c r="X60" s="590"/>
      <c r="Y60" s="590"/>
      <c r="Z60" s="590"/>
    </row>
    <row r="61" spans="1:30" s="249" customFormat="1" ht="37.5" hidden="1">
      <c r="A61" s="591">
        <f t="shared" si="4"/>
        <v>41</v>
      </c>
      <c r="B61" s="592" t="s">
        <v>478</v>
      </c>
      <c r="C61" s="602" t="s">
        <v>271</v>
      </c>
      <c r="D61" s="603">
        <v>12521</v>
      </c>
      <c r="E61" s="594">
        <v>2198</v>
      </c>
      <c r="F61" s="604" t="s">
        <v>233</v>
      </c>
      <c r="G61" s="603">
        <v>973</v>
      </c>
      <c r="H61" s="609">
        <v>5</v>
      </c>
      <c r="I61" s="609">
        <v>4</v>
      </c>
      <c r="J61" s="609">
        <v>73</v>
      </c>
      <c r="K61" s="606" t="s">
        <v>30</v>
      </c>
      <c r="L61" s="595">
        <f t="shared" si="8"/>
        <v>1974912.43</v>
      </c>
      <c r="M61" s="623">
        <v>1969029</v>
      </c>
      <c r="N61" s="586"/>
      <c r="O61" s="587">
        <v>5883.43</v>
      </c>
      <c r="P61" s="586"/>
      <c r="Q61" s="586"/>
      <c r="R61" s="599">
        <f t="shared" si="9"/>
        <v>26973</v>
      </c>
      <c r="S61" s="586">
        <f t="shared" si="7"/>
        <v>-6.5483618527650833E-11</v>
      </c>
      <c r="T61" s="588"/>
      <c r="U61" s="597">
        <f t="shared" si="3"/>
        <v>1974912.43</v>
      </c>
      <c r="V61" s="589"/>
      <c r="W61" s="600"/>
      <c r="X61" s="590"/>
      <c r="Y61" s="590"/>
      <c r="Z61" s="590"/>
    </row>
    <row r="62" spans="1:30" s="249" customFormat="1" ht="37.5" hidden="1">
      <c r="A62" s="591">
        <f t="shared" si="4"/>
        <v>42</v>
      </c>
      <c r="B62" s="592" t="s">
        <v>479</v>
      </c>
      <c r="C62" s="602" t="s">
        <v>271</v>
      </c>
      <c r="D62" s="618">
        <v>23423</v>
      </c>
      <c r="E62" s="594">
        <v>4073</v>
      </c>
      <c r="F62" s="582" t="s">
        <v>233</v>
      </c>
      <c r="G62" s="618">
        <v>907</v>
      </c>
      <c r="H62" s="650">
        <v>9</v>
      </c>
      <c r="I62" s="650">
        <v>2</v>
      </c>
      <c r="J62" s="650">
        <v>96</v>
      </c>
      <c r="K62" s="606" t="s">
        <v>30</v>
      </c>
      <c r="L62" s="595">
        <f t="shared" si="8"/>
        <v>3078097.92</v>
      </c>
      <c r="M62" s="585">
        <v>3068928</v>
      </c>
      <c r="N62" s="564"/>
      <c r="O62" s="587">
        <v>9169.92</v>
      </c>
      <c r="P62" s="586"/>
      <c r="Q62" s="586"/>
      <c r="R62" s="599">
        <f t="shared" si="9"/>
        <v>31968</v>
      </c>
      <c r="S62" s="586">
        <f t="shared" si="7"/>
        <v>-7.4578565545380116E-11</v>
      </c>
      <c r="T62" s="588"/>
      <c r="U62" s="597">
        <f t="shared" si="3"/>
        <v>3078097.92</v>
      </c>
      <c r="V62" s="589"/>
      <c r="W62" s="600"/>
      <c r="X62" s="590"/>
      <c r="Y62" s="590"/>
      <c r="Z62" s="590"/>
    </row>
    <row r="63" spans="1:30" s="75" customFormat="1" hidden="1">
      <c r="A63" s="591">
        <f t="shared" si="4"/>
        <v>43</v>
      </c>
      <c r="B63" s="592" t="s">
        <v>480</v>
      </c>
      <c r="C63" s="593" t="s">
        <v>271</v>
      </c>
      <c r="D63" s="618">
        <v>22992</v>
      </c>
      <c r="E63" s="594">
        <v>3664</v>
      </c>
      <c r="F63" s="593" t="s">
        <v>222</v>
      </c>
      <c r="G63" s="618">
        <v>1800</v>
      </c>
      <c r="H63" s="650">
        <v>5</v>
      </c>
      <c r="I63" s="650">
        <v>7</v>
      </c>
      <c r="J63" s="650">
        <v>107</v>
      </c>
      <c r="K63" s="590" t="s">
        <v>224</v>
      </c>
      <c r="L63" s="595">
        <f t="shared" si="8"/>
        <v>1745253</v>
      </c>
      <c r="M63" s="585">
        <v>1710288</v>
      </c>
      <c r="N63" s="586">
        <v>34965</v>
      </c>
      <c r="O63" s="587"/>
      <c r="P63" s="586"/>
      <c r="Q63" s="586"/>
      <c r="R63" s="582">
        <f t="shared" si="9"/>
        <v>15984</v>
      </c>
      <c r="S63" s="586">
        <f t="shared" si="7"/>
        <v>0</v>
      </c>
      <c r="T63" s="588"/>
      <c r="U63" s="597">
        <f t="shared" si="3"/>
        <v>1745253</v>
      </c>
      <c r="V63" s="589"/>
      <c r="W63" s="600"/>
      <c r="X63" s="601"/>
      <c r="Y63" s="601"/>
      <c r="Z63" s="601"/>
    </row>
    <row r="64" spans="1:30" s="75" customFormat="1" ht="37.5" hidden="1">
      <c r="A64" s="591">
        <f t="shared" si="4"/>
        <v>44</v>
      </c>
      <c r="B64" s="592" t="s">
        <v>481</v>
      </c>
      <c r="C64" s="602" t="s">
        <v>271</v>
      </c>
      <c r="D64" s="603">
        <v>14194</v>
      </c>
      <c r="E64" s="594">
        <v>2199</v>
      </c>
      <c r="F64" s="604" t="s">
        <v>233</v>
      </c>
      <c r="G64" s="603">
        <v>973</v>
      </c>
      <c r="H64" s="609">
        <v>5</v>
      </c>
      <c r="I64" s="609">
        <v>4</v>
      </c>
      <c r="J64" s="609">
        <v>67</v>
      </c>
      <c r="K64" s="606" t="s">
        <v>30</v>
      </c>
      <c r="L64" s="595">
        <f t="shared" si="8"/>
        <v>1812590.86</v>
      </c>
      <c r="M64" s="623">
        <v>1807191</v>
      </c>
      <c r="N64" s="586"/>
      <c r="O64" s="587">
        <v>5399.86</v>
      </c>
      <c r="P64" s="586"/>
      <c r="Q64" s="586"/>
      <c r="R64" s="599">
        <f t="shared" si="9"/>
        <v>26973</v>
      </c>
      <c r="S64" s="586">
        <f t="shared" si="7"/>
        <v>1.0277290130034089E-10</v>
      </c>
      <c r="T64" s="605"/>
      <c r="U64" s="597">
        <f t="shared" si="3"/>
        <v>1812590.86</v>
      </c>
      <c r="V64" s="589"/>
      <c r="W64" s="600"/>
      <c r="X64" s="601"/>
      <c r="Y64" s="601"/>
      <c r="Z64" s="601"/>
    </row>
    <row r="65" spans="1:31" s="75" customFormat="1" hidden="1">
      <c r="A65" s="591">
        <f t="shared" si="4"/>
        <v>45</v>
      </c>
      <c r="B65" s="592" t="s">
        <v>482</v>
      </c>
      <c r="C65" s="602" t="s">
        <v>271</v>
      </c>
      <c r="D65" s="603">
        <v>14870</v>
      </c>
      <c r="E65" s="594">
        <v>888.4</v>
      </c>
      <c r="F65" s="608" t="s">
        <v>222</v>
      </c>
      <c r="G65" s="603">
        <v>1147</v>
      </c>
      <c r="H65" s="609">
        <v>5</v>
      </c>
      <c r="I65" s="609">
        <v>4</v>
      </c>
      <c r="J65" s="609">
        <v>79</v>
      </c>
      <c r="K65" s="590" t="s">
        <v>33</v>
      </c>
      <c r="L65" s="595">
        <f t="shared" si="8"/>
        <v>2503286.59</v>
      </c>
      <c r="M65" s="623">
        <v>2491302.81</v>
      </c>
      <c r="N65" s="586"/>
      <c r="O65" s="587">
        <v>11983.78</v>
      </c>
      <c r="P65" s="586"/>
      <c r="Q65" s="586"/>
      <c r="R65" s="582">
        <f>M65/G65</f>
        <v>2172.0163993025285</v>
      </c>
      <c r="S65" s="586">
        <f t="shared" si="7"/>
        <v>-2.0554580260068178E-10</v>
      </c>
      <c r="T65" s="588"/>
      <c r="U65" s="597">
        <f t="shared" si="3"/>
        <v>2503286.59</v>
      </c>
      <c r="V65" s="589"/>
      <c r="W65" s="600"/>
      <c r="X65" s="601"/>
      <c r="Y65" s="601"/>
      <c r="Z65" s="601"/>
    </row>
    <row r="66" spans="1:31" hidden="1">
      <c r="A66" s="591">
        <f t="shared" si="4"/>
        <v>46</v>
      </c>
      <c r="B66" s="592" t="s">
        <v>483</v>
      </c>
      <c r="C66" s="593" t="s">
        <v>271</v>
      </c>
      <c r="D66" s="618">
        <v>11221</v>
      </c>
      <c r="E66" s="594">
        <v>969.2</v>
      </c>
      <c r="F66" s="593" t="s">
        <v>222</v>
      </c>
      <c r="G66" s="618">
        <v>1286</v>
      </c>
      <c r="H66" s="650">
        <v>4</v>
      </c>
      <c r="I66" s="650">
        <v>4</v>
      </c>
      <c r="J66" s="650">
        <v>26</v>
      </c>
      <c r="K66" s="610" t="s">
        <v>33</v>
      </c>
      <c r="L66" s="595">
        <f t="shared" si="8"/>
        <v>3858235.47</v>
      </c>
      <c r="M66" s="623">
        <v>3856140</v>
      </c>
      <c r="N66" s="586"/>
      <c r="O66" s="587">
        <v>2095.4699999999998</v>
      </c>
      <c r="P66" s="586"/>
      <c r="Q66" s="586"/>
      <c r="R66" s="582">
        <f>M66/J66</f>
        <v>148313.07692307694</v>
      </c>
      <c r="S66" s="586">
        <f t="shared" si="7"/>
        <v>2.0509105524979532E-10</v>
      </c>
      <c r="T66" s="586"/>
      <c r="U66" s="597">
        <f t="shared" si="3"/>
        <v>3858235.47</v>
      </c>
      <c r="V66" s="589"/>
      <c r="W66" s="600"/>
    </row>
    <row r="67" spans="1:31" s="75" customFormat="1" hidden="1">
      <c r="A67" s="591">
        <f t="shared" si="4"/>
        <v>47</v>
      </c>
      <c r="B67" s="592" t="s">
        <v>484</v>
      </c>
      <c r="C67" s="602" t="s">
        <v>271</v>
      </c>
      <c r="D67" s="603">
        <v>5764</v>
      </c>
      <c r="E67" s="594">
        <v>547.1</v>
      </c>
      <c r="F67" s="615" t="s">
        <v>371</v>
      </c>
      <c r="G67" s="603">
        <v>685</v>
      </c>
      <c r="H67" s="594">
        <v>3</v>
      </c>
      <c r="I67" s="594">
        <v>2</v>
      </c>
      <c r="J67" s="609">
        <v>16</v>
      </c>
      <c r="K67" s="590" t="s">
        <v>33</v>
      </c>
      <c r="L67" s="595">
        <f t="shared" si="8"/>
        <v>1923533.43</v>
      </c>
      <c r="M67" s="585">
        <v>1917808.2</v>
      </c>
      <c r="N67" s="586"/>
      <c r="O67" s="587">
        <v>5725.23</v>
      </c>
      <c r="P67" s="586"/>
      <c r="Q67" s="586"/>
      <c r="R67" s="582">
        <f>M67/G67</f>
        <v>2799.72</v>
      </c>
      <c r="S67" s="586">
        <f t="shared" si="7"/>
        <v>-1.8189894035458565E-11</v>
      </c>
      <c r="T67" s="588"/>
      <c r="U67" s="597">
        <f t="shared" si="3"/>
        <v>1923533.43</v>
      </c>
      <c r="V67" s="589"/>
      <c r="W67" s="600"/>
      <c r="X67" s="601"/>
      <c r="Y67" s="601"/>
      <c r="Z67" s="601"/>
    </row>
    <row r="68" spans="1:31" s="75" customFormat="1" hidden="1">
      <c r="A68" s="591">
        <f t="shared" si="4"/>
        <v>48</v>
      </c>
      <c r="B68" s="592" t="s">
        <v>485</v>
      </c>
      <c r="C68" s="602" t="s">
        <v>271</v>
      </c>
      <c r="D68" s="603">
        <v>24434</v>
      </c>
      <c r="E68" s="603">
        <v>1750</v>
      </c>
      <c r="F68" s="608" t="s">
        <v>222</v>
      </c>
      <c r="G68" s="603">
        <v>1504</v>
      </c>
      <c r="H68" s="609">
        <v>5</v>
      </c>
      <c r="I68" s="609">
        <v>2</v>
      </c>
      <c r="J68" s="609">
        <v>169</v>
      </c>
      <c r="K68" s="590" t="s">
        <v>33</v>
      </c>
      <c r="L68" s="595">
        <f t="shared" si="8"/>
        <v>4779038.21</v>
      </c>
      <c r="M68" s="585">
        <v>4764672</v>
      </c>
      <c r="N68" s="586"/>
      <c r="O68" s="587">
        <v>14366.21</v>
      </c>
      <c r="P68" s="586"/>
      <c r="Q68" s="586"/>
      <c r="R68" s="582">
        <f>M68/G68</f>
        <v>3168</v>
      </c>
      <c r="S68" s="586">
        <f t="shared" si="7"/>
        <v>-3.637978807091713E-11</v>
      </c>
      <c r="T68" s="588"/>
      <c r="U68" s="597">
        <f t="shared" si="3"/>
        <v>4779038.21</v>
      </c>
      <c r="V68" s="589"/>
      <c r="W68" s="600"/>
      <c r="X68" s="601"/>
      <c r="Y68" s="601"/>
      <c r="Z68" s="601"/>
    </row>
    <row r="69" spans="1:31" s="75" customFormat="1" ht="37.5" hidden="1">
      <c r="A69" s="591">
        <f t="shared" si="4"/>
        <v>49</v>
      </c>
      <c r="B69" s="592" t="s">
        <v>489</v>
      </c>
      <c r="C69" s="652" t="s">
        <v>217</v>
      </c>
      <c r="D69" s="618">
        <v>33066</v>
      </c>
      <c r="E69" s="619">
        <v>4203</v>
      </c>
      <c r="F69" s="604" t="s">
        <v>233</v>
      </c>
      <c r="G69" s="633">
        <v>1165.0999999999999</v>
      </c>
      <c r="H69" s="640">
        <v>9</v>
      </c>
      <c r="I69" s="633">
        <v>2</v>
      </c>
      <c r="J69" s="633">
        <v>383</v>
      </c>
      <c r="K69" s="606" t="s">
        <v>30</v>
      </c>
      <c r="L69" s="595">
        <f t="shared" si="8"/>
        <v>11923621.5</v>
      </c>
      <c r="M69" s="635">
        <v>11888100</v>
      </c>
      <c r="N69" s="636"/>
      <c r="O69" s="641">
        <v>35521.5</v>
      </c>
      <c r="P69" s="636"/>
      <c r="Q69" s="638"/>
      <c r="R69" s="599">
        <f>M69/J69</f>
        <v>31039.425587467362</v>
      </c>
      <c r="S69" s="586">
        <f t="shared" si="7"/>
        <v>0</v>
      </c>
      <c r="T69" s="588"/>
      <c r="U69" s="597">
        <f t="shared" si="3"/>
        <v>11923621.5</v>
      </c>
      <c r="V69" s="589"/>
      <c r="W69" s="600"/>
      <c r="X69" s="601"/>
      <c r="Y69" s="601"/>
      <c r="Z69" s="601"/>
    </row>
    <row r="70" spans="1:31" s="75" customFormat="1" hidden="1">
      <c r="A70" s="1383">
        <v>50</v>
      </c>
      <c r="B70" s="592" t="s">
        <v>490</v>
      </c>
      <c r="C70" s="652" t="s">
        <v>217</v>
      </c>
      <c r="D70" s="618">
        <v>18361</v>
      </c>
      <c r="E70" s="619">
        <v>7342</v>
      </c>
      <c r="F70" s="653" t="s">
        <v>233</v>
      </c>
      <c r="G70" s="633">
        <v>761.8</v>
      </c>
      <c r="H70" s="640">
        <v>9</v>
      </c>
      <c r="I70" s="633">
        <v>2</v>
      </c>
      <c r="J70" s="633">
        <v>251</v>
      </c>
      <c r="K70" s="590" t="s">
        <v>33</v>
      </c>
      <c r="L70" s="1357">
        <f>M70+N70+O70+P70+Q70+M71+N71+O71+P71+Q71+M72+N72+O72+P72+Q72</f>
        <v>8135737.4000000004</v>
      </c>
      <c r="M70" s="654">
        <v>1313473.3899999999</v>
      </c>
      <c r="N70" s="636"/>
      <c r="O70" s="641">
        <v>4775.34</v>
      </c>
      <c r="P70" s="636"/>
      <c r="Q70" s="638"/>
      <c r="R70" s="582">
        <f>M70/G70</f>
        <v>1724.1708978734575</v>
      </c>
      <c r="S70" s="586">
        <f t="shared" si="7"/>
        <v>6817488.6700000009</v>
      </c>
      <c r="T70" s="605"/>
      <c r="U70" s="597">
        <f t="shared" si="3"/>
        <v>1318248.73</v>
      </c>
      <c r="V70" s="589"/>
      <c r="W70" s="600"/>
      <c r="X70" s="601"/>
      <c r="Y70" s="601"/>
      <c r="Z70" s="601"/>
    </row>
    <row r="71" spans="1:31" s="75" customFormat="1" hidden="1">
      <c r="A71" s="1383"/>
      <c r="B71" s="592"/>
      <c r="C71" s="652"/>
      <c r="D71" s="618"/>
      <c r="E71" s="619"/>
      <c r="F71" s="653"/>
      <c r="G71" s="633"/>
      <c r="H71" s="640"/>
      <c r="I71" s="633"/>
      <c r="J71" s="633"/>
      <c r="K71" s="590" t="s">
        <v>238</v>
      </c>
      <c r="L71" s="1357"/>
      <c r="M71" s="654">
        <v>4860314.709999999</v>
      </c>
      <c r="N71" s="636">
        <v>44955</v>
      </c>
      <c r="O71" s="641"/>
      <c r="P71" s="636"/>
      <c r="Q71" s="638"/>
      <c r="R71" s="582">
        <f>M71/J70</f>
        <v>19363.803625498003</v>
      </c>
      <c r="S71" s="586">
        <f t="shared" si="7"/>
        <v>-4905269.709999999</v>
      </c>
      <c r="T71" s="588"/>
      <c r="U71" s="597">
        <f t="shared" si="3"/>
        <v>4905269.709999999</v>
      </c>
      <c r="V71" s="589"/>
      <c r="W71" s="600"/>
      <c r="X71" s="601"/>
      <c r="Y71" s="601"/>
      <c r="Z71" s="601"/>
    </row>
    <row r="72" spans="1:31" s="75" customFormat="1" hidden="1">
      <c r="A72" s="655"/>
      <c r="B72" s="592"/>
      <c r="C72" s="652"/>
      <c r="D72" s="618"/>
      <c r="E72" s="619"/>
      <c r="F72" s="653"/>
      <c r="G72" s="633"/>
      <c r="H72" s="640"/>
      <c r="I72" s="633"/>
      <c r="J72" s="633"/>
      <c r="K72" s="590" t="s">
        <v>38</v>
      </c>
      <c r="L72" s="595"/>
      <c r="M72" s="654">
        <v>1909908.290000001</v>
      </c>
      <c r="N72" s="636"/>
      <c r="O72" s="641">
        <v>2310.67</v>
      </c>
      <c r="P72" s="636"/>
      <c r="Q72" s="638"/>
      <c r="R72" s="582">
        <f>M72/E70</f>
        <v>260.13460773631175</v>
      </c>
      <c r="S72" s="586"/>
      <c r="T72" s="588"/>
      <c r="U72" s="597">
        <f t="shared" si="3"/>
        <v>1912218.9600000009</v>
      </c>
      <c r="V72" s="589"/>
      <c r="W72" s="600"/>
      <c r="X72" s="601"/>
      <c r="Y72" s="601"/>
      <c r="Z72" s="601"/>
    </row>
    <row r="73" spans="1:31" s="75" customFormat="1" hidden="1">
      <c r="A73" s="591">
        <v>51</v>
      </c>
      <c r="B73" s="592" t="s">
        <v>491</v>
      </c>
      <c r="C73" s="593" t="s">
        <v>217</v>
      </c>
      <c r="D73" s="594">
        <v>15822</v>
      </c>
      <c r="E73" s="593">
        <v>3125</v>
      </c>
      <c r="F73" s="593" t="s">
        <v>233</v>
      </c>
      <c r="G73" s="593">
        <v>1206</v>
      </c>
      <c r="H73" s="593">
        <v>5</v>
      </c>
      <c r="I73" s="593">
        <v>6</v>
      </c>
      <c r="J73" s="593">
        <v>90</v>
      </c>
      <c r="K73" s="590" t="s">
        <v>33</v>
      </c>
      <c r="L73" s="595">
        <f>M73+N73+O73+P73+Q73</f>
        <v>5022539.8099999996</v>
      </c>
      <c r="M73" s="585">
        <v>5014980</v>
      </c>
      <c r="N73" s="586"/>
      <c r="O73" s="598">
        <v>7559.81</v>
      </c>
      <c r="P73" s="586"/>
      <c r="Q73" s="586"/>
      <c r="R73" s="582">
        <f>M73/G73</f>
        <v>4158.3582089552237</v>
      </c>
      <c r="S73" s="586">
        <f t="shared" ref="S73:S78" si="10">L73-M73-N73-O73-P73-Q73</f>
        <v>-4.1018211049959064E-10</v>
      </c>
      <c r="T73" s="588"/>
      <c r="U73" s="597">
        <f t="shared" si="3"/>
        <v>5022539.8099999996</v>
      </c>
      <c r="V73" s="589"/>
      <c r="W73" s="600"/>
      <c r="X73" s="601"/>
      <c r="Y73" s="601"/>
      <c r="Z73" s="601"/>
    </row>
    <row r="74" spans="1:31" s="249" customFormat="1" hidden="1">
      <c r="A74" s="1349">
        <v>52</v>
      </c>
      <c r="B74" s="592" t="s">
        <v>492</v>
      </c>
      <c r="C74" s="593" t="s">
        <v>217</v>
      </c>
      <c r="D74" s="644">
        <v>8702</v>
      </c>
      <c r="E74" s="593">
        <v>1851</v>
      </c>
      <c r="F74" s="604" t="s">
        <v>233</v>
      </c>
      <c r="G74" s="593">
        <v>876.1</v>
      </c>
      <c r="H74" s="593">
        <v>5</v>
      </c>
      <c r="I74" s="593">
        <v>4</v>
      </c>
      <c r="J74" s="593">
        <v>60</v>
      </c>
      <c r="K74" s="590" t="s">
        <v>252</v>
      </c>
      <c r="L74" s="1357">
        <f>M74+N74+O74+P74+Q74+M75+N75+O75+P75+Q75</f>
        <v>4615093.96</v>
      </c>
      <c r="M74" s="585">
        <f>2814267.71+396791.21</f>
        <v>3211058.92</v>
      </c>
      <c r="N74" s="586"/>
      <c r="O74" s="587">
        <v>7845.57</v>
      </c>
      <c r="P74" s="586"/>
      <c r="Q74" s="586"/>
      <c r="R74" s="582">
        <f>M74/G74</f>
        <v>3665.1739755735643</v>
      </c>
      <c r="S74" s="586">
        <f t="shared" si="10"/>
        <v>1396189.47</v>
      </c>
      <c r="T74" s="605"/>
      <c r="U74" s="597">
        <f t="shared" si="3"/>
        <v>3218904.4899999998</v>
      </c>
      <c r="V74" s="589"/>
      <c r="W74" s="600"/>
      <c r="X74" s="590"/>
      <c r="Y74" s="590"/>
      <c r="Z74" s="590"/>
    </row>
    <row r="75" spans="1:31" s="249" customFormat="1" ht="37.5" hidden="1">
      <c r="A75" s="1349"/>
      <c r="B75" s="592"/>
      <c r="C75" s="593"/>
      <c r="D75" s="644"/>
      <c r="E75" s="593"/>
      <c r="F75" s="604"/>
      <c r="G75" s="593"/>
      <c r="H75" s="593"/>
      <c r="I75" s="593"/>
      <c r="J75" s="593"/>
      <c r="K75" s="606" t="s">
        <v>30</v>
      </c>
      <c r="L75" s="1357"/>
      <c r="M75" s="585">
        <v>1391353.77</v>
      </c>
      <c r="N75" s="586"/>
      <c r="O75" s="587">
        <v>4835.7</v>
      </c>
      <c r="P75" s="586"/>
      <c r="Q75" s="586"/>
      <c r="R75" s="582">
        <v>26730</v>
      </c>
      <c r="S75" s="586">
        <f t="shared" si="10"/>
        <v>-1396189.47</v>
      </c>
      <c r="T75" s="588"/>
      <c r="U75" s="597">
        <f t="shared" si="3"/>
        <v>1396189.47</v>
      </c>
      <c r="V75" s="589"/>
      <c r="W75" s="600"/>
      <c r="X75" s="590"/>
      <c r="Y75" s="590"/>
      <c r="Z75" s="590"/>
    </row>
    <row r="76" spans="1:31" s="246" customFormat="1" hidden="1">
      <c r="A76" s="1349">
        <v>53</v>
      </c>
      <c r="B76" s="592" t="s">
        <v>493</v>
      </c>
      <c r="C76" s="593" t="s">
        <v>217</v>
      </c>
      <c r="D76" s="644">
        <v>15735</v>
      </c>
      <c r="E76" s="593">
        <v>3104</v>
      </c>
      <c r="F76" s="593" t="s">
        <v>233</v>
      </c>
      <c r="G76" s="593">
        <v>803</v>
      </c>
      <c r="H76" s="593">
        <v>9</v>
      </c>
      <c r="I76" s="593">
        <v>2</v>
      </c>
      <c r="J76" s="593">
        <v>72</v>
      </c>
      <c r="K76" s="590" t="s">
        <v>224</v>
      </c>
      <c r="L76" s="1357">
        <f>M76+N76+O76+P76+Q76+M77+N77+O77+P77+Q77</f>
        <v>5557803.75</v>
      </c>
      <c r="M76" s="611">
        <v>1437120</v>
      </c>
      <c r="N76" s="586">
        <v>34965</v>
      </c>
      <c r="O76" s="587"/>
      <c r="P76" s="586"/>
      <c r="Q76" s="586"/>
      <c r="R76" s="582">
        <f>M76/J76</f>
        <v>19960</v>
      </c>
      <c r="S76" s="586">
        <f t="shared" si="10"/>
        <v>4085718.75</v>
      </c>
      <c r="T76" s="588"/>
      <c r="U76" s="597">
        <f t="shared" si="3"/>
        <v>1472085</v>
      </c>
      <c r="V76" s="589"/>
      <c r="W76" s="600"/>
      <c r="X76" s="589"/>
      <c r="Y76" s="589"/>
      <c r="Z76" s="589"/>
      <c r="AB76" s="36"/>
      <c r="AC76" s="72"/>
      <c r="AE76" s="72"/>
    </row>
    <row r="77" spans="1:31" s="246" customFormat="1" ht="37.5" hidden="1">
      <c r="A77" s="1349"/>
      <c r="B77" s="592"/>
      <c r="C77" s="593"/>
      <c r="D77" s="644"/>
      <c r="E77" s="593"/>
      <c r="F77" s="593"/>
      <c r="G77" s="593"/>
      <c r="H77" s="593"/>
      <c r="I77" s="593"/>
      <c r="J77" s="593"/>
      <c r="K77" s="606" t="s">
        <v>219</v>
      </c>
      <c r="L77" s="1357"/>
      <c r="M77" s="611">
        <v>3980000</v>
      </c>
      <c r="N77" s="586">
        <v>105718.75</v>
      </c>
      <c r="O77" s="587"/>
      <c r="P77" s="586"/>
      <c r="Q77" s="586"/>
      <c r="R77" s="582">
        <v>2000000</v>
      </c>
      <c r="S77" s="586">
        <f t="shared" si="10"/>
        <v>-4085718.75</v>
      </c>
      <c r="T77" s="645"/>
      <c r="U77" s="597">
        <f t="shared" si="3"/>
        <v>4085718.75</v>
      </c>
      <c r="V77" s="589"/>
      <c r="W77" s="600"/>
      <c r="X77" s="589"/>
      <c r="Y77" s="589"/>
      <c r="Z77" s="589"/>
      <c r="AB77" s="36"/>
      <c r="AC77" s="72"/>
      <c r="AE77" s="72"/>
    </row>
    <row r="78" spans="1:31" s="75" customFormat="1" ht="37.5" hidden="1">
      <c r="A78" s="591">
        <v>54</v>
      </c>
      <c r="B78" s="592" t="s">
        <v>494</v>
      </c>
      <c r="C78" s="593" t="s">
        <v>217</v>
      </c>
      <c r="D78" s="644">
        <v>31375</v>
      </c>
      <c r="E78" s="593">
        <v>5444</v>
      </c>
      <c r="F78" s="604" t="s">
        <v>233</v>
      </c>
      <c r="G78" s="593">
        <v>1353</v>
      </c>
      <c r="H78" s="593">
        <v>9</v>
      </c>
      <c r="I78" s="593">
        <v>4</v>
      </c>
      <c r="J78" s="593">
        <v>144</v>
      </c>
      <c r="K78" s="606" t="s">
        <v>30</v>
      </c>
      <c r="L78" s="1350">
        <f>M78+N78+O78+P78+Q78+M79+N79+O79+Q79</f>
        <v>4598714.88</v>
      </c>
      <c r="M78" s="611">
        <v>3744000</v>
      </c>
      <c r="N78" s="586"/>
      <c r="O78" s="587">
        <v>13754.88</v>
      </c>
      <c r="P78" s="586"/>
      <c r="Q78" s="638"/>
      <c r="R78" s="599">
        <f>M78/J78</f>
        <v>26000</v>
      </c>
      <c r="S78" s="586">
        <f t="shared" si="10"/>
        <v>840959.99999999988</v>
      </c>
      <c r="T78" s="588"/>
      <c r="U78" s="597">
        <f t="shared" si="3"/>
        <v>3757754.88</v>
      </c>
      <c r="V78" s="589"/>
      <c r="W78" s="600"/>
      <c r="X78" s="601"/>
      <c r="Y78" s="601"/>
      <c r="Z78" s="601"/>
    </row>
    <row r="79" spans="1:31" s="75" customFormat="1" ht="409.5" hidden="1">
      <c r="A79" s="591"/>
      <c r="B79" s="592"/>
      <c r="C79" s="593"/>
      <c r="D79" s="644"/>
      <c r="E79" s="593"/>
      <c r="F79" s="604"/>
      <c r="G79" s="593"/>
      <c r="H79" s="593"/>
      <c r="I79" s="593"/>
      <c r="J79" s="593"/>
      <c r="K79" s="629" t="s">
        <v>38</v>
      </c>
      <c r="L79" s="1350"/>
      <c r="M79" s="611">
        <v>840960</v>
      </c>
      <c r="N79" s="586"/>
      <c r="O79" s="587"/>
      <c r="P79" s="586"/>
      <c r="Q79" s="638"/>
      <c r="R79" s="582">
        <f>M79/E78</f>
        <v>154.47465099191771</v>
      </c>
      <c r="S79" s="586"/>
      <c r="T79" s="588" t="s">
        <v>4324</v>
      </c>
      <c r="U79" s="597">
        <f t="shared" ref="U79:U142" si="11">M79+N79+O79+P79+Q79</f>
        <v>840960</v>
      </c>
      <c r="V79" s="589"/>
      <c r="W79" s="600"/>
      <c r="X79" s="601"/>
      <c r="Y79" s="601"/>
      <c r="Z79" s="601"/>
    </row>
    <row r="80" spans="1:31" s="518" customFormat="1" ht="37.5" hidden="1">
      <c r="A80" s="591">
        <v>55</v>
      </c>
      <c r="B80" s="592" t="s">
        <v>495</v>
      </c>
      <c r="C80" s="593" t="s">
        <v>217</v>
      </c>
      <c r="D80" s="644">
        <v>9836</v>
      </c>
      <c r="E80" s="593">
        <v>2079</v>
      </c>
      <c r="F80" s="604" t="s">
        <v>233</v>
      </c>
      <c r="G80" s="593">
        <v>860</v>
      </c>
      <c r="H80" s="593">
        <v>5</v>
      </c>
      <c r="I80" s="593">
        <v>4</v>
      </c>
      <c r="J80" s="593">
        <v>60</v>
      </c>
      <c r="K80" s="606" t="s">
        <v>30</v>
      </c>
      <c r="L80" s="1357">
        <f>M80+N80+O80+P80+Q80+M81+N81+O81+P81+Q81</f>
        <v>4924527.7</v>
      </c>
      <c r="M80" s="585">
        <v>1618380</v>
      </c>
      <c r="N80" s="586"/>
      <c r="O80" s="587">
        <v>4835.7</v>
      </c>
      <c r="P80" s="586"/>
      <c r="Q80" s="586"/>
      <c r="R80" s="599">
        <f>M80/J80</f>
        <v>26973</v>
      </c>
      <c r="S80" s="586">
        <f t="shared" ref="S80:S86" si="12">L80-M80-N80-O80-P80-Q80</f>
        <v>3301312</v>
      </c>
      <c r="T80" s="605"/>
      <c r="U80" s="597">
        <f t="shared" si="11"/>
        <v>1623215.7</v>
      </c>
      <c r="V80" s="589"/>
      <c r="W80" s="600"/>
      <c r="X80" s="656"/>
      <c r="Y80" s="656"/>
      <c r="Z80" s="656"/>
    </row>
    <row r="81" spans="1:26" s="518" customFormat="1" ht="409.5" hidden="1">
      <c r="A81" s="591"/>
      <c r="B81" s="592"/>
      <c r="C81" s="593"/>
      <c r="D81" s="644"/>
      <c r="E81" s="593"/>
      <c r="F81" s="604"/>
      <c r="G81" s="593"/>
      <c r="H81" s="593"/>
      <c r="I81" s="593"/>
      <c r="J81" s="593"/>
      <c r="K81" s="629" t="s">
        <v>33</v>
      </c>
      <c r="L81" s="1357"/>
      <c r="M81" s="585">
        <v>3264732</v>
      </c>
      <c r="N81" s="586">
        <v>16580</v>
      </c>
      <c r="O81" s="631"/>
      <c r="P81" s="630"/>
      <c r="Q81" s="630">
        <v>20000</v>
      </c>
      <c r="R81" s="582">
        <f>M81/G80</f>
        <v>3796.2</v>
      </c>
      <c r="S81" s="586">
        <f t="shared" si="12"/>
        <v>-3301312</v>
      </c>
      <c r="T81" s="588" t="s">
        <v>3693</v>
      </c>
      <c r="U81" s="597">
        <f t="shared" si="11"/>
        <v>3301312</v>
      </c>
      <c r="V81" s="589"/>
      <c r="W81" s="600"/>
      <c r="X81" s="656"/>
      <c r="Y81" s="656"/>
      <c r="Z81" s="656"/>
    </row>
    <row r="82" spans="1:26" s="75" customFormat="1" ht="37.5" hidden="1">
      <c r="A82" s="591">
        <f>A80+1</f>
        <v>56</v>
      </c>
      <c r="B82" s="592" t="s">
        <v>496</v>
      </c>
      <c r="C82" s="602" t="s">
        <v>217</v>
      </c>
      <c r="D82" s="644">
        <v>15440</v>
      </c>
      <c r="E82" s="593">
        <v>3038</v>
      </c>
      <c r="F82" s="561" t="s">
        <v>233</v>
      </c>
      <c r="G82" s="593">
        <v>806.1</v>
      </c>
      <c r="H82" s="593">
        <v>9</v>
      </c>
      <c r="I82" s="593">
        <v>2</v>
      </c>
      <c r="J82" s="593">
        <v>72</v>
      </c>
      <c r="K82" s="606" t="s">
        <v>366</v>
      </c>
      <c r="L82" s="595">
        <f>M82+N82+O82+P82+Q82</f>
        <v>4085718.75</v>
      </c>
      <c r="M82" s="585">
        <v>3980000</v>
      </c>
      <c r="N82" s="586">
        <v>105718.75</v>
      </c>
      <c r="O82" s="565"/>
      <c r="P82" s="564"/>
      <c r="Q82" s="586"/>
      <c r="R82" s="582">
        <v>2000000</v>
      </c>
      <c r="S82" s="586">
        <f t="shared" si="12"/>
        <v>0</v>
      </c>
      <c r="T82" s="605"/>
      <c r="U82" s="597">
        <f t="shared" si="11"/>
        <v>4085718.75</v>
      </c>
      <c r="V82" s="589"/>
      <c r="W82" s="600"/>
      <c r="X82" s="601"/>
      <c r="Y82" s="601"/>
      <c r="Z82" s="601"/>
    </row>
    <row r="83" spans="1:26" s="75" customFormat="1" ht="37.5" hidden="1">
      <c r="A83" s="591">
        <f>A82+1</f>
        <v>57</v>
      </c>
      <c r="B83" s="592" t="s">
        <v>497</v>
      </c>
      <c r="C83" s="657" t="s">
        <v>217</v>
      </c>
      <c r="D83" s="593">
        <v>60352</v>
      </c>
      <c r="E83" s="582">
        <v>9432</v>
      </c>
      <c r="F83" s="593" t="s">
        <v>233</v>
      </c>
      <c r="G83" s="593">
        <v>2366</v>
      </c>
      <c r="H83" s="593">
        <v>9</v>
      </c>
      <c r="I83" s="593">
        <v>7</v>
      </c>
      <c r="J83" s="593">
        <v>252</v>
      </c>
      <c r="K83" s="606" t="s">
        <v>366</v>
      </c>
      <c r="L83" s="595">
        <f>M83+N83+O83+P83+Q83</f>
        <v>14141437.5</v>
      </c>
      <c r="M83" s="585">
        <v>13930000</v>
      </c>
      <c r="N83" s="586">
        <v>211437.5</v>
      </c>
      <c r="O83" s="565"/>
      <c r="P83" s="564"/>
      <c r="Q83" s="586"/>
      <c r="R83" s="582">
        <v>2000000</v>
      </c>
      <c r="S83" s="586">
        <f t="shared" si="12"/>
        <v>0</v>
      </c>
      <c r="T83" s="588"/>
      <c r="U83" s="597">
        <f t="shared" si="11"/>
        <v>14141437.5</v>
      </c>
      <c r="V83" s="589"/>
      <c r="W83" s="600"/>
      <c r="X83" s="601"/>
      <c r="Y83" s="601"/>
      <c r="Z83" s="601"/>
    </row>
    <row r="84" spans="1:26" s="75" customFormat="1" hidden="1">
      <c r="A84" s="591">
        <f>A83+1</f>
        <v>58</v>
      </c>
      <c r="B84" s="592" t="s">
        <v>499</v>
      </c>
      <c r="C84" s="593" t="s">
        <v>217</v>
      </c>
      <c r="D84" s="618">
        <v>12153</v>
      </c>
      <c r="E84" s="658">
        <v>2435</v>
      </c>
      <c r="F84" s="593" t="s">
        <v>222</v>
      </c>
      <c r="G84" s="618">
        <v>1129</v>
      </c>
      <c r="H84" s="650">
        <v>5</v>
      </c>
      <c r="I84" s="650">
        <v>4</v>
      </c>
      <c r="J84" s="650">
        <v>80</v>
      </c>
      <c r="K84" s="590" t="s">
        <v>224</v>
      </c>
      <c r="L84" s="595">
        <f>M84+N84+O84+P84+Q84</f>
        <v>1425416.62</v>
      </c>
      <c r="M84" s="585">
        <f>1266910.61+123541.01</f>
        <v>1390451.62</v>
      </c>
      <c r="N84" s="586">
        <v>34965</v>
      </c>
      <c r="O84" s="587"/>
      <c r="P84" s="586"/>
      <c r="Q84" s="586"/>
      <c r="R84" s="582">
        <f>M84/J84</f>
        <v>17380.645250000001</v>
      </c>
      <c r="S84" s="586">
        <f t="shared" si="12"/>
        <v>0</v>
      </c>
      <c r="T84" s="588"/>
      <c r="U84" s="597">
        <f t="shared" si="11"/>
        <v>1425416.62</v>
      </c>
      <c r="V84" s="589"/>
      <c r="W84" s="600"/>
      <c r="X84" s="601"/>
      <c r="Y84" s="601"/>
      <c r="Z84" s="601"/>
    </row>
    <row r="85" spans="1:26" s="75" customFormat="1" ht="37.5" hidden="1">
      <c r="A85" s="591">
        <f>A84+1</f>
        <v>59</v>
      </c>
      <c r="B85" s="592" t="s">
        <v>500</v>
      </c>
      <c r="C85" s="602" t="s">
        <v>271</v>
      </c>
      <c r="D85" s="603">
        <v>4867</v>
      </c>
      <c r="E85" s="603">
        <v>1148</v>
      </c>
      <c r="F85" s="608" t="s">
        <v>222</v>
      </c>
      <c r="G85" s="603">
        <v>559.70000000000005</v>
      </c>
      <c r="H85" s="609">
        <v>3</v>
      </c>
      <c r="I85" s="609">
        <v>2</v>
      </c>
      <c r="J85" s="609">
        <v>12</v>
      </c>
      <c r="K85" s="606" t="s">
        <v>30</v>
      </c>
      <c r="L85" s="595">
        <f>M85+N85+O85+P85+Q85</f>
        <v>324643.14</v>
      </c>
      <c r="M85" s="585">
        <v>323676</v>
      </c>
      <c r="N85" s="586"/>
      <c r="O85" s="587">
        <v>967.14</v>
      </c>
      <c r="P85" s="586"/>
      <c r="Q85" s="586"/>
      <c r="R85" s="599">
        <f>M85/J85</f>
        <v>26973</v>
      </c>
      <c r="S85" s="586">
        <f t="shared" si="12"/>
        <v>1.3983481039758772E-11</v>
      </c>
      <c r="T85" s="588"/>
      <c r="U85" s="597">
        <f t="shared" si="11"/>
        <v>324643.14</v>
      </c>
      <c r="V85" s="589"/>
      <c r="W85" s="600"/>
      <c r="X85" s="601"/>
      <c r="Y85" s="601"/>
      <c r="Z85" s="601"/>
    </row>
    <row r="86" spans="1:26" s="75" customFormat="1" ht="37.5" hidden="1">
      <c r="A86" s="591">
        <f>A85+1</f>
        <v>60</v>
      </c>
      <c r="B86" s="592" t="s">
        <v>501</v>
      </c>
      <c r="C86" s="593" t="s">
        <v>271</v>
      </c>
      <c r="D86" s="618">
        <v>9195</v>
      </c>
      <c r="E86" s="618">
        <v>1000</v>
      </c>
      <c r="F86" s="593" t="s">
        <v>222</v>
      </c>
      <c r="G86" s="618">
        <v>892</v>
      </c>
      <c r="H86" s="650">
        <v>4</v>
      </c>
      <c r="I86" s="650">
        <v>3</v>
      </c>
      <c r="J86" s="650">
        <v>46</v>
      </c>
      <c r="K86" s="610" t="s">
        <v>30</v>
      </c>
      <c r="L86" s="1350">
        <f>M86+N86+O86+P86+Q86+M87+N87+O87+Q87</f>
        <v>1239497.3700000001</v>
      </c>
      <c r="M86" s="585">
        <v>966000</v>
      </c>
      <c r="N86" s="586"/>
      <c r="O86" s="587">
        <v>3707.37</v>
      </c>
      <c r="P86" s="586"/>
      <c r="Q86" s="586"/>
      <c r="R86" s="599">
        <f>M86/J86</f>
        <v>21000</v>
      </c>
      <c r="S86" s="586">
        <f t="shared" si="12"/>
        <v>269790.00000000012</v>
      </c>
      <c r="T86" s="588"/>
      <c r="U86" s="597">
        <f t="shared" si="11"/>
        <v>969707.37</v>
      </c>
      <c r="V86" s="589"/>
      <c r="W86" s="600"/>
      <c r="X86" s="601"/>
      <c r="Y86" s="601"/>
      <c r="Z86" s="601"/>
    </row>
    <row r="87" spans="1:26" s="75" customFormat="1" ht="409.5" hidden="1">
      <c r="A87" s="591"/>
      <c r="B87" s="592"/>
      <c r="C87" s="593"/>
      <c r="D87" s="618"/>
      <c r="E87" s="618"/>
      <c r="F87" s="593"/>
      <c r="G87" s="618"/>
      <c r="H87" s="650"/>
      <c r="I87" s="650"/>
      <c r="J87" s="650"/>
      <c r="K87" s="610" t="s">
        <v>38</v>
      </c>
      <c r="L87" s="1350"/>
      <c r="M87" s="585">
        <v>269790</v>
      </c>
      <c r="N87" s="586"/>
      <c r="O87" s="587"/>
      <c r="P87" s="586"/>
      <c r="Q87" s="586"/>
      <c r="R87" s="582">
        <f>M87/E86</f>
        <v>269.79000000000002</v>
      </c>
      <c r="S87" s="586"/>
      <c r="T87" s="588" t="s">
        <v>4324</v>
      </c>
      <c r="U87" s="597">
        <f t="shared" si="11"/>
        <v>269790</v>
      </c>
      <c r="V87" s="589"/>
      <c r="W87" s="600"/>
      <c r="X87" s="601"/>
      <c r="Y87" s="601"/>
      <c r="Z87" s="601"/>
    </row>
    <row r="88" spans="1:26" s="75" customFormat="1" ht="37.5" hidden="1">
      <c r="A88" s="591">
        <f>A86+1</f>
        <v>61</v>
      </c>
      <c r="B88" s="592" t="s">
        <v>502</v>
      </c>
      <c r="C88" s="602" t="s">
        <v>271</v>
      </c>
      <c r="D88" s="603">
        <v>5344</v>
      </c>
      <c r="E88" s="594">
        <v>426.1</v>
      </c>
      <c r="F88" s="608" t="s">
        <v>222</v>
      </c>
      <c r="G88" s="603">
        <v>554</v>
      </c>
      <c r="H88" s="609">
        <v>3</v>
      </c>
      <c r="I88" s="609">
        <v>2</v>
      </c>
      <c r="J88" s="609">
        <v>13</v>
      </c>
      <c r="K88" s="606" t="s">
        <v>30</v>
      </c>
      <c r="L88" s="595">
        <f>M88+N88+O88+P88+Q88</f>
        <v>1554279.53</v>
      </c>
      <c r="M88" s="585">
        <v>1549648.8</v>
      </c>
      <c r="N88" s="630"/>
      <c r="O88" s="587">
        <v>4630.7299999999996</v>
      </c>
      <c r="P88" s="586"/>
      <c r="Q88" s="586"/>
      <c r="R88" s="599">
        <f>M88/J88</f>
        <v>119203.75384615385</v>
      </c>
      <c r="S88" s="586">
        <f t="shared" ref="S88:S97" si="13">L88-M88-N88-O88-P88-Q88</f>
        <v>-1.8189894035458565E-11</v>
      </c>
      <c r="T88" s="588"/>
      <c r="U88" s="597">
        <f t="shared" si="11"/>
        <v>1554279.53</v>
      </c>
      <c r="V88" s="589"/>
      <c r="W88" s="600"/>
      <c r="X88" s="601"/>
      <c r="Y88" s="601"/>
      <c r="Z88" s="601"/>
    </row>
    <row r="89" spans="1:26" s="75" customFormat="1" ht="37.5" hidden="1">
      <c r="A89" s="591">
        <f>A88+1</f>
        <v>62</v>
      </c>
      <c r="B89" s="592" t="s">
        <v>503</v>
      </c>
      <c r="C89" s="602" t="s">
        <v>271</v>
      </c>
      <c r="D89" s="603">
        <v>16623</v>
      </c>
      <c r="E89" s="594">
        <v>883.7</v>
      </c>
      <c r="F89" s="608" t="s">
        <v>222</v>
      </c>
      <c r="G89" s="603">
        <v>1149</v>
      </c>
      <c r="H89" s="609">
        <v>5</v>
      </c>
      <c r="I89" s="609">
        <v>4</v>
      </c>
      <c r="J89" s="609">
        <v>64</v>
      </c>
      <c r="K89" s="606" t="s">
        <v>30</v>
      </c>
      <c r="L89" s="595">
        <f>M89+N89+O89+P89+Q89</f>
        <v>1275488.97</v>
      </c>
      <c r="M89" s="623">
        <v>1270330.8899999999</v>
      </c>
      <c r="N89" s="586"/>
      <c r="O89" s="587">
        <v>5158.08</v>
      </c>
      <c r="P89" s="586"/>
      <c r="Q89" s="586"/>
      <c r="R89" s="582">
        <f>M89/J89</f>
        <v>19848.920156249998</v>
      </c>
      <c r="S89" s="586">
        <f t="shared" si="13"/>
        <v>7.4578565545380116E-11</v>
      </c>
      <c r="T89" s="588"/>
      <c r="U89" s="597">
        <f t="shared" si="11"/>
        <v>1275488.97</v>
      </c>
      <c r="V89" s="589"/>
      <c r="W89" s="600"/>
      <c r="X89" s="601"/>
      <c r="Y89" s="601"/>
      <c r="Z89" s="601"/>
    </row>
    <row r="90" spans="1:26" s="75" customFormat="1" ht="37.5" hidden="1">
      <c r="A90" s="591">
        <f>A89+1</f>
        <v>63</v>
      </c>
      <c r="B90" s="592" t="s">
        <v>504</v>
      </c>
      <c r="C90" s="593" t="s">
        <v>271</v>
      </c>
      <c r="D90" s="603">
        <v>2775</v>
      </c>
      <c r="E90" s="594">
        <v>493.7</v>
      </c>
      <c r="F90" s="615" t="s">
        <v>222</v>
      </c>
      <c r="G90" s="603">
        <v>493.7</v>
      </c>
      <c r="H90" s="609">
        <v>2</v>
      </c>
      <c r="I90" s="609">
        <v>2</v>
      </c>
      <c r="J90" s="609">
        <v>18</v>
      </c>
      <c r="K90" s="610" t="s">
        <v>30</v>
      </c>
      <c r="L90" s="595">
        <f>M90+N90+O90+P90+Q90</f>
        <v>428287.67000000004</v>
      </c>
      <c r="M90" s="623">
        <v>426836.96</v>
      </c>
      <c r="N90" s="586"/>
      <c r="O90" s="587">
        <v>1450.71</v>
      </c>
      <c r="P90" s="586"/>
      <c r="Q90" s="586"/>
      <c r="R90" s="582">
        <f>M90/J90</f>
        <v>23713.164444444446</v>
      </c>
      <c r="S90" s="586">
        <f t="shared" si="13"/>
        <v>2.0918378140777349E-11</v>
      </c>
      <c r="T90" s="605"/>
      <c r="U90" s="597">
        <f t="shared" si="11"/>
        <v>428287.67000000004</v>
      </c>
      <c r="V90" s="589"/>
      <c r="W90" s="600"/>
      <c r="X90" s="601"/>
      <c r="Y90" s="601"/>
      <c r="Z90" s="601"/>
    </row>
    <row r="91" spans="1:26" s="75" customFormat="1" ht="37.5" hidden="1">
      <c r="A91" s="1349">
        <v>64</v>
      </c>
      <c r="B91" s="592" t="s">
        <v>3784</v>
      </c>
      <c r="C91" s="602" t="s">
        <v>271</v>
      </c>
      <c r="D91" s="603">
        <v>16106</v>
      </c>
      <c r="E91" s="594">
        <v>2376.64</v>
      </c>
      <c r="F91" s="604" t="s">
        <v>233</v>
      </c>
      <c r="G91" s="603">
        <v>1223</v>
      </c>
      <c r="H91" s="609">
        <v>5</v>
      </c>
      <c r="I91" s="609">
        <v>4</v>
      </c>
      <c r="J91" s="609">
        <v>70</v>
      </c>
      <c r="K91" s="606" t="s">
        <v>30</v>
      </c>
      <c r="L91" s="1357">
        <f>M91+N91+O91+P91+Q91+M92+N92+O92+P92+Q92</f>
        <v>5599042.6500000004</v>
      </c>
      <c r="M91" s="585">
        <v>1888110</v>
      </c>
      <c r="N91" s="586"/>
      <c r="O91" s="587">
        <v>5641.65</v>
      </c>
      <c r="P91" s="586"/>
      <c r="Q91" s="586"/>
      <c r="R91" s="582">
        <f>M91/J91</f>
        <v>26973</v>
      </c>
      <c r="S91" s="586">
        <f t="shared" si="13"/>
        <v>3705291.0000000005</v>
      </c>
      <c r="T91" s="588"/>
      <c r="U91" s="597">
        <f t="shared" si="11"/>
        <v>1893751.65</v>
      </c>
      <c r="V91" s="589"/>
      <c r="W91" s="600"/>
      <c r="X91" s="601"/>
      <c r="Y91" s="601"/>
      <c r="Z91" s="601"/>
    </row>
    <row r="92" spans="1:26" s="75" customFormat="1" hidden="1">
      <c r="A92" s="1349"/>
      <c r="B92" s="592"/>
      <c r="C92" s="593"/>
      <c r="D92" s="603"/>
      <c r="E92" s="594"/>
      <c r="F92" s="604"/>
      <c r="G92" s="603"/>
      <c r="H92" s="609"/>
      <c r="I92" s="609"/>
      <c r="J92" s="609"/>
      <c r="K92" s="590" t="s">
        <v>252</v>
      </c>
      <c r="L92" s="1357"/>
      <c r="M92" s="611">
        <v>3665331</v>
      </c>
      <c r="N92" s="586">
        <v>39960</v>
      </c>
      <c r="O92" s="587"/>
      <c r="P92" s="586"/>
      <c r="Q92" s="586"/>
      <c r="R92" s="582">
        <f>M92/G91</f>
        <v>2997</v>
      </c>
      <c r="S92" s="586">
        <f t="shared" si="13"/>
        <v>-3705291</v>
      </c>
      <c r="T92" s="605"/>
      <c r="U92" s="597">
        <f t="shared" si="11"/>
        <v>3705291</v>
      </c>
      <c r="V92" s="589"/>
      <c r="W92" s="600"/>
      <c r="X92" s="601"/>
      <c r="Y92" s="601"/>
      <c r="Z92" s="601"/>
    </row>
    <row r="93" spans="1:26" s="75" customFormat="1" ht="37.5" hidden="1">
      <c r="A93" s="591">
        <v>65</v>
      </c>
      <c r="B93" s="592" t="s">
        <v>505</v>
      </c>
      <c r="C93" s="593" t="s">
        <v>271</v>
      </c>
      <c r="D93" s="618">
        <v>6100</v>
      </c>
      <c r="E93" s="594">
        <v>1151.98</v>
      </c>
      <c r="F93" s="593" t="s">
        <v>371</v>
      </c>
      <c r="G93" s="618">
        <v>876.4</v>
      </c>
      <c r="H93" s="650">
        <v>3</v>
      </c>
      <c r="I93" s="650">
        <v>3</v>
      </c>
      <c r="J93" s="650">
        <v>35</v>
      </c>
      <c r="K93" s="610" t="s">
        <v>30</v>
      </c>
      <c r="L93" s="595">
        <f>M93+N93+O93+P93+Q93</f>
        <v>943095.82</v>
      </c>
      <c r="M93" s="585">
        <v>940275</v>
      </c>
      <c r="N93" s="586"/>
      <c r="O93" s="598">
        <v>2820.82</v>
      </c>
      <c r="P93" s="586"/>
      <c r="Q93" s="586"/>
      <c r="R93" s="582">
        <f>M93/J93</f>
        <v>26865</v>
      </c>
      <c r="S93" s="586">
        <f t="shared" si="13"/>
        <v>-5.1386450650170445E-11</v>
      </c>
      <c r="T93" s="605"/>
      <c r="U93" s="597">
        <f t="shared" si="11"/>
        <v>943095.82</v>
      </c>
      <c r="V93" s="589"/>
      <c r="W93" s="600"/>
      <c r="X93" s="601"/>
      <c r="Y93" s="601"/>
      <c r="Z93" s="601"/>
    </row>
    <row r="94" spans="1:26" s="75" customFormat="1" ht="37.5" hidden="1">
      <c r="A94" s="591">
        <f>A93+1</f>
        <v>66</v>
      </c>
      <c r="B94" s="592" t="s">
        <v>506</v>
      </c>
      <c r="C94" s="593" t="s">
        <v>217</v>
      </c>
      <c r="D94" s="594">
        <v>12131</v>
      </c>
      <c r="E94" s="593">
        <v>2361</v>
      </c>
      <c r="F94" s="593" t="s">
        <v>222</v>
      </c>
      <c r="G94" s="593">
        <v>1124</v>
      </c>
      <c r="H94" s="608">
        <v>5</v>
      </c>
      <c r="I94" s="608">
        <v>4</v>
      </c>
      <c r="J94" s="608">
        <v>80</v>
      </c>
      <c r="K94" s="606" t="s">
        <v>30</v>
      </c>
      <c r="L94" s="595">
        <f>M94+N94+O94+P94+Q94</f>
        <v>2164287.6</v>
      </c>
      <c r="M94" s="585">
        <v>2157840</v>
      </c>
      <c r="N94" s="586"/>
      <c r="O94" s="598">
        <v>6447.6</v>
      </c>
      <c r="P94" s="586"/>
      <c r="Q94" s="586"/>
      <c r="R94" s="582">
        <f>M94/J94</f>
        <v>26973</v>
      </c>
      <c r="S94" s="586">
        <f t="shared" si="13"/>
        <v>9.276845958083868E-11</v>
      </c>
      <c r="T94" s="588"/>
      <c r="U94" s="597">
        <f t="shared" si="11"/>
        <v>2164287.6</v>
      </c>
      <c r="V94" s="589"/>
      <c r="W94" s="600"/>
      <c r="X94" s="601"/>
      <c r="Y94" s="601"/>
      <c r="Z94" s="601"/>
    </row>
    <row r="95" spans="1:26" s="519" customFormat="1" ht="37.5" hidden="1">
      <c r="A95" s="591">
        <f>A94+1</f>
        <v>67</v>
      </c>
      <c r="B95" s="592" t="s">
        <v>507</v>
      </c>
      <c r="C95" s="593" t="s">
        <v>271</v>
      </c>
      <c r="D95" s="618">
        <v>7229</v>
      </c>
      <c r="E95" s="619">
        <v>1366.1</v>
      </c>
      <c r="F95" s="653" t="s">
        <v>222</v>
      </c>
      <c r="G95" s="633">
        <v>944.5</v>
      </c>
      <c r="H95" s="640">
        <v>3</v>
      </c>
      <c r="I95" s="633">
        <v>3</v>
      </c>
      <c r="J95" s="633">
        <v>27</v>
      </c>
      <c r="K95" s="606" t="s">
        <v>30</v>
      </c>
      <c r="L95" s="595">
        <f>M95+N95+O95+P95+Q95</f>
        <v>799588.96000000008</v>
      </c>
      <c r="M95" s="635">
        <f>725355+72057.9</f>
        <v>797412.9</v>
      </c>
      <c r="N95" s="636"/>
      <c r="O95" s="641">
        <v>2176.06</v>
      </c>
      <c r="P95" s="636"/>
      <c r="Q95" s="638"/>
      <c r="R95" s="582">
        <f>M95/J95</f>
        <v>29533.81111111111</v>
      </c>
      <c r="S95" s="586">
        <f t="shared" si="13"/>
        <v>5.5933924159035087E-11</v>
      </c>
      <c r="T95" s="588"/>
      <c r="U95" s="597">
        <f t="shared" si="11"/>
        <v>799588.96000000008</v>
      </c>
      <c r="V95" s="589"/>
      <c r="W95" s="600"/>
      <c r="X95" s="659"/>
      <c r="Y95" s="659"/>
      <c r="Z95" s="659"/>
    </row>
    <row r="96" spans="1:26" s="519" customFormat="1" hidden="1">
      <c r="A96" s="591">
        <f>A95+1</f>
        <v>68</v>
      </c>
      <c r="B96" s="592" t="s">
        <v>508</v>
      </c>
      <c r="C96" s="593" t="s">
        <v>271</v>
      </c>
      <c r="D96" s="618">
        <v>6447</v>
      </c>
      <c r="E96" s="594">
        <v>1386</v>
      </c>
      <c r="F96" s="593" t="s">
        <v>222</v>
      </c>
      <c r="G96" s="618">
        <v>576</v>
      </c>
      <c r="H96" s="650">
        <v>5</v>
      </c>
      <c r="I96" s="650">
        <v>2</v>
      </c>
      <c r="J96" s="650">
        <v>40</v>
      </c>
      <c r="K96" s="590" t="s">
        <v>224</v>
      </c>
      <c r="L96" s="595">
        <f>M96+N96+O96+P96+Q96</f>
        <v>674325</v>
      </c>
      <c r="M96" s="585">
        <v>639360</v>
      </c>
      <c r="N96" s="586">
        <v>34965</v>
      </c>
      <c r="O96" s="587"/>
      <c r="P96" s="586"/>
      <c r="Q96" s="586"/>
      <c r="R96" s="582">
        <f>M96/J96</f>
        <v>15984</v>
      </c>
      <c r="S96" s="586">
        <f t="shared" si="13"/>
        <v>0</v>
      </c>
      <c r="T96" s="605"/>
      <c r="U96" s="597">
        <f t="shared" si="11"/>
        <v>674325</v>
      </c>
      <c r="V96" s="589"/>
      <c r="W96" s="600"/>
      <c r="X96" s="659"/>
      <c r="Y96" s="659"/>
      <c r="Z96" s="659"/>
    </row>
    <row r="97" spans="1:26" s="249" customFormat="1" hidden="1">
      <c r="A97" s="591">
        <f>A96+1</f>
        <v>69</v>
      </c>
      <c r="B97" s="592" t="s">
        <v>509</v>
      </c>
      <c r="C97" s="602" t="s">
        <v>271</v>
      </c>
      <c r="D97" s="644">
        <v>17015</v>
      </c>
      <c r="E97" s="593">
        <v>3088</v>
      </c>
      <c r="F97" s="608" t="s">
        <v>222</v>
      </c>
      <c r="G97" s="593">
        <v>1382</v>
      </c>
      <c r="H97" s="660">
        <v>4</v>
      </c>
      <c r="I97" s="660">
        <v>4</v>
      </c>
      <c r="J97" s="660">
        <v>50</v>
      </c>
      <c r="K97" s="590" t="s">
        <v>33</v>
      </c>
      <c r="L97" s="1357">
        <f>M97+N97+O97+P97+Q97+M98+N98+O98+Q98</f>
        <v>9894401.4800000004</v>
      </c>
      <c r="M97" s="627">
        <v>3695101.2</v>
      </c>
      <c r="N97" s="586"/>
      <c r="O97" s="587">
        <v>11040.92</v>
      </c>
      <c r="P97" s="586"/>
      <c r="Q97" s="586"/>
      <c r="R97" s="599">
        <f>M97/G97</f>
        <v>2673.7345875542692</v>
      </c>
      <c r="S97" s="586">
        <f t="shared" si="13"/>
        <v>6188259.3600000003</v>
      </c>
      <c r="T97" s="605"/>
      <c r="U97" s="597">
        <f t="shared" si="11"/>
        <v>3706142.12</v>
      </c>
      <c r="V97" s="589"/>
      <c r="W97" s="600"/>
      <c r="X97" s="590"/>
      <c r="Y97" s="590"/>
      <c r="Z97" s="590"/>
    </row>
    <row r="98" spans="1:26" s="249" customFormat="1" hidden="1">
      <c r="A98" s="591"/>
      <c r="B98" s="592"/>
      <c r="C98" s="602"/>
      <c r="D98" s="644"/>
      <c r="E98" s="593"/>
      <c r="F98" s="608"/>
      <c r="G98" s="593"/>
      <c r="H98" s="660"/>
      <c r="I98" s="660"/>
      <c r="J98" s="660"/>
      <c r="K98" s="590" t="s">
        <v>38</v>
      </c>
      <c r="L98" s="1357"/>
      <c r="M98" s="627">
        <v>6169824</v>
      </c>
      <c r="N98" s="586"/>
      <c r="O98" s="587">
        <v>18435.36</v>
      </c>
      <c r="P98" s="586"/>
      <c r="Q98" s="586"/>
      <c r="R98" s="599">
        <f>M98/E97</f>
        <v>1998</v>
      </c>
      <c r="S98" s="586"/>
      <c r="T98" s="605"/>
      <c r="U98" s="597">
        <f t="shared" si="11"/>
        <v>6188259.3600000003</v>
      </c>
      <c r="V98" s="589"/>
      <c r="W98" s="600"/>
      <c r="X98" s="590"/>
      <c r="Y98" s="590"/>
      <c r="Z98" s="590"/>
    </row>
    <row r="99" spans="1:26" s="249" customFormat="1" hidden="1">
      <c r="A99" s="591">
        <v>70</v>
      </c>
      <c r="B99" s="592" t="s">
        <v>510</v>
      </c>
      <c r="C99" s="602" t="s">
        <v>271</v>
      </c>
      <c r="D99" s="644">
        <v>16161</v>
      </c>
      <c r="E99" s="593">
        <v>3423</v>
      </c>
      <c r="F99" s="608" t="s">
        <v>222</v>
      </c>
      <c r="G99" s="593">
        <v>1595</v>
      </c>
      <c r="H99" s="660">
        <v>4</v>
      </c>
      <c r="I99" s="660">
        <v>5</v>
      </c>
      <c r="J99" s="660">
        <v>57</v>
      </c>
      <c r="K99" s="590" t="s">
        <v>33</v>
      </c>
      <c r="L99" s="1350">
        <f>M99+N99+O99+P99+Q99+M100+N100+O100+Q100+M101+N101+O101+Q101</f>
        <v>12195751.060000001</v>
      </c>
      <c r="M99" s="585">
        <v>5286074.99</v>
      </c>
      <c r="N99" s="586"/>
      <c r="O99" s="587">
        <v>16663.759999999998</v>
      </c>
      <c r="P99" s="586"/>
      <c r="Q99" s="586"/>
      <c r="R99" s="599">
        <f>M99/G99</f>
        <v>3314.1535987460816</v>
      </c>
      <c r="S99" s="586">
        <f>L99-M99-N99-O99-P99-Q99</f>
        <v>6893012.3100000005</v>
      </c>
      <c r="T99" s="605"/>
      <c r="U99" s="597">
        <f t="shared" si="11"/>
        <v>5302738.75</v>
      </c>
      <c r="V99" s="589"/>
      <c r="W99" s="600"/>
      <c r="X99" s="590"/>
      <c r="Y99" s="590"/>
      <c r="Z99" s="590"/>
    </row>
    <row r="100" spans="1:26" s="249" customFormat="1" hidden="1">
      <c r="A100" s="591"/>
      <c r="B100" s="592"/>
      <c r="C100" s="602"/>
      <c r="D100" s="644"/>
      <c r="E100" s="593"/>
      <c r="F100" s="608"/>
      <c r="G100" s="593"/>
      <c r="H100" s="660"/>
      <c r="I100" s="660"/>
      <c r="J100" s="660"/>
      <c r="K100" s="590" t="s">
        <v>38</v>
      </c>
      <c r="L100" s="1350"/>
      <c r="M100" s="585">
        <v>6000000</v>
      </c>
      <c r="N100" s="586"/>
      <c r="O100" s="587">
        <v>20435.310000000001</v>
      </c>
      <c r="P100" s="586"/>
      <c r="Q100" s="586"/>
      <c r="R100" s="599">
        <f>M100/E99</f>
        <v>1752.8483786152499</v>
      </c>
      <c r="S100" s="586"/>
      <c r="T100" s="605"/>
      <c r="U100" s="597">
        <f t="shared" si="11"/>
        <v>6020435.3099999996</v>
      </c>
      <c r="V100" s="589"/>
      <c r="W100" s="600"/>
      <c r="X100" s="590"/>
      <c r="Y100" s="590"/>
      <c r="Z100" s="590"/>
    </row>
    <row r="101" spans="1:26" s="249" customFormat="1" hidden="1">
      <c r="A101" s="591"/>
      <c r="B101" s="592"/>
      <c r="C101" s="602"/>
      <c r="D101" s="644"/>
      <c r="E101" s="593"/>
      <c r="F101" s="608"/>
      <c r="G101" s="593"/>
      <c r="H101" s="660"/>
      <c r="I101" s="660"/>
      <c r="J101" s="660"/>
      <c r="K101" s="590" t="s">
        <v>224</v>
      </c>
      <c r="L101" s="1350"/>
      <c r="M101" s="585">
        <v>842577</v>
      </c>
      <c r="N101" s="586">
        <v>30000</v>
      </c>
      <c r="O101" s="587"/>
      <c r="P101" s="586"/>
      <c r="Q101" s="586"/>
      <c r="R101" s="599">
        <f>M101/J99</f>
        <v>14782.052631578947</v>
      </c>
      <c r="S101" s="586"/>
      <c r="T101" s="605"/>
      <c r="U101" s="597">
        <f t="shared" si="11"/>
        <v>872577</v>
      </c>
      <c r="V101" s="589"/>
      <c r="W101" s="600"/>
      <c r="X101" s="590"/>
      <c r="Y101" s="590"/>
      <c r="Z101" s="590"/>
    </row>
    <row r="102" spans="1:26" s="249" customFormat="1" hidden="1">
      <c r="A102" s="591">
        <v>71</v>
      </c>
      <c r="B102" s="592" t="s">
        <v>511</v>
      </c>
      <c r="C102" s="602" t="s">
        <v>271</v>
      </c>
      <c r="D102" s="644">
        <v>19789</v>
      </c>
      <c r="E102" s="593">
        <v>3488</v>
      </c>
      <c r="F102" s="608" t="s">
        <v>222</v>
      </c>
      <c r="G102" s="593">
        <v>1565</v>
      </c>
      <c r="H102" s="660">
        <v>4</v>
      </c>
      <c r="I102" s="660">
        <v>5</v>
      </c>
      <c r="J102" s="660">
        <v>61</v>
      </c>
      <c r="K102" s="590" t="s">
        <v>33</v>
      </c>
      <c r="L102" s="1357">
        <f>M102+N102+O102+P102+Q102+M103+N103+O103+Q103</f>
        <v>12295858.93</v>
      </c>
      <c r="M102" s="627">
        <v>5290204.5000000009</v>
      </c>
      <c r="N102" s="586"/>
      <c r="O102" s="587">
        <v>15807.07</v>
      </c>
      <c r="P102" s="586"/>
      <c r="Q102" s="586"/>
      <c r="R102" s="582">
        <f>M102/G102</f>
        <v>3380.3223642172529</v>
      </c>
      <c r="S102" s="586">
        <f>L102-M102-N102-O102-P102-Q102</f>
        <v>6989847.3599999985</v>
      </c>
      <c r="T102" s="605"/>
      <c r="U102" s="597">
        <f t="shared" si="11"/>
        <v>5306011.5700000012</v>
      </c>
      <c r="V102" s="589"/>
      <c r="W102" s="600"/>
      <c r="X102" s="590"/>
      <c r="Y102" s="590"/>
      <c r="Z102" s="590"/>
    </row>
    <row r="103" spans="1:26" s="249" customFormat="1" hidden="1">
      <c r="A103" s="591"/>
      <c r="B103" s="592"/>
      <c r="C103" s="602"/>
      <c r="D103" s="644"/>
      <c r="E103" s="593"/>
      <c r="F103" s="608"/>
      <c r="G103" s="593"/>
      <c r="H103" s="660"/>
      <c r="I103" s="660"/>
      <c r="J103" s="660"/>
      <c r="K103" s="590" t="s">
        <v>38</v>
      </c>
      <c r="L103" s="1357"/>
      <c r="M103" s="627">
        <v>6969024</v>
      </c>
      <c r="N103" s="586"/>
      <c r="O103" s="587">
        <v>20823.36</v>
      </c>
      <c r="P103" s="586"/>
      <c r="Q103" s="586"/>
      <c r="R103" s="582">
        <f>M103/E102</f>
        <v>1998</v>
      </c>
      <c r="S103" s="586"/>
      <c r="T103" s="605"/>
      <c r="U103" s="597">
        <f t="shared" si="11"/>
        <v>6989847.3600000003</v>
      </c>
      <c r="V103" s="589"/>
      <c r="W103" s="600"/>
      <c r="X103" s="590"/>
      <c r="Y103" s="590"/>
      <c r="Z103" s="590"/>
    </row>
    <row r="104" spans="1:26" s="75" customFormat="1" hidden="1">
      <c r="A104" s="591">
        <v>72</v>
      </c>
      <c r="B104" s="592" t="s">
        <v>512</v>
      </c>
      <c r="C104" s="602" t="s">
        <v>271</v>
      </c>
      <c r="D104" s="618">
        <v>3231</v>
      </c>
      <c r="E104" s="619">
        <v>480</v>
      </c>
      <c r="F104" s="608" t="s">
        <v>222</v>
      </c>
      <c r="G104" s="619">
        <v>497</v>
      </c>
      <c r="H104" s="594">
        <v>2</v>
      </c>
      <c r="I104" s="594">
        <v>1</v>
      </c>
      <c r="J104" s="582">
        <v>29</v>
      </c>
      <c r="K104" s="590" t="s">
        <v>33</v>
      </c>
      <c r="L104" s="595">
        <f>M104+N104+O104+P104+Q104</f>
        <v>1180110.69</v>
      </c>
      <c r="M104" s="623">
        <v>1175956.76</v>
      </c>
      <c r="N104" s="586"/>
      <c r="O104" s="587">
        <v>4153.93</v>
      </c>
      <c r="P104" s="586"/>
      <c r="Q104" s="586"/>
      <c r="R104" s="582">
        <f>M104/G104</f>
        <v>2366.1101810865193</v>
      </c>
      <c r="S104" s="586">
        <f>L104-M104-N104-O104-P104-Q104</f>
        <v>-6.5483618527650833E-11</v>
      </c>
      <c r="T104" s="588"/>
      <c r="U104" s="597">
        <f t="shared" si="11"/>
        <v>1180110.69</v>
      </c>
      <c r="V104" s="589"/>
      <c r="W104" s="600"/>
      <c r="X104" s="601"/>
      <c r="Y104" s="601"/>
      <c r="Z104" s="601"/>
    </row>
    <row r="105" spans="1:26" s="75" customFormat="1" hidden="1">
      <c r="A105" s="591">
        <f>A104+1</f>
        <v>73</v>
      </c>
      <c r="B105" s="592" t="s">
        <v>513</v>
      </c>
      <c r="C105" s="593" t="s">
        <v>221</v>
      </c>
      <c r="D105" s="603">
        <v>19226</v>
      </c>
      <c r="E105" s="603">
        <v>4900</v>
      </c>
      <c r="F105" s="615" t="s">
        <v>233</v>
      </c>
      <c r="G105" s="603">
        <v>1400</v>
      </c>
      <c r="H105" s="609">
        <v>9</v>
      </c>
      <c r="I105" s="609">
        <v>1</v>
      </c>
      <c r="J105" s="609">
        <v>71</v>
      </c>
      <c r="K105" s="590" t="s">
        <v>33</v>
      </c>
      <c r="L105" s="595">
        <f>M105+N105+O105+P105+Q105+M106+N106+O106+Q106</f>
        <v>2950121.9</v>
      </c>
      <c r="M105" s="611">
        <v>2000000</v>
      </c>
      <c r="N105" s="612"/>
      <c r="O105" s="613">
        <v>8775.9</v>
      </c>
      <c r="P105" s="586"/>
      <c r="Q105" s="614"/>
      <c r="R105" s="582">
        <f>M105/G105</f>
        <v>1428.5714285714287</v>
      </c>
      <c r="S105" s="586">
        <f>L105-M105-N105-O105-P105-Q105</f>
        <v>941345.99999999988</v>
      </c>
      <c r="T105" s="605"/>
      <c r="U105" s="597">
        <f t="shared" si="11"/>
        <v>2008775.9</v>
      </c>
      <c r="V105" s="589"/>
      <c r="W105" s="600"/>
      <c r="X105" s="601"/>
      <c r="Y105" s="601"/>
      <c r="Z105" s="601"/>
    </row>
    <row r="106" spans="1:26" s="75" customFormat="1" ht="37.5" hidden="1">
      <c r="A106" s="591"/>
      <c r="B106" s="592"/>
      <c r="C106" s="593"/>
      <c r="D106" s="603"/>
      <c r="E106" s="603"/>
      <c r="F106" s="615"/>
      <c r="G106" s="603"/>
      <c r="H106" s="609"/>
      <c r="I106" s="609"/>
      <c r="J106" s="609"/>
      <c r="K106" s="590" t="s">
        <v>30</v>
      </c>
      <c r="L106" s="595"/>
      <c r="M106" s="611">
        <v>938530</v>
      </c>
      <c r="N106" s="612"/>
      <c r="O106" s="613">
        <v>2816</v>
      </c>
      <c r="P106" s="586"/>
      <c r="Q106" s="614"/>
      <c r="R106" s="582">
        <f>M106/J105</f>
        <v>13218.732394366198</v>
      </c>
      <c r="S106" s="586"/>
      <c r="T106" s="605"/>
      <c r="U106" s="597">
        <f t="shared" si="11"/>
        <v>941346</v>
      </c>
      <c r="V106" s="589"/>
      <c r="W106" s="600"/>
      <c r="X106" s="601"/>
      <c r="Y106" s="601"/>
      <c r="Z106" s="601"/>
    </row>
    <row r="107" spans="1:26" s="75" customFormat="1" ht="37.5" hidden="1">
      <c r="A107" s="591">
        <f>A105+1</f>
        <v>74</v>
      </c>
      <c r="B107" s="592" t="s">
        <v>514</v>
      </c>
      <c r="C107" s="593" t="s">
        <v>369</v>
      </c>
      <c r="D107" s="603">
        <v>1597</v>
      </c>
      <c r="E107" s="594">
        <v>341.16</v>
      </c>
      <c r="F107" s="615" t="s">
        <v>371</v>
      </c>
      <c r="G107" s="603">
        <v>329</v>
      </c>
      <c r="H107" s="609">
        <v>2</v>
      </c>
      <c r="I107" s="609">
        <v>1</v>
      </c>
      <c r="J107" s="609">
        <v>8</v>
      </c>
      <c r="K107" s="606" t="s">
        <v>30</v>
      </c>
      <c r="L107" s="595">
        <f>M107+N107+O107+P107+Q107</f>
        <v>216428.76</v>
      </c>
      <c r="M107" s="585">
        <v>215784</v>
      </c>
      <c r="N107" s="586"/>
      <c r="O107" s="587">
        <v>644.76</v>
      </c>
      <c r="P107" s="586"/>
      <c r="Q107" s="586"/>
      <c r="R107" s="582">
        <f>M107/J107</f>
        <v>26973</v>
      </c>
      <c r="S107" s="586">
        <f t="shared" ref="S107:S170" si="14">L107-M107-N107-O107-P107-Q107</f>
        <v>9.3223206931725144E-12</v>
      </c>
      <c r="T107" s="588"/>
      <c r="U107" s="597">
        <f t="shared" si="11"/>
        <v>216428.76</v>
      </c>
      <c r="V107" s="589"/>
      <c r="W107" s="600"/>
      <c r="X107" s="601"/>
      <c r="Y107" s="601"/>
      <c r="Z107" s="601"/>
    </row>
    <row r="108" spans="1:26" s="75" customFormat="1" ht="37.5" hidden="1">
      <c r="A108" s="1383">
        <v>75</v>
      </c>
      <c r="B108" s="592" t="s">
        <v>515</v>
      </c>
      <c r="C108" s="593" t="s">
        <v>217</v>
      </c>
      <c r="D108" s="603">
        <v>12068</v>
      </c>
      <c r="E108" s="594">
        <v>2395.0100000000002</v>
      </c>
      <c r="F108" s="615" t="s">
        <v>233</v>
      </c>
      <c r="G108" s="603">
        <v>521</v>
      </c>
      <c r="H108" s="609">
        <v>9</v>
      </c>
      <c r="I108" s="609">
        <v>1</v>
      </c>
      <c r="J108" s="609">
        <v>72</v>
      </c>
      <c r="K108" s="606" t="s">
        <v>30</v>
      </c>
      <c r="L108" s="1357">
        <f>M108+N108+O108+P108+Q108+M109+N109+O109+P109+Q109</f>
        <v>3407903.52</v>
      </c>
      <c r="M108" s="585">
        <v>2303769.6000000001</v>
      </c>
      <c r="N108" s="586"/>
      <c r="O108" s="613">
        <v>6877.44</v>
      </c>
      <c r="P108" s="586"/>
      <c r="Q108" s="614"/>
      <c r="R108" s="582">
        <f>M108/J108</f>
        <v>31996.800000000003</v>
      </c>
      <c r="S108" s="586">
        <f t="shared" si="14"/>
        <v>1097256.48</v>
      </c>
      <c r="T108" s="588"/>
      <c r="U108" s="597">
        <f t="shared" si="11"/>
        <v>2310647.04</v>
      </c>
      <c r="V108" s="589"/>
      <c r="W108" s="600"/>
      <c r="X108" s="601"/>
      <c r="Y108" s="601"/>
      <c r="Z108" s="601"/>
    </row>
    <row r="109" spans="1:26" s="75" customFormat="1" hidden="1">
      <c r="A109" s="1383"/>
      <c r="B109" s="592"/>
      <c r="C109" s="593"/>
      <c r="D109" s="603"/>
      <c r="E109" s="594"/>
      <c r="F109" s="615"/>
      <c r="G109" s="603"/>
      <c r="H109" s="609"/>
      <c r="I109" s="609"/>
      <c r="J109" s="609"/>
      <c r="K109" s="590" t="s">
        <v>33</v>
      </c>
      <c r="L109" s="1357"/>
      <c r="M109" s="611">
        <v>1093990.5900000001</v>
      </c>
      <c r="N109" s="586"/>
      <c r="O109" s="613">
        <v>3265.89</v>
      </c>
      <c r="P109" s="586"/>
      <c r="Q109" s="614"/>
      <c r="R109" s="582">
        <f>M109/G108</f>
        <v>2099.79</v>
      </c>
      <c r="S109" s="586">
        <f t="shared" si="14"/>
        <v>-1097256.48</v>
      </c>
      <c r="T109" s="605"/>
      <c r="U109" s="597">
        <f t="shared" si="11"/>
        <v>1097256.48</v>
      </c>
      <c r="V109" s="589"/>
      <c r="W109" s="600"/>
      <c r="X109" s="601"/>
      <c r="Y109" s="601"/>
      <c r="Z109" s="601"/>
    </row>
    <row r="110" spans="1:26" s="75" customFormat="1" ht="37.5" hidden="1">
      <c r="A110" s="591">
        <v>76</v>
      </c>
      <c r="B110" s="592" t="s">
        <v>516</v>
      </c>
      <c r="C110" s="602" t="s">
        <v>271</v>
      </c>
      <c r="D110" s="603">
        <v>4137</v>
      </c>
      <c r="E110" s="619">
        <v>796</v>
      </c>
      <c r="F110" s="608" t="s">
        <v>222</v>
      </c>
      <c r="G110" s="603">
        <v>678</v>
      </c>
      <c r="H110" s="609">
        <v>2</v>
      </c>
      <c r="I110" s="609">
        <v>1</v>
      </c>
      <c r="J110" s="609">
        <v>10</v>
      </c>
      <c r="K110" s="606" t="s">
        <v>30</v>
      </c>
      <c r="L110" s="595">
        <f>M110+N110+O110+P110+Q110</f>
        <v>270535.95</v>
      </c>
      <c r="M110" s="585">
        <v>269730</v>
      </c>
      <c r="N110" s="586"/>
      <c r="O110" s="587">
        <v>805.95</v>
      </c>
      <c r="P110" s="586"/>
      <c r="Q110" s="586"/>
      <c r="R110" s="582">
        <f>M110/J110</f>
        <v>26973</v>
      </c>
      <c r="S110" s="586">
        <f t="shared" si="14"/>
        <v>1.1596057447604835E-11</v>
      </c>
      <c r="T110" s="605"/>
      <c r="U110" s="597">
        <f t="shared" si="11"/>
        <v>270535.95</v>
      </c>
      <c r="V110" s="589"/>
      <c r="W110" s="600"/>
      <c r="X110" s="601"/>
      <c r="Y110" s="601"/>
      <c r="Z110" s="601"/>
    </row>
    <row r="111" spans="1:26" s="518" customFormat="1" ht="37.5" hidden="1">
      <c r="A111" s="1349">
        <v>77</v>
      </c>
      <c r="B111" s="592" t="s">
        <v>517</v>
      </c>
      <c r="C111" s="602" t="s">
        <v>271</v>
      </c>
      <c r="D111" s="603">
        <v>1687</v>
      </c>
      <c r="E111" s="603">
        <v>300</v>
      </c>
      <c r="F111" s="608" t="s">
        <v>222</v>
      </c>
      <c r="G111" s="603">
        <v>336</v>
      </c>
      <c r="H111" s="609">
        <v>2</v>
      </c>
      <c r="I111" s="609">
        <v>1</v>
      </c>
      <c r="J111" s="609">
        <v>8</v>
      </c>
      <c r="K111" s="606" t="s">
        <v>30</v>
      </c>
      <c r="L111" s="1357">
        <f>M111+N111+O111+P111+Q111+M112+N112+O112+P112+Q112</f>
        <v>376268.76</v>
      </c>
      <c r="M111" s="585">
        <v>215784</v>
      </c>
      <c r="N111" s="661"/>
      <c r="O111" s="587">
        <v>644.76</v>
      </c>
      <c r="P111" s="586"/>
      <c r="Q111" s="586"/>
      <c r="R111" s="582">
        <f>M111/J111</f>
        <v>26973</v>
      </c>
      <c r="S111" s="586">
        <f t="shared" si="14"/>
        <v>159840</v>
      </c>
      <c r="T111" s="588"/>
      <c r="U111" s="597">
        <f t="shared" si="11"/>
        <v>216428.76</v>
      </c>
      <c r="V111" s="589"/>
      <c r="W111" s="600"/>
      <c r="X111" s="656"/>
      <c r="Y111" s="656"/>
      <c r="Z111" s="656"/>
    </row>
    <row r="112" spans="1:26" s="518" customFormat="1" hidden="1">
      <c r="A112" s="1349"/>
      <c r="B112" s="592"/>
      <c r="C112" s="593"/>
      <c r="D112" s="603"/>
      <c r="E112" s="603"/>
      <c r="F112" s="615"/>
      <c r="G112" s="603"/>
      <c r="H112" s="609"/>
      <c r="I112" s="609"/>
      <c r="J112" s="609"/>
      <c r="K112" s="590" t="s">
        <v>224</v>
      </c>
      <c r="L112" s="1357"/>
      <c r="M112" s="585">
        <v>127872</v>
      </c>
      <c r="N112" s="612">
        <v>31968</v>
      </c>
      <c r="O112" s="587"/>
      <c r="P112" s="586"/>
      <c r="Q112" s="586"/>
      <c r="R112" s="582">
        <f>M112/J111</f>
        <v>15984</v>
      </c>
      <c r="S112" s="586">
        <f t="shared" si="14"/>
        <v>-159840</v>
      </c>
      <c r="T112" s="588"/>
      <c r="U112" s="597">
        <f t="shared" si="11"/>
        <v>159840</v>
      </c>
      <c r="V112" s="589"/>
      <c r="W112" s="600"/>
      <c r="X112" s="656"/>
      <c r="Y112" s="656"/>
      <c r="Z112" s="656"/>
    </row>
    <row r="113" spans="1:32" s="75" customFormat="1" ht="409.5" hidden="1">
      <c r="A113" s="591">
        <v>78</v>
      </c>
      <c r="B113" s="592" t="s">
        <v>521</v>
      </c>
      <c r="C113" s="602" t="s">
        <v>217</v>
      </c>
      <c r="D113" s="625">
        <v>21225</v>
      </c>
      <c r="E113" s="625">
        <v>2450</v>
      </c>
      <c r="F113" s="625" t="s">
        <v>233</v>
      </c>
      <c r="G113" s="625">
        <v>681</v>
      </c>
      <c r="H113" s="593">
        <v>12</v>
      </c>
      <c r="I113" s="593">
        <v>2</v>
      </c>
      <c r="J113" s="625">
        <v>96</v>
      </c>
      <c r="K113" s="662" t="s">
        <v>366</v>
      </c>
      <c r="L113" s="595">
        <f>M113+N113+O113+P113+Q113</f>
        <v>7892006.25</v>
      </c>
      <c r="M113" s="611">
        <v>7744000</v>
      </c>
      <c r="N113" s="612">
        <v>148006.25</v>
      </c>
      <c r="O113" s="613"/>
      <c r="P113" s="586"/>
      <c r="Q113" s="614"/>
      <c r="R113" s="582">
        <v>2200000</v>
      </c>
      <c r="S113" s="586">
        <f t="shared" si="14"/>
        <v>0</v>
      </c>
      <c r="T113" s="588" t="s">
        <v>3695</v>
      </c>
      <c r="U113" s="597">
        <f t="shared" si="11"/>
        <v>7892006.25</v>
      </c>
      <c r="V113" s="589"/>
      <c r="W113" s="600"/>
      <c r="X113" s="601"/>
      <c r="Y113" s="601"/>
      <c r="Z113" s="601"/>
    </row>
    <row r="114" spans="1:32" s="249" customFormat="1" ht="37.5" hidden="1">
      <c r="A114" s="591">
        <f>A113+1</f>
        <v>79</v>
      </c>
      <c r="B114" s="592" t="s">
        <v>522</v>
      </c>
      <c r="C114" s="602" t="s">
        <v>217</v>
      </c>
      <c r="D114" s="594">
        <v>31562</v>
      </c>
      <c r="E114" s="586">
        <v>5832</v>
      </c>
      <c r="F114" s="561" t="s">
        <v>233</v>
      </c>
      <c r="G114" s="663">
        <v>1356</v>
      </c>
      <c r="H114" s="594">
        <v>9</v>
      </c>
      <c r="I114" s="594">
        <v>4</v>
      </c>
      <c r="J114" s="664">
        <v>144</v>
      </c>
      <c r="K114" s="606" t="s">
        <v>366</v>
      </c>
      <c r="L114" s="595">
        <f>M114+N114+O114+P114+Q114</f>
        <v>7188006.25</v>
      </c>
      <c r="M114" s="585">
        <v>7040000</v>
      </c>
      <c r="N114" s="612">
        <v>148006.25</v>
      </c>
      <c r="O114" s="565"/>
      <c r="P114" s="564"/>
      <c r="Q114" s="586"/>
      <c r="R114" s="582">
        <v>2000000</v>
      </c>
      <c r="S114" s="586">
        <f t="shared" si="14"/>
        <v>0</v>
      </c>
      <c r="T114" s="588"/>
      <c r="U114" s="597">
        <f t="shared" si="11"/>
        <v>7188006.25</v>
      </c>
      <c r="V114" s="589"/>
      <c r="W114" s="600"/>
      <c r="X114" s="590"/>
      <c r="Y114" s="590"/>
      <c r="Z114" s="590"/>
    </row>
    <row r="115" spans="1:32" s="249" customFormat="1" hidden="1">
      <c r="A115" s="591">
        <f>A114+1</f>
        <v>80</v>
      </c>
      <c r="B115" s="592" t="s">
        <v>525</v>
      </c>
      <c r="C115" s="593" t="s">
        <v>217</v>
      </c>
      <c r="D115" s="618">
        <v>30660</v>
      </c>
      <c r="E115" s="594">
        <v>2241.6</v>
      </c>
      <c r="F115" s="593" t="s">
        <v>233</v>
      </c>
      <c r="G115" s="618">
        <v>1335.5</v>
      </c>
      <c r="H115" s="650">
        <v>9</v>
      </c>
      <c r="I115" s="650">
        <v>4</v>
      </c>
      <c r="J115" s="650">
        <v>144</v>
      </c>
      <c r="K115" s="590" t="s">
        <v>224</v>
      </c>
      <c r="L115" s="1357">
        <f>M115+N115+O115+P115+Q115+M116+N116+O116+Q116</f>
        <v>16122677.699999999</v>
      </c>
      <c r="M115" s="585">
        <v>2877120</v>
      </c>
      <c r="N115" s="564">
        <v>31968</v>
      </c>
      <c r="O115" s="587"/>
      <c r="P115" s="586"/>
      <c r="Q115" s="586"/>
      <c r="R115" s="599">
        <f>M115/J115</f>
        <v>19980</v>
      </c>
      <c r="S115" s="586">
        <f t="shared" si="14"/>
        <v>13213589.699999999</v>
      </c>
      <c r="T115" s="605"/>
      <c r="U115" s="597">
        <f t="shared" si="11"/>
        <v>2909088</v>
      </c>
      <c r="V115" s="589"/>
      <c r="W115" s="600"/>
      <c r="X115" s="590"/>
      <c r="Y115" s="590"/>
      <c r="Z115" s="590"/>
    </row>
    <row r="116" spans="1:32" s="249" customFormat="1" hidden="1">
      <c r="A116" s="591"/>
      <c r="B116" s="592"/>
      <c r="C116" s="593"/>
      <c r="D116" s="618"/>
      <c r="E116" s="594"/>
      <c r="F116" s="593"/>
      <c r="G116" s="618"/>
      <c r="H116" s="650"/>
      <c r="I116" s="650"/>
      <c r="J116" s="650"/>
      <c r="K116" s="590" t="s">
        <v>226</v>
      </c>
      <c r="L116" s="1357"/>
      <c r="M116" s="585">
        <v>13187128.67</v>
      </c>
      <c r="N116" s="564">
        <v>26461.03</v>
      </c>
      <c r="O116" s="631"/>
      <c r="P116" s="630"/>
      <c r="Q116" s="630"/>
      <c r="R116" s="599">
        <f>M116/E115</f>
        <v>5882.9089355817277</v>
      </c>
      <c r="S116" s="586">
        <f t="shared" si="14"/>
        <v>-13213589.699999999</v>
      </c>
      <c r="T116" s="605"/>
      <c r="U116" s="597">
        <f t="shared" si="11"/>
        <v>13213589.699999999</v>
      </c>
      <c r="V116" s="589"/>
      <c r="W116" s="600"/>
      <c r="X116" s="590"/>
      <c r="Y116" s="590"/>
      <c r="Z116" s="590"/>
    </row>
    <row r="117" spans="1:32" s="246" customFormat="1" ht="37.5" hidden="1">
      <c r="A117" s="591">
        <f>A115+1</f>
        <v>81</v>
      </c>
      <c r="B117" s="592" t="s">
        <v>526</v>
      </c>
      <c r="C117" s="602" t="s">
        <v>271</v>
      </c>
      <c r="D117" s="603">
        <v>2422</v>
      </c>
      <c r="E117" s="603">
        <v>531.79999999999995</v>
      </c>
      <c r="F117" s="608" t="s">
        <v>222</v>
      </c>
      <c r="G117" s="603">
        <v>406.5</v>
      </c>
      <c r="H117" s="609">
        <v>2</v>
      </c>
      <c r="I117" s="609">
        <v>2</v>
      </c>
      <c r="J117" s="609">
        <v>23</v>
      </c>
      <c r="K117" s="606" t="s">
        <v>30</v>
      </c>
      <c r="L117" s="595">
        <f>M117+N117+O117+P117+Q117</f>
        <v>622232.68000000005</v>
      </c>
      <c r="M117" s="585">
        <v>620379</v>
      </c>
      <c r="N117" s="586"/>
      <c r="O117" s="587">
        <v>1853.68</v>
      </c>
      <c r="P117" s="586"/>
      <c r="Q117" s="586"/>
      <c r="R117" s="582">
        <f>M117/J117</f>
        <v>26973</v>
      </c>
      <c r="S117" s="586">
        <f t="shared" si="14"/>
        <v>5.1159076974727213E-11</v>
      </c>
      <c r="T117" s="588"/>
      <c r="U117" s="597">
        <f t="shared" si="11"/>
        <v>622232.68000000005</v>
      </c>
      <c r="V117" s="589"/>
      <c r="W117" s="600"/>
      <c r="X117" s="591"/>
      <c r="Y117" s="589"/>
      <c r="Z117" s="589"/>
      <c r="AA117" s="72"/>
      <c r="AC117" s="36"/>
      <c r="AD117" s="14"/>
      <c r="AF117" s="72"/>
    </row>
    <row r="118" spans="1:32" s="246" customFormat="1" ht="37.5" hidden="1">
      <c r="A118" s="591">
        <f>A117+1</f>
        <v>82</v>
      </c>
      <c r="B118" s="592" t="s">
        <v>527</v>
      </c>
      <c r="C118" s="665" t="s">
        <v>239</v>
      </c>
      <c r="D118" s="618">
        <v>12285</v>
      </c>
      <c r="E118" s="619">
        <v>2640</v>
      </c>
      <c r="F118" s="620" t="s">
        <v>222</v>
      </c>
      <c r="G118" s="594">
        <v>1055</v>
      </c>
      <c r="H118" s="620">
        <v>5</v>
      </c>
      <c r="I118" s="594">
        <v>3</v>
      </c>
      <c r="J118" s="620">
        <v>30</v>
      </c>
      <c r="K118" s="610" t="s">
        <v>30</v>
      </c>
      <c r="L118" s="595">
        <f>M118+N118+O118+P118+Q118</f>
        <v>1908451.9100000001</v>
      </c>
      <c r="M118" s="596">
        <v>1906034.06</v>
      </c>
      <c r="N118" s="597"/>
      <c r="O118" s="598">
        <v>2417.85</v>
      </c>
      <c r="P118" s="597">
        <v>0</v>
      </c>
      <c r="Q118" s="597"/>
      <c r="R118" s="582">
        <f>M118/J118</f>
        <v>63534.468666666668</v>
      </c>
      <c r="S118" s="586">
        <f t="shared" si="14"/>
        <v>9.3223206931725144E-11</v>
      </c>
      <c r="T118" s="588"/>
      <c r="U118" s="597">
        <f t="shared" si="11"/>
        <v>1908451.9100000001</v>
      </c>
      <c r="V118" s="589"/>
      <c r="W118" s="600"/>
      <c r="X118" s="591"/>
      <c r="Y118" s="589"/>
      <c r="Z118" s="589"/>
      <c r="AA118" s="72"/>
      <c r="AC118" s="36"/>
      <c r="AD118" s="14"/>
      <c r="AF118" s="72"/>
    </row>
    <row r="119" spans="1:32" s="439" customFormat="1" ht="37.5" hidden="1">
      <c r="A119" s="591">
        <f>A118+1</f>
        <v>83</v>
      </c>
      <c r="B119" s="592" t="s">
        <v>528</v>
      </c>
      <c r="C119" s="666" t="s">
        <v>271</v>
      </c>
      <c r="D119" s="618">
        <v>21932</v>
      </c>
      <c r="E119" s="619">
        <v>3720</v>
      </c>
      <c r="F119" s="653" t="s">
        <v>233</v>
      </c>
      <c r="G119" s="594">
        <v>912</v>
      </c>
      <c r="H119" s="640">
        <v>10</v>
      </c>
      <c r="I119" s="633">
        <v>2</v>
      </c>
      <c r="J119" s="633">
        <v>76</v>
      </c>
      <c r="K119" s="606" t="s">
        <v>30</v>
      </c>
      <c r="L119" s="1357">
        <f>M119+N119+O119+P119+Q119+M120+N120+O120+Q120</f>
        <v>14570891.189999999</v>
      </c>
      <c r="M119" s="635">
        <v>3546450</v>
      </c>
      <c r="N119" s="636"/>
      <c r="O119" s="641">
        <v>10596.75</v>
      </c>
      <c r="P119" s="636"/>
      <c r="Q119" s="638"/>
      <c r="R119" s="582">
        <f>M119/J119</f>
        <v>46663.815789473687</v>
      </c>
      <c r="S119" s="586">
        <f t="shared" si="14"/>
        <v>11013844.439999999</v>
      </c>
      <c r="T119" s="588"/>
      <c r="U119" s="597">
        <f t="shared" si="11"/>
        <v>3557046.75</v>
      </c>
      <c r="V119" s="589"/>
      <c r="W119" s="600"/>
      <c r="X119" s="667"/>
      <c r="Y119" s="667"/>
      <c r="Z119" s="667"/>
    </row>
    <row r="120" spans="1:32" s="439" customFormat="1" hidden="1">
      <c r="A120" s="591"/>
      <c r="B120" s="592"/>
      <c r="C120" s="666"/>
      <c r="D120" s="618"/>
      <c r="E120" s="619"/>
      <c r="F120" s="653"/>
      <c r="G120" s="594"/>
      <c r="H120" s="640"/>
      <c r="I120" s="633"/>
      <c r="J120" s="633"/>
      <c r="K120" s="606" t="s">
        <v>226</v>
      </c>
      <c r="L120" s="1357"/>
      <c r="M120" s="635">
        <v>10989569.43</v>
      </c>
      <c r="N120" s="636">
        <v>24275.01</v>
      </c>
      <c r="O120" s="641"/>
      <c r="P120" s="636"/>
      <c r="Q120" s="638"/>
      <c r="R120" s="616">
        <f>M120/E119</f>
        <v>2954.1853306451612</v>
      </c>
      <c r="S120" s="586">
        <f t="shared" si="14"/>
        <v>-11013844.439999999</v>
      </c>
      <c r="T120" s="588"/>
      <c r="U120" s="597">
        <f t="shared" si="11"/>
        <v>11013844.439999999</v>
      </c>
      <c r="V120" s="589"/>
      <c r="W120" s="600"/>
      <c r="X120" s="667"/>
      <c r="Y120" s="667"/>
      <c r="Z120" s="667"/>
    </row>
    <row r="121" spans="1:32" s="519" customFormat="1" ht="37.5" hidden="1">
      <c r="A121" s="591">
        <f>A119+1</f>
        <v>84</v>
      </c>
      <c r="B121" s="592" t="s">
        <v>529</v>
      </c>
      <c r="C121" s="617" t="s">
        <v>271</v>
      </c>
      <c r="D121" s="618">
        <v>9868</v>
      </c>
      <c r="E121" s="619">
        <v>2279</v>
      </c>
      <c r="F121" s="620" t="s">
        <v>222</v>
      </c>
      <c r="G121" s="594">
        <v>1147</v>
      </c>
      <c r="H121" s="620">
        <v>4</v>
      </c>
      <c r="I121" s="620">
        <v>4</v>
      </c>
      <c r="J121" s="620">
        <v>64</v>
      </c>
      <c r="K121" s="610" t="s">
        <v>30</v>
      </c>
      <c r="L121" s="595">
        <f t="shared" ref="L121:L126" si="15">M121+N121+O121+P121+Q121</f>
        <v>1731430.08</v>
      </c>
      <c r="M121" s="596">
        <v>1726272</v>
      </c>
      <c r="N121" s="586"/>
      <c r="O121" s="598">
        <v>5158.08</v>
      </c>
      <c r="P121" s="597"/>
      <c r="Q121" s="597"/>
      <c r="R121" s="582">
        <f>M121/J121</f>
        <v>26973</v>
      </c>
      <c r="S121" s="586">
        <f t="shared" si="14"/>
        <v>7.4578565545380116E-11</v>
      </c>
      <c r="T121" s="588"/>
      <c r="U121" s="597">
        <f t="shared" si="11"/>
        <v>1731430.08</v>
      </c>
      <c r="V121" s="589"/>
      <c r="W121" s="600"/>
      <c r="X121" s="659"/>
      <c r="Y121" s="659"/>
      <c r="Z121" s="659"/>
    </row>
    <row r="122" spans="1:32" s="75" customFormat="1" ht="37.5" hidden="1">
      <c r="A122" s="591">
        <f t="shared" ref="A122:A127" si="16">A121+1</f>
        <v>85</v>
      </c>
      <c r="B122" s="616" t="s">
        <v>530</v>
      </c>
      <c r="C122" s="665" t="s">
        <v>217</v>
      </c>
      <c r="D122" s="618">
        <v>12352</v>
      </c>
      <c r="E122" s="619">
        <v>2770</v>
      </c>
      <c r="F122" s="620" t="s">
        <v>233</v>
      </c>
      <c r="G122" s="594">
        <v>1148</v>
      </c>
      <c r="H122" s="620">
        <v>5</v>
      </c>
      <c r="I122" s="620">
        <v>4</v>
      </c>
      <c r="J122" s="620">
        <v>80</v>
      </c>
      <c r="K122" s="606" t="s">
        <v>30</v>
      </c>
      <c r="L122" s="595">
        <f t="shared" si="15"/>
        <v>2164287.6</v>
      </c>
      <c r="M122" s="596">
        <v>2157840</v>
      </c>
      <c r="N122" s="586"/>
      <c r="O122" s="598">
        <v>6447.6</v>
      </c>
      <c r="P122" s="597"/>
      <c r="Q122" s="586"/>
      <c r="R122" s="582">
        <f>M122/J122</f>
        <v>26973</v>
      </c>
      <c r="S122" s="586">
        <f t="shared" si="14"/>
        <v>9.276845958083868E-11</v>
      </c>
      <c r="T122" s="605"/>
      <c r="U122" s="597">
        <f t="shared" si="11"/>
        <v>2164287.6</v>
      </c>
      <c r="V122" s="589"/>
      <c r="W122" s="600"/>
      <c r="X122" s="601"/>
      <c r="Y122" s="601"/>
      <c r="Z122" s="601"/>
    </row>
    <row r="123" spans="1:32" s="519" customFormat="1" ht="409.5" hidden="1">
      <c r="A123" s="591">
        <f t="shared" si="16"/>
        <v>86</v>
      </c>
      <c r="B123" s="592" t="s">
        <v>531</v>
      </c>
      <c r="C123" s="593" t="s">
        <v>271</v>
      </c>
      <c r="D123" s="603">
        <v>11714</v>
      </c>
      <c r="E123" s="594">
        <v>2434</v>
      </c>
      <c r="F123" s="643" t="s">
        <v>233</v>
      </c>
      <c r="G123" s="603">
        <v>372</v>
      </c>
      <c r="H123" s="609">
        <v>10</v>
      </c>
      <c r="I123" s="609">
        <v>1</v>
      </c>
      <c r="J123" s="609">
        <v>48</v>
      </c>
      <c r="K123" s="590" t="s">
        <v>366</v>
      </c>
      <c r="L123" s="595">
        <f t="shared" si="15"/>
        <v>2273575</v>
      </c>
      <c r="M123" s="611">
        <v>2189000</v>
      </c>
      <c r="N123" s="612">
        <v>84575</v>
      </c>
      <c r="O123" s="613"/>
      <c r="P123" s="586"/>
      <c r="Q123" s="614"/>
      <c r="R123" s="582">
        <v>2200000</v>
      </c>
      <c r="S123" s="586">
        <f t="shared" si="14"/>
        <v>0</v>
      </c>
      <c r="T123" s="588" t="s">
        <v>3695</v>
      </c>
      <c r="U123" s="597">
        <f t="shared" si="11"/>
        <v>2273575</v>
      </c>
      <c r="V123" s="589"/>
      <c r="W123" s="600"/>
      <c r="X123" s="659"/>
      <c r="Y123" s="659"/>
      <c r="Z123" s="659"/>
    </row>
    <row r="124" spans="1:32" s="75" customFormat="1" ht="37.5" hidden="1">
      <c r="A124" s="591">
        <f t="shared" si="16"/>
        <v>87</v>
      </c>
      <c r="B124" s="592" t="s">
        <v>532</v>
      </c>
      <c r="C124" s="593" t="s">
        <v>217</v>
      </c>
      <c r="D124" s="594">
        <v>12046</v>
      </c>
      <c r="E124" s="668">
        <v>2480</v>
      </c>
      <c r="F124" s="594" t="s">
        <v>222</v>
      </c>
      <c r="G124" s="594">
        <v>1149</v>
      </c>
      <c r="H124" s="594">
        <v>5</v>
      </c>
      <c r="I124" s="594">
        <v>4</v>
      </c>
      <c r="J124" s="594">
        <v>80</v>
      </c>
      <c r="K124" s="590" t="s">
        <v>3815</v>
      </c>
      <c r="L124" s="595">
        <f t="shared" si="15"/>
        <v>4094622.72</v>
      </c>
      <c r="M124" s="585">
        <f>3860775.47+188892.25</f>
        <v>4049667.72</v>
      </c>
      <c r="N124" s="636">
        <v>44955</v>
      </c>
      <c r="O124" s="587"/>
      <c r="P124" s="586"/>
      <c r="Q124" s="638"/>
      <c r="R124" s="599">
        <f>M124/E124</f>
        <v>1632.9305322580647</v>
      </c>
      <c r="S124" s="586">
        <f t="shared" si="14"/>
        <v>0</v>
      </c>
      <c r="T124" s="605"/>
      <c r="U124" s="597">
        <f t="shared" si="11"/>
        <v>4094622.72</v>
      </c>
      <c r="V124" s="589"/>
      <c r="W124" s="600"/>
      <c r="X124" s="601"/>
      <c r="Y124" s="601"/>
      <c r="Z124" s="601"/>
    </row>
    <row r="125" spans="1:32" s="519" customFormat="1" hidden="1">
      <c r="A125" s="591">
        <f t="shared" si="16"/>
        <v>88</v>
      </c>
      <c r="B125" s="592" t="s">
        <v>533</v>
      </c>
      <c r="C125" s="652" t="s">
        <v>217</v>
      </c>
      <c r="D125" s="618">
        <v>17771</v>
      </c>
      <c r="E125" s="619">
        <v>4147.8999999999996</v>
      </c>
      <c r="F125" s="653" t="s">
        <v>233</v>
      </c>
      <c r="G125" s="633">
        <v>696</v>
      </c>
      <c r="H125" s="640">
        <v>9</v>
      </c>
      <c r="I125" s="633">
        <v>2</v>
      </c>
      <c r="J125" s="633">
        <v>79</v>
      </c>
      <c r="K125" s="669" t="s">
        <v>33</v>
      </c>
      <c r="L125" s="595">
        <f t="shared" si="15"/>
        <v>1458654.88</v>
      </c>
      <c r="M125" s="635">
        <v>1454292</v>
      </c>
      <c r="N125" s="636"/>
      <c r="O125" s="641">
        <v>4362.88</v>
      </c>
      <c r="P125" s="636"/>
      <c r="Q125" s="638"/>
      <c r="R125" s="582">
        <f>M125/G125</f>
        <v>2089.5</v>
      </c>
      <c r="S125" s="586">
        <f t="shared" si="14"/>
        <v>-1.1186784831807017E-10</v>
      </c>
      <c r="T125" s="588"/>
      <c r="U125" s="597">
        <f t="shared" si="11"/>
        <v>1458654.88</v>
      </c>
      <c r="V125" s="589"/>
      <c r="W125" s="600"/>
      <c r="X125" s="659"/>
      <c r="Y125" s="659"/>
      <c r="Z125" s="659"/>
    </row>
    <row r="126" spans="1:32" s="75" customFormat="1" hidden="1">
      <c r="A126" s="591">
        <f t="shared" si="16"/>
        <v>89</v>
      </c>
      <c r="B126" s="592" t="s">
        <v>534</v>
      </c>
      <c r="C126" s="602" t="s">
        <v>271</v>
      </c>
      <c r="D126" s="644">
        <v>2482</v>
      </c>
      <c r="E126" s="593">
        <v>3741</v>
      </c>
      <c r="F126" s="608" t="s">
        <v>222</v>
      </c>
      <c r="G126" s="593">
        <v>504.1</v>
      </c>
      <c r="H126" s="593">
        <v>2</v>
      </c>
      <c r="I126" s="593">
        <v>2</v>
      </c>
      <c r="J126" s="593">
        <v>16</v>
      </c>
      <c r="K126" s="590" t="s">
        <v>33</v>
      </c>
      <c r="L126" s="595">
        <f t="shared" si="15"/>
        <v>1314572.0699999998</v>
      </c>
      <c r="M126" s="627">
        <v>1310358.7999999998</v>
      </c>
      <c r="N126" s="586"/>
      <c r="O126" s="587">
        <v>4213.2700000000004</v>
      </c>
      <c r="P126" s="586"/>
      <c r="Q126" s="586"/>
      <c r="R126" s="582">
        <f>M126/G126</f>
        <v>2599.4024995040663</v>
      </c>
      <c r="S126" s="586">
        <f t="shared" si="14"/>
        <v>1.8189894035458565E-11</v>
      </c>
      <c r="T126" s="588"/>
      <c r="U126" s="597">
        <f t="shared" si="11"/>
        <v>1314572.0699999998</v>
      </c>
      <c r="V126" s="589"/>
      <c r="W126" s="600"/>
      <c r="X126" s="601"/>
      <c r="Y126" s="601"/>
      <c r="Z126" s="601"/>
    </row>
    <row r="127" spans="1:32" s="75" customFormat="1" ht="37.5" hidden="1">
      <c r="A127" s="591">
        <f t="shared" si="16"/>
        <v>90</v>
      </c>
      <c r="B127" s="592" t="s">
        <v>535</v>
      </c>
      <c r="C127" s="593" t="s">
        <v>217</v>
      </c>
      <c r="D127" s="594">
        <v>30861</v>
      </c>
      <c r="E127" s="594">
        <v>2856</v>
      </c>
      <c r="F127" s="594" t="s">
        <v>233</v>
      </c>
      <c r="G127" s="594">
        <f>1458-121.5</f>
        <v>1336.5</v>
      </c>
      <c r="H127" s="594">
        <v>9</v>
      </c>
      <c r="I127" s="594">
        <v>4</v>
      </c>
      <c r="J127" s="594">
        <v>144</v>
      </c>
      <c r="K127" s="590" t="s">
        <v>30</v>
      </c>
      <c r="L127" s="1357">
        <f>M127+N127+O127+P127+Q127+M128+N128+O128+Q128</f>
        <v>14822711.019999998</v>
      </c>
      <c r="M127" s="596">
        <v>4584960</v>
      </c>
      <c r="N127" s="597"/>
      <c r="O127" s="587">
        <v>13754.88</v>
      </c>
      <c r="P127" s="594"/>
      <c r="Q127" s="597"/>
      <c r="R127" s="599">
        <f>M127/J127</f>
        <v>31840</v>
      </c>
      <c r="S127" s="586">
        <f t="shared" si="14"/>
        <v>10223996.139999997</v>
      </c>
      <c r="T127" s="588"/>
      <c r="U127" s="597">
        <f t="shared" si="11"/>
        <v>4598714.88</v>
      </c>
      <c r="V127" s="589"/>
      <c r="W127" s="600"/>
      <c r="X127" s="601"/>
      <c r="Y127" s="601"/>
      <c r="Z127" s="601"/>
    </row>
    <row r="128" spans="1:32" s="75" customFormat="1" hidden="1">
      <c r="A128" s="591"/>
      <c r="B128" s="592"/>
      <c r="C128" s="593"/>
      <c r="D128" s="594"/>
      <c r="E128" s="594"/>
      <c r="F128" s="594"/>
      <c r="G128" s="594"/>
      <c r="H128" s="594"/>
      <c r="I128" s="594"/>
      <c r="J128" s="594"/>
      <c r="K128" s="590" t="s">
        <v>226</v>
      </c>
      <c r="L128" s="1357"/>
      <c r="M128" s="596">
        <v>10197484.359999999</v>
      </c>
      <c r="N128" s="597">
        <v>26511.78</v>
      </c>
      <c r="O128" s="587"/>
      <c r="P128" s="594"/>
      <c r="Q128" s="597"/>
      <c r="R128" s="608">
        <f>M128/E127</f>
        <v>3570.5477450980388</v>
      </c>
      <c r="S128" s="586">
        <f t="shared" si="14"/>
        <v>-10223996.139999999</v>
      </c>
      <c r="T128" s="588"/>
      <c r="U128" s="597">
        <f t="shared" si="11"/>
        <v>10223996.139999999</v>
      </c>
      <c r="V128" s="589"/>
      <c r="W128" s="600"/>
      <c r="X128" s="601"/>
      <c r="Y128" s="601"/>
      <c r="Z128" s="601"/>
    </row>
    <row r="129" spans="1:26" s="75" customFormat="1" hidden="1">
      <c r="A129" s="591">
        <f>A127+1</f>
        <v>91</v>
      </c>
      <c r="B129" s="592" t="s">
        <v>536</v>
      </c>
      <c r="C129" s="593" t="s">
        <v>239</v>
      </c>
      <c r="D129" s="644">
        <v>3416</v>
      </c>
      <c r="E129" s="593">
        <v>480</v>
      </c>
      <c r="F129" s="608" t="s">
        <v>222</v>
      </c>
      <c r="G129" s="593">
        <v>548.20000000000005</v>
      </c>
      <c r="H129" s="593">
        <v>2</v>
      </c>
      <c r="I129" s="593">
        <v>1</v>
      </c>
      <c r="J129" s="593">
        <v>26</v>
      </c>
      <c r="K129" s="590" t="s">
        <v>224</v>
      </c>
      <c r="L129" s="595">
        <f>M129+N129+O129+P129+Q129</f>
        <v>345156.52</v>
      </c>
      <c r="M129" s="585">
        <v>310191.52</v>
      </c>
      <c r="N129" s="586">
        <v>34965</v>
      </c>
      <c r="O129" s="587"/>
      <c r="P129" s="586"/>
      <c r="Q129" s="586"/>
      <c r="R129" s="582">
        <f>M129/J129</f>
        <v>11930.443076923078</v>
      </c>
      <c r="S129" s="586">
        <f t="shared" si="14"/>
        <v>0</v>
      </c>
      <c r="T129" s="588"/>
      <c r="U129" s="597">
        <f t="shared" si="11"/>
        <v>345156.52</v>
      </c>
      <c r="V129" s="589"/>
      <c r="W129" s="600"/>
      <c r="X129" s="601"/>
      <c r="Y129" s="601"/>
      <c r="Z129" s="601"/>
    </row>
    <row r="130" spans="1:26" s="75" customFormat="1" hidden="1">
      <c r="A130" s="591">
        <f>A129+1</f>
        <v>92</v>
      </c>
      <c r="B130" s="592" t="s">
        <v>537</v>
      </c>
      <c r="C130" s="602" t="s">
        <v>271</v>
      </c>
      <c r="D130" s="644">
        <v>3448</v>
      </c>
      <c r="E130" s="593">
        <v>3127</v>
      </c>
      <c r="F130" s="593" t="s">
        <v>222</v>
      </c>
      <c r="G130" s="593">
        <v>646</v>
      </c>
      <c r="H130" s="593">
        <v>2</v>
      </c>
      <c r="I130" s="593">
        <v>1</v>
      </c>
      <c r="J130" s="593">
        <v>21</v>
      </c>
      <c r="K130" s="590" t="s">
        <v>224</v>
      </c>
      <c r="L130" s="595">
        <f>M130+N130+O130+P130+Q130</f>
        <v>370629</v>
      </c>
      <c r="M130" s="585">
        <v>335664</v>
      </c>
      <c r="N130" s="586">
        <v>34965</v>
      </c>
      <c r="O130" s="587"/>
      <c r="P130" s="586"/>
      <c r="Q130" s="586"/>
      <c r="R130" s="582">
        <f>M130/J130</f>
        <v>15984</v>
      </c>
      <c r="S130" s="586">
        <f t="shared" si="14"/>
        <v>0</v>
      </c>
      <c r="T130" s="588"/>
      <c r="U130" s="597">
        <f t="shared" si="11"/>
        <v>370629</v>
      </c>
      <c r="V130" s="589"/>
      <c r="W130" s="600"/>
      <c r="X130" s="601"/>
      <c r="Y130" s="601"/>
      <c r="Z130" s="601"/>
    </row>
    <row r="131" spans="1:26" s="75" customFormat="1" hidden="1">
      <c r="A131" s="591">
        <f>A130+1</f>
        <v>93</v>
      </c>
      <c r="B131" s="592" t="s">
        <v>538</v>
      </c>
      <c r="C131" s="602" t="s">
        <v>271</v>
      </c>
      <c r="D131" s="644">
        <v>3420</v>
      </c>
      <c r="E131" s="593">
        <v>480</v>
      </c>
      <c r="F131" s="608" t="s">
        <v>222</v>
      </c>
      <c r="G131" s="593">
        <v>539</v>
      </c>
      <c r="H131" s="593">
        <v>2</v>
      </c>
      <c r="I131" s="593">
        <v>1</v>
      </c>
      <c r="J131" s="593">
        <v>31</v>
      </c>
      <c r="K131" s="590" t="s">
        <v>224</v>
      </c>
      <c r="L131" s="595">
        <f>M131+N131+O131+P131+Q131</f>
        <v>344243.51</v>
      </c>
      <c r="M131" s="585">
        <v>309278.51</v>
      </c>
      <c r="N131" s="586">
        <v>34965</v>
      </c>
      <c r="O131" s="587"/>
      <c r="P131" s="586"/>
      <c r="Q131" s="586"/>
      <c r="R131" s="582">
        <f>M131/J131</f>
        <v>9976.7261290322585</v>
      </c>
      <c r="S131" s="586">
        <f t="shared" si="14"/>
        <v>0</v>
      </c>
      <c r="T131" s="605"/>
      <c r="U131" s="597">
        <f t="shared" si="11"/>
        <v>344243.51</v>
      </c>
      <c r="V131" s="589"/>
      <c r="W131" s="600"/>
      <c r="X131" s="601"/>
      <c r="Y131" s="601"/>
      <c r="Z131" s="601"/>
    </row>
    <row r="132" spans="1:26" s="75" customFormat="1" ht="37.5" hidden="1">
      <c r="A132" s="1349">
        <v>94</v>
      </c>
      <c r="B132" s="592" t="s">
        <v>539</v>
      </c>
      <c r="C132" s="602" t="s">
        <v>271</v>
      </c>
      <c r="D132" s="618">
        <v>27733</v>
      </c>
      <c r="E132" s="619">
        <v>3533</v>
      </c>
      <c r="F132" s="604" t="s">
        <v>233</v>
      </c>
      <c r="G132" s="633">
        <v>1150</v>
      </c>
      <c r="H132" s="640">
        <v>9</v>
      </c>
      <c r="I132" s="633">
        <v>1</v>
      </c>
      <c r="J132" s="633">
        <v>144</v>
      </c>
      <c r="K132" s="606" t="s">
        <v>30</v>
      </c>
      <c r="L132" s="1357">
        <f>M132+N132+O132+P132+Q132+M133+N133+O133+P133+Q133</f>
        <v>8455267.2699999996</v>
      </c>
      <c r="M132" s="635">
        <v>6039000</v>
      </c>
      <c r="N132" s="636"/>
      <c r="O132" s="641">
        <v>18208.5</v>
      </c>
      <c r="P132" s="636"/>
      <c r="Q132" s="638"/>
      <c r="R132" s="582">
        <f>M132/J132</f>
        <v>41937.5</v>
      </c>
      <c r="S132" s="586">
        <f t="shared" si="14"/>
        <v>2398058.7699999996</v>
      </c>
      <c r="T132" s="588"/>
      <c r="U132" s="597">
        <f t="shared" si="11"/>
        <v>6057208.5</v>
      </c>
      <c r="V132" s="589"/>
      <c r="W132" s="600"/>
      <c r="X132" s="601"/>
      <c r="Y132" s="601"/>
      <c r="Z132" s="601"/>
    </row>
    <row r="133" spans="1:26" s="75" customFormat="1" hidden="1">
      <c r="A133" s="1349"/>
      <c r="B133" s="592"/>
      <c r="C133" s="652"/>
      <c r="D133" s="618"/>
      <c r="E133" s="619"/>
      <c r="F133" s="604"/>
      <c r="G133" s="633"/>
      <c r="H133" s="640"/>
      <c r="I133" s="633"/>
      <c r="J133" s="633"/>
      <c r="K133" s="669" t="s">
        <v>33</v>
      </c>
      <c r="L133" s="1357"/>
      <c r="M133" s="635">
        <v>2390850</v>
      </c>
      <c r="N133" s="636"/>
      <c r="O133" s="641">
        <v>7208.77</v>
      </c>
      <c r="P133" s="636"/>
      <c r="Q133" s="638"/>
      <c r="R133" s="582">
        <f>M133/G132</f>
        <v>2079</v>
      </c>
      <c r="S133" s="586">
        <f t="shared" si="14"/>
        <v>-2398058.77</v>
      </c>
      <c r="T133" s="605"/>
      <c r="U133" s="597">
        <f t="shared" si="11"/>
        <v>2398058.77</v>
      </c>
      <c r="V133" s="589"/>
      <c r="W133" s="600"/>
      <c r="X133" s="601"/>
      <c r="Y133" s="601"/>
      <c r="Z133" s="601"/>
    </row>
    <row r="134" spans="1:26" s="75" customFormat="1" hidden="1">
      <c r="A134" s="1349">
        <v>95</v>
      </c>
      <c r="B134" s="592" t="s">
        <v>540</v>
      </c>
      <c r="C134" s="617" t="s">
        <v>217</v>
      </c>
      <c r="D134" s="618">
        <v>9275</v>
      </c>
      <c r="E134" s="619">
        <v>1822</v>
      </c>
      <c r="F134" s="608" t="s">
        <v>222</v>
      </c>
      <c r="G134" s="633">
        <v>843</v>
      </c>
      <c r="H134" s="640">
        <v>5</v>
      </c>
      <c r="I134" s="633">
        <v>3</v>
      </c>
      <c r="J134" s="633">
        <v>60</v>
      </c>
      <c r="K134" s="590" t="s">
        <v>224</v>
      </c>
      <c r="L134" s="1357">
        <f>M134+N134+O134+P134+Q134+M135+N135+O135+P135+Q135</f>
        <v>2617220.7000000002</v>
      </c>
      <c r="M134" s="635">
        <v>959040</v>
      </c>
      <c r="N134" s="636">
        <v>34965</v>
      </c>
      <c r="O134" s="641"/>
      <c r="P134" s="636"/>
      <c r="Q134" s="638"/>
      <c r="R134" s="582">
        <f>M134/J134</f>
        <v>15984</v>
      </c>
      <c r="S134" s="586">
        <f t="shared" si="14"/>
        <v>1623215.7000000002</v>
      </c>
      <c r="T134" s="588"/>
      <c r="U134" s="597">
        <f t="shared" si="11"/>
        <v>994005</v>
      </c>
      <c r="V134" s="589"/>
      <c r="W134" s="600"/>
      <c r="X134" s="601"/>
      <c r="Y134" s="601"/>
      <c r="Z134" s="601"/>
    </row>
    <row r="135" spans="1:26" s="75" customFormat="1" ht="37.5" hidden="1">
      <c r="A135" s="1349"/>
      <c r="B135" s="592"/>
      <c r="C135" s="617"/>
      <c r="D135" s="618"/>
      <c r="E135" s="619"/>
      <c r="F135" s="608"/>
      <c r="G135" s="633"/>
      <c r="H135" s="640"/>
      <c r="I135" s="633"/>
      <c r="J135" s="633"/>
      <c r="K135" s="606" t="s">
        <v>30</v>
      </c>
      <c r="L135" s="1357"/>
      <c r="M135" s="635">
        <v>1618380</v>
      </c>
      <c r="N135" s="636"/>
      <c r="O135" s="641">
        <v>4835.7</v>
      </c>
      <c r="P135" s="636"/>
      <c r="Q135" s="638"/>
      <c r="R135" s="582">
        <f>M135/J134</f>
        <v>26973</v>
      </c>
      <c r="S135" s="586">
        <f t="shared" si="14"/>
        <v>-1623215.7</v>
      </c>
      <c r="T135" s="588"/>
      <c r="U135" s="597">
        <f t="shared" si="11"/>
        <v>1623215.7</v>
      </c>
      <c r="V135" s="589"/>
      <c r="W135" s="600"/>
      <c r="X135" s="601"/>
      <c r="Y135" s="601"/>
      <c r="Z135" s="601"/>
    </row>
    <row r="136" spans="1:26" s="75" customFormat="1" hidden="1">
      <c r="A136" s="591">
        <v>96</v>
      </c>
      <c r="B136" s="592" t="s">
        <v>541</v>
      </c>
      <c r="C136" s="602" t="s">
        <v>271</v>
      </c>
      <c r="D136" s="618">
        <v>16856</v>
      </c>
      <c r="E136" s="619">
        <v>2568.3000000000002</v>
      </c>
      <c r="F136" s="608" t="s">
        <v>222</v>
      </c>
      <c r="G136" s="633">
        <v>1028</v>
      </c>
      <c r="H136" s="640">
        <v>5</v>
      </c>
      <c r="I136" s="633">
        <v>2</v>
      </c>
      <c r="J136" s="633">
        <v>116</v>
      </c>
      <c r="K136" s="590" t="s">
        <v>224</v>
      </c>
      <c r="L136" s="595">
        <f>M136+N136+O136+P136+Q136</f>
        <v>1889109</v>
      </c>
      <c r="M136" s="635">
        <v>1854144</v>
      </c>
      <c r="N136" s="636">
        <v>34965</v>
      </c>
      <c r="O136" s="641"/>
      <c r="P136" s="636"/>
      <c r="Q136" s="638"/>
      <c r="R136" s="582">
        <f>M136/J136</f>
        <v>15984</v>
      </c>
      <c r="S136" s="586">
        <f t="shared" si="14"/>
        <v>0</v>
      </c>
      <c r="T136" s="605"/>
      <c r="U136" s="597">
        <f t="shared" si="11"/>
        <v>1889109</v>
      </c>
      <c r="V136" s="589"/>
      <c r="W136" s="600"/>
      <c r="X136" s="601"/>
      <c r="Y136" s="601"/>
      <c r="Z136" s="601"/>
    </row>
    <row r="137" spans="1:26" s="75" customFormat="1" ht="37.5" hidden="1">
      <c r="A137" s="591">
        <f>A136+1</f>
        <v>97</v>
      </c>
      <c r="B137" s="592" t="s">
        <v>542</v>
      </c>
      <c r="C137" s="602" t="s">
        <v>271</v>
      </c>
      <c r="D137" s="603">
        <v>12197</v>
      </c>
      <c r="E137" s="594">
        <v>606</v>
      </c>
      <c r="F137" s="604" t="s">
        <v>233</v>
      </c>
      <c r="G137" s="603">
        <v>595</v>
      </c>
      <c r="H137" s="609">
        <v>9</v>
      </c>
      <c r="I137" s="609">
        <v>1</v>
      </c>
      <c r="J137" s="609">
        <v>49</v>
      </c>
      <c r="K137" s="606" t="s">
        <v>30</v>
      </c>
      <c r="L137" s="595">
        <f>M137+N137+O137+P137+Q137</f>
        <v>1571089.21</v>
      </c>
      <c r="M137" s="585">
        <v>1566408.73</v>
      </c>
      <c r="N137" s="586"/>
      <c r="O137" s="613">
        <v>4680.4799999999996</v>
      </c>
      <c r="P137" s="586"/>
      <c r="Q137" s="614"/>
      <c r="R137" s="582">
        <f>M137/J137</f>
        <v>31967.525102040818</v>
      </c>
      <c r="S137" s="586">
        <f t="shared" si="14"/>
        <v>-1.8189894035458565E-11</v>
      </c>
      <c r="T137" s="588"/>
      <c r="U137" s="597">
        <f t="shared" si="11"/>
        <v>1571089.21</v>
      </c>
      <c r="V137" s="589"/>
      <c r="W137" s="600"/>
      <c r="X137" s="601"/>
      <c r="Y137" s="601"/>
      <c r="Z137" s="601"/>
    </row>
    <row r="138" spans="1:26" s="75" customFormat="1" ht="37.5" hidden="1">
      <c r="A138" s="591">
        <v>98</v>
      </c>
      <c r="B138" s="592" t="s">
        <v>543</v>
      </c>
      <c r="C138" s="593" t="s">
        <v>217</v>
      </c>
      <c r="D138" s="594">
        <v>9969</v>
      </c>
      <c r="E138" s="593">
        <v>2046</v>
      </c>
      <c r="F138" s="593" t="s">
        <v>233</v>
      </c>
      <c r="G138" s="593">
        <v>860</v>
      </c>
      <c r="H138" s="593">
        <v>5</v>
      </c>
      <c r="I138" s="593">
        <v>4</v>
      </c>
      <c r="J138" s="593">
        <v>60</v>
      </c>
      <c r="K138" s="590" t="s">
        <v>30</v>
      </c>
      <c r="L138" s="595">
        <f>M138+N138+O138+P138+Q138</f>
        <v>1624025.7</v>
      </c>
      <c r="M138" s="623">
        <v>1619190</v>
      </c>
      <c r="N138" s="586"/>
      <c r="O138" s="598">
        <v>4835.7</v>
      </c>
      <c r="P138" s="586"/>
      <c r="Q138" s="586"/>
      <c r="R138" s="582">
        <f>M138/J138</f>
        <v>26986.5</v>
      </c>
      <c r="S138" s="586">
        <f t="shared" si="14"/>
        <v>-4.638422979041934E-11</v>
      </c>
      <c r="T138" s="588"/>
      <c r="U138" s="597">
        <f t="shared" si="11"/>
        <v>1624025.7</v>
      </c>
      <c r="V138" s="589"/>
      <c r="W138" s="600"/>
      <c r="X138" s="601"/>
      <c r="Y138" s="601"/>
      <c r="Z138" s="601"/>
    </row>
    <row r="139" spans="1:26" s="75" customFormat="1" ht="37.5" hidden="1">
      <c r="A139" s="1383">
        <v>99</v>
      </c>
      <c r="B139" s="592" t="s">
        <v>544</v>
      </c>
      <c r="C139" s="617" t="s">
        <v>217</v>
      </c>
      <c r="D139" s="618">
        <v>14188</v>
      </c>
      <c r="E139" s="619">
        <v>2431</v>
      </c>
      <c r="F139" s="653" t="s">
        <v>222</v>
      </c>
      <c r="G139" s="633">
        <v>1145</v>
      </c>
      <c r="H139" s="640">
        <v>5</v>
      </c>
      <c r="I139" s="633">
        <v>4</v>
      </c>
      <c r="J139" s="633">
        <v>64</v>
      </c>
      <c r="K139" s="606" t="s">
        <v>30</v>
      </c>
      <c r="L139" s="1357">
        <f>M139+N139+O139+P139+Q139+M140+N140+O140+P140+Q140</f>
        <v>5746884.9699999997</v>
      </c>
      <c r="M139" s="635">
        <v>1726272</v>
      </c>
      <c r="N139" s="636"/>
      <c r="O139" s="587">
        <v>5158.08</v>
      </c>
      <c r="P139" s="586"/>
      <c r="Q139" s="586"/>
      <c r="R139" s="582">
        <f>M139/J139</f>
        <v>26973</v>
      </c>
      <c r="S139" s="586">
        <f t="shared" si="14"/>
        <v>4015454.8899999997</v>
      </c>
      <c r="T139" s="588"/>
      <c r="U139" s="597">
        <f t="shared" si="11"/>
        <v>1731430.08</v>
      </c>
      <c r="V139" s="589"/>
      <c r="W139" s="600"/>
      <c r="X139" s="601"/>
      <c r="Y139" s="601"/>
      <c r="Z139" s="601"/>
    </row>
    <row r="140" spans="1:26" s="75" customFormat="1" hidden="1">
      <c r="A140" s="1383"/>
      <c r="B140" s="592"/>
      <c r="C140" s="652"/>
      <c r="D140" s="618"/>
      <c r="E140" s="619"/>
      <c r="F140" s="653"/>
      <c r="G140" s="633"/>
      <c r="H140" s="640"/>
      <c r="I140" s="633"/>
      <c r="J140" s="633"/>
      <c r="K140" s="606" t="s">
        <v>33</v>
      </c>
      <c r="L140" s="1357"/>
      <c r="M140" s="635">
        <v>4003492.5</v>
      </c>
      <c r="N140" s="636"/>
      <c r="O140" s="587">
        <v>11962.39</v>
      </c>
      <c r="P140" s="586"/>
      <c r="Q140" s="586"/>
      <c r="R140" s="582">
        <f>M140/G139</f>
        <v>3496.5</v>
      </c>
      <c r="S140" s="586">
        <f t="shared" si="14"/>
        <v>-4015454.89</v>
      </c>
      <c r="T140" s="605"/>
      <c r="U140" s="597">
        <f t="shared" si="11"/>
        <v>4015454.89</v>
      </c>
      <c r="V140" s="589"/>
      <c r="W140" s="600"/>
      <c r="X140" s="601"/>
      <c r="Y140" s="601"/>
      <c r="Z140" s="601"/>
    </row>
    <row r="141" spans="1:26" s="75" customFormat="1" hidden="1">
      <c r="A141" s="591">
        <v>100</v>
      </c>
      <c r="B141" s="592" t="s">
        <v>545</v>
      </c>
      <c r="C141" s="602" t="s">
        <v>271</v>
      </c>
      <c r="D141" s="618">
        <v>1620</v>
      </c>
      <c r="E141" s="619">
        <v>105.1</v>
      </c>
      <c r="F141" s="608" t="s">
        <v>222</v>
      </c>
      <c r="G141" s="619">
        <v>294</v>
      </c>
      <c r="H141" s="594">
        <v>2</v>
      </c>
      <c r="I141" s="594">
        <v>2</v>
      </c>
      <c r="J141" s="582">
        <v>10</v>
      </c>
      <c r="K141" s="590" t="s">
        <v>33</v>
      </c>
      <c r="L141" s="595">
        <f>M141+N141+O141+P141+Q141</f>
        <v>791092.39</v>
      </c>
      <c r="M141" s="623">
        <v>788635.14</v>
      </c>
      <c r="N141" s="586"/>
      <c r="O141" s="587">
        <v>2457.25</v>
      </c>
      <c r="P141" s="586"/>
      <c r="Q141" s="586"/>
      <c r="R141" s="582">
        <f>M141/G141</f>
        <v>2682.4324489795918</v>
      </c>
      <c r="S141" s="586">
        <f t="shared" si="14"/>
        <v>0</v>
      </c>
      <c r="T141" s="588"/>
      <c r="U141" s="597">
        <f t="shared" si="11"/>
        <v>791092.39</v>
      </c>
      <c r="V141" s="589"/>
      <c r="W141" s="600"/>
      <c r="X141" s="601"/>
      <c r="Y141" s="601"/>
      <c r="Z141" s="601"/>
    </row>
    <row r="142" spans="1:26" s="75" customFormat="1" ht="409.5" hidden="1">
      <c r="A142" s="591">
        <f>A141+1</f>
        <v>101</v>
      </c>
      <c r="B142" s="592" t="s">
        <v>546</v>
      </c>
      <c r="C142" s="593" t="s">
        <v>271</v>
      </c>
      <c r="D142" s="603">
        <v>32813</v>
      </c>
      <c r="E142" s="594"/>
      <c r="F142" s="643" t="s">
        <v>233</v>
      </c>
      <c r="G142" s="603">
        <v>620.9</v>
      </c>
      <c r="H142" s="609">
        <v>15</v>
      </c>
      <c r="I142" s="609">
        <v>1</v>
      </c>
      <c r="J142" s="609">
        <v>90</v>
      </c>
      <c r="K142" s="590" t="s">
        <v>366</v>
      </c>
      <c r="L142" s="595">
        <f>M142+N142+O142+P142+Q142</f>
        <v>2020575</v>
      </c>
      <c r="M142" s="611">
        <v>1936000</v>
      </c>
      <c r="N142" s="612">
        <v>84575</v>
      </c>
      <c r="O142" s="613"/>
      <c r="P142" s="586"/>
      <c r="Q142" s="614"/>
      <c r="R142" s="582">
        <v>2200000</v>
      </c>
      <c r="S142" s="586">
        <f t="shared" si="14"/>
        <v>0</v>
      </c>
      <c r="T142" s="588" t="s">
        <v>3695</v>
      </c>
      <c r="U142" s="597">
        <f t="shared" si="11"/>
        <v>2020575</v>
      </c>
      <c r="V142" s="589"/>
      <c r="W142" s="600"/>
      <c r="X142" s="601"/>
      <c r="Y142" s="601"/>
      <c r="Z142" s="601"/>
    </row>
    <row r="143" spans="1:26" s="249" customFormat="1" hidden="1">
      <c r="A143" s="591">
        <f>A142+1</f>
        <v>102</v>
      </c>
      <c r="B143" s="592" t="s">
        <v>547</v>
      </c>
      <c r="C143" s="602" t="s">
        <v>372</v>
      </c>
      <c r="D143" s="644">
        <v>4281</v>
      </c>
      <c r="E143" s="593">
        <v>750</v>
      </c>
      <c r="F143" s="608" t="s">
        <v>222</v>
      </c>
      <c r="G143" s="593">
        <v>850</v>
      </c>
      <c r="H143" s="593">
        <v>2</v>
      </c>
      <c r="I143" s="593">
        <v>2</v>
      </c>
      <c r="J143" s="593">
        <v>16</v>
      </c>
      <c r="K143" s="590" t="s">
        <v>224</v>
      </c>
      <c r="L143" s="595">
        <f>M143+N143+O143+P143+Q143</f>
        <v>310432.34999999998</v>
      </c>
      <c r="M143" s="585">
        <f>256000+19467.35</f>
        <v>275467.34999999998</v>
      </c>
      <c r="N143" s="586">
        <v>34965</v>
      </c>
      <c r="O143" s="587"/>
      <c r="P143" s="586"/>
      <c r="Q143" s="586"/>
      <c r="R143" s="582">
        <f>M143/J143</f>
        <v>17216.709374999999</v>
      </c>
      <c r="S143" s="586">
        <f t="shared" si="14"/>
        <v>0</v>
      </c>
      <c r="T143" s="588"/>
      <c r="U143" s="597">
        <f t="shared" ref="U143:U206" si="17">M143+N143+O143+P143+Q143</f>
        <v>310432.34999999998</v>
      </c>
      <c r="V143" s="589"/>
      <c r="W143" s="600"/>
      <c r="X143" s="590"/>
      <c r="Y143" s="590"/>
      <c r="Z143" s="590"/>
    </row>
    <row r="144" spans="1:26" s="249" customFormat="1" hidden="1">
      <c r="A144" s="591">
        <f>A143+1</f>
        <v>103</v>
      </c>
      <c r="B144" s="592" t="s">
        <v>548</v>
      </c>
      <c r="C144" s="593" t="s">
        <v>217</v>
      </c>
      <c r="D144" s="603">
        <v>27849</v>
      </c>
      <c r="E144" s="594">
        <v>3773</v>
      </c>
      <c r="F144" s="604" t="s">
        <v>233</v>
      </c>
      <c r="G144" s="603">
        <v>814.4</v>
      </c>
      <c r="H144" s="609">
        <v>12</v>
      </c>
      <c r="I144" s="609">
        <v>1</v>
      </c>
      <c r="J144" s="609">
        <v>180</v>
      </c>
      <c r="K144" s="590" t="s">
        <v>224</v>
      </c>
      <c r="L144" s="595">
        <f>M144+N144+O144+P144+Q144</f>
        <v>3631365</v>
      </c>
      <c r="M144" s="611">
        <v>3596400</v>
      </c>
      <c r="N144" s="586">
        <v>34965</v>
      </c>
      <c r="O144" s="613"/>
      <c r="P144" s="586"/>
      <c r="Q144" s="614"/>
      <c r="R144" s="582">
        <f>M144/J144</f>
        <v>19980</v>
      </c>
      <c r="S144" s="586">
        <f t="shared" si="14"/>
        <v>0</v>
      </c>
      <c r="T144" s="645"/>
      <c r="U144" s="597">
        <f t="shared" si="17"/>
        <v>3631365</v>
      </c>
      <c r="V144" s="589"/>
      <c r="W144" s="600"/>
      <c r="X144" s="590"/>
      <c r="Y144" s="590"/>
      <c r="Z144" s="590"/>
    </row>
    <row r="145" spans="1:32" s="249" customFormat="1" ht="37.5" hidden="1">
      <c r="A145" s="591">
        <f>A144+1</f>
        <v>104</v>
      </c>
      <c r="B145" s="670" t="s">
        <v>549</v>
      </c>
      <c r="C145" s="593" t="s">
        <v>217</v>
      </c>
      <c r="D145" s="602">
        <v>38327</v>
      </c>
      <c r="E145" s="602">
        <v>5161</v>
      </c>
      <c r="F145" s="604" t="s">
        <v>233</v>
      </c>
      <c r="G145" s="602">
        <v>1328</v>
      </c>
      <c r="H145" s="602">
        <v>9</v>
      </c>
      <c r="I145" s="602">
        <v>4</v>
      </c>
      <c r="J145" s="602">
        <v>144</v>
      </c>
      <c r="K145" s="606" t="s">
        <v>30</v>
      </c>
      <c r="L145" s="1357">
        <f>M145+N145+O145+P145+Q145+M146+N146+O146+Q146</f>
        <v>14757479.809999999</v>
      </c>
      <c r="M145" s="585">
        <v>3960100</v>
      </c>
      <c r="N145" s="586"/>
      <c r="O145" s="587">
        <v>13754.88</v>
      </c>
      <c r="P145" s="586"/>
      <c r="Q145" s="586"/>
      <c r="R145" s="582">
        <f>M145/J145</f>
        <v>27500.694444444445</v>
      </c>
      <c r="S145" s="586">
        <f t="shared" si="14"/>
        <v>10783624.929999998</v>
      </c>
      <c r="T145" s="605"/>
      <c r="U145" s="597">
        <f t="shared" si="17"/>
        <v>3973854.88</v>
      </c>
      <c r="V145" s="589"/>
      <c r="W145" s="600"/>
      <c r="X145" s="590"/>
      <c r="Y145" s="590"/>
      <c r="Z145" s="590"/>
    </row>
    <row r="146" spans="1:32" s="249" customFormat="1" hidden="1">
      <c r="A146" s="591"/>
      <c r="B146" s="670"/>
      <c r="C146" s="593"/>
      <c r="D146" s="602"/>
      <c r="E146" s="602"/>
      <c r="F146" s="604"/>
      <c r="G146" s="602"/>
      <c r="H146" s="602"/>
      <c r="I146" s="602"/>
      <c r="J146" s="602"/>
      <c r="K146" s="606" t="s">
        <v>226</v>
      </c>
      <c r="L146" s="1357"/>
      <c r="M146" s="585">
        <v>10755240.57</v>
      </c>
      <c r="N146" s="586">
        <v>28384.36</v>
      </c>
      <c r="O146" s="587"/>
      <c r="P146" s="586"/>
      <c r="Q146" s="586"/>
      <c r="R146" s="616">
        <f>M146/E145</f>
        <v>2083.9450823483821</v>
      </c>
      <c r="S146" s="586">
        <f t="shared" si="14"/>
        <v>-10783624.93</v>
      </c>
      <c r="T146" s="605"/>
      <c r="U146" s="597">
        <f t="shared" si="17"/>
        <v>10783624.93</v>
      </c>
      <c r="V146" s="589"/>
      <c r="W146" s="600"/>
      <c r="X146" s="590"/>
      <c r="Y146" s="590"/>
      <c r="Z146" s="590"/>
    </row>
    <row r="147" spans="1:32" s="249" customFormat="1" hidden="1">
      <c r="A147" s="591">
        <f>A145+1</f>
        <v>105</v>
      </c>
      <c r="B147" s="592" t="s">
        <v>550</v>
      </c>
      <c r="C147" s="652" t="s">
        <v>221</v>
      </c>
      <c r="D147" s="618">
        <v>30653</v>
      </c>
      <c r="E147" s="619">
        <v>1216.5999999999999</v>
      </c>
      <c r="F147" s="653" t="s">
        <v>233</v>
      </c>
      <c r="G147" s="633">
        <v>400</v>
      </c>
      <c r="H147" s="640">
        <v>7</v>
      </c>
      <c r="I147" s="633">
        <v>1</v>
      </c>
      <c r="J147" s="633">
        <v>115</v>
      </c>
      <c r="K147" s="610" t="s">
        <v>224</v>
      </c>
      <c r="L147" s="595">
        <f t="shared" ref="L147:L155" si="18">M147+N147+O147+P147+Q147</f>
        <v>2094615</v>
      </c>
      <c r="M147" s="635">
        <v>2059650</v>
      </c>
      <c r="N147" s="636">
        <v>34965</v>
      </c>
      <c r="O147" s="641"/>
      <c r="P147" s="636"/>
      <c r="Q147" s="638"/>
      <c r="R147" s="582">
        <f>M147/J147</f>
        <v>17910</v>
      </c>
      <c r="S147" s="586">
        <f t="shared" si="14"/>
        <v>0</v>
      </c>
      <c r="T147" s="605"/>
      <c r="U147" s="597">
        <f t="shared" si="17"/>
        <v>2094615</v>
      </c>
      <c r="V147" s="589"/>
      <c r="W147" s="600"/>
      <c r="X147" s="590"/>
      <c r="Y147" s="590"/>
      <c r="Z147" s="590"/>
    </row>
    <row r="148" spans="1:32" s="249" customFormat="1" hidden="1">
      <c r="A148" s="591">
        <f t="shared" ref="A148:A191" si="19">A147+1</f>
        <v>106</v>
      </c>
      <c r="B148" s="592" t="s">
        <v>551</v>
      </c>
      <c r="C148" s="652" t="s">
        <v>217</v>
      </c>
      <c r="D148" s="618">
        <v>25295</v>
      </c>
      <c r="E148" s="619">
        <v>3251</v>
      </c>
      <c r="F148" s="653" t="s">
        <v>233</v>
      </c>
      <c r="G148" s="633">
        <v>690</v>
      </c>
      <c r="H148" s="640">
        <v>12</v>
      </c>
      <c r="I148" s="633">
        <v>2</v>
      </c>
      <c r="J148" s="633">
        <v>161</v>
      </c>
      <c r="K148" s="669" t="s">
        <v>33</v>
      </c>
      <c r="L148" s="595">
        <f t="shared" si="18"/>
        <v>1446080.26</v>
      </c>
      <c r="M148" s="635">
        <v>1441755</v>
      </c>
      <c r="N148" s="636"/>
      <c r="O148" s="641">
        <v>4325.26</v>
      </c>
      <c r="P148" s="636"/>
      <c r="Q148" s="638"/>
      <c r="R148" s="582">
        <f>M148/G148</f>
        <v>2089.5</v>
      </c>
      <c r="S148" s="586">
        <f t="shared" si="14"/>
        <v>9.0949470177292824E-12</v>
      </c>
      <c r="T148" s="588"/>
      <c r="U148" s="597">
        <f t="shared" si="17"/>
        <v>1446080.26</v>
      </c>
      <c r="V148" s="589"/>
      <c r="W148" s="600"/>
      <c r="X148" s="590"/>
      <c r="Y148" s="590"/>
      <c r="Z148" s="590"/>
    </row>
    <row r="149" spans="1:32" s="75" customFormat="1" hidden="1">
      <c r="A149" s="591">
        <f t="shared" si="19"/>
        <v>107</v>
      </c>
      <c r="B149" s="592" t="s">
        <v>552</v>
      </c>
      <c r="C149" s="602" t="s">
        <v>217</v>
      </c>
      <c r="D149" s="582">
        <v>14236</v>
      </c>
      <c r="E149" s="582">
        <v>10240</v>
      </c>
      <c r="F149" s="582" t="s">
        <v>233</v>
      </c>
      <c r="G149" s="582">
        <v>1142</v>
      </c>
      <c r="H149" s="602">
        <v>5</v>
      </c>
      <c r="I149" s="602">
        <v>4</v>
      </c>
      <c r="J149" s="582">
        <v>64</v>
      </c>
      <c r="K149" s="610" t="s">
        <v>224</v>
      </c>
      <c r="L149" s="595">
        <f t="shared" si="18"/>
        <v>775447.61999999988</v>
      </c>
      <c r="M149" s="585">
        <v>740482.61999999988</v>
      </c>
      <c r="N149" s="586">
        <v>34965</v>
      </c>
      <c r="O149" s="587"/>
      <c r="P149" s="586"/>
      <c r="Q149" s="586"/>
      <c r="R149" s="582">
        <f>M149/J149</f>
        <v>11570.040937499998</v>
      </c>
      <c r="S149" s="586">
        <f t="shared" si="14"/>
        <v>0</v>
      </c>
      <c r="T149" s="605"/>
      <c r="U149" s="597">
        <f t="shared" si="17"/>
        <v>775447.61999999988</v>
      </c>
      <c r="V149" s="589"/>
      <c r="W149" s="600"/>
      <c r="X149" s="601"/>
      <c r="Y149" s="601"/>
      <c r="Z149" s="601"/>
    </row>
    <row r="150" spans="1:32" s="246" customFormat="1" hidden="1">
      <c r="A150" s="591">
        <f t="shared" si="19"/>
        <v>108</v>
      </c>
      <c r="B150" s="592" t="s">
        <v>553</v>
      </c>
      <c r="C150" s="593" t="s">
        <v>271</v>
      </c>
      <c r="D150" s="618">
        <v>12180</v>
      </c>
      <c r="E150" s="619">
        <v>2288</v>
      </c>
      <c r="F150" s="608" t="s">
        <v>371</v>
      </c>
      <c r="G150" s="619">
        <v>530.69999999999993</v>
      </c>
      <c r="H150" s="594">
        <v>4</v>
      </c>
      <c r="I150" s="594">
        <v>5</v>
      </c>
      <c r="J150" s="582">
        <v>41</v>
      </c>
      <c r="K150" s="590" t="s">
        <v>224</v>
      </c>
      <c r="L150" s="595">
        <f t="shared" si="18"/>
        <v>687312.00000000012</v>
      </c>
      <c r="M150" s="585">
        <v>655344.00000000012</v>
      </c>
      <c r="N150" s="586">
        <v>31968</v>
      </c>
      <c r="O150" s="587"/>
      <c r="P150" s="586"/>
      <c r="Q150" s="586"/>
      <c r="R150" s="582">
        <f>M150/J150</f>
        <v>15984.000000000004</v>
      </c>
      <c r="S150" s="586">
        <f t="shared" si="14"/>
        <v>0</v>
      </c>
      <c r="T150" s="605"/>
      <c r="U150" s="597">
        <f t="shared" si="17"/>
        <v>687312.00000000012</v>
      </c>
      <c r="V150" s="589"/>
      <c r="W150" s="600"/>
      <c r="X150" s="591"/>
      <c r="Y150" s="589"/>
      <c r="Z150" s="589"/>
      <c r="AA150" s="72"/>
      <c r="AC150" s="36"/>
      <c r="AD150" s="14"/>
      <c r="AF150" s="72"/>
    </row>
    <row r="151" spans="1:32" s="75" customFormat="1" hidden="1">
      <c r="A151" s="591">
        <f t="shared" si="19"/>
        <v>109</v>
      </c>
      <c r="B151" s="592" t="s">
        <v>554</v>
      </c>
      <c r="C151" s="593" t="s">
        <v>221</v>
      </c>
      <c r="D151" s="582">
        <v>12653</v>
      </c>
      <c r="E151" s="619">
        <v>3035</v>
      </c>
      <c r="F151" s="608" t="s">
        <v>233</v>
      </c>
      <c r="G151" s="582">
        <v>973</v>
      </c>
      <c r="H151" s="582">
        <v>5</v>
      </c>
      <c r="I151" s="582">
        <v>4</v>
      </c>
      <c r="J151" s="582">
        <v>78</v>
      </c>
      <c r="K151" s="590" t="s">
        <v>224</v>
      </c>
      <c r="L151" s="595">
        <f t="shared" si="18"/>
        <v>678391.03</v>
      </c>
      <c r="M151" s="585">
        <v>643426.03</v>
      </c>
      <c r="N151" s="586">
        <v>34965</v>
      </c>
      <c r="O151" s="587"/>
      <c r="P151" s="586"/>
      <c r="Q151" s="586"/>
      <c r="R151" s="582">
        <f>M151/J151</f>
        <v>8249.0516666666663</v>
      </c>
      <c r="S151" s="586">
        <f t="shared" si="14"/>
        <v>0</v>
      </c>
      <c r="T151" s="588"/>
      <c r="U151" s="597">
        <f t="shared" si="17"/>
        <v>678391.03</v>
      </c>
      <c r="V151" s="589"/>
      <c r="W151" s="600"/>
      <c r="X151" s="601"/>
      <c r="Y151" s="601"/>
      <c r="Z151" s="601"/>
    </row>
    <row r="152" spans="1:32" s="75" customFormat="1" hidden="1">
      <c r="A152" s="591">
        <f t="shared" si="19"/>
        <v>110</v>
      </c>
      <c r="B152" s="592" t="s">
        <v>555</v>
      </c>
      <c r="C152" s="593" t="s">
        <v>229</v>
      </c>
      <c r="D152" s="618">
        <v>2201</v>
      </c>
      <c r="E152" s="619">
        <v>357</v>
      </c>
      <c r="F152" s="608" t="s">
        <v>222</v>
      </c>
      <c r="G152" s="619">
        <v>470</v>
      </c>
      <c r="H152" s="594">
        <v>2</v>
      </c>
      <c r="I152" s="594">
        <v>3</v>
      </c>
      <c r="J152" s="582">
        <v>12</v>
      </c>
      <c r="K152" s="590" t="s">
        <v>398</v>
      </c>
      <c r="L152" s="595">
        <f t="shared" si="18"/>
        <v>1042734.1</v>
      </c>
      <c r="M152" s="623">
        <v>1039226.73</v>
      </c>
      <c r="N152" s="586"/>
      <c r="O152" s="587">
        <v>3507.37</v>
      </c>
      <c r="P152" s="586"/>
      <c r="Q152" s="586"/>
      <c r="R152" s="582">
        <f>M152/G152</f>
        <v>2211.1207021276596</v>
      </c>
      <c r="S152" s="586">
        <f t="shared" si="14"/>
        <v>-4.5474735088646412E-12</v>
      </c>
      <c r="T152" s="588"/>
      <c r="U152" s="597">
        <f t="shared" si="17"/>
        <v>1042734.1</v>
      </c>
      <c r="V152" s="589"/>
      <c r="W152" s="600"/>
      <c r="X152" s="601"/>
      <c r="Y152" s="601"/>
      <c r="Z152" s="601"/>
    </row>
    <row r="153" spans="1:32" s="75" customFormat="1" ht="37.5" hidden="1">
      <c r="A153" s="591">
        <f t="shared" si="19"/>
        <v>111</v>
      </c>
      <c r="B153" s="592" t="s">
        <v>556</v>
      </c>
      <c r="C153" s="602" t="s">
        <v>271</v>
      </c>
      <c r="D153" s="603">
        <v>5565</v>
      </c>
      <c r="E153" s="603">
        <v>785</v>
      </c>
      <c r="F153" s="608" t="s">
        <v>222</v>
      </c>
      <c r="G153" s="603">
        <v>784.8</v>
      </c>
      <c r="H153" s="609">
        <v>2</v>
      </c>
      <c r="I153" s="609">
        <v>1</v>
      </c>
      <c r="J153" s="609">
        <v>40</v>
      </c>
      <c r="K153" s="606" t="s">
        <v>30</v>
      </c>
      <c r="L153" s="595">
        <f t="shared" si="18"/>
        <v>1082143.8</v>
      </c>
      <c r="M153" s="585">
        <v>1078920</v>
      </c>
      <c r="N153" s="586"/>
      <c r="O153" s="587">
        <v>3223.8</v>
      </c>
      <c r="P153" s="586"/>
      <c r="Q153" s="586"/>
      <c r="R153" s="582">
        <f>M153/J153</f>
        <v>26973</v>
      </c>
      <c r="S153" s="586">
        <f t="shared" si="14"/>
        <v>4.638422979041934E-11</v>
      </c>
      <c r="T153" s="605"/>
      <c r="U153" s="597">
        <f t="shared" si="17"/>
        <v>1082143.8</v>
      </c>
      <c r="V153" s="589"/>
      <c r="W153" s="600"/>
      <c r="X153" s="601"/>
      <c r="Y153" s="601"/>
      <c r="Z153" s="601"/>
    </row>
    <row r="154" spans="1:32" s="113" customFormat="1" ht="37.5" hidden="1">
      <c r="A154" s="591">
        <f t="shared" si="19"/>
        <v>112</v>
      </c>
      <c r="B154" s="592" t="s">
        <v>557</v>
      </c>
      <c r="C154" s="602" t="s">
        <v>271</v>
      </c>
      <c r="D154" s="603">
        <v>3615</v>
      </c>
      <c r="E154" s="603">
        <v>902</v>
      </c>
      <c r="F154" s="608" t="s">
        <v>222</v>
      </c>
      <c r="G154" s="603">
        <v>724.9</v>
      </c>
      <c r="H154" s="609">
        <v>2</v>
      </c>
      <c r="I154" s="609">
        <v>1</v>
      </c>
      <c r="J154" s="609">
        <v>28</v>
      </c>
      <c r="K154" s="606" t="s">
        <v>30</v>
      </c>
      <c r="L154" s="595">
        <f t="shared" si="18"/>
        <v>757500.66</v>
      </c>
      <c r="M154" s="585">
        <v>755244</v>
      </c>
      <c r="N154" s="586"/>
      <c r="O154" s="587">
        <v>2256.66</v>
      </c>
      <c r="P154" s="586"/>
      <c r="Q154" s="586"/>
      <c r="R154" s="582">
        <f>M154/J154</f>
        <v>26973</v>
      </c>
      <c r="S154" s="586">
        <f t="shared" si="14"/>
        <v>3.2741809263825417E-11</v>
      </c>
      <c r="T154" s="588"/>
      <c r="U154" s="597">
        <f t="shared" si="17"/>
        <v>757500.66</v>
      </c>
      <c r="V154" s="589"/>
      <c r="W154" s="600"/>
      <c r="X154" s="639"/>
      <c r="Y154" s="639"/>
      <c r="Z154" s="639"/>
    </row>
    <row r="155" spans="1:32" s="75" customFormat="1" hidden="1">
      <c r="A155" s="591">
        <f t="shared" si="19"/>
        <v>113</v>
      </c>
      <c r="B155" s="592" t="s">
        <v>558</v>
      </c>
      <c r="C155" s="602" t="s">
        <v>271</v>
      </c>
      <c r="D155" s="618">
        <v>2763</v>
      </c>
      <c r="E155" s="619">
        <v>605</v>
      </c>
      <c r="F155" s="608" t="s">
        <v>222</v>
      </c>
      <c r="G155" s="619">
        <v>589.29999999999995</v>
      </c>
      <c r="H155" s="594">
        <v>2</v>
      </c>
      <c r="I155" s="594">
        <v>1</v>
      </c>
      <c r="J155" s="582">
        <v>16</v>
      </c>
      <c r="K155" s="606" t="s">
        <v>33</v>
      </c>
      <c r="L155" s="595">
        <f t="shared" si="18"/>
        <v>1646715.17</v>
      </c>
      <c r="M155" s="585">
        <v>1641789.7999999998</v>
      </c>
      <c r="N155" s="586"/>
      <c r="O155" s="587">
        <v>4925.37</v>
      </c>
      <c r="P155" s="586"/>
      <c r="Q155" s="586"/>
      <c r="R155" s="582">
        <f>M155/G155</f>
        <v>2786</v>
      </c>
      <c r="S155" s="586">
        <f t="shared" si="14"/>
        <v>1.1186784831807017E-10</v>
      </c>
      <c r="T155" s="605"/>
      <c r="U155" s="597">
        <f t="shared" si="17"/>
        <v>1646715.17</v>
      </c>
      <c r="V155" s="589"/>
      <c r="W155" s="600"/>
      <c r="X155" s="601"/>
      <c r="Y155" s="601"/>
      <c r="Z155" s="601"/>
    </row>
    <row r="156" spans="1:32" s="75" customFormat="1" ht="37.5" hidden="1">
      <c r="A156" s="1383">
        <v>114</v>
      </c>
      <c r="B156" s="592" t="s">
        <v>559</v>
      </c>
      <c r="C156" s="593" t="s">
        <v>221</v>
      </c>
      <c r="D156" s="603">
        <v>18736</v>
      </c>
      <c r="E156" s="594">
        <v>3133</v>
      </c>
      <c r="F156" s="615" t="s">
        <v>233</v>
      </c>
      <c r="G156" s="603">
        <v>1461</v>
      </c>
      <c r="H156" s="609">
        <v>5</v>
      </c>
      <c r="I156" s="609">
        <v>6</v>
      </c>
      <c r="J156" s="609">
        <v>90</v>
      </c>
      <c r="K156" s="606" t="s">
        <v>30</v>
      </c>
      <c r="L156" s="1357">
        <f>M156+N156+O156+P156+Q156+M157+N157+O157+P157+Q157</f>
        <v>5513962.0200000005</v>
      </c>
      <c r="M156" s="585">
        <v>2429757</v>
      </c>
      <c r="N156" s="586"/>
      <c r="O156" s="587">
        <v>7253.55</v>
      </c>
      <c r="P156" s="586"/>
      <c r="Q156" s="586"/>
      <c r="R156" s="582">
        <f>M156/J156</f>
        <v>26997.3</v>
      </c>
      <c r="S156" s="586">
        <f t="shared" si="14"/>
        <v>3076951.4700000007</v>
      </c>
      <c r="T156" s="588"/>
      <c r="U156" s="597">
        <f t="shared" si="17"/>
        <v>2437010.5499999998</v>
      </c>
      <c r="V156" s="589"/>
      <c r="W156" s="600"/>
      <c r="X156" s="601"/>
      <c r="Y156" s="601"/>
      <c r="Z156" s="601"/>
    </row>
    <row r="157" spans="1:32" s="75" customFormat="1" hidden="1">
      <c r="A157" s="1383"/>
      <c r="B157" s="592"/>
      <c r="C157" s="593"/>
      <c r="D157" s="603"/>
      <c r="E157" s="594"/>
      <c r="F157" s="615"/>
      <c r="G157" s="603"/>
      <c r="H157" s="609"/>
      <c r="I157" s="609"/>
      <c r="J157" s="609"/>
      <c r="K157" s="590" t="s">
        <v>33</v>
      </c>
      <c r="L157" s="1357"/>
      <c r="M157" s="585">
        <v>3067793.19</v>
      </c>
      <c r="N157" s="586"/>
      <c r="O157" s="613">
        <v>9158.2800000000007</v>
      </c>
      <c r="P157" s="586"/>
      <c r="Q157" s="614"/>
      <c r="R157" s="582">
        <f>M157/G156</f>
        <v>2099.79</v>
      </c>
      <c r="S157" s="586">
        <f t="shared" si="14"/>
        <v>-3076951.4699999997</v>
      </c>
      <c r="T157" s="605"/>
      <c r="U157" s="597">
        <f t="shared" si="17"/>
        <v>3076951.4699999997</v>
      </c>
      <c r="V157" s="589"/>
      <c r="W157" s="600"/>
      <c r="X157" s="601"/>
      <c r="Y157" s="601"/>
      <c r="Z157" s="601"/>
    </row>
    <row r="158" spans="1:32" s="249" customFormat="1" hidden="1">
      <c r="A158" s="591">
        <v>115</v>
      </c>
      <c r="B158" s="592" t="s">
        <v>560</v>
      </c>
      <c r="C158" s="593" t="s">
        <v>217</v>
      </c>
      <c r="D158" s="594">
        <v>12144</v>
      </c>
      <c r="E158" s="593">
        <v>2430</v>
      </c>
      <c r="F158" s="593" t="s">
        <v>222</v>
      </c>
      <c r="G158" s="593">
        <v>1164</v>
      </c>
      <c r="H158" s="593">
        <v>5</v>
      </c>
      <c r="I158" s="593">
        <v>4</v>
      </c>
      <c r="J158" s="593">
        <v>80</v>
      </c>
      <c r="K158" s="590" t="s">
        <v>224</v>
      </c>
      <c r="L158" s="595">
        <f t="shared" ref="L158:L179" si="20">M158+N158+O158+P158+Q158</f>
        <v>1171850.76</v>
      </c>
      <c r="M158" s="623">
        <v>1136885.76</v>
      </c>
      <c r="N158" s="586">
        <v>34965</v>
      </c>
      <c r="O158" s="587"/>
      <c r="P158" s="586"/>
      <c r="Q158" s="586"/>
      <c r="R158" s="582">
        <f t="shared" ref="R158:R163" si="21">M158/J158</f>
        <v>14211.072</v>
      </c>
      <c r="S158" s="586">
        <f t="shared" si="14"/>
        <v>0</v>
      </c>
      <c r="T158" s="588"/>
      <c r="U158" s="597">
        <f t="shared" si="17"/>
        <v>1171850.76</v>
      </c>
      <c r="V158" s="589"/>
      <c r="W158" s="600"/>
      <c r="X158" s="590"/>
      <c r="Y158" s="590"/>
      <c r="Z158" s="590"/>
    </row>
    <row r="159" spans="1:32" s="249" customFormat="1" ht="37.5" hidden="1">
      <c r="A159" s="591">
        <v>116</v>
      </c>
      <c r="B159" s="592" t="s">
        <v>561</v>
      </c>
      <c r="C159" s="593" t="s">
        <v>217</v>
      </c>
      <c r="D159" s="594">
        <v>16010</v>
      </c>
      <c r="E159" s="594">
        <v>2100</v>
      </c>
      <c r="F159" s="594" t="s">
        <v>233</v>
      </c>
      <c r="G159" s="594">
        <v>685</v>
      </c>
      <c r="H159" s="594">
        <v>9</v>
      </c>
      <c r="I159" s="594">
        <v>2</v>
      </c>
      <c r="J159" s="594">
        <v>72</v>
      </c>
      <c r="K159" s="590" t="s">
        <v>30</v>
      </c>
      <c r="L159" s="595">
        <f t="shared" si="20"/>
        <v>2299357.44</v>
      </c>
      <c r="M159" s="596">
        <v>2292480</v>
      </c>
      <c r="N159" s="597"/>
      <c r="O159" s="587">
        <v>6877.44</v>
      </c>
      <c r="P159" s="594"/>
      <c r="Q159" s="597"/>
      <c r="R159" s="599">
        <f t="shared" si="21"/>
        <v>31840</v>
      </c>
      <c r="S159" s="586">
        <f t="shared" si="14"/>
        <v>-5.5479176808148623E-11</v>
      </c>
      <c r="T159" s="605"/>
      <c r="U159" s="597">
        <f t="shared" si="17"/>
        <v>2299357.44</v>
      </c>
      <c r="V159" s="589"/>
      <c r="W159" s="600"/>
      <c r="X159" s="590"/>
      <c r="Y159" s="590"/>
      <c r="Z159" s="590"/>
    </row>
    <row r="160" spans="1:32" s="249" customFormat="1" hidden="1">
      <c r="A160" s="591">
        <f t="shared" si="19"/>
        <v>117</v>
      </c>
      <c r="B160" s="592" t="s">
        <v>562</v>
      </c>
      <c r="C160" s="593" t="s">
        <v>217</v>
      </c>
      <c r="D160" s="594">
        <v>12403</v>
      </c>
      <c r="E160" s="593">
        <v>1600</v>
      </c>
      <c r="F160" s="594" t="s">
        <v>222</v>
      </c>
      <c r="G160" s="594">
        <v>1144</v>
      </c>
      <c r="H160" s="594">
        <v>5</v>
      </c>
      <c r="I160" s="594">
        <v>4</v>
      </c>
      <c r="J160" s="594">
        <v>80</v>
      </c>
      <c r="K160" s="590" t="s">
        <v>224</v>
      </c>
      <c r="L160" s="595">
        <f t="shared" si="20"/>
        <v>1074041.52</v>
      </c>
      <c r="M160" s="623">
        <v>1039076.52</v>
      </c>
      <c r="N160" s="586">
        <v>34965</v>
      </c>
      <c r="O160" s="587"/>
      <c r="P160" s="586"/>
      <c r="Q160" s="586"/>
      <c r="R160" s="582">
        <f t="shared" si="21"/>
        <v>12988.4565</v>
      </c>
      <c r="S160" s="586">
        <f t="shared" si="14"/>
        <v>0</v>
      </c>
      <c r="T160" s="588"/>
      <c r="U160" s="597">
        <f t="shared" si="17"/>
        <v>1074041.52</v>
      </c>
      <c r="V160" s="589"/>
      <c r="W160" s="600"/>
      <c r="X160" s="590"/>
      <c r="Y160" s="590"/>
      <c r="Z160" s="590"/>
    </row>
    <row r="161" spans="1:30" s="75" customFormat="1" hidden="1">
      <c r="A161" s="591">
        <f t="shared" si="19"/>
        <v>118</v>
      </c>
      <c r="B161" s="592" t="s">
        <v>563</v>
      </c>
      <c r="C161" s="593" t="s">
        <v>217</v>
      </c>
      <c r="D161" s="594">
        <v>13998</v>
      </c>
      <c r="E161" s="593">
        <v>1600</v>
      </c>
      <c r="F161" s="594" t="s">
        <v>222</v>
      </c>
      <c r="G161" s="594">
        <v>1130</v>
      </c>
      <c r="H161" s="594">
        <v>5</v>
      </c>
      <c r="I161" s="594">
        <v>4</v>
      </c>
      <c r="J161" s="594">
        <v>80</v>
      </c>
      <c r="K161" s="590" t="s">
        <v>224</v>
      </c>
      <c r="L161" s="595">
        <f t="shared" si="20"/>
        <v>1062746.1099999999</v>
      </c>
      <c r="M161" s="623">
        <v>1027781.11</v>
      </c>
      <c r="N161" s="586">
        <v>34965</v>
      </c>
      <c r="O161" s="587"/>
      <c r="P161" s="586"/>
      <c r="Q161" s="586"/>
      <c r="R161" s="582">
        <f t="shared" si="21"/>
        <v>12847.263875000001</v>
      </c>
      <c r="S161" s="586">
        <f t="shared" si="14"/>
        <v>-1.1641532182693481E-10</v>
      </c>
      <c r="T161" s="605"/>
      <c r="U161" s="597">
        <f t="shared" si="17"/>
        <v>1062746.1099999999</v>
      </c>
      <c r="V161" s="589"/>
      <c r="W161" s="600"/>
      <c r="X161" s="601"/>
      <c r="Y161" s="601"/>
      <c r="Z161" s="601"/>
    </row>
    <row r="162" spans="1:30" s="246" customFormat="1" hidden="1">
      <c r="A162" s="591">
        <f t="shared" si="19"/>
        <v>119</v>
      </c>
      <c r="B162" s="592" t="s">
        <v>564</v>
      </c>
      <c r="C162" s="593" t="s">
        <v>239</v>
      </c>
      <c r="D162" s="644">
        <v>2592</v>
      </c>
      <c r="E162" s="593">
        <v>585</v>
      </c>
      <c r="F162" s="593" t="s">
        <v>222</v>
      </c>
      <c r="G162" s="593">
        <v>530</v>
      </c>
      <c r="H162" s="660">
        <v>2</v>
      </c>
      <c r="I162" s="660">
        <v>1</v>
      </c>
      <c r="J162" s="660">
        <v>12</v>
      </c>
      <c r="K162" s="590" t="s">
        <v>224</v>
      </c>
      <c r="L162" s="595">
        <f t="shared" si="20"/>
        <v>222312.95</v>
      </c>
      <c r="M162" s="585">
        <v>187347.95</v>
      </c>
      <c r="N162" s="586">
        <v>34965</v>
      </c>
      <c r="O162" s="587"/>
      <c r="P162" s="586"/>
      <c r="Q162" s="586"/>
      <c r="R162" s="582">
        <f t="shared" si="21"/>
        <v>15612.329166666668</v>
      </c>
      <c r="S162" s="586">
        <f t="shared" si="14"/>
        <v>0</v>
      </c>
      <c r="T162" s="588"/>
      <c r="U162" s="597">
        <f t="shared" si="17"/>
        <v>222312.95</v>
      </c>
      <c r="V162" s="589"/>
      <c r="W162" s="600"/>
      <c r="X162" s="589"/>
      <c r="Y162" s="589"/>
      <c r="Z162" s="591"/>
      <c r="AA162" s="36"/>
      <c r="AB162" s="72"/>
      <c r="AD162" s="72"/>
    </row>
    <row r="163" spans="1:30" s="113" customFormat="1" hidden="1">
      <c r="A163" s="591">
        <f t="shared" si="19"/>
        <v>120</v>
      </c>
      <c r="B163" s="592" t="s">
        <v>565</v>
      </c>
      <c r="C163" s="593" t="s">
        <v>217</v>
      </c>
      <c r="D163" s="594">
        <v>11933</v>
      </c>
      <c r="E163" s="593">
        <v>2450</v>
      </c>
      <c r="F163" s="593" t="s">
        <v>222</v>
      </c>
      <c r="G163" s="622">
        <v>1145</v>
      </c>
      <c r="H163" s="593">
        <v>5</v>
      </c>
      <c r="I163" s="593">
        <v>4</v>
      </c>
      <c r="J163" s="593">
        <v>80</v>
      </c>
      <c r="K163" s="632" t="s">
        <v>33</v>
      </c>
      <c r="L163" s="595">
        <f t="shared" si="20"/>
        <v>3316446.35</v>
      </c>
      <c r="M163" s="623">
        <v>3279470.35</v>
      </c>
      <c r="N163" s="630"/>
      <c r="O163" s="631">
        <v>36976</v>
      </c>
      <c r="P163" s="586"/>
      <c r="Q163" s="630"/>
      <c r="R163" s="582">
        <f t="shared" si="21"/>
        <v>40993.379375000004</v>
      </c>
      <c r="S163" s="586">
        <f t="shared" si="14"/>
        <v>0</v>
      </c>
      <c r="T163" s="588"/>
      <c r="U163" s="597">
        <f t="shared" si="17"/>
        <v>3316446.35</v>
      </c>
      <c r="V163" s="589"/>
      <c r="W163" s="600"/>
      <c r="X163" s="639"/>
      <c r="Y163" s="639"/>
      <c r="Z163" s="639"/>
    </row>
    <row r="164" spans="1:30" s="249" customFormat="1" hidden="1">
      <c r="A164" s="591">
        <f t="shared" si="19"/>
        <v>121</v>
      </c>
      <c r="B164" s="616" t="s">
        <v>566</v>
      </c>
      <c r="C164" s="602" t="s">
        <v>271</v>
      </c>
      <c r="D164" s="618">
        <v>10690</v>
      </c>
      <c r="E164" s="619">
        <v>1998.8000000000002</v>
      </c>
      <c r="F164" s="653" t="s">
        <v>230</v>
      </c>
      <c r="G164" s="594">
        <v>618</v>
      </c>
      <c r="H164" s="640">
        <v>4</v>
      </c>
      <c r="I164" s="633">
        <v>3</v>
      </c>
      <c r="J164" s="633">
        <v>26</v>
      </c>
      <c r="K164" s="669" t="s">
        <v>33</v>
      </c>
      <c r="L164" s="595">
        <f t="shared" si="20"/>
        <v>2167293.5499999998</v>
      </c>
      <c r="M164" s="635">
        <v>2160837</v>
      </c>
      <c r="N164" s="636"/>
      <c r="O164" s="641">
        <v>6456.55</v>
      </c>
      <c r="P164" s="636"/>
      <c r="Q164" s="638"/>
      <c r="R164" s="582">
        <f>M164/G164</f>
        <v>3496.5</v>
      </c>
      <c r="S164" s="586">
        <f t="shared" si="14"/>
        <v>-1.8644641386345029E-10</v>
      </c>
      <c r="T164" s="605"/>
      <c r="U164" s="597">
        <f t="shared" si="17"/>
        <v>2167293.5499999998</v>
      </c>
      <c r="V164" s="589"/>
      <c r="W164" s="600"/>
      <c r="X164" s="590"/>
      <c r="Y164" s="590"/>
      <c r="Z164" s="590"/>
    </row>
    <row r="165" spans="1:30" s="75" customFormat="1" hidden="1">
      <c r="A165" s="591">
        <f t="shared" si="19"/>
        <v>122</v>
      </c>
      <c r="B165" s="616" t="s">
        <v>567</v>
      </c>
      <c r="C165" s="617" t="s">
        <v>271</v>
      </c>
      <c r="D165" s="618">
        <v>15107</v>
      </c>
      <c r="E165" s="619">
        <v>2127.1</v>
      </c>
      <c r="F165" s="653" t="s">
        <v>222</v>
      </c>
      <c r="G165" s="594">
        <v>1442</v>
      </c>
      <c r="H165" s="640">
        <v>4</v>
      </c>
      <c r="I165" s="633">
        <v>4</v>
      </c>
      <c r="J165" s="633">
        <v>35</v>
      </c>
      <c r="K165" s="590" t="s">
        <v>33</v>
      </c>
      <c r="L165" s="595">
        <f t="shared" si="20"/>
        <v>4792068.9000000004</v>
      </c>
      <c r="M165" s="635">
        <f>4609785.6+168509.32</f>
        <v>4778294.92</v>
      </c>
      <c r="N165" s="636"/>
      <c r="O165" s="641">
        <v>13773.98</v>
      </c>
      <c r="P165" s="636"/>
      <c r="Q165" s="638"/>
      <c r="R165" s="582">
        <f>M165/G165</f>
        <v>3313.6580582524271</v>
      </c>
      <c r="S165" s="586">
        <f t="shared" si="14"/>
        <v>4.4747139327228069E-10</v>
      </c>
      <c r="T165" s="605"/>
      <c r="U165" s="597">
        <f t="shared" si="17"/>
        <v>4792068.9000000004</v>
      </c>
      <c r="V165" s="589"/>
      <c r="W165" s="600"/>
      <c r="X165" s="601"/>
      <c r="Y165" s="601"/>
      <c r="Z165" s="601"/>
    </row>
    <row r="166" spans="1:30" s="75" customFormat="1" ht="37.5" hidden="1">
      <c r="A166" s="591">
        <f t="shared" si="19"/>
        <v>123</v>
      </c>
      <c r="B166" s="616" t="s">
        <v>568</v>
      </c>
      <c r="C166" s="593" t="s">
        <v>271</v>
      </c>
      <c r="D166" s="618">
        <v>14190</v>
      </c>
      <c r="E166" s="619">
        <v>3165.5</v>
      </c>
      <c r="F166" s="620" t="s">
        <v>222</v>
      </c>
      <c r="G166" s="620">
        <v>1118</v>
      </c>
      <c r="H166" s="651">
        <v>5</v>
      </c>
      <c r="I166" s="620">
        <v>4</v>
      </c>
      <c r="J166" s="620">
        <v>50</v>
      </c>
      <c r="K166" s="610" t="s">
        <v>30</v>
      </c>
      <c r="L166" s="595">
        <f t="shared" si="20"/>
        <v>1352679.75</v>
      </c>
      <c r="M166" s="596">
        <v>1348650</v>
      </c>
      <c r="N166" s="586"/>
      <c r="O166" s="598">
        <v>4029.75</v>
      </c>
      <c r="P166" s="597"/>
      <c r="Q166" s="597"/>
      <c r="R166" s="582">
        <f>M166/J166</f>
        <v>26973</v>
      </c>
      <c r="S166" s="586">
        <f t="shared" si="14"/>
        <v>0</v>
      </c>
      <c r="T166" s="588"/>
      <c r="U166" s="597">
        <f t="shared" si="17"/>
        <v>1352679.75</v>
      </c>
      <c r="V166" s="589"/>
      <c r="W166" s="600"/>
      <c r="X166" s="601"/>
      <c r="Y166" s="601"/>
      <c r="Z166" s="601"/>
    </row>
    <row r="167" spans="1:30" s="75" customFormat="1" ht="37.5" hidden="1">
      <c r="A167" s="591">
        <f t="shared" si="19"/>
        <v>124</v>
      </c>
      <c r="B167" s="592" t="s">
        <v>569</v>
      </c>
      <c r="C167" s="602" t="s">
        <v>271</v>
      </c>
      <c r="D167" s="618">
        <v>8509</v>
      </c>
      <c r="E167" s="619">
        <v>1833.8</v>
      </c>
      <c r="F167" s="608" t="s">
        <v>222</v>
      </c>
      <c r="G167" s="633">
        <v>687.1</v>
      </c>
      <c r="H167" s="640">
        <v>4</v>
      </c>
      <c r="I167" s="633">
        <v>2</v>
      </c>
      <c r="J167" s="633">
        <v>24</v>
      </c>
      <c r="K167" s="606" t="s">
        <v>30</v>
      </c>
      <c r="L167" s="595">
        <f t="shared" si="20"/>
        <v>868473.87</v>
      </c>
      <c r="M167" s="635">
        <v>866539.59</v>
      </c>
      <c r="N167" s="636"/>
      <c r="O167" s="641">
        <v>1934.28</v>
      </c>
      <c r="P167" s="636"/>
      <c r="Q167" s="638"/>
      <c r="R167" s="582">
        <f>M167/J167</f>
        <v>36105.816249999996</v>
      </c>
      <c r="S167" s="586">
        <f t="shared" si="14"/>
        <v>2.7966962079517543E-11</v>
      </c>
      <c r="T167" s="605"/>
      <c r="U167" s="597">
        <f t="shared" si="17"/>
        <v>868473.87</v>
      </c>
      <c r="V167" s="589"/>
      <c r="W167" s="600"/>
      <c r="X167" s="601"/>
      <c r="Y167" s="601"/>
      <c r="Z167" s="601"/>
    </row>
    <row r="168" spans="1:30" s="75" customFormat="1" ht="37.5" hidden="1">
      <c r="A168" s="591">
        <f t="shared" si="19"/>
        <v>125</v>
      </c>
      <c r="B168" s="592" t="s">
        <v>570</v>
      </c>
      <c r="C168" s="593" t="s">
        <v>292</v>
      </c>
      <c r="D168" s="594">
        <v>3900</v>
      </c>
      <c r="E168" s="594">
        <v>890</v>
      </c>
      <c r="F168" s="594" t="s">
        <v>222</v>
      </c>
      <c r="G168" s="594">
        <v>724</v>
      </c>
      <c r="H168" s="594">
        <v>2</v>
      </c>
      <c r="I168" s="594">
        <v>4</v>
      </c>
      <c r="J168" s="594">
        <v>16</v>
      </c>
      <c r="K168" s="590" t="s">
        <v>404</v>
      </c>
      <c r="L168" s="595">
        <f t="shared" si="20"/>
        <v>317066.57</v>
      </c>
      <c r="M168" s="607">
        <v>315872.57</v>
      </c>
      <c r="N168" s="597"/>
      <c r="O168" s="598">
        <v>1194</v>
      </c>
      <c r="P168" s="597"/>
      <c r="Q168" s="597"/>
      <c r="R168" s="599">
        <f>M168/J168</f>
        <v>19742.035625</v>
      </c>
      <c r="S168" s="586">
        <f t="shared" si="14"/>
        <v>0</v>
      </c>
      <c r="T168" s="588"/>
      <c r="U168" s="597">
        <f t="shared" si="17"/>
        <v>317066.57</v>
      </c>
      <c r="V168" s="589"/>
      <c r="W168" s="600"/>
      <c r="X168" s="601"/>
      <c r="Y168" s="601"/>
      <c r="Z168" s="601"/>
    </row>
    <row r="169" spans="1:30" s="75" customFormat="1" ht="37.5" hidden="1">
      <c r="A169" s="591">
        <f t="shared" si="19"/>
        <v>126</v>
      </c>
      <c r="B169" s="592" t="s">
        <v>571</v>
      </c>
      <c r="C169" s="617" t="s">
        <v>271</v>
      </c>
      <c r="D169" s="618">
        <v>17937</v>
      </c>
      <c r="E169" s="619">
        <v>2580</v>
      </c>
      <c r="F169" s="608" t="s">
        <v>233</v>
      </c>
      <c r="G169" s="619">
        <v>725</v>
      </c>
      <c r="H169" s="594">
        <v>9</v>
      </c>
      <c r="I169" s="594">
        <v>2</v>
      </c>
      <c r="J169" s="608">
        <v>96</v>
      </c>
      <c r="K169" s="606" t="s">
        <v>366</v>
      </c>
      <c r="L169" s="595">
        <f t="shared" si="20"/>
        <v>4085718.75</v>
      </c>
      <c r="M169" s="585">
        <v>3980000</v>
      </c>
      <c r="N169" s="586">
        <v>105718.75</v>
      </c>
      <c r="O169" s="565"/>
      <c r="P169" s="564"/>
      <c r="Q169" s="586"/>
      <c r="R169" s="582">
        <v>2000000</v>
      </c>
      <c r="S169" s="586">
        <f t="shared" si="14"/>
        <v>0</v>
      </c>
      <c r="T169" s="605"/>
      <c r="U169" s="597">
        <f t="shared" si="17"/>
        <v>4085718.75</v>
      </c>
      <c r="V169" s="589"/>
      <c r="W169" s="600"/>
      <c r="X169" s="601"/>
      <c r="Y169" s="601"/>
      <c r="Z169" s="601"/>
    </row>
    <row r="170" spans="1:30" s="28" customFormat="1" hidden="1">
      <c r="A170" s="591">
        <f t="shared" si="19"/>
        <v>127</v>
      </c>
      <c r="B170" s="592" t="s">
        <v>572</v>
      </c>
      <c r="C170" s="593" t="s">
        <v>271</v>
      </c>
      <c r="D170" s="618">
        <v>28267</v>
      </c>
      <c r="E170" s="619">
        <v>2816</v>
      </c>
      <c r="F170" s="608" t="s">
        <v>371</v>
      </c>
      <c r="G170" s="619">
        <v>1266.8</v>
      </c>
      <c r="H170" s="594">
        <v>5</v>
      </c>
      <c r="I170" s="594">
        <v>5</v>
      </c>
      <c r="J170" s="582">
        <v>48</v>
      </c>
      <c r="K170" s="590" t="s">
        <v>224</v>
      </c>
      <c r="L170" s="595">
        <f t="shared" si="20"/>
        <v>677638.72</v>
      </c>
      <c r="M170" s="623">
        <v>645670.72</v>
      </c>
      <c r="N170" s="586">
        <v>31968</v>
      </c>
      <c r="O170" s="587"/>
      <c r="P170" s="586"/>
      <c r="Q170" s="586"/>
      <c r="R170" s="582">
        <f>M170/J170</f>
        <v>13451.473333333333</v>
      </c>
      <c r="S170" s="586">
        <f t="shared" si="14"/>
        <v>0</v>
      </c>
      <c r="T170" s="588"/>
      <c r="U170" s="597">
        <f t="shared" si="17"/>
        <v>677638.72</v>
      </c>
      <c r="V170" s="589"/>
      <c r="W170" s="600"/>
      <c r="X170" s="592"/>
      <c r="Y170" s="592"/>
      <c r="Z170" s="592"/>
    </row>
    <row r="171" spans="1:30" s="249" customFormat="1" ht="37.5" hidden="1">
      <c r="A171" s="591">
        <f t="shared" si="19"/>
        <v>128</v>
      </c>
      <c r="B171" s="592" t="s">
        <v>573</v>
      </c>
      <c r="C171" s="593" t="s">
        <v>221</v>
      </c>
      <c r="D171" s="618">
        <v>3994</v>
      </c>
      <c r="E171" s="619">
        <v>602</v>
      </c>
      <c r="F171" s="608" t="s">
        <v>371</v>
      </c>
      <c r="G171" s="619">
        <v>250.2</v>
      </c>
      <c r="H171" s="594">
        <v>2</v>
      </c>
      <c r="I171" s="594">
        <v>2</v>
      </c>
      <c r="J171" s="582">
        <v>8</v>
      </c>
      <c r="K171" s="606" t="s">
        <v>30</v>
      </c>
      <c r="L171" s="595">
        <f t="shared" si="20"/>
        <v>420833.7</v>
      </c>
      <c r="M171" s="585">
        <v>419580</v>
      </c>
      <c r="N171" s="586"/>
      <c r="O171" s="587">
        <v>1253.7</v>
      </c>
      <c r="P171" s="586"/>
      <c r="Q171" s="586"/>
      <c r="R171" s="582">
        <f>M171/J171</f>
        <v>52447.5</v>
      </c>
      <c r="S171" s="586">
        <f t="shared" ref="S171:S234" si="22">L171-M171-N171-O171-P171-Q171</f>
        <v>1.1596057447604835E-11</v>
      </c>
      <c r="T171" s="605"/>
      <c r="U171" s="597">
        <f t="shared" si="17"/>
        <v>420833.7</v>
      </c>
      <c r="V171" s="589"/>
      <c r="W171" s="600"/>
      <c r="X171" s="590"/>
      <c r="Y171" s="590"/>
      <c r="Z171" s="590"/>
    </row>
    <row r="172" spans="1:30" s="249" customFormat="1" ht="37.5" hidden="1">
      <c r="A172" s="591">
        <f t="shared" si="19"/>
        <v>129</v>
      </c>
      <c r="B172" s="592" t="s">
        <v>574</v>
      </c>
      <c r="C172" s="593" t="s">
        <v>271</v>
      </c>
      <c r="D172" s="594">
        <v>18129</v>
      </c>
      <c r="E172" s="594">
        <v>9134.2000000000007</v>
      </c>
      <c r="F172" s="594" t="s">
        <v>233</v>
      </c>
      <c r="G172" s="594">
        <v>753</v>
      </c>
      <c r="H172" s="594">
        <v>9</v>
      </c>
      <c r="I172" s="594">
        <v>2</v>
      </c>
      <c r="J172" s="594">
        <v>52</v>
      </c>
      <c r="K172" s="590" t="s">
        <v>30</v>
      </c>
      <c r="L172" s="595">
        <f t="shared" si="20"/>
        <v>3511457.04</v>
      </c>
      <c r="M172" s="596">
        <v>3506490</v>
      </c>
      <c r="N172" s="597"/>
      <c r="O172" s="587">
        <v>4967.04</v>
      </c>
      <c r="P172" s="594"/>
      <c r="Q172" s="597"/>
      <c r="R172" s="599">
        <f>M172/J172</f>
        <v>67432.5</v>
      </c>
      <c r="S172" s="586">
        <f t="shared" si="22"/>
        <v>3.7289282772690058E-11</v>
      </c>
      <c r="T172" s="605" t="s">
        <v>3696</v>
      </c>
      <c r="U172" s="597">
        <f t="shared" si="17"/>
        <v>3511457.04</v>
      </c>
      <c r="V172" s="589"/>
      <c r="W172" s="600"/>
      <c r="X172" s="590"/>
      <c r="Y172" s="590"/>
      <c r="Z172" s="590"/>
    </row>
    <row r="173" spans="1:30" s="249" customFormat="1" hidden="1">
      <c r="A173" s="591">
        <f t="shared" si="19"/>
        <v>130</v>
      </c>
      <c r="B173" s="592" t="s">
        <v>575</v>
      </c>
      <c r="C173" s="593" t="s">
        <v>217</v>
      </c>
      <c r="D173" s="603">
        <v>15348</v>
      </c>
      <c r="E173" s="658">
        <v>2435</v>
      </c>
      <c r="F173" s="604" t="s">
        <v>233</v>
      </c>
      <c r="G173" s="603">
        <v>1147</v>
      </c>
      <c r="H173" s="609">
        <v>5</v>
      </c>
      <c r="I173" s="609">
        <v>4</v>
      </c>
      <c r="J173" s="609">
        <v>64</v>
      </c>
      <c r="K173" s="590" t="s">
        <v>252</v>
      </c>
      <c r="L173" s="595">
        <f t="shared" si="20"/>
        <v>3477519</v>
      </c>
      <c r="M173" s="611">
        <v>3437559</v>
      </c>
      <c r="N173" s="612">
        <v>39960</v>
      </c>
      <c r="O173" s="613"/>
      <c r="P173" s="586"/>
      <c r="Q173" s="614"/>
      <c r="R173" s="582">
        <f>M173/G173</f>
        <v>2997</v>
      </c>
      <c r="S173" s="586">
        <f t="shared" si="22"/>
        <v>0</v>
      </c>
      <c r="T173" s="605"/>
      <c r="U173" s="597">
        <f t="shared" si="17"/>
        <v>3477519</v>
      </c>
      <c r="V173" s="589"/>
      <c r="W173" s="600"/>
      <c r="X173" s="590"/>
      <c r="Y173" s="590"/>
      <c r="Z173" s="590"/>
    </row>
    <row r="174" spans="1:30" s="249" customFormat="1" hidden="1">
      <c r="A174" s="591">
        <f t="shared" si="19"/>
        <v>131</v>
      </c>
      <c r="B174" s="592" t="s">
        <v>576</v>
      </c>
      <c r="C174" s="602" t="s">
        <v>271</v>
      </c>
      <c r="D174" s="582">
        <v>22365</v>
      </c>
      <c r="E174" s="582">
        <v>3618</v>
      </c>
      <c r="F174" s="604" t="s">
        <v>233</v>
      </c>
      <c r="G174" s="582">
        <v>1201</v>
      </c>
      <c r="H174" s="602">
        <v>9</v>
      </c>
      <c r="I174" s="602">
        <v>2</v>
      </c>
      <c r="J174" s="582">
        <v>96</v>
      </c>
      <c r="K174" s="610" t="s">
        <v>224</v>
      </c>
      <c r="L174" s="595">
        <f t="shared" si="20"/>
        <v>1953045</v>
      </c>
      <c r="M174" s="585">
        <v>1918080</v>
      </c>
      <c r="N174" s="586">
        <v>34965</v>
      </c>
      <c r="O174" s="587"/>
      <c r="P174" s="586"/>
      <c r="Q174" s="586"/>
      <c r="R174" s="582">
        <f>M174/J174</f>
        <v>19980</v>
      </c>
      <c r="S174" s="586">
        <f t="shared" si="22"/>
        <v>0</v>
      </c>
      <c r="T174" s="588"/>
      <c r="U174" s="597">
        <f t="shared" si="17"/>
        <v>1953045</v>
      </c>
      <c r="V174" s="589"/>
      <c r="W174" s="600"/>
      <c r="X174" s="590"/>
      <c r="Y174" s="590"/>
      <c r="Z174" s="590"/>
    </row>
    <row r="175" spans="1:30" s="113" customFormat="1" hidden="1">
      <c r="A175" s="591">
        <f t="shared" si="19"/>
        <v>132</v>
      </c>
      <c r="B175" s="592" t="s">
        <v>577</v>
      </c>
      <c r="C175" s="602" t="s">
        <v>217</v>
      </c>
      <c r="D175" s="582">
        <v>12787</v>
      </c>
      <c r="E175" s="646">
        <v>2573</v>
      </c>
      <c r="F175" s="582" t="s">
        <v>222</v>
      </c>
      <c r="G175" s="582">
        <v>1034</v>
      </c>
      <c r="H175" s="582">
        <v>5</v>
      </c>
      <c r="I175" s="582">
        <v>4</v>
      </c>
      <c r="J175" s="582">
        <v>72</v>
      </c>
      <c r="K175" s="610" t="s">
        <v>224</v>
      </c>
      <c r="L175" s="595">
        <f t="shared" si="20"/>
        <v>965426.31</v>
      </c>
      <c r="M175" s="585">
        <v>930461.31</v>
      </c>
      <c r="N175" s="586">
        <v>34965</v>
      </c>
      <c r="O175" s="587"/>
      <c r="P175" s="586"/>
      <c r="Q175" s="586"/>
      <c r="R175" s="582">
        <f>M175/J175</f>
        <v>12923.073750000001</v>
      </c>
      <c r="S175" s="586">
        <f t="shared" si="22"/>
        <v>0</v>
      </c>
      <c r="T175" s="588"/>
      <c r="U175" s="597">
        <f t="shared" si="17"/>
        <v>965426.31</v>
      </c>
      <c r="V175" s="589"/>
      <c r="W175" s="600"/>
      <c r="X175" s="639"/>
      <c r="Y175" s="639"/>
      <c r="Z175" s="639"/>
    </row>
    <row r="176" spans="1:30" s="249" customFormat="1" ht="318.75" hidden="1">
      <c r="A176" s="591">
        <f t="shared" si="19"/>
        <v>133</v>
      </c>
      <c r="B176" s="616" t="s">
        <v>578</v>
      </c>
      <c r="C176" s="602" t="s">
        <v>271</v>
      </c>
      <c r="D176" s="618">
        <v>9584</v>
      </c>
      <c r="E176" s="619">
        <v>1651.8</v>
      </c>
      <c r="F176" s="608" t="s">
        <v>222</v>
      </c>
      <c r="G176" s="633">
        <v>973</v>
      </c>
      <c r="H176" s="640">
        <v>4</v>
      </c>
      <c r="I176" s="633">
        <v>3</v>
      </c>
      <c r="J176" s="633">
        <v>31</v>
      </c>
      <c r="K176" s="606" t="s">
        <v>224</v>
      </c>
      <c r="L176" s="595">
        <f t="shared" si="20"/>
        <v>777465</v>
      </c>
      <c r="M176" s="635">
        <v>742500</v>
      </c>
      <c r="N176" s="636">
        <v>34965</v>
      </c>
      <c r="O176" s="641"/>
      <c r="P176" s="636"/>
      <c r="Q176" s="671"/>
      <c r="R176" s="582">
        <f>M176/J176</f>
        <v>23951.612903225807</v>
      </c>
      <c r="S176" s="586">
        <f t="shared" si="22"/>
        <v>0</v>
      </c>
      <c r="T176" s="588" t="s">
        <v>3697</v>
      </c>
      <c r="U176" s="597">
        <f t="shared" si="17"/>
        <v>777465</v>
      </c>
      <c r="V176" s="589"/>
      <c r="W176" s="600"/>
      <c r="X176" s="590"/>
      <c r="Y176" s="590"/>
      <c r="Z176" s="590"/>
    </row>
    <row r="177" spans="1:32" s="249" customFormat="1" hidden="1">
      <c r="A177" s="591">
        <f t="shared" si="19"/>
        <v>134</v>
      </c>
      <c r="B177" s="592" t="s">
        <v>579</v>
      </c>
      <c r="C177" s="593" t="s">
        <v>239</v>
      </c>
      <c r="D177" s="644">
        <v>4069</v>
      </c>
      <c r="E177" s="593">
        <v>760</v>
      </c>
      <c r="F177" s="608" t="s">
        <v>222</v>
      </c>
      <c r="G177" s="593">
        <v>759</v>
      </c>
      <c r="H177" s="593">
        <v>2</v>
      </c>
      <c r="I177" s="593">
        <v>2</v>
      </c>
      <c r="J177" s="593">
        <v>18</v>
      </c>
      <c r="K177" s="590" t="s">
        <v>33</v>
      </c>
      <c r="L177" s="595">
        <f t="shared" si="20"/>
        <v>2131331.2000000002</v>
      </c>
      <c r="M177" s="627">
        <v>2124987.48</v>
      </c>
      <c r="N177" s="586"/>
      <c r="O177" s="587">
        <v>6343.72</v>
      </c>
      <c r="P177" s="586"/>
      <c r="Q177" s="586"/>
      <c r="R177" s="582">
        <f>M177/G177</f>
        <v>2799.72</v>
      </c>
      <c r="S177" s="586">
        <f t="shared" si="22"/>
        <v>2.0463630789890885E-10</v>
      </c>
      <c r="T177" s="588"/>
      <c r="U177" s="597">
        <f t="shared" si="17"/>
        <v>2131331.2000000002</v>
      </c>
      <c r="V177" s="589"/>
      <c r="W177" s="600"/>
      <c r="X177" s="590"/>
      <c r="Y177" s="590"/>
      <c r="Z177" s="590"/>
    </row>
    <row r="178" spans="1:32" s="249" customFormat="1" ht="37.5" hidden="1">
      <c r="A178" s="591">
        <f t="shared" si="19"/>
        <v>135</v>
      </c>
      <c r="B178" s="592" t="s">
        <v>580</v>
      </c>
      <c r="C178" s="602" t="s">
        <v>372</v>
      </c>
      <c r="D178" s="644">
        <v>8342</v>
      </c>
      <c r="E178" s="593">
        <v>1850</v>
      </c>
      <c r="F178" s="593" t="s">
        <v>222</v>
      </c>
      <c r="G178" s="672">
        <f>1221+20.6</f>
        <v>1241.5999999999999</v>
      </c>
      <c r="H178" s="593">
        <v>3</v>
      </c>
      <c r="I178" s="593">
        <v>3</v>
      </c>
      <c r="J178" s="593">
        <v>18</v>
      </c>
      <c r="K178" s="606" t="s">
        <v>30</v>
      </c>
      <c r="L178" s="595">
        <f t="shared" si="20"/>
        <v>417249.7</v>
      </c>
      <c r="M178" s="585">
        <v>415798.99</v>
      </c>
      <c r="N178" s="586"/>
      <c r="O178" s="587">
        <v>1450.71</v>
      </c>
      <c r="P178" s="586"/>
      <c r="Q178" s="638"/>
      <c r="R178" s="582">
        <f>M178/J178</f>
        <v>23099.943888888887</v>
      </c>
      <c r="S178" s="586">
        <f t="shared" si="22"/>
        <v>2.0918378140777349E-11</v>
      </c>
      <c r="T178" s="588"/>
      <c r="U178" s="597">
        <f t="shared" si="17"/>
        <v>417249.7</v>
      </c>
      <c r="V178" s="589"/>
      <c r="W178" s="600"/>
      <c r="X178" s="590"/>
      <c r="Y178" s="590"/>
      <c r="Z178" s="590"/>
    </row>
    <row r="179" spans="1:32" s="249" customFormat="1" ht="37.5" hidden="1">
      <c r="A179" s="591">
        <f t="shared" si="19"/>
        <v>136</v>
      </c>
      <c r="B179" s="592" t="s">
        <v>581</v>
      </c>
      <c r="C179" s="593" t="s">
        <v>217</v>
      </c>
      <c r="D179" s="594">
        <v>13317</v>
      </c>
      <c r="E179" s="593">
        <v>2760</v>
      </c>
      <c r="F179" s="593" t="s">
        <v>222</v>
      </c>
      <c r="G179" s="593">
        <v>1139</v>
      </c>
      <c r="H179" s="593">
        <v>5</v>
      </c>
      <c r="I179" s="593">
        <v>4</v>
      </c>
      <c r="J179" s="593">
        <v>64</v>
      </c>
      <c r="K179" s="590" t="s">
        <v>30</v>
      </c>
      <c r="L179" s="595">
        <f t="shared" si="20"/>
        <v>1904057.28</v>
      </c>
      <c r="M179" s="585">
        <f>1726272+172627.2</f>
        <v>1898899.2</v>
      </c>
      <c r="N179" s="586"/>
      <c r="O179" s="598">
        <v>5158.08</v>
      </c>
      <c r="P179" s="586"/>
      <c r="Q179" s="586"/>
      <c r="R179" s="582">
        <f>M179/J179</f>
        <v>29670.3</v>
      </c>
      <c r="S179" s="586">
        <f t="shared" si="22"/>
        <v>7.4578565545380116E-11</v>
      </c>
      <c r="T179" s="605"/>
      <c r="U179" s="597">
        <f t="shared" si="17"/>
        <v>1904057.28</v>
      </c>
      <c r="V179" s="589"/>
      <c r="W179" s="600"/>
      <c r="X179" s="590"/>
      <c r="Y179" s="590"/>
      <c r="Z179" s="590"/>
    </row>
    <row r="180" spans="1:32" s="75" customFormat="1" ht="37.5" hidden="1">
      <c r="A180" s="1349">
        <v>137</v>
      </c>
      <c r="B180" s="592" t="s">
        <v>582</v>
      </c>
      <c r="C180" s="602" t="s">
        <v>271</v>
      </c>
      <c r="D180" s="618">
        <v>5164</v>
      </c>
      <c r="E180" s="633">
        <v>808</v>
      </c>
      <c r="F180" s="604" t="s">
        <v>233</v>
      </c>
      <c r="G180" s="633">
        <v>822</v>
      </c>
      <c r="H180" s="640">
        <v>2</v>
      </c>
      <c r="I180" s="633">
        <v>2</v>
      </c>
      <c r="J180" s="633">
        <v>12</v>
      </c>
      <c r="K180" s="606" t="s">
        <v>30</v>
      </c>
      <c r="L180" s="1357">
        <f>M180+N180+O180+P180+Q180+M181+N181+O181+P181+Q181</f>
        <v>1528432.1400000001</v>
      </c>
      <c r="M180" s="635">
        <v>1001965</v>
      </c>
      <c r="N180" s="636"/>
      <c r="O180" s="641">
        <v>967.14</v>
      </c>
      <c r="P180" s="636"/>
      <c r="Q180" s="638"/>
      <c r="R180" s="582">
        <f>M180/J180</f>
        <v>83497.083333333328</v>
      </c>
      <c r="S180" s="586">
        <f t="shared" si="22"/>
        <v>525500.00000000012</v>
      </c>
      <c r="T180" s="1377" t="s">
        <v>3696</v>
      </c>
      <c r="U180" s="597">
        <f t="shared" si="17"/>
        <v>1002932.14</v>
      </c>
      <c r="V180" s="589"/>
      <c r="W180" s="600"/>
      <c r="X180" s="601"/>
      <c r="Y180" s="601"/>
      <c r="Z180" s="601"/>
    </row>
    <row r="181" spans="1:32" s="75" customFormat="1" hidden="1">
      <c r="A181" s="1349"/>
      <c r="B181" s="592"/>
      <c r="C181" s="602"/>
      <c r="D181" s="618"/>
      <c r="E181" s="633"/>
      <c r="F181" s="604"/>
      <c r="G181" s="633"/>
      <c r="H181" s="640"/>
      <c r="I181" s="633"/>
      <c r="J181" s="633"/>
      <c r="K181" s="590" t="s">
        <v>224</v>
      </c>
      <c r="L181" s="1357"/>
      <c r="M181" s="635">
        <v>490535</v>
      </c>
      <c r="N181" s="636">
        <v>34965</v>
      </c>
      <c r="O181" s="641"/>
      <c r="P181" s="636">
        <v>0</v>
      </c>
      <c r="Q181" s="638"/>
      <c r="R181" s="582">
        <f>M181/J180</f>
        <v>40877.916666666664</v>
      </c>
      <c r="S181" s="586">
        <f t="shared" si="22"/>
        <v>-525500</v>
      </c>
      <c r="T181" s="1377"/>
      <c r="U181" s="597">
        <f t="shared" si="17"/>
        <v>525500</v>
      </c>
      <c r="V181" s="589"/>
      <c r="W181" s="600"/>
      <c r="X181" s="601"/>
      <c r="Y181" s="601"/>
      <c r="Z181" s="601"/>
    </row>
    <row r="182" spans="1:32" s="75" customFormat="1" hidden="1">
      <c r="A182" s="1349">
        <v>138</v>
      </c>
      <c r="B182" s="592" t="s">
        <v>583</v>
      </c>
      <c r="C182" s="652" t="s">
        <v>217</v>
      </c>
      <c r="D182" s="618">
        <v>12250</v>
      </c>
      <c r="E182" s="619">
        <v>2448.6</v>
      </c>
      <c r="F182" s="608" t="s">
        <v>222</v>
      </c>
      <c r="G182" s="633">
        <v>1130</v>
      </c>
      <c r="H182" s="640">
        <v>5</v>
      </c>
      <c r="I182" s="633">
        <v>4</v>
      </c>
      <c r="J182" s="633">
        <v>80</v>
      </c>
      <c r="K182" s="590" t="s">
        <v>33</v>
      </c>
      <c r="L182" s="1357">
        <f>M182+N182+O182+P182+Q182+M183+N183+O183+P183+Q183</f>
        <v>6125004</v>
      </c>
      <c r="M182" s="635">
        <v>3951045</v>
      </c>
      <c r="N182" s="636"/>
      <c r="O182" s="587">
        <v>9671.4</v>
      </c>
      <c r="P182" s="586"/>
      <c r="Q182" s="586"/>
      <c r="R182" s="582">
        <f>M182/G182</f>
        <v>3496.5</v>
      </c>
      <c r="S182" s="586">
        <f t="shared" si="22"/>
        <v>2164287.6</v>
      </c>
      <c r="T182" s="605"/>
      <c r="U182" s="597">
        <f t="shared" si="17"/>
        <v>3960716.4</v>
      </c>
      <c r="V182" s="589"/>
      <c r="W182" s="600"/>
      <c r="X182" s="601"/>
      <c r="Y182" s="601"/>
      <c r="Z182" s="601"/>
    </row>
    <row r="183" spans="1:32" s="75" customFormat="1" ht="37.5" hidden="1">
      <c r="A183" s="1349"/>
      <c r="B183" s="592"/>
      <c r="C183" s="652"/>
      <c r="D183" s="618"/>
      <c r="E183" s="619"/>
      <c r="F183" s="608"/>
      <c r="G183" s="633"/>
      <c r="H183" s="640"/>
      <c r="I183" s="633"/>
      <c r="J183" s="633"/>
      <c r="K183" s="606" t="s">
        <v>30</v>
      </c>
      <c r="L183" s="1357"/>
      <c r="M183" s="635">
        <v>2157840</v>
      </c>
      <c r="N183" s="636"/>
      <c r="O183" s="641">
        <v>6447.6</v>
      </c>
      <c r="P183" s="586"/>
      <c r="Q183" s="586"/>
      <c r="R183" s="582">
        <f>M183/J182</f>
        <v>26973</v>
      </c>
      <c r="S183" s="586">
        <f t="shared" si="22"/>
        <v>-2164287.6</v>
      </c>
      <c r="T183" s="588"/>
      <c r="U183" s="597">
        <f t="shared" si="17"/>
        <v>2164287.6</v>
      </c>
      <c r="V183" s="589"/>
      <c r="W183" s="600"/>
      <c r="X183" s="601"/>
      <c r="Y183" s="601"/>
      <c r="Z183" s="601"/>
    </row>
    <row r="184" spans="1:32" s="75" customFormat="1" ht="37.5" hidden="1">
      <c r="A184" s="591">
        <v>139</v>
      </c>
      <c r="B184" s="592" t="s">
        <v>584</v>
      </c>
      <c r="C184" s="593" t="s">
        <v>217</v>
      </c>
      <c r="D184" s="594">
        <v>9953</v>
      </c>
      <c r="E184" s="593">
        <v>2104</v>
      </c>
      <c r="F184" s="593" t="s">
        <v>233</v>
      </c>
      <c r="G184" s="593">
        <v>755</v>
      </c>
      <c r="H184" s="593">
        <v>5</v>
      </c>
      <c r="I184" s="593">
        <v>4</v>
      </c>
      <c r="J184" s="593">
        <v>60</v>
      </c>
      <c r="K184" s="590" t="s">
        <v>30</v>
      </c>
      <c r="L184" s="595">
        <f t="shared" ref="L184:L191" si="23">M184+N184+O184+P184+Q184</f>
        <v>1685066.79</v>
      </c>
      <c r="M184" s="585">
        <f>1618380+61851.09</f>
        <v>1680231.09</v>
      </c>
      <c r="N184" s="586"/>
      <c r="O184" s="598">
        <v>4835.7</v>
      </c>
      <c r="P184" s="586"/>
      <c r="Q184" s="586"/>
      <c r="R184" s="582">
        <f>M184/J184</f>
        <v>28003.851500000001</v>
      </c>
      <c r="S184" s="586">
        <f t="shared" si="22"/>
        <v>-4.638422979041934E-11</v>
      </c>
      <c r="T184" s="588"/>
      <c r="U184" s="597">
        <f t="shared" si="17"/>
        <v>1685066.79</v>
      </c>
      <c r="V184" s="589"/>
      <c r="W184" s="600"/>
      <c r="X184" s="601"/>
      <c r="Y184" s="601"/>
      <c r="Z184" s="601"/>
    </row>
    <row r="185" spans="1:32" s="249" customFormat="1" ht="337.5" hidden="1">
      <c r="A185" s="591">
        <f t="shared" si="19"/>
        <v>140</v>
      </c>
      <c r="B185" s="592" t="s">
        <v>585</v>
      </c>
      <c r="C185" s="593" t="s">
        <v>217</v>
      </c>
      <c r="D185" s="618">
        <v>31447</v>
      </c>
      <c r="E185" s="619">
        <v>5301</v>
      </c>
      <c r="F185" s="664" t="s">
        <v>233</v>
      </c>
      <c r="G185" s="619">
        <v>1248</v>
      </c>
      <c r="H185" s="673">
        <v>9</v>
      </c>
      <c r="I185" s="673">
        <v>4</v>
      </c>
      <c r="J185" s="582">
        <v>144</v>
      </c>
      <c r="K185" s="590" t="s">
        <v>33</v>
      </c>
      <c r="L185" s="595">
        <f t="shared" si="23"/>
        <v>2606338.46</v>
      </c>
      <c r="M185" s="585">
        <v>2603203.14</v>
      </c>
      <c r="N185" s="586"/>
      <c r="O185" s="587">
        <v>3135.32</v>
      </c>
      <c r="P185" s="564"/>
      <c r="Q185" s="586"/>
      <c r="R185" s="599">
        <f>M185/G185</f>
        <v>2085.899951923077</v>
      </c>
      <c r="S185" s="586">
        <f t="shared" si="22"/>
        <v>-1.6780177247710526E-10</v>
      </c>
      <c r="T185" s="645" t="s">
        <v>3696</v>
      </c>
      <c r="U185" s="597">
        <f t="shared" si="17"/>
        <v>2606338.46</v>
      </c>
      <c r="V185" s="589"/>
      <c r="W185" s="600"/>
      <c r="X185" s="590"/>
      <c r="Y185" s="590"/>
      <c r="Z185" s="590"/>
    </row>
    <row r="186" spans="1:32" s="249" customFormat="1" hidden="1">
      <c r="A186" s="591">
        <f t="shared" si="19"/>
        <v>141</v>
      </c>
      <c r="B186" s="674" t="s">
        <v>586</v>
      </c>
      <c r="C186" s="602" t="s">
        <v>271</v>
      </c>
      <c r="D186" s="618">
        <v>9442</v>
      </c>
      <c r="E186" s="619">
        <v>1826.3</v>
      </c>
      <c r="F186" s="608" t="s">
        <v>222</v>
      </c>
      <c r="G186" s="594">
        <v>1046.5</v>
      </c>
      <c r="H186" s="633">
        <v>4</v>
      </c>
      <c r="I186" s="633">
        <v>3</v>
      </c>
      <c r="J186" s="633">
        <v>24</v>
      </c>
      <c r="K186" s="634" t="s">
        <v>33</v>
      </c>
      <c r="L186" s="595">
        <f t="shared" si="23"/>
        <v>3655369.56</v>
      </c>
      <c r="M186" s="635">
        <v>3644436.25</v>
      </c>
      <c r="N186" s="636"/>
      <c r="O186" s="637">
        <v>10933.31</v>
      </c>
      <c r="P186" s="636"/>
      <c r="Q186" s="638"/>
      <c r="R186" s="582">
        <f>M186/G186</f>
        <v>3482.5</v>
      </c>
      <c r="S186" s="586">
        <f t="shared" si="22"/>
        <v>5.6388671509921551E-11</v>
      </c>
      <c r="T186" s="645"/>
      <c r="U186" s="597">
        <f t="shared" si="17"/>
        <v>3655369.56</v>
      </c>
      <c r="V186" s="589"/>
      <c r="W186" s="600"/>
      <c r="X186" s="590"/>
      <c r="Y186" s="590"/>
      <c r="Z186" s="590"/>
    </row>
    <row r="187" spans="1:32" s="249" customFormat="1" hidden="1">
      <c r="A187" s="591">
        <f t="shared" si="19"/>
        <v>142</v>
      </c>
      <c r="B187" s="616" t="s">
        <v>587</v>
      </c>
      <c r="C187" s="617" t="s">
        <v>221</v>
      </c>
      <c r="D187" s="618">
        <v>14765</v>
      </c>
      <c r="E187" s="619">
        <v>2280.1</v>
      </c>
      <c r="F187" s="653" t="s">
        <v>230</v>
      </c>
      <c r="G187" s="633">
        <v>1230</v>
      </c>
      <c r="H187" s="640">
        <v>5</v>
      </c>
      <c r="I187" s="633">
        <v>4</v>
      </c>
      <c r="J187" s="633">
        <v>27</v>
      </c>
      <c r="K187" s="590" t="s">
        <v>33</v>
      </c>
      <c r="L187" s="595">
        <f t="shared" si="23"/>
        <v>4313545.42</v>
      </c>
      <c r="M187" s="635">
        <v>4300695</v>
      </c>
      <c r="N187" s="636"/>
      <c r="O187" s="637">
        <v>12850.42</v>
      </c>
      <c r="P187" s="636"/>
      <c r="Q187" s="638"/>
      <c r="R187" s="582">
        <f>M187/G187</f>
        <v>3496.5</v>
      </c>
      <c r="S187" s="586">
        <f t="shared" si="22"/>
        <v>-7.4578565545380116E-11</v>
      </c>
      <c r="T187" s="588"/>
      <c r="U187" s="597">
        <f t="shared" si="17"/>
        <v>4313545.42</v>
      </c>
      <c r="V187" s="589"/>
      <c r="W187" s="600"/>
      <c r="X187" s="590"/>
      <c r="Y187" s="590"/>
      <c r="Z187" s="590"/>
    </row>
    <row r="188" spans="1:32" s="249" customFormat="1" ht="37.5" hidden="1">
      <c r="A188" s="591">
        <f t="shared" si="19"/>
        <v>143</v>
      </c>
      <c r="B188" s="592" t="s">
        <v>588</v>
      </c>
      <c r="C188" s="617" t="s">
        <v>271</v>
      </c>
      <c r="D188" s="618">
        <v>6329</v>
      </c>
      <c r="E188" s="619">
        <v>1516.8</v>
      </c>
      <c r="F188" s="620" t="s">
        <v>222</v>
      </c>
      <c r="G188" s="620">
        <v>584</v>
      </c>
      <c r="H188" s="651">
        <v>5</v>
      </c>
      <c r="I188" s="620">
        <v>2</v>
      </c>
      <c r="J188" s="620">
        <v>40</v>
      </c>
      <c r="K188" s="610" t="s">
        <v>30</v>
      </c>
      <c r="L188" s="595">
        <f t="shared" si="23"/>
        <v>1082143.8</v>
      </c>
      <c r="M188" s="596">
        <v>1078920</v>
      </c>
      <c r="N188" s="586"/>
      <c r="O188" s="598">
        <v>3223.8</v>
      </c>
      <c r="P188" s="597"/>
      <c r="Q188" s="597"/>
      <c r="R188" s="582">
        <f>M188/J188</f>
        <v>26973</v>
      </c>
      <c r="S188" s="586">
        <f t="shared" si="22"/>
        <v>4.638422979041934E-11</v>
      </c>
      <c r="T188" s="588"/>
      <c r="U188" s="597">
        <f t="shared" si="17"/>
        <v>1082143.8</v>
      </c>
      <c r="V188" s="589"/>
      <c r="W188" s="600"/>
      <c r="X188" s="590"/>
      <c r="Y188" s="590"/>
      <c r="Z188" s="590"/>
    </row>
    <row r="189" spans="1:32" s="249" customFormat="1" ht="37.5" hidden="1">
      <c r="A189" s="591">
        <f t="shared" si="19"/>
        <v>144</v>
      </c>
      <c r="B189" s="592" t="s">
        <v>589</v>
      </c>
      <c r="C189" s="652" t="s">
        <v>217</v>
      </c>
      <c r="D189" s="618">
        <v>27715</v>
      </c>
      <c r="E189" s="619">
        <v>21354</v>
      </c>
      <c r="F189" s="653" t="s">
        <v>233</v>
      </c>
      <c r="G189" s="633">
        <v>874.5</v>
      </c>
      <c r="H189" s="640">
        <v>12</v>
      </c>
      <c r="I189" s="633">
        <v>2</v>
      </c>
      <c r="J189" s="633">
        <v>144</v>
      </c>
      <c r="K189" s="606" t="s">
        <v>30</v>
      </c>
      <c r="L189" s="595">
        <f t="shared" si="23"/>
        <v>3971980.3</v>
      </c>
      <c r="M189" s="635">
        <v>3960100</v>
      </c>
      <c r="N189" s="636"/>
      <c r="O189" s="641">
        <v>11880.3</v>
      </c>
      <c r="P189" s="636"/>
      <c r="Q189" s="638"/>
      <c r="R189" s="582">
        <f>M189/J189</f>
        <v>27500.694444444445</v>
      </c>
      <c r="S189" s="586">
        <f t="shared" si="22"/>
        <v>-1.8553691916167736E-10</v>
      </c>
      <c r="T189" s="588"/>
      <c r="U189" s="597">
        <f t="shared" si="17"/>
        <v>3971980.3</v>
      </c>
      <c r="V189" s="589"/>
      <c r="W189" s="600"/>
      <c r="X189" s="590"/>
      <c r="Y189" s="590"/>
      <c r="Z189" s="590"/>
    </row>
    <row r="190" spans="1:32" s="249" customFormat="1" ht="37.5" hidden="1">
      <c r="A190" s="591">
        <f t="shared" si="19"/>
        <v>145</v>
      </c>
      <c r="B190" s="592" t="s">
        <v>590</v>
      </c>
      <c r="C190" s="617" t="s">
        <v>217</v>
      </c>
      <c r="D190" s="618">
        <v>13524</v>
      </c>
      <c r="E190" s="619">
        <v>2706.2</v>
      </c>
      <c r="F190" s="620" t="s">
        <v>222</v>
      </c>
      <c r="G190" s="620">
        <v>1149</v>
      </c>
      <c r="H190" s="651">
        <v>5</v>
      </c>
      <c r="I190" s="620">
        <v>4</v>
      </c>
      <c r="J190" s="620">
        <v>64</v>
      </c>
      <c r="K190" s="610" t="s">
        <v>30</v>
      </c>
      <c r="L190" s="595">
        <f t="shared" si="23"/>
        <v>1794369.08</v>
      </c>
      <c r="M190" s="596">
        <f>1726272+62939</f>
        <v>1789211</v>
      </c>
      <c r="N190" s="586"/>
      <c r="O190" s="598">
        <v>5158.08</v>
      </c>
      <c r="P190" s="597"/>
      <c r="Q190" s="597"/>
      <c r="R190" s="582">
        <f>M190/J190</f>
        <v>27956.421875</v>
      </c>
      <c r="S190" s="586">
        <f t="shared" si="22"/>
        <v>7.4578565545380116E-11</v>
      </c>
      <c r="T190" s="605"/>
      <c r="U190" s="597">
        <f t="shared" si="17"/>
        <v>1794369.08</v>
      </c>
      <c r="V190" s="589"/>
      <c r="W190" s="600"/>
      <c r="X190" s="590"/>
      <c r="Y190" s="590"/>
      <c r="Z190" s="590"/>
    </row>
    <row r="191" spans="1:32" s="246" customFormat="1" hidden="1">
      <c r="A191" s="591">
        <f t="shared" si="19"/>
        <v>146</v>
      </c>
      <c r="B191" s="592" t="s">
        <v>591</v>
      </c>
      <c r="C191" s="602" t="s">
        <v>271</v>
      </c>
      <c r="D191" s="644">
        <v>9980</v>
      </c>
      <c r="E191" s="593">
        <v>1560</v>
      </c>
      <c r="F191" s="608" t="s">
        <v>222</v>
      </c>
      <c r="G191" s="672">
        <v>907</v>
      </c>
      <c r="H191" s="593">
        <v>5</v>
      </c>
      <c r="I191" s="593">
        <v>3</v>
      </c>
      <c r="J191" s="593">
        <v>60</v>
      </c>
      <c r="K191" s="590" t="s">
        <v>33</v>
      </c>
      <c r="L191" s="595">
        <f t="shared" si="23"/>
        <v>3180776.9</v>
      </c>
      <c r="M191" s="627">
        <v>3171301.02</v>
      </c>
      <c r="N191" s="586"/>
      <c r="O191" s="587">
        <v>9475.8799999999992</v>
      </c>
      <c r="P191" s="586"/>
      <c r="Q191" s="586"/>
      <c r="R191" s="582">
        <f>M191/G191</f>
        <v>3496.4730099228227</v>
      </c>
      <c r="S191" s="586">
        <f t="shared" si="22"/>
        <v>-1.1095835361629725E-10</v>
      </c>
      <c r="T191" s="605"/>
      <c r="U191" s="597">
        <f t="shared" si="17"/>
        <v>3180776.9</v>
      </c>
      <c r="V191" s="589"/>
      <c r="W191" s="600"/>
      <c r="X191" s="591"/>
      <c r="Y191" s="589"/>
      <c r="Z191" s="589"/>
      <c r="AA191" s="72"/>
      <c r="AC191" s="36"/>
      <c r="AD191" s="72"/>
      <c r="AF191" s="72"/>
    </row>
    <row r="192" spans="1:32" s="75" customFormat="1" ht="37.5" hidden="1">
      <c r="A192" s="1349">
        <v>147</v>
      </c>
      <c r="B192" s="592" t="s">
        <v>592</v>
      </c>
      <c r="C192" s="617" t="s">
        <v>217</v>
      </c>
      <c r="D192" s="618">
        <v>13227</v>
      </c>
      <c r="E192" s="619">
        <v>2432</v>
      </c>
      <c r="F192" s="608" t="s">
        <v>222</v>
      </c>
      <c r="G192" s="594">
        <v>876</v>
      </c>
      <c r="H192" s="640">
        <v>5</v>
      </c>
      <c r="I192" s="633">
        <v>4</v>
      </c>
      <c r="J192" s="633">
        <v>64</v>
      </c>
      <c r="K192" s="606" t="s">
        <v>30</v>
      </c>
      <c r="L192" s="1357">
        <f>M192+N192+O192+P192+Q192+M193+N193+O193+P193+Q193</f>
        <v>4772856.09</v>
      </c>
      <c r="M192" s="635">
        <v>1726272</v>
      </c>
      <c r="N192" s="636"/>
      <c r="O192" s="587">
        <v>5158.08</v>
      </c>
      <c r="P192" s="586"/>
      <c r="Q192" s="586"/>
      <c r="R192" s="582">
        <f>M192/J192</f>
        <v>26973</v>
      </c>
      <c r="S192" s="586">
        <f t="shared" si="22"/>
        <v>3041426.01</v>
      </c>
      <c r="T192" s="588"/>
      <c r="U192" s="597">
        <f t="shared" si="17"/>
        <v>1731430.08</v>
      </c>
      <c r="V192" s="589"/>
      <c r="W192" s="600"/>
      <c r="X192" s="601"/>
      <c r="Y192" s="601"/>
      <c r="Z192" s="601"/>
    </row>
    <row r="193" spans="1:32" s="75" customFormat="1" hidden="1">
      <c r="A193" s="1349"/>
      <c r="B193" s="592"/>
      <c r="C193" s="652"/>
      <c r="D193" s="618"/>
      <c r="E193" s="619"/>
      <c r="F193" s="608"/>
      <c r="G193" s="594"/>
      <c r="H193" s="640"/>
      <c r="I193" s="633"/>
      <c r="J193" s="633"/>
      <c r="K193" s="590" t="s">
        <v>33</v>
      </c>
      <c r="L193" s="1357"/>
      <c r="M193" s="635">
        <v>3032274</v>
      </c>
      <c r="N193" s="636"/>
      <c r="O193" s="587">
        <v>9152.01</v>
      </c>
      <c r="P193" s="586"/>
      <c r="Q193" s="586"/>
      <c r="R193" s="582">
        <f>M193/G192</f>
        <v>3461.5</v>
      </c>
      <c r="S193" s="586">
        <f t="shared" si="22"/>
        <v>-3041426.01</v>
      </c>
      <c r="T193" s="605"/>
      <c r="U193" s="597">
        <f t="shared" si="17"/>
        <v>3041426.01</v>
      </c>
      <c r="V193" s="589"/>
      <c r="W193" s="600"/>
      <c r="X193" s="601"/>
      <c r="Y193" s="601"/>
      <c r="Z193" s="601"/>
    </row>
    <row r="194" spans="1:32" s="246" customFormat="1" hidden="1">
      <c r="A194" s="591">
        <v>148</v>
      </c>
      <c r="B194" s="592" t="s">
        <v>593</v>
      </c>
      <c r="C194" s="593" t="s">
        <v>271</v>
      </c>
      <c r="D194" s="582">
        <v>9267</v>
      </c>
      <c r="E194" s="582">
        <v>1178</v>
      </c>
      <c r="F194" s="582" t="s">
        <v>230</v>
      </c>
      <c r="G194" s="582">
        <v>915.5</v>
      </c>
      <c r="H194" s="665">
        <v>3</v>
      </c>
      <c r="I194" s="665">
        <v>5</v>
      </c>
      <c r="J194" s="582">
        <v>26</v>
      </c>
      <c r="K194" s="610" t="s">
        <v>224</v>
      </c>
      <c r="L194" s="595">
        <f>M194+N194+O194+P194+Q194</f>
        <v>712459.85</v>
      </c>
      <c r="M194" s="585">
        <v>677494.85</v>
      </c>
      <c r="N194" s="586">
        <v>34965</v>
      </c>
      <c r="O194" s="587"/>
      <c r="P194" s="586"/>
      <c r="Q194" s="586"/>
      <c r="R194" s="582">
        <f>M194/J194</f>
        <v>26057.494230769229</v>
      </c>
      <c r="S194" s="586">
        <f t="shared" si="22"/>
        <v>0</v>
      </c>
      <c r="T194" s="588"/>
      <c r="U194" s="597">
        <f t="shared" si="17"/>
        <v>712459.85</v>
      </c>
      <c r="V194" s="589"/>
      <c r="W194" s="600"/>
      <c r="X194" s="591"/>
      <c r="Y194" s="591"/>
      <c r="Z194" s="591"/>
    </row>
    <row r="195" spans="1:32" s="480" customFormat="1" hidden="1">
      <c r="A195" s="1349">
        <v>149</v>
      </c>
      <c r="B195" s="592" t="s">
        <v>594</v>
      </c>
      <c r="C195" s="1384" t="s">
        <v>271</v>
      </c>
      <c r="D195" s="582">
        <v>15338</v>
      </c>
      <c r="E195" s="582">
        <v>2460</v>
      </c>
      <c r="F195" s="582" t="s">
        <v>222</v>
      </c>
      <c r="G195" s="582">
        <v>967</v>
      </c>
      <c r="H195" s="602">
        <v>5</v>
      </c>
      <c r="I195" s="602">
        <v>4</v>
      </c>
      <c r="J195" s="582">
        <v>80</v>
      </c>
      <c r="K195" s="610" t="s">
        <v>224</v>
      </c>
      <c r="L195" s="1357">
        <f>M195+N195+O195+P195+Q195+M196+N196+O196+P196+Q196</f>
        <v>4662922.7300000004</v>
      </c>
      <c r="M195" s="585">
        <v>1267200</v>
      </c>
      <c r="N195" s="586">
        <v>34965</v>
      </c>
      <c r="O195" s="587"/>
      <c r="P195" s="586"/>
      <c r="Q195" s="586"/>
      <c r="R195" s="582">
        <f>M195/J195</f>
        <v>15840</v>
      </c>
      <c r="S195" s="586">
        <f t="shared" si="22"/>
        <v>3360757.7300000004</v>
      </c>
      <c r="T195" s="588"/>
      <c r="U195" s="597">
        <f t="shared" si="17"/>
        <v>1302165</v>
      </c>
      <c r="V195" s="589"/>
      <c r="W195" s="600"/>
      <c r="X195" s="591"/>
      <c r="Y195" s="589"/>
      <c r="Z195" s="589"/>
      <c r="AA195" s="520"/>
      <c r="AC195" s="36"/>
      <c r="AD195" s="14"/>
      <c r="AE195" s="246"/>
      <c r="AF195" s="72"/>
    </row>
    <row r="196" spans="1:32" s="480" customFormat="1" hidden="1">
      <c r="A196" s="1349"/>
      <c r="B196" s="592"/>
      <c r="C196" s="1384"/>
      <c r="D196" s="582">
        <v>15338</v>
      </c>
      <c r="E196" s="582">
        <v>2460</v>
      </c>
      <c r="F196" s="582" t="s">
        <v>222</v>
      </c>
      <c r="G196" s="582">
        <v>967</v>
      </c>
      <c r="H196" s="602">
        <v>5</v>
      </c>
      <c r="I196" s="602">
        <v>4</v>
      </c>
      <c r="J196" s="582">
        <v>80</v>
      </c>
      <c r="K196" s="606" t="s">
        <v>33</v>
      </c>
      <c r="L196" s="1357"/>
      <c r="M196" s="585">
        <v>3350655</v>
      </c>
      <c r="N196" s="586"/>
      <c r="O196" s="587">
        <v>10102.73</v>
      </c>
      <c r="P196" s="586"/>
      <c r="Q196" s="586"/>
      <c r="R196" s="582">
        <f>M196/G196</f>
        <v>3465</v>
      </c>
      <c r="S196" s="586">
        <f t="shared" si="22"/>
        <v>-3360757.73</v>
      </c>
      <c r="T196" s="605"/>
      <c r="U196" s="597">
        <f t="shared" si="17"/>
        <v>3360757.73</v>
      </c>
      <c r="V196" s="589"/>
      <c r="W196" s="600"/>
      <c r="X196" s="591"/>
      <c r="Y196" s="589"/>
      <c r="Z196" s="589"/>
      <c r="AA196" s="520"/>
      <c r="AC196" s="36"/>
      <c r="AD196" s="14"/>
      <c r="AE196" s="246"/>
      <c r="AF196" s="72"/>
    </row>
    <row r="197" spans="1:32" s="249" customFormat="1" hidden="1">
      <c r="A197" s="591">
        <v>150</v>
      </c>
      <c r="B197" s="592" t="s">
        <v>595</v>
      </c>
      <c r="C197" s="593" t="s">
        <v>271</v>
      </c>
      <c r="D197" s="594">
        <v>19821</v>
      </c>
      <c r="E197" s="594">
        <v>1944</v>
      </c>
      <c r="F197" s="594" t="s">
        <v>233</v>
      </c>
      <c r="G197" s="594">
        <v>714</v>
      </c>
      <c r="H197" s="594">
        <v>9</v>
      </c>
      <c r="I197" s="594">
        <v>1</v>
      </c>
      <c r="J197" s="594">
        <v>44</v>
      </c>
      <c r="K197" s="590" t="s">
        <v>38</v>
      </c>
      <c r="L197" s="1357">
        <f>M197+N197+O197+P197+Q197+M198+N198+O198+P198+Q198</f>
        <v>6038768.7400000002</v>
      </c>
      <c r="M197" s="596">
        <f>3496500+262496.24</f>
        <v>3758996.24</v>
      </c>
      <c r="N197" s="597"/>
      <c r="O197" s="587">
        <v>10447.5</v>
      </c>
      <c r="P197" s="597"/>
      <c r="Q197" s="597"/>
      <c r="R197" s="599">
        <f>M197/E197</f>
        <v>1933.6400411522634</v>
      </c>
      <c r="S197" s="586">
        <f t="shared" si="22"/>
        <v>2269325</v>
      </c>
      <c r="T197" s="605"/>
      <c r="U197" s="597">
        <f t="shared" si="17"/>
        <v>3769443.74</v>
      </c>
      <c r="V197" s="589"/>
      <c r="W197" s="600"/>
      <c r="X197" s="590"/>
      <c r="Y197" s="590"/>
      <c r="Z197" s="590"/>
    </row>
    <row r="198" spans="1:32" s="249" customFormat="1" ht="393.75" hidden="1">
      <c r="A198" s="591"/>
      <c r="B198" s="592"/>
      <c r="C198" s="593"/>
      <c r="D198" s="594"/>
      <c r="E198" s="594"/>
      <c r="F198" s="594"/>
      <c r="G198" s="594"/>
      <c r="H198" s="594"/>
      <c r="I198" s="594"/>
      <c r="J198" s="594"/>
      <c r="K198" s="590" t="s">
        <v>366</v>
      </c>
      <c r="L198" s="1357"/>
      <c r="M198" s="596">
        <v>2189000</v>
      </c>
      <c r="N198" s="597">
        <v>80325</v>
      </c>
      <c r="O198" s="631"/>
      <c r="P198" s="675"/>
      <c r="Q198" s="675"/>
      <c r="R198" s="599">
        <f>M198/I197</f>
        <v>2189000</v>
      </c>
      <c r="S198" s="586">
        <f t="shared" si="22"/>
        <v>-2269325</v>
      </c>
      <c r="T198" s="588" t="s">
        <v>3698</v>
      </c>
      <c r="U198" s="597">
        <f t="shared" si="17"/>
        <v>2269325</v>
      </c>
      <c r="V198" s="589"/>
      <c r="W198" s="600"/>
      <c r="X198" s="590"/>
      <c r="Y198" s="590"/>
      <c r="Z198" s="590"/>
    </row>
    <row r="199" spans="1:32" s="249" customFormat="1" ht="37.5" hidden="1">
      <c r="A199" s="591">
        <f>A197+1</f>
        <v>151</v>
      </c>
      <c r="B199" s="592" t="s">
        <v>596</v>
      </c>
      <c r="C199" s="602" t="s">
        <v>271</v>
      </c>
      <c r="D199" s="603">
        <v>9494</v>
      </c>
      <c r="E199" s="603">
        <v>2280</v>
      </c>
      <c r="F199" s="604" t="s">
        <v>233</v>
      </c>
      <c r="G199" s="603">
        <v>667.6</v>
      </c>
      <c r="H199" s="609">
        <v>5</v>
      </c>
      <c r="I199" s="609">
        <v>1</v>
      </c>
      <c r="J199" s="609">
        <v>79</v>
      </c>
      <c r="K199" s="606" t="s">
        <v>30</v>
      </c>
      <c r="L199" s="595">
        <f t="shared" ref="L199:L215" si="24">M199+N199+O199+P199+Q199</f>
        <v>2137234.0099999998</v>
      </c>
      <c r="M199" s="585">
        <v>2130867</v>
      </c>
      <c r="N199" s="586"/>
      <c r="O199" s="587">
        <v>6367.01</v>
      </c>
      <c r="P199" s="586"/>
      <c r="Q199" s="586"/>
      <c r="R199" s="582">
        <f>M199/J199</f>
        <v>26973</v>
      </c>
      <c r="S199" s="586">
        <f t="shared" si="22"/>
        <v>-2.2373569663614035E-10</v>
      </c>
      <c r="T199" s="605"/>
      <c r="U199" s="597">
        <f t="shared" si="17"/>
        <v>2137234.0099999998</v>
      </c>
      <c r="V199" s="589"/>
      <c r="W199" s="600"/>
      <c r="X199" s="590"/>
      <c r="Y199" s="590"/>
      <c r="Z199" s="590"/>
    </row>
    <row r="200" spans="1:32" s="75" customFormat="1" ht="37.5" hidden="1">
      <c r="A200" s="591">
        <f t="shared" ref="A200:A264" si="25">A199+1</f>
        <v>152</v>
      </c>
      <c r="B200" s="592" t="s">
        <v>597</v>
      </c>
      <c r="C200" s="617" t="s">
        <v>271</v>
      </c>
      <c r="D200" s="582">
        <v>6027</v>
      </c>
      <c r="E200" s="646">
        <v>921</v>
      </c>
      <c r="F200" s="582" t="s">
        <v>222</v>
      </c>
      <c r="G200" s="582">
        <v>921.8</v>
      </c>
      <c r="H200" s="582">
        <v>3</v>
      </c>
      <c r="I200" s="582">
        <v>3</v>
      </c>
      <c r="J200" s="582">
        <v>36</v>
      </c>
      <c r="K200" s="610" t="s">
        <v>30</v>
      </c>
      <c r="L200" s="595">
        <f t="shared" si="24"/>
        <v>973923.22000000009</v>
      </c>
      <c r="M200" s="623">
        <v>971021.8</v>
      </c>
      <c r="N200" s="586"/>
      <c r="O200" s="598">
        <v>2901.42</v>
      </c>
      <c r="P200" s="586"/>
      <c r="Q200" s="586"/>
      <c r="R200" s="582">
        <f>M200/J200</f>
        <v>26972.82777777778</v>
      </c>
      <c r="S200" s="586">
        <f t="shared" si="22"/>
        <v>4.1836756281554699E-11</v>
      </c>
      <c r="T200" s="605"/>
      <c r="U200" s="597">
        <f t="shared" si="17"/>
        <v>973923.22000000009</v>
      </c>
      <c r="V200" s="589"/>
      <c r="W200" s="600"/>
      <c r="X200" s="601"/>
      <c r="Y200" s="601"/>
      <c r="Z200" s="601"/>
    </row>
    <row r="201" spans="1:32" s="75" customFormat="1" ht="37.5" hidden="1">
      <c r="A201" s="591">
        <f t="shared" si="25"/>
        <v>153</v>
      </c>
      <c r="B201" s="592" t="s">
        <v>598</v>
      </c>
      <c r="C201" s="617" t="s">
        <v>217</v>
      </c>
      <c r="D201" s="582">
        <v>15941</v>
      </c>
      <c r="E201" s="646">
        <v>3304</v>
      </c>
      <c r="F201" s="582" t="s">
        <v>233</v>
      </c>
      <c r="G201" s="582">
        <v>808</v>
      </c>
      <c r="H201" s="582">
        <v>9</v>
      </c>
      <c r="I201" s="582">
        <v>2</v>
      </c>
      <c r="J201" s="582">
        <v>72</v>
      </c>
      <c r="K201" s="610" t="s">
        <v>30</v>
      </c>
      <c r="L201" s="595">
        <f t="shared" si="24"/>
        <v>2170480.42</v>
      </c>
      <c r="M201" s="585">
        <v>2163602.98</v>
      </c>
      <c r="N201" s="586"/>
      <c r="O201" s="587">
        <v>6877.44</v>
      </c>
      <c r="P201" s="586"/>
      <c r="Q201" s="586"/>
      <c r="R201" s="582">
        <f>M201/J201</f>
        <v>30050.041388888887</v>
      </c>
      <c r="S201" s="586">
        <f t="shared" si="22"/>
        <v>-5.5479176808148623E-11</v>
      </c>
      <c r="T201" s="605"/>
      <c r="U201" s="597">
        <f t="shared" si="17"/>
        <v>2170480.42</v>
      </c>
      <c r="V201" s="589"/>
      <c r="W201" s="600"/>
      <c r="X201" s="601"/>
      <c r="Y201" s="601"/>
      <c r="Z201" s="601"/>
    </row>
    <row r="202" spans="1:32" s="249" customFormat="1" ht="37.5" hidden="1">
      <c r="A202" s="591">
        <f t="shared" si="25"/>
        <v>154</v>
      </c>
      <c r="B202" s="592" t="s">
        <v>599</v>
      </c>
      <c r="C202" s="602" t="s">
        <v>217</v>
      </c>
      <c r="D202" s="561">
        <v>31357</v>
      </c>
      <c r="E202" s="561">
        <v>5325</v>
      </c>
      <c r="F202" s="561" t="s">
        <v>233</v>
      </c>
      <c r="G202" s="561">
        <v>1337</v>
      </c>
      <c r="H202" s="625">
        <v>9</v>
      </c>
      <c r="I202" s="625">
        <v>4</v>
      </c>
      <c r="J202" s="561">
        <v>144</v>
      </c>
      <c r="K202" s="606" t="s">
        <v>366</v>
      </c>
      <c r="L202" s="595">
        <f t="shared" si="24"/>
        <v>8108006.25</v>
      </c>
      <c r="M202" s="585">
        <v>7960000</v>
      </c>
      <c r="N202" s="586">
        <v>148006.25</v>
      </c>
      <c r="O202" s="565"/>
      <c r="P202" s="564"/>
      <c r="Q202" s="586"/>
      <c r="R202" s="582">
        <v>2000000</v>
      </c>
      <c r="S202" s="586">
        <f t="shared" si="22"/>
        <v>0</v>
      </c>
      <c r="T202" s="588"/>
      <c r="U202" s="597">
        <f t="shared" si="17"/>
        <v>8108006.25</v>
      </c>
      <c r="V202" s="589"/>
      <c r="W202" s="600"/>
      <c r="X202" s="590"/>
      <c r="Y202" s="590"/>
      <c r="Z202" s="590"/>
    </row>
    <row r="203" spans="1:32" s="249" customFormat="1" ht="37.5" hidden="1">
      <c r="A203" s="591">
        <f t="shared" si="25"/>
        <v>155</v>
      </c>
      <c r="B203" s="592" t="s">
        <v>600</v>
      </c>
      <c r="C203" s="602" t="s">
        <v>217</v>
      </c>
      <c r="D203" s="561">
        <v>15852</v>
      </c>
      <c r="E203" s="561">
        <v>2950</v>
      </c>
      <c r="F203" s="561" t="s">
        <v>233</v>
      </c>
      <c r="G203" s="561">
        <v>680</v>
      </c>
      <c r="H203" s="625">
        <v>9</v>
      </c>
      <c r="I203" s="625">
        <v>2</v>
      </c>
      <c r="J203" s="561">
        <v>72</v>
      </c>
      <c r="K203" s="606" t="s">
        <v>366</v>
      </c>
      <c r="L203" s="595">
        <f t="shared" si="24"/>
        <v>4085718.75</v>
      </c>
      <c r="M203" s="585">
        <v>3980000</v>
      </c>
      <c r="N203" s="586">
        <v>105718.75</v>
      </c>
      <c r="O203" s="565"/>
      <c r="P203" s="564"/>
      <c r="Q203" s="586"/>
      <c r="R203" s="582">
        <v>2000000</v>
      </c>
      <c r="S203" s="586">
        <f t="shared" si="22"/>
        <v>0</v>
      </c>
      <c r="T203" s="588"/>
      <c r="U203" s="597">
        <f t="shared" si="17"/>
        <v>4085718.75</v>
      </c>
      <c r="V203" s="589"/>
      <c r="W203" s="600"/>
      <c r="X203" s="590"/>
      <c r="Y203" s="590"/>
      <c r="Z203" s="590"/>
    </row>
    <row r="204" spans="1:32" s="249" customFormat="1" ht="37.5" hidden="1">
      <c r="A204" s="591">
        <f t="shared" si="25"/>
        <v>156</v>
      </c>
      <c r="B204" s="592" t="s">
        <v>601</v>
      </c>
      <c r="C204" s="602" t="s">
        <v>217</v>
      </c>
      <c r="D204" s="561">
        <v>16127</v>
      </c>
      <c r="E204" s="561">
        <v>2955</v>
      </c>
      <c r="F204" s="561" t="s">
        <v>233</v>
      </c>
      <c r="G204" s="561">
        <v>680</v>
      </c>
      <c r="H204" s="625">
        <v>9</v>
      </c>
      <c r="I204" s="625">
        <v>2</v>
      </c>
      <c r="J204" s="561">
        <v>72</v>
      </c>
      <c r="K204" s="606" t="s">
        <v>366</v>
      </c>
      <c r="L204" s="595">
        <f t="shared" si="24"/>
        <v>4085718.75</v>
      </c>
      <c r="M204" s="585">
        <v>3980000</v>
      </c>
      <c r="N204" s="586">
        <v>105718.75</v>
      </c>
      <c r="O204" s="565"/>
      <c r="P204" s="564"/>
      <c r="Q204" s="586"/>
      <c r="R204" s="582">
        <v>2000000</v>
      </c>
      <c r="S204" s="586">
        <f t="shared" si="22"/>
        <v>0</v>
      </c>
      <c r="T204" s="588"/>
      <c r="U204" s="597">
        <f t="shared" si="17"/>
        <v>4085718.75</v>
      </c>
      <c r="V204" s="589"/>
      <c r="W204" s="600"/>
      <c r="X204" s="590"/>
      <c r="Y204" s="590"/>
      <c r="Z204" s="590"/>
    </row>
    <row r="205" spans="1:32" s="113" customFormat="1" ht="37.5" hidden="1">
      <c r="A205" s="591">
        <f t="shared" si="25"/>
        <v>157</v>
      </c>
      <c r="B205" s="581" t="s">
        <v>602</v>
      </c>
      <c r="C205" s="602" t="s">
        <v>271</v>
      </c>
      <c r="D205" s="603">
        <v>19079</v>
      </c>
      <c r="E205" s="599">
        <v>2612</v>
      </c>
      <c r="F205" s="604" t="s">
        <v>233</v>
      </c>
      <c r="G205" s="622">
        <v>683</v>
      </c>
      <c r="H205" s="594">
        <v>10</v>
      </c>
      <c r="I205" s="594">
        <v>2</v>
      </c>
      <c r="J205" s="594">
        <f>75-1</f>
        <v>74</v>
      </c>
      <c r="K205" s="606" t="s">
        <v>30</v>
      </c>
      <c r="L205" s="595">
        <f t="shared" si="24"/>
        <v>1951138.17</v>
      </c>
      <c r="M205" s="623">
        <v>1944069.69</v>
      </c>
      <c r="N205" s="586"/>
      <c r="O205" s="587">
        <v>7068.48</v>
      </c>
      <c r="P205" s="586"/>
      <c r="Q205" s="586"/>
      <c r="R205" s="582">
        <f>M205/J205</f>
        <v>26271.212027027028</v>
      </c>
      <c r="S205" s="586">
        <f t="shared" si="22"/>
        <v>-1.8189894035458565E-11</v>
      </c>
      <c r="T205" s="588"/>
      <c r="U205" s="597">
        <f t="shared" si="17"/>
        <v>1951138.17</v>
      </c>
      <c r="V205" s="589"/>
      <c r="W205" s="600"/>
      <c r="X205" s="639"/>
      <c r="Y205" s="639"/>
      <c r="Z205" s="639"/>
    </row>
    <row r="206" spans="1:32" s="246" customFormat="1" hidden="1">
      <c r="A206" s="591">
        <f t="shared" si="25"/>
        <v>158</v>
      </c>
      <c r="B206" s="592" t="s">
        <v>603</v>
      </c>
      <c r="C206" s="602" t="s">
        <v>271</v>
      </c>
      <c r="D206" s="618">
        <v>10969</v>
      </c>
      <c r="E206" s="619">
        <v>2105</v>
      </c>
      <c r="F206" s="608" t="s">
        <v>222</v>
      </c>
      <c r="G206" s="633">
        <v>975</v>
      </c>
      <c r="H206" s="640">
        <v>4</v>
      </c>
      <c r="I206" s="633">
        <v>3</v>
      </c>
      <c r="J206" s="633">
        <v>19</v>
      </c>
      <c r="K206" s="669" t="s">
        <v>33</v>
      </c>
      <c r="L206" s="595">
        <f t="shared" si="24"/>
        <v>3405623.81</v>
      </c>
      <c r="M206" s="635">
        <v>3395437.5</v>
      </c>
      <c r="N206" s="636"/>
      <c r="O206" s="637">
        <v>10186.31</v>
      </c>
      <c r="P206" s="636"/>
      <c r="Q206" s="638"/>
      <c r="R206" s="582">
        <f>M206/G206</f>
        <v>3482.5</v>
      </c>
      <c r="S206" s="586">
        <f t="shared" si="22"/>
        <v>5.6388671509921551E-11</v>
      </c>
      <c r="T206" s="605"/>
      <c r="U206" s="597">
        <f t="shared" si="17"/>
        <v>3405623.81</v>
      </c>
      <c r="V206" s="589"/>
      <c r="W206" s="600"/>
      <c r="X206" s="589"/>
      <c r="Y206" s="589"/>
      <c r="Z206" s="591"/>
      <c r="AA206" s="36"/>
      <c r="AB206" s="72"/>
      <c r="AD206" s="72"/>
    </row>
    <row r="207" spans="1:32" s="517" customFormat="1" ht="37.5" hidden="1">
      <c r="A207" s="591">
        <f t="shared" si="25"/>
        <v>159</v>
      </c>
      <c r="B207" s="592" t="s">
        <v>604</v>
      </c>
      <c r="C207" s="676" t="s">
        <v>271</v>
      </c>
      <c r="D207" s="618">
        <v>25723</v>
      </c>
      <c r="E207" s="619">
        <v>2580</v>
      </c>
      <c r="F207" s="664" t="s">
        <v>233</v>
      </c>
      <c r="G207" s="619">
        <v>603.29999999999995</v>
      </c>
      <c r="H207" s="594">
        <v>9</v>
      </c>
      <c r="I207" s="594">
        <v>2</v>
      </c>
      <c r="J207" s="582">
        <v>225</v>
      </c>
      <c r="K207" s="590" t="s">
        <v>366</v>
      </c>
      <c r="L207" s="595">
        <f t="shared" si="24"/>
        <v>4085718.75</v>
      </c>
      <c r="M207" s="611">
        <v>3980000</v>
      </c>
      <c r="N207" s="612">
        <v>105718.75</v>
      </c>
      <c r="O207" s="613"/>
      <c r="P207" s="586"/>
      <c r="Q207" s="614"/>
      <c r="R207" s="582">
        <v>2000000</v>
      </c>
      <c r="S207" s="586">
        <f t="shared" si="22"/>
        <v>0</v>
      </c>
      <c r="T207" s="645"/>
      <c r="U207" s="597">
        <f t="shared" ref="U207:U270" si="26">M207+N207+O207+P207+Q207</f>
        <v>4085718.75</v>
      </c>
      <c r="V207" s="589"/>
      <c r="W207" s="600"/>
      <c r="X207" s="589"/>
      <c r="Y207" s="589"/>
      <c r="Z207" s="647"/>
      <c r="AB207" s="36"/>
      <c r="AC207" s="14"/>
      <c r="AD207" s="246"/>
      <c r="AE207" s="72"/>
    </row>
    <row r="208" spans="1:32" s="517" customFormat="1" hidden="1">
      <c r="A208" s="591">
        <f t="shared" si="25"/>
        <v>160</v>
      </c>
      <c r="B208" s="677" t="s">
        <v>605</v>
      </c>
      <c r="C208" s="602" t="s">
        <v>372</v>
      </c>
      <c r="D208" s="644">
        <v>3060</v>
      </c>
      <c r="E208" s="593">
        <v>620</v>
      </c>
      <c r="F208" s="608" t="s">
        <v>222</v>
      </c>
      <c r="G208" s="593">
        <v>478</v>
      </c>
      <c r="H208" s="593">
        <v>2</v>
      </c>
      <c r="I208" s="593">
        <v>1</v>
      </c>
      <c r="J208" s="593">
        <v>10</v>
      </c>
      <c r="K208" s="590" t="s">
        <v>33</v>
      </c>
      <c r="L208" s="595">
        <f t="shared" si="24"/>
        <v>1341056.7200000002</v>
      </c>
      <c r="M208" s="627">
        <v>1337061.6000000001</v>
      </c>
      <c r="N208" s="586"/>
      <c r="O208" s="587">
        <v>3995.12</v>
      </c>
      <c r="P208" s="586"/>
      <c r="Q208" s="586"/>
      <c r="R208" s="582">
        <f t="shared" ref="R208:R213" si="27">M208/G208</f>
        <v>2797.2000000000003</v>
      </c>
      <c r="S208" s="586">
        <f t="shared" si="22"/>
        <v>1.1186784831807017E-10</v>
      </c>
      <c r="T208" s="605"/>
      <c r="U208" s="597">
        <f t="shared" si="26"/>
        <v>1341056.7200000002</v>
      </c>
      <c r="V208" s="589"/>
      <c r="W208" s="600"/>
      <c r="X208" s="589"/>
      <c r="Y208" s="647"/>
      <c r="Z208" s="648"/>
      <c r="AA208" s="36"/>
      <c r="AB208" s="14"/>
      <c r="AC208" s="246"/>
      <c r="AD208" s="72"/>
    </row>
    <row r="209" spans="1:26" s="75" customFormat="1" ht="281.25" hidden="1">
      <c r="A209" s="591">
        <f t="shared" si="25"/>
        <v>161</v>
      </c>
      <c r="B209" s="616" t="s">
        <v>606</v>
      </c>
      <c r="C209" s="617" t="s">
        <v>217</v>
      </c>
      <c r="D209" s="618">
        <v>9668</v>
      </c>
      <c r="E209" s="619">
        <v>2363</v>
      </c>
      <c r="F209" s="620" t="s">
        <v>233</v>
      </c>
      <c r="G209" s="620">
        <v>740</v>
      </c>
      <c r="H209" s="651">
        <v>5</v>
      </c>
      <c r="I209" s="620">
        <v>2</v>
      </c>
      <c r="J209" s="620">
        <v>60</v>
      </c>
      <c r="K209" s="590" t="s">
        <v>252</v>
      </c>
      <c r="L209" s="595">
        <f t="shared" si="24"/>
        <v>3046950</v>
      </c>
      <c r="M209" s="596">
        <v>3006990</v>
      </c>
      <c r="N209" s="597">
        <v>39960</v>
      </c>
      <c r="O209" s="598"/>
      <c r="P209" s="597">
        <v>0</v>
      </c>
      <c r="Q209" s="597"/>
      <c r="R209" s="582">
        <f t="shared" si="27"/>
        <v>4063.5</v>
      </c>
      <c r="S209" s="586">
        <f t="shared" si="22"/>
        <v>0</v>
      </c>
      <c r="T209" s="588" t="s">
        <v>3699</v>
      </c>
      <c r="U209" s="597">
        <f t="shared" si="26"/>
        <v>3046950</v>
      </c>
      <c r="V209" s="589"/>
      <c r="W209" s="600"/>
      <c r="X209" s="601"/>
      <c r="Y209" s="601"/>
      <c r="Z209" s="601"/>
    </row>
    <row r="210" spans="1:26" s="521" customFormat="1" hidden="1">
      <c r="A210" s="591">
        <f t="shared" si="25"/>
        <v>162</v>
      </c>
      <c r="B210" s="581" t="s">
        <v>607</v>
      </c>
      <c r="C210" s="593" t="s">
        <v>271</v>
      </c>
      <c r="D210" s="603">
        <v>18781</v>
      </c>
      <c r="E210" s="594">
        <v>3338</v>
      </c>
      <c r="F210" s="608" t="s">
        <v>233</v>
      </c>
      <c r="G210" s="603">
        <v>1378</v>
      </c>
      <c r="H210" s="678">
        <v>5</v>
      </c>
      <c r="I210" s="678">
        <v>6</v>
      </c>
      <c r="J210" s="609"/>
      <c r="K210" s="679" t="s">
        <v>252</v>
      </c>
      <c r="L210" s="595">
        <f t="shared" si="24"/>
        <v>4174821</v>
      </c>
      <c r="M210" s="585">
        <v>4129866</v>
      </c>
      <c r="N210" s="628">
        <v>44955</v>
      </c>
      <c r="O210" s="587"/>
      <c r="P210" s="586"/>
      <c r="Q210" s="586"/>
      <c r="R210" s="582">
        <f t="shared" si="27"/>
        <v>2997</v>
      </c>
      <c r="S210" s="586">
        <f t="shared" si="22"/>
        <v>0</v>
      </c>
      <c r="T210" s="588"/>
      <c r="U210" s="597">
        <f t="shared" si="26"/>
        <v>4174821</v>
      </c>
      <c r="V210" s="589"/>
      <c r="W210" s="600"/>
      <c r="X210" s="680"/>
      <c r="Y210" s="680"/>
      <c r="Z210" s="680"/>
    </row>
    <row r="211" spans="1:26" s="28" customFormat="1" hidden="1">
      <c r="A211" s="591">
        <f t="shared" si="25"/>
        <v>163</v>
      </c>
      <c r="B211" s="670" t="s">
        <v>608</v>
      </c>
      <c r="C211" s="602" t="s">
        <v>239</v>
      </c>
      <c r="D211" s="602">
        <v>3301</v>
      </c>
      <c r="E211" s="602">
        <v>807.8</v>
      </c>
      <c r="F211" s="604" t="s">
        <v>222</v>
      </c>
      <c r="G211" s="602">
        <v>613</v>
      </c>
      <c r="H211" s="602">
        <v>2</v>
      </c>
      <c r="I211" s="602">
        <v>2</v>
      </c>
      <c r="J211" s="602">
        <v>12</v>
      </c>
      <c r="K211" s="606" t="s">
        <v>33</v>
      </c>
      <c r="L211" s="595">
        <f t="shared" si="24"/>
        <v>2185090.3000000003</v>
      </c>
      <c r="M211" s="585">
        <v>2179966.85</v>
      </c>
      <c r="N211" s="586"/>
      <c r="O211" s="587">
        <v>5123.45</v>
      </c>
      <c r="P211" s="586"/>
      <c r="Q211" s="586"/>
      <c r="R211" s="582">
        <f t="shared" si="27"/>
        <v>3556.2265089722678</v>
      </c>
      <c r="S211" s="586">
        <f t="shared" si="22"/>
        <v>1.8644641386345029E-10</v>
      </c>
      <c r="T211" s="588"/>
      <c r="U211" s="597">
        <f t="shared" si="26"/>
        <v>2185090.3000000003</v>
      </c>
      <c r="V211" s="589"/>
      <c r="W211" s="600"/>
      <c r="X211" s="592"/>
      <c r="Y211" s="592"/>
      <c r="Z211" s="592"/>
    </row>
    <row r="212" spans="1:26" s="75" customFormat="1" hidden="1">
      <c r="A212" s="591">
        <f t="shared" si="25"/>
        <v>164</v>
      </c>
      <c r="B212" s="670" t="s">
        <v>609</v>
      </c>
      <c r="C212" s="602" t="s">
        <v>239</v>
      </c>
      <c r="D212" s="681">
        <v>3257</v>
      </c>
      <c r="E212" s="681">
        <v>807.8</v>
      </c>
      <c r="F212" s="682" t="s">
        <v>222</v>
      </c>
      <c r="G212" s="608">
        <v>499</v>
      </c>
      <c r="H212" s="602">
        <v>2</v>
      </c>
      <c r="I212" s="602">
        <v>2</v>
      </c>
      <c r="J212" s="681">
        <v>12</v>
      </c>
      <c r="K212" s="606" t="s">
        <v>33</v>
      </c>
      <c r="L212" s="595">
        <f t="shared" si="24"/>
        <v>1539553.7</v>
      </c>
      <c r="M212" s="585">
        <v>1535383.06</v>
      </c>
      <c r="N212" s="586"/>
      <c r="O212" s="587">
        <v>4170.6400000000003</v>
      </c>
      <c r="P212" s="586"/>
      <c r="Q212" s="586"/>
      <c r="R212" s="582">
        <f t="shared" si="27"/>
        <v>3076.9199599198396</v>
      </c>
      <c r="S212" s="586">
        <f t="shared" si="22"/>
        <v>-1.0277290130034089E-10</v>
      </c>
      <c r="T212" s="588"/>
      <c r="U212" s="597">
        <f t="shared" si="26"/>
        <v>1539553.7</v>
      </c>
      <c r="V212" s="589"/>
      <c r="W212" s="600"/>
      <c r="X212" s="601"/>
      <c r="Y212" s="601"/>
      <c r="Z212" s="601"/>
    </row>
    <row r="213" spans="1:26" s="75" customFormat="1" hidden="1">
      <c r="A213" s="591">
        <f t="shared" si="25"/>
        <v>165</v>
      </c>
      <c r="B213" s="670" t="s">
        <v>610</v>
      </c>
      <c r="C213" s="602" t="s">
        <v>239</v>
      </c>
      <c r="D213" s="602">
        <v>3262</v>
      </c>
      <c r="E213" s="602">
        <v>807.8</v>
      </c>
      <c r="F213" s="604" t="s">
        <v>222</v>
      </c>
      <c r="G213" s="602">
        <v>455</v>
      </c>
      <c r="H213" s="602">
        <v>2</v>
      </c>
      <c r="I213" s="602">
        <v>2</v>
      </c>
      <c r="J213" s="602">
        <v>12</v>
      </c>
      <c r="K213" s="679" t="s">
        <v>33</v>
      </c>
      <c r="L213" s="595">
        <f t="shared" si="24"/>
        <v>1641696.25</v>
      </c>
      <c r="M213" s="585">
        <v>1637893.36</v>
      </c>
      <c r="N213" s="586"/>
      <c r="O213" s="587">
        <v>3802.89</v>
      </c>
      <c r="P213" s="586"/>
      <c r="Q213" s="586"/>
      <c r="R213" s="582">
        <f t="shared" si="27"/>
        <v>3599.7656263736267</v>
      </c>
      <c r="S213" s="586">
        <f t="shared" si="22"/>
        <v>-1.0231815394945443E-10</v>
      </c>
      <c r="T213" s="588"/>
      <c r="U213" s="597">
        <f t="shared" si="26"/>
        <v>1641696.25</v>
      </c>
      <c r="V213" s="589"/>
      <c r="W213" s="600"/>
      <c r="X213" s="601"/>
      <c r="Y213" s="601"/>
      <c r="Z213" s="601"/>
    </row>
    <row r="214" spans="1:26" s="75" customFormat="1" ht="37.5" hidden="1">
      <c r="A214" s="591">
        <f t="shared" si="25"/>
        <v>166</v>
      </c>
      <c r="B214" s="592" t="s">
        <v>611</v>
      </c>
      <c r="C214" s="593" t="s">
        <v>314</v>
      </c>
      <c r="D214" s="602">
        <v>39196</v>
      </c>
      <c r="E214" s="602">
        <v>6786</v>
      </c>
      <c r="F214" s="602" t="s">
        <v>233</v>
      </c>
      <c r="G214" s="602">
        <v>3700</v>
      </c>
      <c r="H214" s="602">
        <v>9</v>
      </c>
      <c r="I214" s="602">
        <v>4</v>
      </c>
      <c r="J214" s="602">
        <v>144</v>
      </c>
      <c r="K214" s="590" t="s">
        <v>366</v>
      </c>
      <c r="L214" s="595">
        <f t="shared" si="24"/>
        <v>4085718.75</v>
      </c>
      <c r="M214" s="596">
        <v>3980000</v>
      </c>
      <c r="N214" s="586">
        <v>105718.75</v>
      </c>
      <c r="O214" s="587"/>
      <c r="P214" s="586"/>
      <c r="Q214" s="597"/>
      <c r="R214" s="582">
        <v>2000000</v>
      </c>
      <c r="S214" s="586">
        <f t="shared" si="22"/>
        <v>0</v>
      </c>
      <c r="T214" s="605"/>
      <c r="U214" s="597">
        <f t="shared" si="26"/>
        <v>4085718.75</v>
      </c>
      <c r="V214" s="589"/>
      <c r="W214" s="600"/>
      <c r="X214" s="601"/>
      <c r="Y214" s="601"/>
      <c r="Z214" s="601"/>
    </row>
    <row r="215" spans="1:26" s="249" customFormat="1" ht="37.5" hidden="1">
      <c r="A215" s="591">
        <f t="shared" si="25"/>
        <v>167</v>
      </c>
      <c r="B215" s="670" t="s">
        <v>612</v>
      </c>
      <c r="C215" s="602" t="s">
        <v>271</v>
      </c>
      <c r="D215" s="602">
        <v>3337</v>
      </c>
      <c r="E215" s="683">
        <v>711</v>
      </c>
      <c r="F215" s="604" t="s">
        <v>230</v>
      </c>
      <c r="G215" s="602">
        <v>328</v>
      </c>
      <c r="H215" s="602">
        <v>2</v>
      </c>
      <c r="I215" s="602">
        <v>1</v>
      </c>
      <c r="J215" s="602">
        <v>29</v>
      </c>
      <c r="K215" s="606" t="s">
        <v>30</v>
      </c>
      <c r="L215" s="595">
        <f t="shared" si="24"/>
        <v>558155.60000000009</v>
      </c>
      <c r="M215" s="585">
        <v>555991.47000000009</v>
      </c>
      <c r="N215" s="586"/>
      <c r="O215" s="587">
        <v>2164.13</v>
      </c>
      <c r="P215" s="586"/>
      <c r="Q215" s="586"/>
      <c r="R215" s="582">
        <f>M215/J215</f>
        <v>19172.119655172417</v>
      </c>
      <c r="S215" s="586">
        <f t="shared" si="22"/>
        <v>4.5474735088646412E-12</v>
      </c>
      <c r="T215" s="588"/>
      <c r="U215" s="597">
        <f t="shared" si="26"/>
        <v>558155.60000000009</v>
      </c>
      <c r="V215" s="589"/>
      <c r="W215" s="600"/>
      <c r="X215" s="590"/>
      <c r="Y215" s="590"/>
      <c r="Z215" s="590"/>
    </row>
    <row r="216" spans="1:26" s="249" customFormat="1" ht="37.5" hidden="1">
      <c r="A216" s="1349">
        <v>168</v>
      </c>
      <c r="B216" s="670" t="s">
        <v>613</v>
      </c>
      <c r="C216" s="602" t="s">
        <v>271</v>
      </c>
      <c r="D216" s="602">
        <v>2521</v>
      </c>
      <c r="E216" s="602">
        <v>604.66</v>
      </c>
      <c r="F216" s="608" t="s">
        <v>222</v>
      </c>
      <c r="G216" s="602">
        <v>560</v>
      </c>
      <c r="H216" s="602">
        <v>2</v>
      </c>
      <c r="I216" s="602">
        <v>2</v>
      </c>
      <c r="J216" s="602">
        <v>8</v>
      </c>
      <c r="K216" s="606" t="s">
        <v>30</v>
      </c>
      <c r="L216" s="1357">
        <f>M216+N216+O216+P216+Q216+M217+N217+O217+P217+Q217</f>
        <v>430167</v>
      </c>
      <c r="M216" s="585">
        <v>199800</v>
      </c>
      <c r="N216" s="586"/>
      <c r="O216" s="587">
        <v>597</v>
      </c>
      <c r="P216" s="586"/>
      <c r="Q216" s="586"/>
      <c r="R216" s="582">
        <f>M216/J216</f>
        <v>24975</v>
      </c>
      <c r="S216" s="586">
        <f t="shared" si="22"/>
        <v>229770</v>
      </c>
      <c r="T216" s="588"/>
      <c r="U216" s="597">
        <f t="shared" si="26"/>
        <v>200397</v>
      </c>
      <c r="V216" s="589"/>
      <c r="W216" s="600"/>
      <c r="X216" s="590"/>
      <c r="Y216" s="590"/>
      <c r="Z216" s="590"/>
    </row>
    <row r="217" spans="1:26" s="249" customFormat="1" hidden="1">
      <c r="A217" s="1349"/>
      <c r="B217" s="670"/>
      <c r="C217" s="602"/>
      <c r="D217" s="602"/>
      <c r="E217" s="602"/>
      <c r="F217" s="608"/>
      <c r="G217" s="602"/>
      <c r="H217" s="602"/>
      <c r="I217" s="602"/>
      <c r="J217" s="602"/>
      <c r="K217" s="590" t="s">
        <v>224</v>
      </c>
      <c r="L217" s="1357"/>
      <c r="M217" s="585">
        <v>209790</v>
      </c>
      <c r="N217" s="586">
        <v>19980</v>
      </c>
      <c r="O217" s="587"/>
      <c r="P217" s="586"/>
      <c r="Q217" s="586"/>
      <c r="R217" s="582">
        <f>M217/J216</f>
        <v>26223.75</v>
      </c>
      <c r="S217" s="586">
        <f t="shared" si="22"/>
        <v>-229770</v>
      </c>
      <c r="T217" s="588"/>
      <c r="U217" s="597">
        <f t="shared" si="26"/>
        <v>229770</v>
      </c>
      <c r="V217" s="589"/>
      <c r="W217" s="600"/>
      <c r="X217" s="590"/>
      <c r="Y217" s="590"/>
      <c r="Z217" s="590"/>
    </row>
    <row r="218" spans="1:26" hidden="1">
      <c r="A218" s="591">
        <v>169</v>
      </c>
      <c r="B218" s="592" t="s">
        <v>614</v>
      </c>
      <c r="C218" s="602" t="s">
        <v>271</v>
      </c>
      <c r="D218" s="603">
        <v>4575</v>
      </c>
      <c r="E218" s="603">
        <v>634</v>
      </c>
      <c r="F218" s="608" t="s">
        <v>222</v>
      </c>
      <c r="G218" s="603">
        <v>635.4</v>
      </c>
      <c r="H218" s="609">
        <v>2</v>
      </c>
      <c r="I218" s="609">
        <v>2</v>
      </c>
      <c r="J218" s="609">
        <v>12</v>
      </c>
      <c r="K218" s="590" t="s">
        <v>33</v>
      </c>
      <c r="L218" s="595">
        <f>M218+N218+O218+P218+Q218</f>
        <v>1775535.0699999998</v>
      </c>
      <c r="M218" s="585">
        <v>1770224.4</v>
      </c>
      <c r="N218" s="630"/>
      <c r="O218" s="587">
        <v>5310.67</v>
      </c>
      <c r="P218" s="586"/>
      <c r="Q218" s="586"/>
      <c r="R218" s="582">
        <f>M218/G218</f>
        <v>2786</v>
      </c>
      <c r="S218" s="586">
        <f t="shared" si="22"/>
        <v>-7.4578565545380116E-11</v>
      </c>
      <c r="T218" s="588"/>
      <c r="U218" s="597">
        <f t="shared" si="26"/>
        <v>1775535.0699999998</v>
      </c>
      <c r="V218" s="589"/>
      <c r="W218" s="600"/>
    </row>
    <row r="219" spans="1:26" s="249" customFormat="1" ht="37.5" hidden="1">
      <c r="A219" s="591">
        <f t="shared" si="25"/>
        <v>170</v>
      </c>
      <c r="B219" s="592" t="s">
        <v>615</v>
      </c>
      <c r="C219" s="593" t="s">
        <v>271</v>
      </c>
      <c r="D219" s="618">
        <v>9532</v>
      </c>
      <c r="E219" s="594">
        <v>667</v>
      </c>
      <c r="F219" s="593" t="s">
        <v>222</v>
      </c>
      <c r="G219" s="618">
        <v>914</v>
      </c>
      <c r="H219" s="650">
        <v>3</v>
      </c>
      <c r="I219" s="650">
        <v>3</v>
      </c>
      <c r="J219" s="650">
        <v>31</v>
      </c>
      <c r="K219" s="610" t="s">
        <v>30</v>
      </c>
      <c r="L219" s="595">
        <f>M219+N219+O219+P219+Q219</f>
        <v>658974.14999999991</v>
      </c>
      <c r="M219" s="585">
        <v>656475.69999999995</v>
      </c>
      <c r="N219" s="586"/>
      <c r="O219" s="587">
        <v>2498.4499999999998</v>
      </c>
      <c r="P219" s="586"/>
      <c r="Q219" s="586"/>
      <c r="R219" s="582">
        <f>M219/J219</f>
        <v>21176.635483870967</v>
      </c>
      <c r="S219" s="586">
        <f t="shared" si="22"/>
        <v>-4.638422979041934E-11</v>
      </c>
      <c r="T219" s="645"/>
      <c r="U219" s="597">
        <f t="shared" si="26"/>
        <v>658974.14999999991</v>
      </c>
      <c r="V219" s="589"/>
      <c r="W219" s="600"/>
      <c r="X219" s="590"/>
      <c r="Y219" s="590"/>
      <c r="Z219" s="590"/>
    </row>
    <row r="220" spans="1:26" s="249" customFormat="1" ht="37.5" hidden="1">
      <c r="A220" s="591">
        <f t="shared" si="25"/>
        <v>171</v>
      </c>
      <c r="B220" s="592" t="s">
        <v>616</v>
      </c>
      <c r="C220" s="593" t="s">
        <v>271</v>
      </c>
      <c r="D220" s="618">
        <v>28202</v>
      </c>
      <c r="E220" s="594">
        <v>2783</v>
      </c>
      <c r="F220" s="593" t="s">
        <v>233</v>
      </c>
      <c r="G220" s="618">
        <v>1560.5</v>
      </c>
      <c r="H220" s="650">
        <v>6</v>
      </c>
      <c r="I220" s="650">
        <v>6</v>
      </c>
      <c r="J220" s="650">
        <v>97</v>
      </c>
      <c r="K220" s="610" t="s">
        <v>30</v>
      </c>
      <c r="L220" s="595">
        <f>M220+N220+O220+P220+Q220</f>
        <v>3481762.3000000003</v>
      </c>
      <c r="M220" s="585">
        <v>3473365.49</v>
      </c>
      <c r="N220" s="586"/>
      <c r="O220" s="587">
        <v>8396.81</v>
      </c>
      <c r="P220" s="586"/>
      <c r="Q220" s="586"/>
      <c r="R220" s="582">
        <f>M220/J220</f>
        <v>35807.89164948454</v>
      </c>
      <c r="S220" s="586">
        <f t="shared" si="22"/>
        <v>5.6388671509921551E-11</v>
      </c>
      <c r="T220" s="645"/>
      <c r="U220" s="597">
        <f t="shared" si="26"/>
        <v>3481762.3000000003</v>
      </c>
      <c r="V220" s="589"/>
      <c r="W220" s="600"/>
      <c r="X220" s="590"/>
      <c r="Y220" s="590"/>
      <c r="Z220" s="590"/>
    </row>
    <row r="221" spans="1:26" s="75" customFormat="1" hidden="1">
      <c r="A221" s="1349">
        <v>172</v>
      </c>
      <c r="B221" s="592" t="s">
        <v>618</v>
      </c>
      <c r="C221" s="602" t="s">
        <v>271</v>
      </c>
      <c r="D221" s="603">
        <v>6001</v>
      </c>
      <c r="E221" s="603">
        <v>380</v>
      </c>
      <c r="F221" s="615" t="s">
        <v>371</v>
      </c>
      <c r="G221" s="603">
        <v>650</v>
      </c>
      <c r="H221" s="609">
        <v>3</v>
      </c>
      <c r="I221" s="609">
        <v>3</v>
      </c>
      <c r="J221" s="609">
        <v>18</v>
      </c>
      <c r="K221" s="590" t="s">
        <v>224</v>
      </c>
      <c r="L221" s="1357">
        <f>M221+N221+O221+P221+Q221+M222+N222+O222+P222+Q222</f>
        <v>773570.25</v>
      </c>
      <c r="M221" s="585">
        <v>287712</v>
      </c>
      <c r="N221" s="586">
        <v>34965</v>
      </c>
      <c r="O221" s="587"/>
      <c r="P221" s="586"/>
      <c r="Q221" s="586"/>
      <c r="R221" s="582">
        <f>M221/J221</f>
        <v>15984</v>
      </c>
      <c r="S221" s="586">
        <f t="shared" si="22"/>
        <v>450893.25</v>
      </c>
      <c r="T221" s="588"/>
      <c r="U221" s="597">
        <f t="shared" si="26"/>
        <v>322677</v>
      </c>
      <c r="V221" s="589"/>
      <c r="W221" s="600"/>
      <c r="X221" s="601"/>
      <c r="Y221" s="601"/>
      <c r="Z221" s="601"/>
    </row>
    <row r="222" spans="1:26" s="75" customFormat="1" ht="37.5" hidden="1">
      <c r="A222" s="1349"/>
      <c r="B222" s="592"/>
      <c r="C222" s="593"/>
      <c r="D222" s="603"/>
      <c r="E222" s="603"/>
      <c r="F222" s="615"/>
      <c r="G222" s="603"/>
      <c r="H222" s="609"/>
      <c r="I222" s="609"/>
      <c r="J222" s="609"/>
      <c r="K222" s="606" t="s">
        <v>30</v>
      </c>
      <c r="L222" s="1357"/>
      <c r="M222" s="585">
        <v>449550</v>
      </c>
      <c r="N222" s="586"/>
      <c r="O222" s="587">
        <v>1343.25</v>
      </c>
      <c r="P222" s="586"/>
      <c r="Q222" s="586"/>
      <c r="R222" s="582">
        <f>M222/J221</f>
        <v>24975</v>
      </c>
      <c r="S222" s="586">
        <f t="shared" si="22"/>
        <v>-450893.25</v>
      </c>
      <c r="T222" s="588"/>
      <c r="U222" s="597">
        <f t="shared" si="26"/>
        <v>450893.25</v>
      </c>
      <c r="V222" s="589"/>
      <c r="W222" s="600"/>
      <c r="X222" s="601"/>
      <c r="Y222" s="601"/>
      <c r="Z222" s="601"/>
    </row>
    <row r="223" spans="1:26" s="249" customFormat="1" ht="281.25" hidden="1">
      <c r="A223" s="591">
        <v>173</v>
      </c>
      <c r="B223" s="592" t="s">
        <v>619</v>
      </c>
      <c r="C223" s="593" t="s">
        <v>217</v>
      </c>
      <c r="D223" s="603">
        <v>12707</v>
      </c>
      <c r="E223" s="594">
        <v>1240</v>
      </c>
      <c r="F223" s="643" t="s">
        <v>233</v>
      </c>
      <c r="G223" s="603">
        <v>400</v>
      </c>
      <c r="H223" s="609">
        <v>12</v>
      </c>
      <c r="I223" s="609">
        <v>1</v>
      </c>
      <c r="J223" s="609">
        <v>47</v>
      </c>
      <c r="K223" s="590" t="s">
        <v>366</v>
      </c>
      <c r="L223" s="595">
        <f>M223+N223+O223+P223+Q223</f>
        <v>2273575</v>
      </c>
      <c r="M223" s="611">
        <v>2189000</v>
      </c>
      <c r="N223" s="612">
        <v>84575</v>
      </c>
      <c r="O223" s="613"/>
      <c r="P223" s="586"/>
      <c r="Q223" s="614"/>
      <c r="R223" s="582">
        <v>2200000</v>
      </c>
      <c r="S223" s="586">
        <f t="shared" si="22"/>
        <v>0</v>
      </c>
      <c r="T223" s="645" t="s">
        <v>3700</v>
      </c>
      <c r="U223" s="597">
        <f t="shared" si="26"/>
        <v>2273575</v>
      </c>
      <c r="V223" s="589"/>
      <c r="W223" s="600"/>
      <c r="X223" s="590"/>
      <c r="Y223" s="590"/>
      <c r="Z223" s="590"/>
    </row>
    <row r="224" spans="1:26" s="249" customFormat="1" hidden="1">
      <c r="A224" s="591">
        <f t="shared" si="25"/>
        <v>174</v>
      </c>
      <c r="B224" s="592" t="s">
        <v>620</v>
      </c>
      <c r="C224" s="617" t="s">
        <v>217</v>
      </c>
      <c r="D224" s="582">
        <v>17865</v>
      </c>
      <c r="E224" s="646">
        <v>4290.8</v>
      </c>
      <c r="F224" s="582" t="s">
        <v>233</v>
      </c>
      <c r="G224" s="582">
        <v>779</v>
      </c>
      <c r="H224" s="582">
        <v>9</v>
      </c>
      <c r="I224" s="582">
        <v>1</v>
      </c>
      <c r="J224" s="582">
        <v>171</v>
      </c>
      <c r="K224" s="606" t="s">
        <v>33</v>
      </c>
      <c r="L224" s="595">
        <f>M224+N224+O224+P224+Q224</f>
        <v>1632603.66</v>
      </c>
      <c r="M224" s="585">
        <v>1627720.5</v>
      </c>
      <c r="N224" s="586"/>
      <c r="O224" s="587">
        <v>4883.16</v>
      </c>
      <c r="P224" s="586"/>
      <c r="Q224" s="586"/>
      <c r="R224" s="582">
        <f>M224/G224</f>
        <v>2089.5</v>
      </c>
      <c r="S224" s="586">
        <f t="shared" si="22"/>
        <v>-8.3673512563109398E-11</v>
      </c>
      <c r="T224" s="645"/>
      <c r="U224" s="597">
        <f t="shared" si="26"/>
        <v>1632603.66</v>
      </c>
      <c r="V224" s="589"/>
      <c r="W224" s="600"/>
      <c r="X224" s="590"/>
      <c r="Y224" s="590"/>
      <c r="Z224" s="590"/>
    </row>
    <row r="225" spans="1:16383" s="249" customFormat="1" ht="37.5" hidden="1">
      <c r="A225" s="591">
        <f t="shared" si="25"/>
        <v>175</v>
      </c>
      <c r="B225" s="592" t="s">
        <v>621</v>
      </c>
      <c r="C225" s="593" t="s">
        <v>217</v>
      </c>
      <c r="D225" s="594">
        <v>17267</v>
      </c>
      <c r="E225" s="594">
        <v>3510</v>
      </c>
      <c r="F225" s="594" t="s">
        <v>233</v>
      </c>
      <c r="G225" s="594">
        <v>494.4</v>
      </c>
      <c r="H225" s="594">
        <v>9</v>
      </c>
      <c r="I225" s="594">
        <v>2</v>
      </c>
      <c r="J225" s="594">
        <v>71</v>
      </c>
      <c r="K225" s="590" t="s">
        <v>30</v>
      </c>
      <c r="L225" s="595">
        <f>M225+N225+O225+P225+Q225</f>
        <v>2158717.27</v>
      </c>
      <c r="M225" s="596">
        <v>2151935.35</v>
      </c>
      <c r="N225" s="597"/>
      <c r="O225" s="587">
        <v>6781.92</v>
      </c>
      <c r="P225" s="594"/>
      <c r="Q225" s="597"/>
      <c r="R225" s="599">
        <f>M225/J225</f>
        <v>30308.948591549299</v>
      </c>
      <c r="S225" s="586">
        <f t="shared" si="22"/>
        <v>-7.4578565545380116E-11</v>
      </c>
      <c r="T225" s="645"/>
      <c r="U225" s="597">
        <f t="shared" si="26"/>
        <v>2158717.27</v>
      </c>
      <c r="V225" s="589"/>
      <c r="W225" s="600"/>
      <c r="X225" s="590"/>
      <c r="Y225" s="590"/>
      <c r="Z225" s="590"/>
    </row>
    <row r="226" spans="1:16383" s="249" customFormat="1" hidden="1">
      <c r="A226" s="591">
        <f t="shared" si="25"/>
        <v>176</v>
      </c>
      <c r="B226" s="670" t="s">
        <v>622</v>
      </c>
      <c r="C226" s="602" t="s">
        <v>239</v>
      </c>
      <c r="D226" s="602">
        <v>1886</v>
      </c>
      <c r="E226" s="602">
        <v>430</v>
      </c>
      <c r="F226" s="608" t="s">
        <v>222</v>
      </c>
      <c r="G226" s="602">
        <v>400</v>
      </c>
      <c r="H226" s="676">
        <v>2</v>
      </c>
      <c r="I226" s="602">
        <v>2</v>
      </c>
      <c r="J226" s="602">
        <v>8</v>
      </c>
      <c r="K226" s="606" t="s">
        <v>33</v>
      </c>
      <c r="L226" s="595">
        <f>M226+N226+O226+P226+Q226</f>
        <v>826553.48</v>
      </c>
      <c r="M226" s="585">
        <v>823210.28</v>
      </c>
      <c r="N226" s="586"/>
      <c r="O226" s="587">
        <v>3343.2</v>
      </c>
      <c r="P226" s="586"/>
      <c r="Q226" s="586"/>
      <c r="R226" s="582">
        <f>M226/G226</f>
        <v>2058.0257000000001</v>
      </c>
      <c r="S226" s="586">
        <f t="shared" si="22"/>
        <v>-4.638422979041934E-11</v>
      </c>
      <c r="T226" s="645"/>
      <c r="U226" s="597">
        <f t="shared" si="26"/>
        <v>826553.48</v>
      </c>
      <c r="V226" s="589"/>
      <c r="W226" s="600"/>
      <c r="X226" s="590"/>
      <c r="Y226" s="590"/>
      <c r="Z226" s="590"/>
    </row>
    <row r="227" spans="1:16383" s="249" customFormat="1" hidden="1">
      <c r="A227" s="591">
        <f t="shared" si="25"/>
        <v>177</v>
      </c>
      <c r="B227" s="670" t="s">
        <v>623</v>
      </c>
      <c r="C227" s="593" t="s">
        <v>239</v>
      </c>
      <c r="D227" s="602">
        <v>1869</v>
      </c>
      <c r="E227" s="602">
        <v>430</v>
      </c>
      <c r="F227" s="608" t="s">
        <v>222</v>
      </c>
      <c r="G227" s="602">
        <v>434</v>
      </c>
      <c r="H227" s="602">
        <v>2</v>
      </c>
      <c r="I227" s="602">
        <v>2</v>
      </c>
      <c r="J227" s="602">
        <v>12</v>
      </c>
      <c r="K227" s="606" t="s">
        <v>33</v>
      </c>
      <c r="L227" s="595">
        <f>M227+N227+O227+P227+Q227</f>
        <v>907692.83</v>
      </c>
      <c r="M227" s="585">
        <v>904065.46</v>
      </c>
      <c r="N227" s="586"/>
      <c r="O227" s="587">
        <v>3627.37</v>
      </c>
      <c r="P227" s="586"/>
      <c r="Q227" s="586"/>
      <c r="R227" s="582">
        <f>M227/G227</f>
        <v>2083.100138248848</v>
      </c>
      <c r="S227" s="586">
        <f t="shared" si="22"/>
        <v>-4.5474735088646412E-12</v>
      </c>
      <c r="T227" s="645"/>
      <c r="U227" s="597">
        <f t="shared" si="26"/>
        <v>907692.83</v>
      </c>
      <c r="V227" s="589"/>
      <c r="W227" s="600"/>
      <c r="X227" s="590"/>
      <c r="Y227" s="590"/>
      <c r="Z227" s="590"/>
    </row>
    <row r="228" spans="1:16383" s="249" customFormat="1" ht="37.5" hidden="1">
      <c r="A228" s="591">
        <f t="shared" si="25"/>
        <v>178</v>
      </c>
      <c r="B228" s="592" t="s">
        <v>624</v>
      </c>
      <c r="C228" s="593" t="s">
        <v>217</v>
      </c>
      <c r="D228" s="594">
        <v>39020</v>
      </c>
      <c r="E228" s="594">
        <v>7154</v>
      </c>
      <c r="F228" s="594" t="s">
        <v>233</v>
      </c>
      <c r="G228" s="594">
        <v>2016</v>
      </c>
      <c r="H228" s="594">
        <v>9</v>
      </c>
      <c r="I228" s="594">
        <v>6</v>
      </c>
      <c r="J228" s="594">
        <v>216</v>
      </c>
      <c r="K228" s="590" t="s">
        <v>30</v>
      </c>
      <c r="L228" s="1357">
        <f>M228+N228+O228+P228+Q228+M229+N229+O229+Q229</f>
        <v>17011708.030000001</v>
      </c>
      <c r="M228" s="596">
        <v>5802840</v>
      </c>
      <c r="N228" s="597"/>
      <c r="O228" s="587">
        <v>17408.52</v>
      </c>
      <c r="P228" s="594"/>
      <c r="Q228" s="597"/>
      <c r="R228" s="599">
        <f>M228/J228</f>
        <v>26865</v>
      </c>
      <c r="S228" s="586">
        <f t="shared" si="22"/>
        <v>11191459.510000002</v>
      </c>
      <c r="T228" s="645"/>
      <c r="U228" s="597">
        <f t="shared" si="26"/>
        <v>5820248.5199999996</v>
      </c>
      <c r="V228" s="589"/>
      <c r="W228" s="600"/>
      <c r="X228" s="590"/>
      <c r="Y228" s="590"/>
      <c r="Z228" s="590"/>
    </row>
    <row r="229" spans="1:16383" s="249" customFormat="1" hidden="1">
      <c r="A229" s="591"/>
      <c r="B229" s="592"/>
      <c r="C229" s="593"/>
      <c r="D229" s="594"/>
      <c r="E229" s="594"/>
      <c r="F229" s="594"/>
      <c r="G229" s="594"/>
      <c r="H229" s="594"/>
      <c r="I229" s="594"/>
      <c r="J229" s="594"/>
      <c r="K229" s="590" t="s">
        <v>226</v>
      </c>
      <c r="L229" s="1357"/>
      <c r="M229" s="596">
        <v>11162905</v>
      </c>
      <c r="N229" s="597">
        <v>28554.51</v>
      </c>
      <c r="O229" s="587"/>
      <c r="P229" s="594"/>
      <c r="Q229" s="597"/>
      <c r="R229" s="608">
        <f>M229/E228</f>
        <v>1560.3725188705619</v>
      </c>
      <c r="S229" s="586">
        <f t="shared" si="22"/>
        <v>-11191459.51</v>
      </c>
      <c r="T229" s="645"/>
      <c r="U229" s="597">
        <f t="shared" si="26"/>
        <v>11191459.51</v>
      </c>
      <c r="V229" s="589"/>
      <c r="W229" s="600"/>
      <c r="X229" s="590"/>
      <c r="Y229" s="590"/>
      <c r="Z229" s="590"/>
    </row>
    <row r="230" spans="1:16383" s="249" customFormat="1" hidden="1">
      <c r="A230" s="591">
        <f>A228+1</f>
        <v>179</v>
      </c>
      <c r="B230" s="592" t="s">
        <v>625</v>
      </c>
      <c r="C230" s="602" t="s">
        <v>217</v>
      </c>
      <c r="D230" s="608">
        <v>38461.31</v>
      </c>
      <c r="E230" s="619">
        <v>6688</v>
      </c>
      <c r="F230" s="684" t="s">
        <v>233</v>
      </c>
      <c r="G230" s="619">
        <v>1710</v>
      </c>
      <c r="H230" s="608">
        <v>9</v>
      </c>
      <c r="I230" s="608">
        <v>5</v>
      </c>
      <c r="J230" s="608">
        <v>180</v>
      </c>
      <c r="K230" s="590" t="s">
        <v>33</v>
      </c>
      <c r="L230" s="595">
        <f>M230+N230+O230+P230+Q230</f>
        <v>3594537.14</v>
      </c>
      <c r="M230" s="596">
        <v>3583818</v>
      </c>
      <c r="N230" s="597"/>
      <c r="O230" s="685">
        <v>10719.14</v>
      </c>
      <c r="P230" s="686"/>
      <c r="Q230" s="687"/>
      <c r="R230" s="582">
        <f>M230/G230</f>
        <v>2095.8000000000002</v>
      </c>
      <c r="S230" s="586">
        <f t="shared" si="22"/>
        <v>1.3096723705530167E-10</v>
      </c>
      <c r="T230" s="645"/>
      <c r="U230" s="597">
        <f t="shared" si="26"/>
        <v>3594537.14</v>
      </c>
      <c r="V230" s="589"/>
      <c r="W230" s="600"/>
      <c r="X230" s="590"/>
      <c r="Y230" s="590"/>
      <c r="Z230" s="590"/>
    </row>
    <row r="231" spans="1:16383" s="249" customFormat="1" hidden="1">
      <c r="A231" s="591">
        <f t="shared" si="25"/>
        <v>180</v>
      </c>
      <c r="B231" s="592" t="s">
        <v>626</v>
      </c>
      <c r="C231" s="602" t="s">
        <v>271</v>
      </c>
      <c r="D231" s="618">
        <v>13181</v>
      </c>
      <c r="E231" s="619">
        <v>2280</v>
      </c>
      <c r="F231" s="608" t="s">
        <v>222</v>
      </c>
      <c r="G231" s="594">
        <v>1010</v>
      </c>
      <c r="H231" s="594">
        <v>4</v>
      </c>
      <c r="I231" s="633">
        <v>4</v>
      </c>
      <c r="J231" s="633">
        <v>39</v>
      </c>
      <c r="K231" s="610" t="s">
        <v>224</v>
      </c>
      <c r="L231" s="595">
        <f>M231+N231+O231+P231+Q231</f>
        <v>672420.06</v>
      </c>
      <c r="M231" s="635">
        <f>617760+19695.06</f>
        <v>637455.06000000006</v>
      </c>
      <c r="N231" s="636">
        <v>34965</v>
      </c>
      <c r="O231" s="641"/>
      <c r="P231" s="636">
        <v>0</v>
      </c>
      <c r="Q231" s="638"/>
      <c r="R231" s="582">
        <f>M231/J231</f>
        <v>16345.00153846154</v>
      </c>
      <c r="S231" s="586">
        <f t="shared" si="22"/>
        <v>0</v>
      </c>
      <c r="T231" s="645"/>
      <c r="U231" s="597">
        <f t="shared" si="26"/>
        <v>672420.06</v>
      </c>
      <c r="V231" s="589"/>
      <c r="W231" s="600"/>
      <c r="X231" s="590"/>
      <c r="Y231" s="590"/>
      <c r="Z231" s="590"/>
    </row>
    <row r="232" spans="1:16383" s="249" customFormat="1" hidden="1">
      <c r="A232" s="591">
        <f t="shared" si="25"/>
        <v>181</v>
      </c>
      <c r="B232" s="674" t="s">
        <v>627</v>
      </c>
      <c r="C232" s="617" t="s">
        <v>271</v>
      </c>
      <c r="D232" s="633">
        <v>17812</v>
      </c>
      <c r="E232" s="619">
        <v>2280</v>
      </c>
      <c r="F232" s="608" t="s">
        <v>222</v>
      </c>
      <c r="G232" s="633">
        <v>1147</v>
      </c>
      <c r="H232" s="633">
        <v>5</v>
      </c>
      <c r="I232" s="633">
        <v>4</v>
      </c>
      <c r="J232" s="633">
        <v>80</v>
      </c>
      <c r="K232" s="634" t="s">
        <v>33</v>
      </c>
      <c r="L232" s="595">
        <f>M232+N232+O232+P232+Q232</f>
        <v>4006410.78</v>
      </c>
      <c r="M232" s="635">
        <v>3994427.5</v>
      </c>
      <c r="N232" s="636"/>
      <c r="O232" s="641">
        <v>11983.28</v>
      </c>
      <c r="P232" s="636"/>
      <c r="Q232" s="638"/>
      <c r="R232" s="582">
        <f>M232/G232</f>
        <v>3482.5</v>
      </c>
      <c r="S232" s="586">
        <f t="shared" si="22"/>
        <v>-2.0554580260068178E-10</v>
      </c>
      <c r="T232" s="645"/>
      <c r="U232" s="597">
        <f t="shared" si="26"/>
        <v>4006410.78</v>
      </c>
      <c r="V232" s="589"/>
      <c r="W232" s="600"/>
      <c r="X232" s="590"/>
      <c r="Y232" s="590"/>
      <c r="Z232" s="590"/>
    </row>
    <row r="233" spans="1:16383" s="249" customFormat="1" ht="37.5" hidden="1">
      <c r="A233" s="591">
        <f t="shared" si="25"/>
        <v>182</v>
      </c>
      <c r="B233" s="592" t="s">
        <v>628</v>
      </c>
      <c r="C233" s="617" t="s">
        <v>271</v>
      </c>
      <c r="D233" s="594">
        <v>12460</v>
      </c>
      <c r="E233" s="593">
        <v>2437</v>
      </c>
      <c r="F233" s="593" t="s">
        <v>222</v>
      </c>
      <c r="G233" s="622">
        <v>1149</v>
      </c>
      <c r="H233" s="593">
        <v>5</v>
      </c>
      <c r="I233" s="593">
        <v>4</v>
      </c>
      <c r="J233" s="593">
        <v>64</v>
      </c>
      <c r="K233" s="590" t="s">
        <v>30</v>
      </c>
      <c r="L233" s="595">
        <f>M233+N233+O233+P233+Q233</f>
        <v>1677699.7400000002</v>
      </c>
      <c r="M233" s="585">
        <v>1672541.6600000001</v>
      </c>
      <c r="N233" s="586"/>
      <c r="O233" s="598">
        <v>5158.08</v>
      </c>
      <c r="P233" s="586"/>
      <c r="Q233" s="586"/>
      <c r="R233" s="582">
        <f>M233/J233</f>
        <v>26133.463437500002</v>
      </c>
      <c r="S233" s="586">
        <f t="shared" si="22"/>
        <v>7.4578565545380116E-11</v>
      </c>
      <c r="T233" s="645"/>
      <c r="U233" s="597">
        <f t="shared" si="26"/>
        <v>1677699.7400000002</v>
      </c>
      <c r="V233" s="589"/>
      <c r="W233" s="600"/>
      <c r="X233" s="590"/>
      <c r="Y233" s="590"/>
      <c r="Z233" s="590"/>
    </row>
    <row r="234" spans="1:16383" ht="37.5" hidden="1">
      <c r="A234" s="1349">
        <v>183</v>
      </c>
      <c r="B234" s="616" t="s">
        <v>629</v>
      </c>
      <c r="C234" s="593" t="s">
        <v>217</v>
      </c>
      <c r="D234" s="594">
        <v>9235</v>
      </c>
      <c r="E234" s="593">
        <v>2648</v>
      </c>
      <c r="F234" s="593" t="s">
        <v>222</v>
      </c>
      <c r="G234" s="593">
        <v>743</v>
      </c>
      <c r="H234" s="608">
        <v>5</v>
      </c>
      <c r="I234" s="608">
        <v>3</v>
      </c>
      <c r="J234" s="608">
        <v>60</v>
      </c>
      <c r="K234" s="606" t="s">
        <v>30</v>
      </c>
      <c r="L234" s="1357">
        <f>M234+N234+O234+P234+Q234+M235+N235+O235+P235+Q235</f>
        <v>2233471.1800000002</v>
      </c>
      <c r="M234" s="585">
        <v>1453726.6600000001</v>
      </c>
      <c r="O234" s="587">
        <v>4835.7</v>
      </c>
      <c r="P234" s="586"/>
      <c r="Q234" s="586"/>
      <c r="R234" s="582">
        <f>M234/J234</f>
        <v>24228.777666666669</v>
      </c>
      <c r="S234" s="586">
        <f t="shared" si="22"/>
        <v>774908.82000000007</v>
      </c>
      <c r="T234" s="586"/>
      <c r="U234" s="597">
        <f t="shared" si="26"/>
        <v>1458562.36</v>
      </c>
      <c r="V234" s="589"/>
      <c r="W234" s="600"/>
    </row>
    <row r="235" spans="1:16383" hidden="1">
      <c r="A235" s="1349"/>
      <c r="B235" s="616"/>
      <c r="C235" s="593"/>
      <c r="D235" s="594"/>
      <c r="E235" s="593"/>
      <c r="F235" s="593"/>
      <c r="G235" s="593"/>
      <c r="H235" s="608"/>
      <c r="I235" s="608"/>
      <c r="J235" s="608"/>
      <c r="K235" s="590" t="s">
        <v>224</v>
      </c>
      <c r="L235" s="1357"/>
      <c r="M235" s="585">
        <v>739943.82000000007</v>
      </c>
      <c r="N235" s="564">
        <v>34965</v>
      </c>
      <c r="O235" s="587"/>
      <c r="P235" s="586"/>
      <c r="Q235" s="586"/>
      <c r="R235" s="582">
        <f>M235/J234</f>
        <v>12332.397000000001</v>
      </c>
      <c r="S235" s="586">
        <f t="shared" ref="S235:S298" si="28">L235-M235-N235-O235-P235-Q235</f>
        <v>-774908.82000000007</v>
      </c>
      <c r="T235" s="588"/>
      <c r="U235" s="597">
        <f t="shared" si="26"/>
        <v>774908.82000000007</v>
      </c>
      <c r="V235" s="589"/>
      <c r="W235" s="600"/>
    </row>
    <row r="236" spans="1:16383" s="249" customFormat="1" hidden="1">
      <c r="A236" s="591">
        <v>184</v>
      </c>
      <c r="B236" s="616" t="s">
        <v>630</v>
      </c>
      <c r="C236" s="617" t="s">
        <v>271</v>
      </c>
      <c r="D236" s="594">
        <v>17576</v>
      </c>
      <c r="E236" s="593">
        <v>2330</v>
      </c>
      <c r="F236" s="593" t="s">
        <v>222</v>
      </c>
      <c r="G236" s="593">
        <v>1276</v>
      </c>
      <c r="H236" s="608">
        <v>5</v>
      </c>
      <c r="I236" s="608">
        <v>5</v>
      </c>
      <c r="J236" s="608">
        <v>98</v>
      </c>
      <c r="K236" s="590" t="s">
        <v>224</v>
      </c>
      <c r="L236" s="595">
        <f>M236+N236+O236+P236+Q236</f>
        <v>1066927.42</v>
      </c>
      <c r="M236" s="623">
        <v>1031962.42</v>
      </c>
      <c r="N236" s="586">
        <v>34965</v>
      </c>
      <c r="O236" s="587"/>
      <c r="P236" s="586"/>
      <c r="Q236" s="586"/>
      <c r="R236" s="582">
        <f>M236/J236</f>
        <v>10530.228775510204</v>
      </c>
      <c r="S236" s="586">
        <f t="shared" si="28"/>
        <v>-1.1641532182693481E-10</v>
      </c>
      <c r="T236" s="645"/>
      <c r="U236" s="597">
        <f t="shared" si="26"/>
        <v>1066927.42</v>
      </c>
      <c r="V236" s="589"/>
      <c r="W236" s="600"/>
      <c r="X236" s="590"/>
      <c r="Y236" s="590"/>
      <c r="Z236" s="590"/>
    </row>
    <row r="237" spans="1:16383" s="249" customFormat="1" ht="281.25" hidden="1">
      <c r="A237" s="591">
        <f t="shared" si="25"/>
        <v>185</v>
      </c>
      <c r="B237" s="616" t="s">
        <v>631</v>
      </c>
      <c r="C237" s="602" t="s">
        <v>271</v>
      </c>
      <c r="D237" s="644">
        <v>4686</v>
      </c>
      <c r="E237" s="593">
        <v>867</v>
      </c>
      <c r="F237" s="608" t="s">
        <v>222</v>
      </c>
      <c r="G237" s="593">
        <v>746</v>
      </c>
      <c r="H237" s="660">
        <v>2</v>
      </c>
      <c r="I237" s="660">
        <v>2</v>
      </c>
      <c r="J237" s="660">
        <v>12</v>
      </c>
      <c r="K237" s="590" t="s">
        <v>224</v>
      </c>
      <c r="L237" s="595">
        <f>M237+N237+O237+P237+Q237</f>
        <v>362936.7</v>
      </c>
      <c r="M237" s="585">
        <v>327971.7</v>
      </c>
      <c r="N237" s="586">
        <v>34965</v>
      </c>
      <c r="O237" s="587"/>
      <c r="P237" s="586"/>
      <c r="Q237" s="586"/>
      <c r="R237" s="582">
        <f>M237/J237</f>
        <v>27330.975000000002</v>
      </c>
      <c r="S237" s="586">
        <f t="shared" si="28"/>
        <v>0</v>
      </c>
      <c r="T237" s="645" t="s">
        <v>3700</v>
      </c>
      <c r="U237" s="597">
        <f t="shared" si="26"/>
        <v>362936.7</v>
      </c>
      <c r="V237" s="589"/>
      <c r="W237" s="600"/>
      <c r="X237" s="590"/>
      <c r="Y237" s="590"/>
      <c r="Z237" s="590"/>
    </row>
    <row r="238" spans="1:16383" s="249" customFormat="1" ht="37.5" hidden="1">
      <c r="A238" s="591">
        <f t="shared" si="25"/>
        <v>186</v>
      </c>
      <c r="B238" s="592" t="s">
        <v>632</v>
      </c>
      <c r="C238" s="688" t="s">
        <v>217</v>
      </c>
      <c r="D238" s="593">
        <v>23583</v>
      </c>
      <c r="E238" s="582">
        <v>4050</v>
      </c>
      <c r="F238" s="643" t="s">
        <v>233</v>
      </c>
      <c r="G238" s="593">
        <v>1023.4</v>
      </c>
      <c r="H238" s="593">
        <v>9</v>
      </c>
      <c r="I238" s="593">
        <v>3</v>
      </c>
      <c r="J238" s="593">
        <v>117</v>
      </c>
      <c r="K238" s="606" t="s">
        <v>30</v>
      </c>
      <c r="L238" s="1357">
        <f>M238+N238+O238+P238+Q238+M239+N239+O239+Q239</f>
        <v>16041739.25</v>
      </c>
      <c r="M238" s="585">
        <v>3383000</v>
      </c>
      <c r="N238" s="586"/>
      <c r="O238" s="587">
        <v>10149</v>
      </c>
      <c r="P238" s="586"/>
      <c r="Q238" s="586"/>
      <c r="R238" s="582">
        <f>M238/J238</f>
        <v>28914.529914529914</v>
      </c>
      <c r="S238" s="586">
        <f t="shared" si="28"/>
        <v>12648590.25</v>
      </c>
      <c r="T238" s="645"/>
      <c r="U238" s="597">
        <f t="shared" si="26"/>
        <v>3393149</v>
      </c>
      <c r="V238" s="589"/>
      <c r="W238" s="600"/>
      <c r="X238" s="590"/>
      <c r="Y238" s="590"/>
      <c r="Z238" s="590"/>
    </row>
    <row r="239" spans="1:16383" s="249" customFormat="1" hidden="1">
      <c r="A239" s="606"/>
      <c r="B239" s="606"/>
      <c r="C239" s="606"/>
      <c r="D239" s="582"/>
      <c r="E239" s="582"/>
      <c r="F239" s="582"/>
      <c r="G239" s="582"/>
      <c r="H239" s="582"/>
      <c r="I239" s="582"/>
      <c r="J239" s="582"/>
      <c r="K239" s="606" t="s">
        <v>226</v>
      </c>
      <c r="L239" s="1357"/>
      <c r="M239" s="585">
        <v>12623901.310000001</v>
      </c>
      <c r="N239" s="586">
        <v>24688.94</v>
      </c>
      <c r="O239" s="587"/>
      <c r="P239" s="586"/>
      <c r="Q239" s="586"/>
      <c r="R239" s="616">
        <f>M239/E238</f>
        <v>3117.0126691358028</v>
      </c>
      <c r="S239" s="586">
        <f t="shared" si="28"/>
        <v>-12648590.25</v>
      </c>
      <c r="T239" s="606"/>
      <c r="U239" s="597">
        <f t="shared" si="26"/>
        <v>12648590.25</v>
      </c>
      <c r="V239" s="589"/>
      <c r="W239" s="600"/>
      <c r="X239" s="606"/>
      <c r="Y239" s="606"/>
      <c r="Z239" s="606"/>
      <c r="AA239" s="243"/>
      <c r="AB239" s="243"/>
      <c r="AC239" s="243"/>
      <c r="AD239" s="243"/>
      <c r="AE239" s="243"/>
      <c r="AF239" s="243"/>
      <c r="AG239" s="243"/>
      <c r="AH239" s="243"/>
      <c r="AI239" s="243"/>
      <c r="AJ239" s="243"/>
      <c r="AK239" s="243"/>
      <c r="AL239" s="243"/>
      <c r="AM239" s="243"/>
      <c r="AN239" s="243"/>
      <c r="AO239" s="243"/>
      <c r="AP239" s="243"/>
      <c r="AQ239" s="243"/>
      <c r="AR239" s="243"/>
      <c r="AS239" s="243"/>
      <c r="AT239" s="243"/>
      <c r="AU239" s="243"/>
      <c r="AV239" s="243"/>
      <c r="AW239" s="243"/>
      <c r="AX239" s="243"/>
      <c r="AY239" s="243"/>
      <c r="AZ239" s="243"/>
      <c r="BA239" s="243"/>
      <c r="BB239" s="243"/>
      <c r="BC239" s="243"/>
      <c r="BD239" s="243"/>
      <c r="BE239" s="243"/>
      <c r="BF239" s="243"/>
      <c r="BG239" s="243"/>
      <c r="BH239" s="243"/>
      <c r="BI239" s="243"/>
      <c r="BJ239" s="243"/>
      <c r="BK239" s="243"/>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243"/>
      <c r="CR239" s="243"/>
      <c r="CS239" s="243"/>
      <c r="CT239" s="243"/>
      <c r="CU239" s="243"/>
      <c r="CV239" s="243"/>
      <c r="CW239" s="243"/>
      <c r="CX239" s="243"/>
      <c r="CY239" s="243"/>
      <c r="CZ239" s="243"/>
      <c r="DA239" s="243"/>
      <c r="DB239" s="243"/>
      <c r="DC239" s="243"/>
      <c r="DD239" s="243"/>
      <c r="DE239" s="243"/>
      <c r="DF239" s="243"/>
      <c r="DG239" s="243"/>
      <c r="DH239" s="243"/>
      <c r="DI239" s="243"/>
      <c r="DJ239" s="243"/>
      <c r="DK239" s="243"/>
      <c r="DL239" s="243"/>
      <c r="DM239" s="243"/>
      <c r="DN239" s="243"/>
      <c r="DO239" s="243"/>
      <c r="DP239" s="243"/>
      <c r="DQ239" s="243"/>
      <c r="DR239" s="243"/>
      <c r="DS239" s="243"/>
      <c r="DT239" s="243"/>
      <c r="DU239" s="243"/>
      <c r="DV239" s="243"/>
      <c r="DW239" s="243"/>
      <c r="DX239" s="243"/>
      <c r="DY239" s="243"/>
      <c r="DZ239" s="243"/>
      <c r="EA239" s="243"/>
      <c r="EB239" s="243"/>
      <c r="EC239" s="243"/>
      <c r="ED239" s="243"/>
      <c r="EE239" s="243"/>
      <c r="EF239" s="243"/>
      <c r="EG239" s="243"/>
      <c r="EH239" s="243"/>
      <c r="EI239" s="243"/>
      <c r="EJ239" s="243"/>
      <c r="EK239" s="243"/>
      <c r="EL239" s="243"/>
      <c r="EM239" s="243"/>
      <c r="EN239" s="243"/>
      <c r="EO239" s="243"/>
      <c r="EP239" s="243"/>
      <c r="EQ239" s="243"/>
      <c r="ER239" s="243"/>
      <c r="ES239" s="243"/>
      <c r="ET239" s="243"/>
      <c r="EU239" s="243"/>
      <c r="EV239" s="243"/>
      <c r="EW239" s="243"/>
      <c r="EX239" s="243"/>
      <c r="EY239" s="243"/>
      <c r="EZ239" s="243"/>
      <c r="FA239" s="243"/>
      <c r="FB239" s="243"/>
      <c r="FC239" s="243"/>
      <c r="FD239" s="243"/>
      <c r="FE239" s="243"/>
      <c r="FF239" s="243"/>
      <c r="FG239" s="243"/>
      <c r="FH239" s="243"/>
      <c r="FI239" s="243"/>
      <c r="FJ239" s="243"/>
      <c r="FK239" s="243"/>
      <c r="FL239" s="243"/>
      <c r="FM239" s="243"/>
      <c r="FN239" s="243"/>
      <c r="FO239" s="243"/>
      <c r="FP239" s="243"/>
      <c r="FQ239" s="243"/>
      <c r="FR239" s="243"/>
      <c r="FS239" s="243"/>
      <c r="FT239" s="243"/>
      <c r="FU239" s="243"/>
      <c r="FV239" s="243"/>
      <c r="FW239" s="243"/>
      <c r="FX239" s="243"/>
      <c r="FY239" s="243"/>
      <c r="FZ239" s="243"/>
      <c r="GA239" s="243"/>
      <c r="GB239" s="243"/>
      <c r="GC239" s="243"/>
      <c r="GD239" s="243"/>
      <c r="GE239" s="243"/>
      <c r="GF239" s="243"/>
      <c r="GG239" s="243"/>
      <c r="GH239" s="243"/>
      <c r="GI239" s="243"/>
      <c r="GJ239" s="243"/>
      <c r="GK239" s="243"/>
      <c r="GL239" s="243"/>
      <c r="GM239" s="243"/>
      <c r="GN239" s="243"/>
      <c r="GO239" s="243"/>
      <c r="GP239" s="243"/>
      <c r="GQ239" s="243"/>
      <c r="GR239" s="243"/>
      <c r="GS239" s="243"/>
      <c r="GT239" s="243"/>
      <c r="GU239" s="243"/>
      <c r="GV239" s="243"/>
      <c r="GW239" s="243"/>
      <c r="GX239" s="243"/>
      <c r="GY239" s="243"/>
      <c r="GZ239" s="243"/>
      <c r="HA239" s="243"/>
      <c r="HB239" s="243"/>
      <c r="HC239" s="243"/>
      <c r="HD239" s="243"/>
      <c r="HE239" s="243"/>
      <c r="HF239" s="243"/>
      <c r="HG239" s="243"/>
      <c r="HH239" s="243"/>
      <c r="HI239" s="243"/>
      <c r="HJ239" s="243"/>
      <c r="HK239" s="243"/>
      <c r="HL239" s="243"/>
      <c r="HM239" s="243"/>
      <c r="HN239" s="243"/>
      <c r="HO239" s="243"/>
      <c r="HP239" s="243"/>
      <c r="HQ239" s="243"/>
      <c r="HR239" s="243"/>
      <c r="HS239" s="243"/>
      <c r="HT239" s="243"/>
      <c r="HU239" s="243"/>
      <c r="HV239" s="243"/>
      <c r="HW239" s="243"/>
      <c r="HX239" s="243"/>
      <c r="HY239" s="243"/>
      <c r="HZ239" s="243"/>
      <c r="IA239" s="243"/>
      <c r="IB239" s="243"/>
      <c r="IC239" s="243"/>
      <c r="ID239" s="243"/>
      <c r="IE239" s="243"/>
      <c r="IF239" s="243"/>
      <c r="IG239" s="243"/>
      <c r="IH239" s="243"/>
      <c r="II239" s="243"/>
      <c r="IJ239" s="243"/>
      <c r="IK239" s="243"/>
      <c r="IL239" s="243"/>
      <c r="IM239" s="243"/>
      <c r="IN239" s="243"/>
      <c r="IO239" s="243"/>
      <c r="IP239" s="243"/>
      <c r="IQ239" s="243"/>
      <c r="IR239" s="243"/>
      <c r="IS239" s="243"/>
      <c r="IT239" s="243"/>
      <c r="IU239" s="243"/>
      <c r="IV239" s="243"/>
      <c r="IW239" s="243"/>
      <c r="IX239" s="243"/>
      <c r="IY239" s="243"/>
      <c r="IZ239" s="243"/>
      <c r="JA239" s="243"/>
      <c r="JB239" s="243"/>
      <c r="JC239" s="243"/>
      <c r="JD239" s="243"/>
      <c r="JE239" s="243"/>
      <c r="JF239" s="243"/>
      <c r="JG239" s="243"/>
      <c r="JH239" s="243"/>
      <c r="JI239" s="243"/>
      <c r="JJ239" s="243"/>
      <c r="JK239" s="243"/>
      <c r="JL239" s="243"/>
      <c r="JM239" s="243"/>
      <c r="JN239" s="243"/>
      <c r="JO239" s="243"/>
      <c r="JP239" s="243"/>
      <c r="JQ239" s="243"/>
      <c r="JR239" s="243"/>
      <c r="JS239" s="243"/>
      <c r="JT239" s="243"/>
      <c r="JU239" s="243"/>
      <c r="JV239" s="243"/>
      <c r="JW239" s="243"/>
      <c r="JX239" s="243"/>
      <c r="JY239" s="243"/>
      <c r="JZ239" s="243"/>
      <c r="KA239" s="243"/>
      <c r="KB239" s="243"/>
      <c r="KC239" s="243"/>
      <c r="KD239" s="243"/>
      <c r="KE239" s="243"/>
      <c r="KF239" s="243"/>
      <c r="KG239" s="243"/>
      <c r="KH239" s="243"/>
      <c r="KI239" s="243"/>
      <c r="KJ239" s="243"/>
      <c r="KK239" s="243"/>
      <c r="KL239" s="243"/>
      <c r="KM239" s="243"/>
      <c r="KN239" s="243"/>
      <c r="KO239" s="243"/>
      <c r="KP239" s="243"/>
      <c r="KQ239" s="243"/>
      <c r="KR239" s="243"/>
      <c r="KS239" s="243"/>
      <c r="KT239" s="243"/>
      <c r="KU239" s="243"/>
      <c r="KV239" s="243"/>
      <c r="KW239" s="243"/>
      <c r="KX239" s="243"/>
      <c r="KY239" s="243"/>
      <c r="KZ239" s="243"/>
      <c r="LA239" s="243"/>
      <c r="LB239" s="243"/>
      <c r="LC239" s="243"/>
      <c r="LD239" s="243"/>
      <c r="LE239" s="243"/>
      <c r="LF239" s="243"/>
      <c r="LG239" s="243"/>
      <c r="LH239" s="243"/>
      <c r="LI239" s="243"/>
      <c r="LJ239" s="243"/>
      <c r="LK239" s="243"/>
      <c r="LL239" s="243"/>
      <c r="LM239" s="243"/>
      <c r="LN239" s="243"/>
      <c r="LO239" s="243"/>
      <c r="LP239" s="243"/>
      <c r="LQ239" s="243"/>
      <c r="LR239" s="243"/>
      <c r="LS239" s="243"/>
      <c r="LT239" s="243"/>
      <c r="LU239" s="243"/>
      <c r="LV239" s="243"/>
      <c r="LW239" s="243"/>
      <c r="LX239" s="243"/>
      <c r="LY239" s="243"/>
      <c r="LZ239" s="243"/>
      <c r="MA239" s="243"/>
      <c r="MB239" s="243"/>
      <c r="MC239" s="243"/>
      <c r="MD239" s="243"/>
      <c r="ME239" s="243"/>
      <c r="MF239" s="243"/>
      <c r="MG239" s="243"/>
      <c r="MH239" s="243"/>
      <c r="MI239" s="243"/>
      <c r="MJ239" s="243"/>
      <c r="MK239" s="243"/>
      <c r="ML239" s="243"/>
      <c r="MM239" s="243"/>
      <c r="MN239" s="243"/>
      <c r="MO239" s="243"/>
      <c r="MP239" s="243"/>
      <c r="MQ239" s="243"/>
      <c r="MR239" s="243"/>
      <c r="MS239" s="243"/>
      <c r="MT239" s="243"/>
      <c r="MU239" s="243"/>
      <c r="MV239" s="243"/>
      <c r="MW239" s="243"/>
      <c r="MX239" s="243"/>
      <c r="MY239" s="243"/>
      <c r="MZ239" s="243"/>
      <c r="NA239" s="243"/>
      <c r="NB239" s="243"/>
      <c r="NC239" s="243"/>
      <c r="ND239" s="243"/>
      <c r="NE239" s="243"/>
      <c r="NF239" s="243"/>
      <c r="NG239" s="243"/>
      <c r="NH239" s="243"/>
      <c r="NI239" s="243"/>
      <c r="NJ239" s="243"/>
      <c r="NK239" s="243"/>
      <c r="NL239" s="243"/>
      <c r="NM239" s="243"/>
      <c r="NN239" s="243"/>
      <c r="NO239" s="243"/>
      <c r="NP239" s="243"/>
      <c r="NQ239" s="243"/>
      <c r="NR239" s="243"/>
      <c r="NS239" s="243"/>
      <c r="NT239" s="243"/>
      <c r="NU239" s="243"/>
      <c r="NV239" s="243"/>
      <c r="NW239" s="243"/>
      <c r="NX239" s="243"/>
      <c r="NY239" s="243"/>
      <c r="NZ239" s="243"/>
      <c r="OA239" s="243"/>
      <c r="OB239" s="243"/>
      <c r="OC239" s="243"/>
      <c r="OD239" s="243"/>
      <c r="OE239" s="243"/>
      <c r="OF239" s="243"/>
      <c r="OG239" s="243"/>
      <c r="OH239" s="243"/>
      <c r="OI239" s="243"/>
      <c r="OJ239" s="243"/>
      <c r="OK239" s="243"/>
      <c r="OL239" s="243"/>
      <c r="OM239" s="243"/>
      <c r="ON239" s="243"/>
      <c r="OO239" s="243"/>
      <c r="OP239" s="243"/>
      <c r="OQ239" s="243"/>
      <c r="OR239" s="243"/>
      <c r="OS239" s="243"/>
      <c r="OT239" s="243"/>
      <c r="OU239" s="243"/>
      <c r="OV239" s="243"/>
      <c r="OW239" s="243"/>
      <c r="OX239" s="243"/>
      <c r="OY239" s="243"/>
      <c r="OZ239" s="243"/>
      <c r="PA239" s="243"/>
      <c r="PB239" s="243"/>
      <c r="PC239" s="243"/>
      <c r="PD239" s="243"/>
      <c r="PE239" s="243"/>
      <c r="PF239" s="243"/>
      <c r="PG239" s="243"/>
      <c r="PH239" s="243"/>
      <c r="PI239" s="243"/>
      <c r="PJ239" s="243"/>
      <c r="PK239" s="243"/>
      <c r="PL239" s="243"/>
      <c r="PM239" s="243"/>
      <c r="PN239" s="243"/>
      <c r="PO239" s="243"/>
      <c r="PP239" s="243"/>
      <c r="PQ239" s="243"/>
      <c r="PR239" s="243"/>
      <c r="PS239" s="243"/>
      <c r="PT239" s="243"/>
      <c r="PU239" s="243"/>
      <c r="PV239" s="243"/>
      <c r="PW239" s="243"/>
      <c r="PX239" s="243"/>
      <c r="PY239" s="243"/>
      <c r="PZ239" s="243"/>
      <c r="QA239" s="243"/>
      <c r="QB239" s="243"/>
      <c r="QC239" s="243"/>
      <c r="QD239" s="243"/>
      <c r="QE239" s="243"/>
      <c r="QF239" s="243"/>
      <c r="QG239" s="243"/>
      <c r="QH239" s="243"/>
      <c r="QI239" s="243"/>
      <c r="QJ239" s="243"/>
      <c r="QK239" s="243"/>
      <c r="QL239" s="243"/>
      <c r="QM239" s="243"/>
      <c r="QN239" s="243"/>
      <c r="QO239" s="243"/>
      <c r="QP239" s="243"/>
      <c r="QQ239" s="243"/>
      <c r="QR239" s="243"/>
      <c r="QS239" s="243"/>
      <c r="QT239" s="243"/>
      <c r="QU239" s="243"/>
      <c r="QV239" s="243"/>
      <c r="QW239" s="243"/>
      <c r="QX239" s="243"/>
      <c r="QY239" s="243"/>
      <c r="QZ239" s="243"/>
      <c r="RA239" s="243"/>
      <c r="RB239" s="243"/>
      <c r="RC239" s="243"/>
      <c r="RD239" s="243"/>
      <c r="RE239" s="243"/>
      <c r="RF239" s="243"/>
      <c r="RG239" s="243"/>
      <c r="RH239" s="243"/>
      <c r="RI239" s="243"/>
      <c r="RJ239" s="243"/>
      <c r="RK239" s="243"/>
      <c r="RL239" s="243"/>
      <c r="RM239" s="243"/>
      <c r="RN239" s="243"/>
      <c r="RO239" s="243"/>
      <c r="RP239" s="243"/>
      <c r="RQ239" s="243"/>
      <c r="RR239" s="243"/>
      <c r="RS239" s="243"/>
      <c r="RT239" s="243"/>
      <c r="RU239" s="243"/>
      <c r="RV239" s="243"/>
      <c r="RW239" s="243"/>
      <c r="RX239" s="243"/>
      <c r="RY239" s="243"/>
      <c r="RZ239" s="243"/>
      <c r="SA239" s="243"/>
      <c r="SB239" s="243"/>
      <c r="SC239" s="243"/>
      <c r="SD239" s="243"/>
      <c r="SE239" s="243"/>
      <c r="SF239" s="243"/>
      <c r="SG239" s="243"/>
      <c r="SH239" s="243"/>
      <c r="SI239" s="243"/>
      <c r="SJ239" s="243"/>
      <c r="SK239" s="243"/>
      <c r="SL239" s="243"/>
      <c r="SM239" s="243"/>
      <c r="SN239" s="243"/>
      <c r="SO239" s="243"/>
      <c r="SP239" s="243"/>
      <c r="SQ239" s="243"/>
      <c r="SR239" s="243"/>
      <c r="SS239" s="243"/>
      <c r="ST239" s="243"/>
      <c r="SU239" s="243"/>
      <c r="SV239" s="243"/>
      <c r="SW239" s="243"/>
      <c r="SX239" s="243"/>
      <c r="SY239" s="243"/>
      <c r="SZ239" s="243"/>
      <c r="TA239" s="243"/>
      <c r="TB239" s="243"/>
      <c r="TC239" s="243"/>
      <c r="TD239" s="243"/>
      <c r="TE239" s="243"/>
      <c r="TF239" s="243"/>
      <c r="TG239" s="243"/>
      <c r="TH239" s="243"/>
      <c r="TI239" s="243"/>
      <c r="TJ239" s="243"/>
      <c r="TK239" s="243"/>
      <c r="TL239" s="243"/>
      <c r="TM239" s="243"/>
      <c r="TN239" s="243"/>
      <c r="TO239" s="243"/>
      <c r="TP239" s="243"/>
      <c r="TQ239" s="243"/>
      <c r="TR239" s="243"/>
      <c r="TS239" s="243"/>
      <c r="TT239" s="243"/>
      <c r="TU239" s="243"/>
      <c r="TV239" s="243"/>
      <c r="TW239" s="243"/>
      <c r="TX239" s="243"/>
      <c r="TY239" s="243"/>
      <c r="TZ239" s="243"/>
      <c r="UA239" s="243"/>
      <c r="UB239" s="243"/>
      <c r="UC239" s="243"/>
      <c r="UD239" s="243"/>
      <c r="UE239" s="243"/>
      <c r="UF239" s="243"/>
      <c r="UG239" s="243"/>
      <c r="UH239" s="243"/>
      <c r="UI239" s="243"/>
      <c r="UJ239" s="243"/>
      <c r="UK239" s="243"/>
      <c r="UL239" s="243"/>
      <c r="UM239" s="243"/>
      <c r="UN239" s="243"/>
      <c r="UO239" s="243"/>
      <c r="UP239" s="243"/>
      <c r="UQ239" s="243"/>
      <c r="UR239" s="243"/>
      <c r="US239" s="243"/>
      <c r="UT239" s="243"/>
      <c r="UU239" s="243"/>
      <c r="UV239" s="243"/>
      <c r="UW239" s="243"/>
      <c r="UX239" s="243"/>
      <c r="UY239" s="243"/>
      <c r="UZ239" s="243"/>
      <c r="VA239" s="243"/>
      <c r="VB239" s="243"/>
      <c r="VC239" s="243"/>
      <c r="VD239" s="243"/>
      <c r="VE239" s="243"/>
      <c r="VF239" s="243"/>
      <c r="VG239" s="243"/>
      <c r="VH239" s="243"/>
      <c r="VI239" s="243"/>
      <c r="VJ239" s="243"/>
      <c r="VK239" s="243"/>
      <c r="VL239" s="243"/>
      <c r="VM239" s="243"/>
      <c r="VN239" s="243"/>
      <c r="VO239" s="243"/>
      <c r="VP239" s="243"/>
      <c r="VQ239" s="243"/>
      <c r="VR239" s="243"/>
      <c r="VS239" s="243"/>
      <c r="VT239" s="243"/>
      <c r="VU239" s="243"/>
      <c r="VV239" s="243"/>
      <c r="VW239" s="243"/>
      <c r="VX239" s="243"/>
      <c r="VY239" s="243"/>
      <c r="VZ239" s="243"/>
      <c r="WA239" s="243"/>
      <c r="WB239" s="243"/>
      <c r="WC239" s="243"/>
      <c r="WD239" s="243"/>
      <c r="WE239" s="243"/>
      <c r="WF239" s="243"/>
      <c r="WG239" s="243"/>
      <c r="WH239" s="243"/>
      <c r="WI239" s="243"/>
      <c r="WJ239" s="243"/>
      <c r="WK239" s="243"/>
      <c r="WL239" s="243"/>
      <c r="WM239" s="243"/>
      <c r="WN239" s="243"/>
      <c r="WO239" s="243"/>
      <c r="WP239" s="243"/>
      <c r="WQ239" s="243"/>
      <c r="WR239" s="243"/>
      <c r="WS239" s="243"/>
      <c r="WT239" s="243"/>
      <c r="WU239" s="243"/>
      <c r="WV239" s="243"/>
      <c r="WW239" s="243"/>
      <c r="WX239" s="243"/>
      <c r="WY239" s="243"/>
      <c r="WZ239" s="243"/>
      <c r="XA239" s="243"/>
      <c r="XB239" s="243"/>
      <c r="XC239" s="243"/>
      <c r="XD239" s="243"/>
      <c r="XE239" s="243"/>
      <c r="XF239" s="243"/>
      <c r="XG239" s="243"/>
      <c r="XH239" s="243"/>
      <c r="XI239" s="243"/>
      <c r="XJ239" s="243"/>
      <c r="XK239" s="243"/>
      <c r="XL239" s="243"/>
      <c r="XM239" s="243"/>
      <c r="XN239" s="243"/>
      <c r="XO239" s="243"/>
      <c r="XP239" s="243"/>
      <c r="XQ239" s="243"/>
      <c r="XR239" s="243"/>
      <c r="XS239" s="243"/>
      <c r="XT239" s="243"/>
      <c r="XU239" s="243"/>
      <c r="XV239" s="243"/>
      <c r="XW239" s="243"/>
      <c r="XX239" s="243"/>
      <c r="XY239" s="243"/>
      <c r="XZ239" s="243"/>
      <c r="YA239" s="243"/>
      <c r="YB239" s="243"/>
      <c r="YC239" s="243"/>
      <c r="YD239" s="243"/>
      <c r="YE239" s="243"/>
      <c r="YF239" s="243"/>
      <c r="YG239" s="243"/>
      <c r="YH239" s="243"/>
      <c r="YI239" s="243"/>
      <c r="YJ239" s="243"/>
      <c r="YK239" s="243"/>
      <c r="YL239" s="243"/>
      <c r="YM239" s="243"/>
      <c r="YN239" s="243"/>
      <c r="YO239" s="243"/>
      <c r="YP239" s="243"/>
      <c r="YQ239" s="243"/>
      <c r="YR239" s="243"/>
      <c r="YS239" s="243"/>
      <c r="YT239" s="243"/>
      <c r="YU239" s="243"/>
      <c r="YV239" s="243"/>
      <c r="YW239" s="243"/>
      <c r="YX239" s="243"/>
      <c r="YY239" s="243"/>
      <c r="YZ239" s="243"/>
      <c r="ZA239" s="243"/>
      <c r="ZB239" s="243"/>
      <c r="ZC239" s="243"/>
      <c r="ZD239" s="243"/>
      <c r="ZE239" s="243"/>
      <c r="ZF239" s="243"/>
      <c r="ZG239" s="243"/>
      <c r="ZH239" s="243"/>
      <c r="ZI239" s="243"/>
      <c r="ZJ239" s="243"/>
      <c r="ZK239" s="243"/>
      <c r="ZL239" s="243"/>
      <c r="ZM239" s="243"/>
      <c r="ZN239" s="243"/>
      <c r="ZO239" s="243"/>
      <c r="ZP239" s="243"/>
      <c r="ZQ239" s="243"/>
      <c r="ZR239" s="243"/>
      <c r="ZS239" s="243"/>
      <c r="ZT239" s="243"/>
      <c r="ZU239" s="243"/>
      <c r="ZV239" s="243"/>
      <c r="ZW239" s="243"/>
      <c r="ZX239" s="243"/>
      <c r="ZY239" s="243"/>
      <c r="ZZ239" s="243"/>
      <c r="AAA239" s="243"/>
      <c r="AAB239" s="243"/>
      <c r="AAC239" s="243"/>
      <c r="AAD239" s="243"/>
      <c r="AAE239" s="243"/>
      <c r="AAF239" s="243"/>
      <c r="AAG239" s="243"/>
      <c r="AAH239" s="243"/>
      <c r="AAI239" s="243"/>
      <c r="AAJ239" s="243"/>
      <c r="AAK239" s="243"/>
      <c r="AAL239" s="243"/>
      <c r="AAM239" s="243"/>
      <c r="AAN239" s="243"/>
      <c r="AAO239" s="243"/>
      <c r="AAP239" s="243"/>
      <c r="AAQ239" s="243"/>
      <c r="AAR239" s="243"/>
      <c r="AAS239" s="243"/>
      <c r="AAT239" s="243"/>
      <c r="AAU239" s="243"/>
      <c r="AAV239" s="243"/>
      <c r="AAW239" s="243"/>
      <c r="AAX239" s="243"/>
      <c r="AAY239" s="243"/>
      <c r="AAZ239" s="243"/>
      <c r="ABA239" s="243"/>
      <c r="ABB239" s="243"/>
      <c r="ABC239" s="243"/>
      <c r="ABD239" s="243"/>
      <c r="ABE239" s="243"/>
      <c r="ABF239" s="243"/>
      <c r="ABG239" s="243"/>
      <c r="ABH239" s="243"/>
      <c r="ABI239" s="243"/>
      <c r="ABJ239" s="243"/>
      <c r="ABK239" s="243"/>
      <c r="ABL239" s="243"/>
      <c r="ABM239" s="243"/>
      <c r="ABN239" s="243"/>
      <c r="ABO239" s="243"/>
      <c r="ABP239" s="243"/>
      <c r="ABQ239" s="243"/>
      <c r="ABR239" s="243"/>
      <c r="ABS239" s="243"/>
      <c r="ABT239" s="243"/>
      <c r="ABU239" s="243"/>
      <c r="ABV239" s="243"/>
      <c r="ABW239" s="243"/>
      <c r="ABX239" s="243"/>
      <c r="ABY239" s="243"/>
      <c r="ABZ239" s="243"/>
      <c r="ACA239" s="243"/>
      <c r="ACB239" s="243"/>
      <c r="ACC239" s="243"/>
      <c r="ACD239" s="243"/>
      <c r="ACE239" s="243"/>
      <c r="ACF239" s="243"/>
      <c r="ACG239" s="243"/>
      <c r="ACH239" s="243"/>
      <c r="ACI239" s="243"/>
      <c r="ACJ239" s="243"/>
      <c r="ACK239" s="243"/>
      <c r="ACL239" s="243"/>
      <c r="ACM239" s="243"/>
      <c r="ACN239" s="243"/>
      <c r="ACO239" s="243"/>
      <c r="ACP239" s="243"/>
      <c r="ACQ239" s="243"/>
      <c r="ACR239" s="243"/>
      <c r="ACS239" s="243"/>
      <c r="ACT239" s="243"/>
      <c r="ACU239" s="243"/>
      <c r="ACV239" s="243"/>
      <c r="ACW239" s="243"/>
      <c r="ACX239" s="243"/>
      <c r="ACY239" s="243"/>
      <c r="ACZ239" s="243"/>
      <c r="ADA239" s="243"/>
      <c r="ADB239" s="243"/>
      <c r="ADC239" s="243"/>
      <c r="ADD239" s="243"/>
      <c r="ADE239" s="243"/>
      <c r="ADF239" s="243"/>
      <c r="ADG239" s="243"/>
      <c r="ADH239" s="243"/>
      <c r="ADI239" s="243"/>
      <c r="ADJ239" s="243"/>
      <c r="ADK239" s="243"/>
      <c r="ADL239" s="243"/>
      <c r="ADM239" s="243"/>
      <c r="ADN239" s="243"/>
      <c r="ADO239" s="243"/>
      <c r="ADP239" s="243"/>
      <c r="ADQ239" s="243"/>
      <c r="ADR239" s="243"/>
      <c r="ADS239" s="243"/>
      <c r="ADT239" s="243"/>
      <c r="ADU239" s="243"/>
      <c r="ADV239" s="243"/>
      <c r="ADW239" s="243"/>
      <c r="ADX239" s="243"/>
      <c r="ADY239" s="243"/>
      <c r="ADZ239" s="243"/>
      <c r="AEA239" s="243"/>
      <c r="AEB239" s="243"/>
      <c r="AEC239" s="243"/>
      <c r="AED239" s="243"/>
      <c r="AEE239" s="243"/>
      <c r="AEF239" s="243"/>
      <c r="AEG239" s="243"/>
      <c r="AEH239" s="243"/>
      <c r="AEI239" s="243"/>
      <c r="AEJ239" s="243"/>
      <c r="AEK239" s="243"/>
      <c r="AEL239" s="243"/>
      <c r="AEM239" s="243"/>
      <c r="AEN239" s="243"/>
      <c r="AEO239" s="243"/>
      <c r="AEP239" s="243"/>
      <c r="AEQ239" s="243"/>
      <c r="AER239" s="243"/>
      <c r="AES239" s="243"/>
      <c r="AET239" s="243"/>
      <c r="AEU239" s="243"/>
      <c r="AEV239" s="243"/>
      <c r="AEW239" s="243"/>
      <c r="AEX239" s="243"/>
      <c r="AEY239" s="243"/>
      <c r="AEZ239" s="243"/>
      <c r="AFA239" s="243"/>
      <c r="AFB239" s="243"/>
      <c r="AFC239" s="243"/>
      <c r="AFD239" s="243"/>
      <c r="AFE239" s="243"/>
      <c r="AFF239" s="243"/>
      <c r="AFG239" s="243"/>
      <c r="AFH239" s="243"/>
      <c r="AFI239" s="243"/>
      <c r="AFJ239" s="243"/>
      <c r="AFK239" s="243"/>
      <c r="AFL239" s="243"/>
      <c r="AFM239" s="243"/>
      <c r="AFN239" s="243"/>
      <c r="AFO239" s="243"/>
      <c r="AFP239" s="243"/>
      <c r="AFQ239" s="243"/>
      <c r="AFR239" s="243"/>
      <c r="AFS239" s="243"/>
      <c r="AFT239" s="243"/>
      <c r="AFU239" s="243"/>
      <c r="AFV239" s="243"/>
      <c r="AFW239" s="243"/>
      <c r="AFX239" s="243"/>
      <c r="AFY239" s="243"/>
      <c r="AFZ239" s="243"/>
      <c r="AGA239" s="243"/>
      <c r="AGB239" s="243"/>
      <c r="AGC239" s="243"/>
      <c r="AGD239" s="243"/>
      <c r="AGE239" s="243"/>
      <c r="AGF239" s="243"/>
      <c r="AGG239" s="243"/>
      <c r="AGH239" s="243"/>
      <c r="AGI239" s="243"/>
      <c r="AGJ239" s="243"/>
      <c r="AGK239" s="243"/>
      <c r="AGL239" s="243"/>
      <c r="AGM239" s="243"/>
      <c r="AGN239" s="243"/>
      <c r="AGO239" s="243"/>
      <c r="AGP239" s="243"/>
      <c r="AGQ239" s="243"/>
      <c r="AGR239" s="243"/>
      <c r="AGS239" s="243"/>
      <c r="AGT239" s="243"/>
      <c r="AGU239" s="243"/>
      <c r="AGV239" s="243"/>
      <c r="AGW239" s="243"/>
      <c r="AGX239" s="243"/>
      <c r="AGY239" s="243"/>
      <c r="AGZ239" s="243"/>
      <c r="AHA239" s="243"/>
      <c r="AHB239" s="243"/>
      <c r="AHC239" s="243"/>
      <c r="AHD239" s="243"/>
      <c r="AHE239" s="243"/>
      <c r="AHF239" s="243"/>
      <c r="AHG239" s="243"/>
      <c r="AHH239" s="243"/>
      <c r="AHI239" s="243"/>
      <c r="AHJ239" s="243"/>
      <c r="AHK239" s="243"/>
      <c r="AHL239" s="243"/>
      <c r="AHM239" s="243"/>
      <c r="AHN239" s="243"/>
      <c r="AHO239" s="243"/>
      <c r="AHP239" s="243"/>
      <c r="AHQ239" s="243"/>
      <c r="AHR239" s="243"/>
      <c r="AHS239" s="243"/>
      <c r="AHT239" s="243"/>
      <c r="AHU239" s="243"/>
      <c r="AHV239" s="243"/>
      <c r="AHW239" s="243"/>
      <c r="AHX239" s="243"/>
      <c r="AHY239" s="243"/>
      <c r="AHZ239" s="243"/>
      <c r="AIA239" s="243"/>
      <c r="AIB239" s="243"/>
      <c r="AIC239" s="243"/>
      <c r="AID239" s="243"/>
      <c r="AIE239" s="243"/>
      <c r="AIF239" s="243"/>
      <c r="AIG239" s="243"/>
      <c r="AIH239" s="243"/>
      <c r="AII239" s="243"/>
      <c r="AIJ239" s="243"/>
      <c r="AIK239" s="243"/>
      <c r="AIL239" s="243"/>
      <c r="AIM239" s="243"/>
      <c r="AIN239" s="243"/>
      <c r="AIO239" s="243"/>
      <c r="AIP239" s="243"/>
      <c r="AIQ239" s="243"/>
      <c r="AIR239" s="243"/>
      <c r="AIS239" s="243"/>
      <c r="AIT239" s="243"/>
      <c r="AIU239" s="243"/>
      <c r="AIV239" s="243"/>
      <c r="AIW239" s="243"/>
      <c r="AIX239" s="243"/>
      <c r="AIY239" s="243"/>
      <c r="AIZ239" s="243"/>
      <c r="AJA239" s="243"/>
      <c r="AJB239" s="243"/>
      <c r="AJC239" s="243"/>
      <c r="AJD239" s="243"/>
      <c r="AJE239" s="243"/>
      <c r="AJF239" s="243"/>
      <c r="AJG239" s="243"/>
      <c r="AJH239" s="243"/>
      <c r="AJI239" s="243"/>
      <c r="AJJ239" s="243"/>
      <c r="AJK239" s="243"/>
      <c r="AJL239" s="243"/>
      <c r="AJM239" s="243"/>
      <c r="AJN239" s="243"/>
      <c r="AJO239" s="243"/>
      <c r="AJP239" s="243"/>
      <c r="AJQ239" s="243"/>
      <c r="AJR239" s="243"/>
      <c r="AJS239" s="243"/>
      <c r="AJT239" s="243"/>
      <c r="AJU239" s="243"/>
      <c r="AJV239" s="243"/>
      <c r="AJW239" s="243"/>
      <c r="AJX239" s="243"/>
      <c r="AJY239" s="243"/>
      <c r="AJZ239" s="243"/>
      <c r="AKA239" s="243"/>
      <c r="AKB239" s="243"/>
      <c r="AKC239" s="243"/>
      <c r="AKD239" s="243"/>
      <c r="AKE239" s="243"/>
      <c r="AKF239" s="243"/>
      <c r="AKG239" s="243"/>
      <c r="AKH239" s="243"/>
      <c r="AKI239" s="243"/>
      <c r="AKJ239" s="243"/>
      <c r="AKK239" s="243"/>
      <c r="AKL239" s="243"/>
      <c r="AKM239" s="243"/>
      <c r="AKN239" s="243"/>
      <c r="AKO239" s="243"/>
      <c r="AKP239" s="243"/>
      <c r="AKQ239" s="243"/>
      <c r="AKR239" s="243"/>
      <c r="AKS239" s="243"/>
      <c r="AKT239" s="243"/>
      <c r="AKU239" s="243"/>
      <c r="AKV239" s="243"/>
      <c r="AKW239" s="243"/>
      <c r="AKX239" s="243"/>
      <c r="AKY239" s="243"/>
      <c r="AKZ239" s="243"/>
      <c r="ALA239" s="243"/>
      <c r="ALB239" s="243"/>
      <c r="ALC239" s="243"/>
      <c r="ALD239" s="243"/>
      <c r="ALE239" s="243"/>
      <c r="ALF239" s="243"/>
      <c r="ALG239" s="243"/>
      <c r="ALH239" s="243"/>
      <c r="ALI239" s="243"/>
      <c r="ALJ239" s="243"/>
      <c r="ALK239" s="243"/>
      <c r="ALL239" s="243"/>
      <c r="ALM239" s="243"/>
      <c r="ALN239" s="243"/>
      <c r="ALO239" s="243"/>
      <c r="ALP239" s="243"/>
      <c r="ALQ239" s="243"/>
      <c r="ALR239" s="243"/>
      <c r="ALS239" s="243"/>
      <c r="ALT239" s="243"/>
      <c r="ALU239" s="243"/>
      <c r="ALV239" s="243"/>
      <c r="ALW239" s="243"/>
      <c r="ALX239" s="243"/>
      <c r="ALY239" s="243"/>
      <c r="ALZ239" s="243"/>
      <c r="AMA239" s="243"/>
      <c r="AMB239" s="243"/>
      <c r="AMC239" s="243"/>
      <c r="AMD239" s="243"/>
      <c r="AME239" s="243"/>
      <c r="AMF239" s="243"/>
      <c r="AMG239" s="243"/>
      <c r="AMH239" s="243"/>
      <c r="AMI239" s="243"/>
      <c r="AMJ239" s="243"/>
      <c r="AMK239" s="243"/>
      <c r="AML239" s="243"/>
      <c r="AMM239" s="243"/>
      <c r="AMN239" s="243"/>
      <c r="AMO239" s="243"/>
      <c r="AMP239" s="243"/>
      <c r="AMQ239" s="243"/>
      <c r="AMR239" s="243"/>
      <c r="AMS239" s="243"/>
      <c r="AMT239" s="243"/>
      <c r="AMU239" s="243"/>
      <c r="AMV239" s="243"/>
      <c r="AMW239" s="243"/>
      <c r="AMX239" s="243"/>
      <c r="AMY239" s="243"/>
      <c r="AMZ239" s="243"/>
      <c r="ANA239" s="243"/>
      <c r="ANB239" s="243"/>
      <c r="ANC239" s="243"/>
      <c r="AND239" s="243"/>
      <c r="ANE239" s="243"/>
      <c r="ANF239" s="243"/>
      <c r="ANG239" s="243"/>
      <c r="ANH239" s="243"/>
      <c r="ANI239" s="243"/>
      <c r="ANJ239" s="243"/>
      <c r="ANK239" s="243"/>
      <c r="ANL239" s="243"/>
      <c r="ANM239" s="243"/>
      <c r="ANN239" s="243"/>
      <c r="ANO239" s="243"/>
      <c r="ANP239" s="243"/>
      <c r="ANQ239" s="243"/>
      <c r="ANR239" s="243"/>
      <c r="ANS239" s="243"/>
      <c r="ANT239" s="243"/>
      <c r="ANU239" s="243"/>
      <c r="ANV239" s="243"/>
      <c r="ANW239" s="243"/>
      <c r="ANX239" s="243"/>
      <c r="ANY239" s="243"/>
      <c r="ANZ239" s="243"/>
      <c r="AOA239" s="243"/>
      <c r="AOB239" s="243"/>
      <c r="AOC239" s="243"/>
      <c r="AOD239" s="243"/>
      <c r="AOE239" s="243"/>
      <c r="AOF239" s="243"/>
      <c r="AOG239" s="243"/>
      <c r="AOH239" s="243"/>
      <c r="AOI239" s="243"/>
      <c r="AOJ239" s="243"/>
      <c r="AOK239" s="243"/>
      <c r="AOL239" s="243"/>
      <c r="AOM239" s="243"/>
      <c r="AON239" s="243"/>
      <c r="AOO239" s="243"/>
      <c r="AOP239" s="243"/>
      <c r="AOQ239" s="243"/>
      <c r="AOR239" s="243"/>
      <c r="AOS239" s="243"/>
      <c r="AOT239" s="243"/>
      <c r="AOU239" s="243"/>
      <c r="AOV239" s="243"/>
      <c r="AOW239" s="243"/>
      <c r="AOX239" s="243"/>
      <c r="AOY239" s="243"/>
      <c r="AOZ239" s="243"/>
      <c r="APA239" s="243"/>
      <c r="APB239" s="243"/>
      <c r="APC239" s="243"/>
      <c r="APD239" s="243"/>
      <c r="APE239" s="243"/>
      <c r="APF239" s="243"/>
      <c r="APG239" s="243"/>
      <c r="APH239" s="243"/>
      <c r="API239" s="243"/>
      <c r="APJ239" s="243"/>
      <c r="APK239" s="243"/>
      <c r="APL239" s="243"/>
      <c r="APM239" s="243"/>
      <c r="APN239" s="243"/>
      <c r="APO239" s="243"/>
      <c r="APP239" s="243"/>
      <c r="APQ239" s="243"/>
      <c r="APR239" s="243"/>
      <c r="APS239" s="243"/>
      <c r="APT239" s="243"/>
      <c r="APU239" s="243"/>
      <c r="APV239" s="243"/>
      <c r="APW239" s="243"/>
      <c r="APX239" s="243"/>
      <c r="APY239" s="243"/>
      <c r="APZ239" s="243"/>
      <c r="AQA239" s="243"/>
      <c r="AQB239" s="243"/>
      <c r="AQC239" s="243"/>
      <c r="AQD239" s="243"/>
      <c r="AQE239" s="243"/>
      <c r="AQF239" s="243"/>
      <c r="AQG239" s="243"/>
      <c r="AQH239" s="243"/>
      <c r="AQI239" s="243"/>
      <c r="AQJ239" s="243"/>
      <c r="AQK239" s="243"/>
      <c r="AQL239" s="243"/>
      <c r="AQM239" s="243"/>
      <c r="AQN239" s="243"/>
      <c r="AQO239" s="243"/>
      <c r="AQP239" s="243"/>
      <c r="AQQ239" s="243"/>
      <c r="AQR239" s="243"/>
      <c r="AQS239" s="243"/>
      <c r="AQT239" s="243"/>
      <c r="AQU239" s="243"/>
      <c r="AQV239" s="243"/>
      <c r="AQW239" s="243"/>
      <c r="AQX239" s="243"/>
      <c r="AQY239" s="243"/>
      <c r="AQZ239" s="243"/>
      <c r="ARA239" s="243"/>
      <c r="ARB239" s="243"/>
      <c r="ARC239" s="243"/>
      <c r="ARD239" s="243"/>
      <c r="ARE239" s="243"/>
      <c r="ARF239" s="243"/>
      <c r="ARG239" s="243"/>
      <c r="ARH239" s="243"/>
      <c r="ARI239" s="243"/>
      <c r="ARJ239" s="243"/>
      <c r="ARK239" s="243"/>
      <c r="ARL239" s="243"/>
      <c r="ARM239" s="243"/>
      <c r="ARN239" s="243"/>
      <c r="ARO239" s="243"/>
      <c r="ARP239" s="243"/>
      <c r="ARQ239" s="243"/>
      <c r="ARR239" s="243"/>
      <c r="ARS239" s="243"/>
      <c r="ART239" s="243"/>
      <c r="ARU239" s="243"/>
      <c r="ARV239" s="243"/>
      <c r="ARW239" s="243"/>
      <c r="ARX239" s="243"/>
      <c r="ARY239" s="243"/>
      <c r="ARZ239" s="243"/>
      <c r="ASA239" s="243"/>
      <c r="ASB239" s="243"/>
      <c r="ASC239" s="243"/>
      <c r="ASD239" s="243"/>
      <c r="ASE239" s="243"/>
      <c r="ASF239" s="243"/>
      <c r="ASG239" s="243"/>
      <c r="ASH239" s="243"/>
      <c r="ASI239" s="243"/>
      <c r="ASJ239" s="243"/>
      <c r="ASK239" s="243"/>
      <c r="ASL239" s="243"/>
      <c r="ASM239" s="243"/>
      <c r="ASN239" s="243"/>
      <c r="ASO239" s="243"/>
      <c r="ASP239" s="243"/>
      <c r="ASQ239" s="243"/>
      <c r="ASR239" s="243"/>
      <c r="ASS239" s="243"/>
      <c r="AST239" s="243"/>
      <c r="ASU239" s="243"/>
      <c r="ASV239" s="243"/>
      <c r="ASW239" s="243"/>
      <c r="ASX239" s="243"/>
      <c r="ASY239" s="243"/>
      <c r="ASZ239" s="243"/>
      <c r="ATA239" s="243"/>
      <c r="ATB239" s="243"/>
      <c r="ATC239" s="243"/>
      <c r="ATD239" s="243"/>
      <c r="ATE239" s="243"/>
      <c r="ATF239" s="243"/>
      <c r="ATG239" s="243"/>
      <c r="ATH239" s="243"/>
      <c r="ATI239" s="243"/>
      <c r="ATJ239" s="243"/>
      <c r="ATK239" s="243"/>
      <c r="ATL239" s="243"/>
      <c r="ATM239" s="243"/>
      <c r="ATN239" s="243"/>
      <c r="ATO239" s="243"/>
      <c r="ATP239" s="243"/>
      <c r="ATQ239" s="243"/>
      <c r="ATR239" s="243"/>
      <c r="ATS239" s="243"/>
      <c r="ATT239" s="243"/>
      <c r="ATU239" s="243"/>
      <c r="ATV239" s="243"/>
      <c r="ATW239" s="243"/>
      <c r="ATX239" s="243"/>
      <c r="ATY239" s="243"/>
      <c r="ATZ239" s="243"/>
      <c r="AUA239" s="243"/>
      <c r="AUB239" s="243"/>
      <c r="AUC239" s="243"/>
      <c r="AUD239" s="243"/>
      <c r="AUE239" s="243"/>
      <c r="AUF239" s="243"/>
      <c r="AUG239" s="243"/>
      <c r="AUH239" s="243"/>
      <c r="AUI239" s="243"/>
      <c r="AUJ239" s="243"/>
      <c r="AUK239" s="243"/>
      <c r="AUL239" s="243"/>
      <c r="AUM239" s="243"/>
      <c r="AUN239" s="243"/>
      <c r="AUO239" s="243"/>
      <c r="AUP239" s="243"/>
      <c r="AUQ239" s="243"/>
      <c r="AUR239" s="243"/>
      <c r="AUS239" s="243"/>
      <c r="AUT239" s="243"/>
      <c r="AUU239" s="243"/>
      <c r="AUV239" s="243"/>
      <c r="AUW239" s="243"/>
      <c r="AUX239" s="243"/>
      <c r="AUY239" s="243"/>
      <c r="AUZ239" s="243"/>
      <c r="AVA239" s="243"/>
      <c r="AVB239" s="243"/>
      <c r="AVC239" s="243"/>
      <c r="AVD239" s="243"/>
      <c r="AVE239" s="243"/>
      <c r="AVF239" s="243"/>
      <c r="AVG239" s="243"/>
      <c r="AVH239" s="243"/>
      <c r="AVI239" s="243"/>
      <c r="AVJ239" s="243"/>
      <c r="AVK239" s="243"/>
      <c r="AVL239" s="243"/>
      <c r="AVM239" s="243"/>
      <c r="AVN239" s="243"/>
      <c r="AVO239" s="243"/>
      <c r="AVP239" s="243"/>
      <c r="AVQ239" s="243"/>
      <c r="AVR239" s="243"/>
      <c r="AVS239" s="243"/>
      <c r="AVT239" s="243"/>
      <c r="AVU239" s="243"/>
      <c r="AVV239" s="243"/>
      <c r="AVW239" s="243"/>
      <c r="AVX239" s="243"/>
      <c r="AVY239" s="243"/>
      <c r="AVZ239" s="243"/>
      <c r="AWA239" s="243"/>
      <c r="AWB239" s="243"/>
      <c r="AWC239" s="243"/>
      <c r="AWD239" s="243"/>
      <c r="AWE239" s="243"/>
      <c r="AWF239" s="243"/>
      <c r="AWG239" s="243"/>
      <c r="AWH239" s="243"/>
      <c r="AWI239" s="243"/>
      <c r="AWJ239" s="243"/>
      <c r="AWK239" s="243"/>
      <c r="AWL239" s="243"/>
      <c r="AWM239" s="243"/>
      <c r="AWN239" s="243"/>
      <c r="AWO239" s="243"/>
      <c r="AWP239" s="243"/>
      <c r="AWQ239" s="243"/>
      <c r="AWR239" s="243"/>
      <c r="AWS239" s="243"/>
      <c r="AWT239" s="243"/>
      <c r="AWU239" s="243"/>
      <c r="AWV239" s="243"/>
      <c r="AWW239" s="243"/>
      <c r="AWX239" s="243"/>
      <c r="AWY239" s="243"/>
      <c r="AWZ239" s="243"/>
      <c r="AXA239" s="243"/>
      <c r="AXB239" s="243"/>
      <c r="AXC239" s="243"/>
      <c r="AXD239" s="243"/>
      <c r="AXE239" s="243"/>
      <c r="AXF239" s="243"/>
      <c r="AXG239" s="243"/>
      <c r="AXH239" s="243"/>
      <c r="AXI239" s="243"/>
      <c r="AXJ239" s="243"/>
      <c r="AXK239" s="243"/>
      <c r="AXL239" s="243"/>
      <c r="AXM239" s="243"/>
      <c r="AXN239" s="243"/>
      <c r="AXO239" s="243"/>
      <c r="AXP239" s="243"/>
      <c r="AXQ239" s="243"/>
      <c r="AXR239" s="243"/>
      <c r="AXS239" s="243"/>
      <c r="AXT239" s="243"/>
      <c r="AXU239" s="243"/>
      <c r="AXV239" s="243"/>
      <c r="AXW239" s="243"/>
      <c r="AXX239" s="243"/>
      <c r="AXY239" s="243"/>
      <c r="AXZ239" s="243"/>
      <c r="AYA239" s="243"/>
      <c r="AYB239" s="243"/>
      <c r="AYC239" s="243"/>
      <c r="AYD239" s="243"/>
      <c r="AYE239" s="243"/>
      <c r="AYF239" s="243"/>
      <c r="AYG239" s="243"/>
      <c r="AYH239" s="243"/>
      <c r="AYI239" s="243"/>
      <c r="AYJ239" s="243"/>
      <c r="AYK239" s="243"/>
      <c r="AYL239" s="243"/>
      <c r="AYM239" s="243"/>
      <c r="AYN239" s="243"/>
      <c r="AYO239" s="243"/>
      <c r="AYP239" s="243"/>
      <c r="AYQ239" s="243"/>
      <c r="AYR239" s="243"/>
      <c r="AYS239" s="243"/>
      <c r="AYT239" s="243"/>
      <c r="AYU239" s="243"/>
      <c r="AYV239" s="243"/>
      <c r="AYW239" s="243"/>
      <c r="AYX239" s="243"/>
      <c r="AYY239" s="243"/>
      <c r="AYZ239" s="243"/>
      <c r="AZA239" s="243"/>
      <c r="AZB239" s="243"/>
      <c r="AZC239" s="243"/>
      <c r="AZD239" s="243"/>
      <c r="AZE239" s="243"/>
      <c r="AZF239" s="243"/>
      <c r="AZG239" s="243"/>
      <c r="AZH239" s="243"/>
      <c r="AZI239" s="243"/>
      <c r="AZJ239" s="243"/>
      <c r="AZK239" s="243"/>
      <c r="AZL239" s="243"/>
      <c r="AZM239" s="243"/>
      <c r="AZN239" s="243"/>
      <c r="AZO239" s="243"/>
      <c r="AZP239" s="243"/>
      <c r="AZQ239" s="243"/>
      <c r="AZR239" s="243"/>
      <c r="AZS239" s="243"/>
      <c r="AZT239" s="243"/>
      <c r="AZU239" s="243"/>
      <c r="AZV239" s="243"/>
      <c r="AZW239" s="243"/>
      <c r="AZX239" s="243"/>
      <c r="AZY239" s="243"/>
      <c r="AZZ239" s="243"/>
      <c r="BAA239" s="243"/>
      <c r="BAB239" s="243"/>
      <c r="BAC239" s="243"/>
      <c r="BAD239" s="243"/>
      <c r="BAE239" s="243"/>
      <c r="BAF239" s="243"/>
      <c r="BAG239" s="243"/>
      <c r="BAH239" s="243"/>
      <c r="BAI239" s="243"/>
      <c r="BAJ239" s="243"/>
      <c r="BAK239" s="243"/>
      <c r="BAL239" s="243"/>
      <c r="BAM239" s="243"/>
      <c r="BAN239" s="243"/>
      <c r="BAO239" s="243"/>
      <c r="BAP239" s="243"/>
      <c r="BAQ239" s="243"/>
      <c r="BAR239" s="243"/>
      <c r="BAS239" s="243"/>
      <c r="BAT239" s="243"/>
      <c r="BAU239" s="243"/>
      <c r="BAV239" s="243"/>
      <c r="BAW239" s="243"/>
      <c r="BAX239" s="243"/>
      <c r="BAY239" s="243"/>
      <c r="BAZ239" s="243"/>
      <c r="BBA239" s="243"/>
      <c r="BBB239" s="243"/>
      <c r="BBC239" s="243"/>
      <c r="BBD239" s="243"/>
      <c r="BBE239" s="243"/>
      <c r="BBF239" s="243"/>
      <c r="BBG239" s="243"/>
      <c r="BBH239" s="243"/>
      <c r="BBI239" s="243"/>
      <c r="BBJ239" s="243"/>
      <c r="BBK239" s="243"/>
      <c r="BBL239" s="243"/>
      <c r="BBM239" s="243"/>
      <c r="BBN239" s="243"/>
      <c r="BBO239" s="243"/>
      <c r="BBP239" s="243"/>
      <c r="BBQ239" s="243"/>
      <c r="BBR239" s="243"/>
      <c r="BBS239" s="243"/>
      <c r="BBT239" s="243"/>
      <c r="BBU239" s="243"/>
      <c r="BBV239" s="243"/>
      <c r="BBW239" s="243"/>
      <c r="BBX239" s="243"/>
      <c r="BBY239" s="243"/>
      <c r="BBZ239" s="243"/>
      <c r="BCA239" s="243"/>
      <c r="BCB239" s="243"/>
      <c r="BCC239" s="243"/>
      <c r="BCD239" s="243"/>
      <c r="BCE239" s="243"/>
      <c r="BCF239" s="243"/>
      <c r="BCG239" s="243"/>
      <c r="BCH239" s="243"/>
      <c r="BCI239" s="243"/>
      <c r="BCJ239" s="243"/>
      <c r="BCK239" s="243"/>
      <c r="BCL239" s="243"/>
      <c r="BCM239" s="243"/>
      <c r="BCN239" s="243"/>
      <c r="BCO239" s="243"/>
      <c r="BCP239" s="243"/>
      <c r="BCQ239" s="243"/>
      <c r="BCR239" s="243"/>
      <c r="BCS239" s="243"/>
      <c r="BCT239" s="243"/>
      <c r="BCU239" s="243"/>
      <c r="BCV239" s="243"/>
      <c r="BCW239" s="243"/>
      <c r="BCX239" s="243"/>
      <c r="BCY239" s="243"/>
      <c r="BCZ239" s="243"/>
      <c r="BDA239" s="243"/>
      <c r="BDB239" s="243"/>
      <c r="BDC239" s="243"/>
      <c r="BDD239" s="243"/>
      <c r="BDE239" s="243"/>
      <c r="BDF239" s="243"/>
      <c r="BDG239" s="243"/>
      <c r="BDH239" s="243"/>
      <c r="BDI239" s="243"/>
      <c r="BDJ239" s="243"/>
      <c r="BDK239" s="243"/>
      <c r="BDL239" s="243"/>
      <c r="BDM239" s="243"/>
      <c r="BDN239" s="243"/>
      <c r="BDO239" s="243"/>
      <c r="BDP239" s="243"/>
      <c r="BDQ239" s="243"/>
      <c r="BDR239" s="243"/>
      <c r="BDS239" s="243"/>
      <c r="BDT239" s="243"/>
      <c r="BDU239" s="243"/>
      <c r="BDV239" s="243"/>
      <c r="BDW239" s="243"/>
      <c r="BDX239" s="243"/>
      <c r="BDY239" s="243"/>
      <c r="BDZ239" s="243"/>
      <c r="BEA239" s="243"/>
      <c r="BEB239" s="243"/>
      <c r="BEC239" s="243"/>
      <c r="BED239" s="243"/>
      <c r="BEE239" s="243"/>
      <c r="BEF239" s="243"/>
      <c r="BEG239" s="243"/>
      <c r="BEH239" s="243"/>
      <c r="BEI239" s="243"/>
      <c r="BEJ239" s="243"/>
      <c r="BEK239" s="243"/>
      <c r="BEL239" s="243"/>
      <c r="BEM239" s="243"/>
      <c r="BEN239" s="243"/>
      <c r="BEO239" s="243"/>
      <c r="BEP239" s="243"/>
      <c r="BEQ239" s="243"/>
      <c r="BER239" s="243"/>
      <c r="BES239" s="243"/>
      <c r="BET239" s="243"/>
      <c r="BEU239" s="243"/>
      <c r="BEV239" s="243"/>
      <c r="BEW239" s="243"/>
      <c r="BEX239" s="243"/>
      <c r="BEY239" s="243"/>
      <c r="BEZ239" s="243"/>
      <c r="BFA239" s="243"/>
      <c r="BFB239" s="243"/>
      <c r="BFC239" s="243"/>
      <c r="BFD239" s="243"/>
      <c r="BFE239" s="243"/>
      <c r="BFF239" s="243"/>
      <c r="BFG239" s="243"/>
      <c r="BFH239" s="243"/>
      <c r="BFI239" s="243"/>
      <c r="BFJ239" s="243"/>
      <c r="BFK239" s="243"/>
      <c r="BFL239" s="243"/>
      <c r="BFM239" s="243"/>
      <c r="BFN239" s="243"/>
      <c r="BFO239" s="243"/>
      <c r="BFP239" s="243"/>
      <c r="BFQ239" s="243"/>
      <c r="BFR239" s="243"/>
      <c r="BFS239" s="243"/>
      <c r="BFT239" s="243"/>
      <c r="BFU239" s="243"/>
      <c r="BFV239" s="243"/>
      <c r="BFW239" s="243"/>
      <c r="BFX239" s="243"/>
      <c r="BFY239" s="243"/>
      <c r="BFZ239" s="243"/>
      <c r="BGA239" s="243"/>
      <c r="BGB239" s="243"/>
      <c r="BGC239" s="243"/>
      <c r="BGD239" s="243"/>
      <c r="BGE239" s="243"/>
      <c r="BGF239" s="243"/>
      <c r="BGG239" s="243"/>
      <c r="BGH239" s="243"/>
      <c r="BGI239" s="243"/>
      <c r="BGJ239" s="243"/>
      <c r="BGK239" s="243"/>
      <c r="BGL239" s="243"/>
      <c r="BGM239" s="243"/>
      <c r="BGN239" s="243"/>
      <c r="BGO239" s="243"/>
      <c r="BGP239" s="243"/>
      <c r="BGQ239" s="243"/>
      <c r="BGR239" s="243"/>
      <c r="BGS239" s="243"/>
      <c r="BGT239" s="243"/>
      <c r="BGU239" s="243"/>
      <c r="BGV239" s="243"/>
      <c r="BGW239" s="243"/>
      <c r="BGX239" s="243"/>
      <c r="BGY239" s="243"/>
      <c r="BGZ239" s="243"/>
      <c r="BHA239" s="243"/>
      <c r="BHB239" s="243"/>
      <c r="BHC239" s="243"/>
      <c r="BHD239" s="243"/>
      <c r="BHE239" s="243"/>
      <c r="BHF239" s="243"/>
      <c r="BHG239" s="243"/>
      <c r="BHH239" s="243"/>
      <c r="BHI239" s="243"/>
      <c r="BHJ239" s="243"/>
      <c r="BHK239" s="243"/>
      <c r="BHL239" s="243"/>
      <c r="BHM239" s="243"/>
      <c r="BHN239" s="243"/>
      <c r="BHO239" s="243"/>
      <c r="BHP239" s="243"/>
      <c r="BHQ239" s="243"/>
      <c r="BHR239" s="243"/>
      <c r="BHS239" s="243"/>
      <c r="BHT239" s="243"/>
      <c r="BHU239" s="243"/>
      <c r="BHV239" s="243"/>
      <c r="BHW239" s="243"/>
      <c r="BHX239" s="243"/>
      <c r="BHY239" s="243"/>
      <c r="BHZ239" s="243"/>
      <c r="BIA239" s="243"/>
      <c r="BIB239" s="243"/>
      <c r="BIC239" s="243"/>
      <c r="BID239" s="243"/>
      <c r="BIE239" s="243"/>
      <c r="BIF239" s="243"/>
      <c r="BIG239" s="243"/>
      <c r="BIH239" s="243"/>
      <c r="BII239" s="243"/>
      <c r="BIJ239" s="243"/>
      <c r="BIK239" s="243"/>
      <c r="BIL239" s="243"/>
      <c r="BIM239" s="243"/>
      <c r="BIN239" s="243"/>
      <c r="BIO239" s="243"/>
      <c r="BIP239" s="243"/>
      <c r="BIQ239" s="243"/>
      <c r="BIR239" s="243"/>
      <c r="BIS239" s="243"/>
      <c r="BIT239" s="243"/>
      <c r="BIU239" s="243"/>
      <c r="BIV239" s="243"/>
      <c r="BIW239" s="243"/>
      <c r="BIX239" s="243"/>
      <c r="BIY239" s="243"/>
      <c r="BIZ239" s="243"/>
      <c r="BJA239" s="243"/>
      <c r="BJB239" s="243"/>
      <c r="BJC239" s="243"/>
      <c r="BJD239" s="243"/>
      <c r="BJE239" s="243"/>
      <c r="BJF239" s="243"/>
      <c r="BJG239" s="243"/>
      <c r="BJH239" s="243"/>
      <c r="BJI239" s="243"/>
      <c r="BJJ239" s="243"/>
      <c r="BJK239" s="243"/>
      <c r="BJL239" s="243"/>
      <c r="BJM239" s="243"/>
      <c r="BJN239" s="243"/>
      <c r="BJO239" s="243"/>
      <c r="BJP239" s="243"/>
      <c r="BJQ239" s="243"/>
      <c r="BJR239" s="243"/>
      <c r="BJS239" s="243"/>
      <c r="BJT239" s="243"/>
      <c r="BJU239" s="243"/>
      <c r="BJV239" s="243"/>
      <c r="BJW239" s="243"/>
      <c r="BJX239" s="243"/>
      <c r="BJY239" s="243"/>
      <c r="BJZ239" s="243"/>
      <c r="BKA239" s="243"/>
      <c r="BKB239" s="243"/>
      <c r="BKC239" s="243"/>
      <c r="BKD239" s="243"/>
      <c r="BKE239" s="243"/>
      <c r="BKF239" s="243"/>
      <c r="BKG239" s="243"/>
      <c r="BKH239" s="243"/>
      <c r="BKI239" s="243"/>
      <c r="BKJ239" s="243"/>
      <c r="BKK239" s="243"/>
      <c r="BKL239" s="243"/>
      <c r="BKM239" s="243"/>
      <c r="BKN239" s="243"/>
      <c r="BKO239" s="243"/>
      <c r="BKP239" s="243"/>
      <c r="BKQ239" s="243"/>
      <c r="BKR239" s="243"/>
      <c r="BKS239" s="243"/>
      <c r="BKT239" s="243"/>
      <c r="BKU239" s="243"/>
      <c r="BKV239" s="243"/>
      <c r="BKW239" s="243"/>
      <c r="BKX239" s="243"/>
      <c r="BKY239" s="243"/>
      <c r="BKZ239" s="243"/>
      <c r="BLA239" s="243"/>
      <c r="BLB239" s="243"/>
      <c r="BLC239" s="243"/>
      <c r="BLD239" s="243"/>
      <c r="BLE239" s="243"/>
      <c r="BLF239" s="243"/>
      <c r="BLG239" s="243"/>
      <c r="BLH239" s="243"/>
      <c r="BLI239" s="243"/>
      <c r="BLJ239" s="243"/>
      <c r="BLK239" s="243"/>
      <c r="BLL239" s="243"/>
      <c r="BLM239" s="243"/>
      <c r="BLN239" s="243"/>
      <c r="BLO239" s="243"/>
      <c r="BLP239" s="243"/>
      <c r="BLQ239" s="243"/>
      <c r="BLR239" s="243"/>
      <c r="BLS239" s="243"/>
      <c r="BLT239" s="243"/>
      <c r="BLU239" s="243"/>
      <c r="BLV239" s="243"/>
      <c r="BLW239" s="243"/>
      <c r="BLX239" s="243"/>
      <c r="BLY239" s="243"/>
      <c r="BLZ239" s="243"/>
      <c r="BMA239" s="243"/>
      <c r="BMB239" s="243"/>
      <c r="BMC239" s="243"/>
      <c r="BMD239" s="243"/>
      <c r="BME239" s="243"/>
      <c r="BMF239" s="243"/>
      <c r="BMG239" s="243"/>
      <c r="BMH239" s="243"/>
      <c r="BMI239" s="243"/>
      <c r="BMJ239" s="243"/>
      <c r="BMK239" s="243"/>
      <c r="BML239" s="243"/>
      <c r="BMM239" s="243"/>
      <c r="BMN239" s="243"/>
      <c r="BMO239" s="243"/>
      <c r="BMP239" s="243"/>
      <c r="BMQ239" s="243"/>
      <c r="BMR239" s="243"/>
      <c r="BMS239" s="243"/>
      <c r="BMT239" s="243"/>
      <c r="BMU239" s="243"/>
      <c r="BMV239" s="243"/>
      <c r="BMW239" s="243"/>
      <c r="BMX239" s="243"/>
      <c r="BMY239" s="243"/>
      <c r="BMZ239" s="243"/>
      <c r="BNA239" s="243"/>
      <c r="BNB239" s="243"/>
      <c r="BNC239" s="243"/>
      <c r="BND239" s="243"/>
      <c r="BNE239" s="243"/>
      <c r="BNF239" s="243"/>
      <c r="BNG239" s="243"/>
      <c r="BNH239" s="243"/>
      <c r="BNI239" s="243"/>
      <c r="BNJ239" s="243"/>
      <c r="BNK239" s="243"/>
      <c r="BNL239" s="243"/>
      <c r="BNM239" s="243"/>
      <c r="BNN239" s="243"/>
      <c r="BNO239" s="243"/>
      <c r="BNP239" s="243"/>
      <c r="BNQ239" s="243"/>
      <c r="BNR239" s="243"/>
      <c r="BNS239" s="243"/>
      <c r="BNT239" s="243"/>
      <c r="BNU239" s="243"/>
      <c r="BNV239" s="243"/>
      <c r="BNW239" s="243"/>
      <c r="BNX239" s="243"/>
      <c r="BNY239" s="243"/>
      <c r="BNZ239" s="243"/>
      <c r="BOA239" s="243"/>
      <c r="BOB239" s="243"/>
      <c r="BOC239" s="243"/>
      <c r="BOD239" s="243"/>
      <c r="BOE239" s="243"/>
      <c r="BOF239" s="243"/>
      <c r="BOG239" s="243"/>
      <c r="BOH239" s="243"/>
      <c r="BOI239" s="243"/>
      <c r="BOJ239" s="243"/>
      <c r="BOK239" s="243"/>
      <c r="BOL239" s="243"/>
      <c r="BOM239" s="243"/>
      <c r="BON239" s="243"/>
      <c r="BOO239" s="243"/>
      <c r="BOP239" s="243"/>
      <c r="BOQ239" s="243"/>
      <c r="BOR239" s="243"/>
      <c r="BOS239" s="243"/>
      <c r="BOT239" s="243"/>
      <c r="BOU239" s="243"/>
      <c r="BOV239" s="243"/>
      <c r="BOW239" s="243"/>
      <c r="BOX239" s="243"/>
      <c r="BOY239" s="243"/>
      <c r="BOZ239" s="243"/>
      <c r="BPA239" s="243"/>
      <c r="BPB239" s="243"/>
      <c r="BPC239" s="243"/>
      <c r="BPD239" s="243"/>
      <c r="BPE239" s="243"/>
      <c r="BPF239" s="243"/>
      <c r="BPG239" s="243"/>
      <c r="BPH239" s="243"/>
      <c r="BPI239" s="243"/>
      <c r="BPJ239" s="243"/>
      <c r="BPK239" s="243"/>
      <c r="BPL239" s="243"/>
      <c r="BPM239" s="243"/>
      <c r="BPN239" s="243"/>
      <c r="BPO239" s="243"/>
      <c r="BPP239" s="243"/>
      <c r="BPQ239" s="243"/>
      <c r="BPR239" s="243"/>
      <c r="BPS239" s="243"/>
      <c r="BPT239" s="243"/>
      <c r="BPU239" s="243"/>
      <c r="BPV239" s="243"/>
      <c r="BPW239" s="243"/>
      <c r="BPX239" s="243"/>
      <c r="BPY239" s="243"/>
      <c r="BPZ239" s="243"/>
      <c r="BQA239" s="243"/>
      <c r="BQB239" s="243"/>
      <c r="BQC239" s="243"/>
      <c r="BQD239" s="243"/>
      <c r="BQE239" s="243"/>
      <c r="BQF239" s="243"/>
      <c r="BQG239" s="243"/>
      <c r="BQH239" s="243"/>
      <c r="BQI239" s="243"/>
      <c r="BQJ239" s="243"/>
      <c r="BQK239" s="243"/>
      <c r="BQL239" s="243"/>
      <c r="BQM239" s="243"/>
      <c r="BQN239" s="243"/>
      <c r="BQO239" s="243"/>
      <c r="BQP239" s="243"/>
      <c r="BQQ239" s="243"/>
      <c r="BQR239" s="243"/>
      <c r="BQS239" s="243"/>
      <c r="BQT239" s="243"/>
      <c r="BQU239" s="243"/>
      <c r="BQV239" s="243"/>
      <c r="BQW239" s="243"/>
      <c r="BQX239" s="243"/>
      <c r="BQY239" s="243"/>
      <c r="BQZ239" s="243"/>
      <c r="BRA239" s="243"/>
      <c r="BRB239" s="243"/>
      <c r="BRC239" s="243"/>
      <c r="BRD239" s="243"/>
      <c r="BRE239" s="243"/>
      <c r="BRF239" s="243"/>
      <c r="BRG239" s="243"/>
      <c r="BRH239" s="243"/>
      <c r="BRI239" s="243"/>
      <c r="BRJ239" s="243"/>
      <c r="BRK239" s="243"/>
      <c r="BRL239" s="243"/>
      <c r="BRM239" s="243"/>
      <c r="BRN239" s="243"/>
      <c r="BRO239" s="243"/>
      <c r="BRP239" s="243"/>
      <c r="BRQ239" s="243"/>
      <c r="BRR239" s="243"/>
      <c r="BRS239" s="243"/>
      <c r="BRT239" s="243"/>
      <c r="BRU239" s="243"/>
      <c r="BRV239" s="243"/>
      <c r="BRW239" s="243"/>
      <c r="BRX239" s="243"/>
      <c r="BRY239" s="243"/>
      <c r="BRZ239" s="243"/>
      <c r="BSA239" s="243"/>
      <c r="BSB239" s="243"/>
      <c r="BSC239" s="243"/>
      <c r="BSD239" s="243"/>
      <c r="BSE239" s="243"/>
      <c r="BSF239" s="243"/>
      <c r="BSG239" s="243"/>
      <c r="BSH239" s="243"/>
      <c r="BSI239" s="243"/>
      <c r="BSJ239" s="243"/>
      <c r="BSK239" s="243"/>
      <c r="BSL239" s="243"/>
      <c r="BSM239" s="243"/>
      <c r="BSN239" s="243"/>
      <c r="BSO239" s="243"/>
      <c r="BSP239" s="243"/>
      <c r="BSQ239" s="243"/>
      <c r="BSR239" s="243"/>
      <c r="BSS239" s="243"/>
      <c r="BST239" s="243"/>
      <c r="BSU239" s="243"/>
      <c r="BSV239" s="243"/>
      <c r="BSW239" s="243"/>
      <c r="BSX239" s="243"/>
      <c r="BSY239" s="243"/>
      <c r="BSZ239" s="243"/>
      <c r="BTA239" s="243"/>
      <c r="BTB239" s="243"/>
      <c r="BTC239" s="243"/>
      <c r="BTD239" s="243"/>
      <c r="BTE239" s="243"/>
      <c r="BTF239" s="243"/>
      <c r="BTG239" s="243"/>
      <c r="BTH239" s="243"/>
      <c r="BTI239" s="243"/>
      <c r="BTJ239" s="243"/>
      <c r="BTK239" s="243"/>
      <c r="BTL239" s="243"/>
      <c r="BTM239" s="243"/>
      <c r="BTN239" s="243"/>
      <c r="BTO239" s="243"/>
      <c r="BTP239" s="243"/>
      <c r="BTQ239" s="243"/>
      <c r="BTR239" s="243"/>
      <c r="BTS239" s="243"/>
      <c r="BTT239" s="243"/>
      <c r="BTU239" s="243"/>
      <c r="BTV239" s="243"/>
      <c r="BTW239" s="243"/>
      <c r="BTX239" s="243"/>
      <c r="BTY239" s="243"/>
      <c r="BTZ239" s="243"/>
      <c r="BUA239" s="243"/>
      <c r="BUB239" s="243"/>
      <c r="BUC239" s="243"/>
      <c r="BUD239" s="243"/>
      <c r="BUE239" s="243"/>
      <c r="BUF239" s="243"/>
      <c r="BUG239" s="243"/>
      <c r="BUH239" s="243"/>
      <c r="BUI239" s="243"/>
      <c r="BUJ239" s="243"/>
      <c r="BUK239" s="243"/>
      <c r="BUL239" s="243"/>
      <c r="BUM239" s="243"/>
      <c r="BUN239" s="243"/>
      <c r="BUO239" s="243"/>
      <c r="BUP239" s="243"/>
      <c r="BUQ239" s="243"/>
      <c r="BUR239" s="243"/>
      <c r="BUS239" s="243"/>
      <c r="BUT239" s="243"/>
      <c r="BUU239" s="243"/>
      <c r="BUV239" s="243"/>
      <c r="BUW239" s="243"/>
      <c r="BUX239" s="243"/>
      <c r="BUY239" s="243"/>
      <c r="BUZ239" s="243"/>
      <c r="BVA239" s="243"/>
      <c r="BVB239" s="243"/>
      <c r="BVC239" s="243"/>
      <c r="BVD239" s="243"/>
      <c r="BVE239" s="243"/>
      <c r="BVF239" s="243"/>
      <c r="BVG239" s="243"/>
      <c r="BVH239" s="243"/>
      <c r="BVI239" s="243"/>
      <c r="BVJ239" s="243"/>
      <c r="BVK239" s="243"/>
      <c r="BVL239" s="243"/>
      <c r="BVM239" s="243"/>
      <c r="BVN239" s="243"/>
      <c r="BVO239" s="243"/>
      <c r="BVP239" s="243"/>
      <c r="BVQ239" s="243"/>
      <c r="BVR239" s="243"/>
      <c r="BVS239" s="243"/>
      <c r="BVT239" s="243"/>
      <c r="BVU239" s="243"/>
      <c r="BVV239" s="243"/>
      <c r="BVW239" s="243"/>
      <c r="BVX239" s="243"/>
      <c r="BVY239" s="243"/>
      <c r="BVZ239" s="243"/>
      <c r="BWA239" s="243"/>
      <c r="BWB239" s="243"/>
      <c r="BWC239" s="243"/>
      <c r="BWD239" s="243"/>
      <c r="BWE239" s="243"/>
      <c r="BWF239" s="243"/>
      <c r="BWG239" s="243"/>
      <c r="BWH239" s="243"/>
      <c r="BWI239" s="243"/>
      <c r="BWJ239" s="243"/>
      <c r="BWK239" s="243"/>
      <c r="BWL239" s="243"/>
      <c r="BWM239" s="243"/>
      <c r="BWN239" s="243"/>
      <c r="BWO239" s="243"/>
      <c r="BWP239" s="243"/>
      <c r="BWQ239" s="243"/>
      <c r="BWR239" s="243"/>
      <c r="BWS239" s="243"/>
      <c r="BWT239" s="243"/>
      <c r="BWU239" s="243"/>
      <c r="BWV239" s="243"/>
      <c r="BWW239" s="243"/>
      <c r="BWX239" s="243"/>
      <c r="BWY239" s="243"/>
      <c r="BWZ239" s="243"/>
      <c r="BXA239" s="243"/>
      <c r="BXB239" s="243"/>
      <c r="BXC239" s="243"/>
      <c r="BXD239" s="243"/>
      <c r="BXE239" s="243"/>
      <c r="BXF239" s="243"/>
      <c r="BXG239" s="243"/>
      <c r="BXH239" s="243"/>
      <c r="BXI239" s="243"/>
      <c r="BXJ239" s="243"/>
      <c r="BXK239" s="243"/>
      <c r="BXL239" s="243"/>
      <c r="BXM239" s="243"/>
      <c r="BXN239" s="243"/>
      <c r="BXO239" s="243"/>
      <c r="BXP239" s="243"/>
      <c r="BXQ239" s="243"/>
      <c r="BXR239" s="243"/>
      <c r="BXS239" s="243"/>
      <c r="BXT239" s="243"/>
      <c r="BXU239" s="243"/>
      <c r="BXV239" s="243"/>
      <c r="BXW239" s="243"/>
      <c r="BXX239" s="243"/>
      <c r="BXY239" s="243"/>
      <c r="BXZ239" s="243"/>
      <c r="BYA239" s="243"/>
      <c r="BYB239" s="243"/>
      <c r="BYC239" s="243"/>
      <c r="BYD239" s="243"/>
      <c r="BYE239" s="243"/>
      <c r="BYF239" s="243"/>
      <c r="BYG239" s="243"/>
      <c r="BYH239" s="243"/>
      <c r="BYI239" s="243"/>
      <c r="BYJ239" s="243"/>
      <c r="BYK239" s="243"/>
      <c r="BYL239" s="243"/>
      <c r="BYM239" s="243"/>
      <c r="BYN239" s="243"/>
      <c r="BYO239" s="243"/>
      <c r="BYP239" s="243"/>
      <c r="BYQ239" s="243"/>
      <c r="BYR239" s="243"/>
      <c r="BYS239" s="243"/>
      <c r="BYT239" s="243"/>
      <c r="BYU239" s="243"/>
      <c r="BYV239" s="243"/>
      <c r="BYW239" s="243"/>
      <c r="BYX239" s="243"/>
      <c r="BYY239" s="243"/>
      <c r="BYZ239" s="243"/>
      <c r="BZA239" s="243"/>
      <c r="BZB239" s="243"/>
      <c r="BZC239" s="243"/>
      <c r="BZD239" s="243"/>
      <c r="BZE239" s="243"/>
      <c r="BZF239" s="243"/>
      <c r="BZG239" s="243"/>
      <c r="BZH239" s="243"/>
      <c r="BZI239" s="243"/>
      <c r="BZJ239" s="243"/>
      <c r="BZK239" s="243"/>
      <c r="BZL239" s="243"/>
      <c r="BZM239" s="243"/>
      <c r="BZN239" s="243"/>
      <c r="BZO239" s="243"/>
      <c r="BZP239" s="243"/>
      <c r="BZQ239" s="243"/>
      <c r="BZR239" s="243"/>
      <c r="BZS239" s="243"/>
      <c r="BZT239" s="243"/>
      <c r="BZU239" s="243"/>
      <c r="BZV239" s="243"/>
      <c r="BZW239" s="243"/>
      <c r="BZX239" s="243"/>
      <c r="BZY239" s="243"/>
      <c r="BZZ239" s="243"/>
      <c r="CAA239" s="243"/>
      <c r="CAB239" s="243"/>
      <c r="CAC239" s="243"/>
      <c r="CAD239" s="243"/>
      <c r="CAE239" s="243"/>
      <c r="CAF239" s="243"/>
      <c r="CAG239" s="243"/>
      <c r="CAH239" s="243"/>
      <c r="CAI239" s="243"/>
      <c r="CAJ239" s="243"/>
      <c r="CAK239" s="243"/>
      <c r="CAL239" s="243"/>
      <c r="CAM239" s="243"/>
      <c r="CAN239" s="243"/>
      <c r="CAO239" s="243"/>
      <c r="CAP239" s="243"/>
      <c r="CAQ239" s="243"/>
      <c r="CAR239" s="243"/>
      <c r="CAS239" s="243"/>
      <c r="CAT239" s="243"/>
      <c r="CAU239" s="243"/>
      <c r="CAV239" s="243"/>
      <c r="CAW239" s="243"/>
      <c r="CAX239" s="243"/>
      <c r="CAY239" s="243"/>
      <c r="CAZ239" s="243"/>
      <c r="CBA239" s="243"/>
      <c r="CBB239" s="243"/>
      <c r="CBC239" s="243"/>
      <c r="CBD239" s="243"/>
      <c r="CBE239" s="243"/>
      <c r="CBF239" s="243"/>
      <c r="CBG239" s="243"/>
      <c r="CBH239" s="243"/>
      <c r="CBI239" s="243"/>
      <c r="CBJ239" s="243"/>
      <c r="CBK239" s="243"/>
      <c r="CBL239" s="243"/>
      <c r="CBM239" s="243"/>
      <c r="CBN239" s="243"/>
      <c r="CBO239" s="243"/>
      <c r="CBP239" s="243"/>
      <c r="CBQ239" s="243"/>
      <c r="CBR239" s="243"/>
      <c r="CBS239" s="243"/>
      <c r="CBT239" s="243"/>
      <c r="CBU239" s="243"/>
      <c r="CBV239" s="243"/>
      <c r="CBW239" s="243"/>
      <c r="CBX239" s="243"/>
      <c r="CBY239" s="243"/>
      <c r="CBZ239" s="243"/>
      <c r="CCA239" s="243"/>
      <c r="CCB239" s="243"/>
      <c r="CCC239" s="243"/>
      <c r="CCD239" s="243"/>
      <c r="CCE239" s="243"/>
      <c r="CCF239" s="243"/>
      <c r="CCG239" s="243"/>
      <c r="CCH239" s="243"/>
      <c r="CCI239" s="243"/>
      <c r="CCJ239" s="243"/>
      <c r="CCK239" s="243"/>
      <c r="CCL239" s="243"/>
      <c r="CCM239" s="243"/>
      <c r="CCN239" s="243"/>
      <c r="CCO239" s="243"/>
      <c r="CCP239" s="243"/>
      <c r="CCQ239" s="243"/>
      <c r="CCR239" s="243"/>
      <c r="CCS239" s="243"/>
      <c r="CCT239" s="243"/>
      <c r="CCU239" s="243"/>
      <c r="CCV239" s="243"/>
      <c r="CCW239" s="243"/>
      <c r="CCX239" s="243"/>
      <c r="CCY239" s="243"/>
      <c r="CCZ239" s="243"/>
      <c r="CDA239" s="243"/>
      <c r="CDB239" s="243"/>
      <c r="CDC239" s="243"/>
      <c r="CDD239" s="243"/>
      <c r="CDE239" s="243"/>
      <c r="CDF239" s="243"/>
      <c r="CDG239" s="243"/>
      <c r="CDH239" s="243"/>
      <c r="CDI239" s="243"/>
      <c r="CDJ239" s="243"/>
      <c r="CDK239" s="243"/>
      <c r="CDL239" s="243"/>
      <c r="CDM239" s="243"/>
      <c r="CDN239" s="243"/>
      <c r="CDO239" s="243"/>
      <c r="CDP239" s="243"/>
      <c r="CDQ239" s="243"/>
      <c r="CDR239" s="243"/>
      <c r="CDS239" s="243"/>
      <c r="CDT239" s="243"/>
      <c r="CDU239" s="243"/>
      <c r="CDV239" s="243"/>
      <c r="CDW239" s="243"/>
      <c r="CDX239" s="243"/>
      <c r="CDY239" s="243"/>
      <c r="CDZ239" s="243"/>
      <c r="CEA239" s="243"/>
      <c r="CEB239" s="243"/>
      <c r="CEC239" s="243"/>
      <c r="CED239" s="243"/>
      <c r="CEE239" s="243"/>
      <c r="CEF239" s="243"/>
      <c r="CEG239" s="243"/>
      <c r="CEH239" s="243"/>
      <c r="CEI239" s="243"/>
      <c r="CEJ239" s="243"/>
      <c r="CEK239" s="243"/>
      <c r="CEL239" s="243"/>
      <c r="CEM239" s="243"/>
      <c r="CEN239" s="243"/>
      <c r="CEO239" s="243"/>
      <c r="CEP239" s="243"/>
      <c r="CEQ239" s="243"/>
      <c r="CER239" s="243"/>
      <c r="CES239" s="243"/>
      <c r="CET239" s="243"/>
      <c r="CEU239" s="243"/>
      <c r="CEV239" s="243"/>
      <c r="CEW239" s="243"/>
      <c r="CEX239" s="243"/>
      <c r="CEY239" s="243"/>
      <c r="CEZ239" s="243"/>
      <c r="CFA239" s="243"/>
      <c r="CFB239" s="243"/>
      <c r="CFC239" s="243"/>
      <c r="CFD239" s="243"/>
      <c r="CFE239" s="243"/>
      <c r="CFF239" s="243"/>
      <c r="CFG239" s="243"/>
      <c r="CFH239" s="243"/>
      <c r="CFI239" s="243"/>
      <c r="CFJ239" s="243"/>
      <c r="CFK239" s="243"/>
      <c r="CFL239" s="243"/>
      <c r="CFM239" s="243"/>
      <c r="CFN239" s="243"/>
      <c r="CFO239" s="243"/>
      <c r="CFP239" s="243"/>
      <c r="CFQ239" s="243"/>
      <c r="CFR239" s="243"/>
      <c r="CFS239" s="243"/>
      <c r="CFT239" s="243"/>
      <c r="CFU239" s="243"/>
      <c r="CFV239" s="243"/>
      <c r="CFW239" s="243"/>
      <c r="CFX239" s="243"/>
      <c r="CFY239" s="243"/>
      <c r="CFZ239" s="243"/>
      <c r="CGA239" s="243"/>
      <c r="CGB239" s="243"/>
      <c r="CGC239" s="243"/>
      <c r="CGD239" s="243"/>
      <c r="CGE239" s="243"/>
      <c r="CGF239" s="243"/>
      <c r="CGG239" s="243"/>
      <c r="CGH239" s="243"/>
      <c r="CGI239" s="243"/>
      <c r="CGJ239" s="243"/>
      <c r="CGK239" s="243"/>
      <c r="CGL239" s="243"/>
      <c r="CGM239" s="243"/>
      <c r="CGN239" s="243"/>
      <c r="CGO239" s="243"/>
      <c r="CGP239" s="243"/>
      <c r="CGQ239" s="243"/>
      <c r="CGR239" s="243"/>
      <c r="CGS239" s="243"/>
      <c r="CGT239" s="243"/>
      <c r="CGU239" s="243"/>
      <c r="CGV239" s="243"/>
      <c r="CGW239" s="243"/>
      <c r="CGX239" s="243"/>
      <c r="CGY239" s="243"/>
      <c r="CGZ239" s="243"/>
      <c r="CHA239" s="243"/>
      <c r="CHB239" s="243"/>
      <c r="CHC239" s="243"/>
      <c r="CHD239" s="243"/>
      <c r="CHE239" s="243"/>
      <c r="CHF239" s="243"/>
      <c r="CHG239" s="243"/>
      <c r="CHH239" s="243"/>
      <c r="CHI239" s="243"/>
      <c r="CHJ239" s="243"/>
      <c r="CHK239" s="243"/>
      <c r="CHL239" s="243"/>
      <c r="CHM239" s="243"/>
      <c r="CHN239" s="243"/>
      <c r="CHO239" s="243"/>
      <c r="CHP239" s="243"/>
      <c r="CHQ239" s="243"/>
      <c r="CHR239" s="243"/>
      <c r="CHS239" s="243"/>
      <c r="CHT239" s="243"/>
      <c r="CHU239" s="243"/>
      <c r="CHV239" s="243"/>
      <c r="CHW239" s="243"/>
      <c r="CHX239" s="243"/>
      <c r="CHY239" s="243"/>
      <c r="CHZ239" s="243"/>
      <c r="CIA239" s="243"/>
      <c r="CIB239" s="243"/>
      <c r="CIC239" s="243"/>
      <c r="CID239" s="243"/>
      <c r="CIE239" s="243"/>
      <c r="CIF239" s="243"/>
      <c r="CIG239" s="243"/>
      <c r="CIH239" s="243"/>
      <c r="CII239" s="243"/>
      <c r="CIJ239" s="243"/>
      <c r="CIK239" s="243"/>
      <c r="CIL239" s="243"/>
      <c r="CIM239" s="243"/>
      <c r="CIN239" s="243"/>
      <c r="CIO239" s="243"/>
      <c r="CIP239" s="243"/>
      <c r="CIQ239" s="243"/>
      <c r="CIR239" s="243"/>
      <c r="CIS239" s="243"/>
      <c r="CIT239" s="243"/>
      <c r="CIU239" s="243"/>
      <c r="CIV239" s="243"/>
      <c r="CIW239" s="243"/>
      <c r="CIX239" s="243"/>
      <c r="CIY239" s="243"/>
      <c r="CIZ239" s="243"/>
      <c r="CJA239" s="243"/>
      <c r="CJB239" s="243"/>
      <c r="CJC239" s="243"/>
      <c r="CJD239" s="243"/>
      <c r="CJE239" s="243"/>
      <c r="CJF239" s="243"/>
      <c r="CJG239" s="243"/>
      <c r="CJH239" s="243"/>
      <c r="CJI239" s="243"/>
      <c r="CJJ239" s="243"/>
      <c r="CJK239" s="243"/>
      <c r="CJL239" s="243"/>
      <c r="CJM239" s="243"/>
      <c r="CJN239" s="243"/>
      <c r="CJO239" s="243"/>
      <c r="CJP239" s="243"/>
      <c r="CJQ239" s="243"/>
      <c r="CJR239" s="243"/>
      <c r="CJS239" s="243"/>
      <c r="CJT239" s="243"/>
      <c r="CJU239" s="243"/>
      <c r="CJV239" s="243"/>
      <c r="CJW239" s="243"/>
      <c r="CJX239" s="243"/>
      <c r="CJY239" s="243"/>
      <c r="CJZ239" s="243"/>
      <c r="CKA239" s="243"/>
      <c r="CKB239" s="243"/>
      <c r="CKC239" s="243"/>
      <c r="CKD239" s="243"/>
      <c r="CKE239" s="243"/>
      <c r="CKF239" s="243"/>
      <c r="CKG239" s="243"/>
      <c r="CKH239" s="243"/>
      <c r="CKI239" s="243"/>
      <c r="CKJ239" s="243"/>
      <c r="CKK239" s="243"/>
      <c r="CKL239" s="243"/>
      <c r="CKM239" s="243"/>
      <c r="CKN239" s="243"/>
      <c r="CKO239" s="243"/>
      <c r="CKP239" s="243"/>
      <c r="CKQ239" s="243"/>
      <c r="CKR239" s="243"/>
      <c r="CKS239" s="243"/>
      <c r="CKT239" s="243"/>
      <c r="CKU239" s="243"/>
      <c r="CKV239" s="243"/>
      <c r="CKW239" s="243"/>
      <c r="CKX239" s="243"/>
      <c r="CKY239" s="243"/>
      <c r="CKZ239" s="243"/>
      <c r="CLA239" s="243"/>
      <c r="CLB239" s="243"/>
      <c r="CLC239" s="243"/>
      <c r="CLD239" s="243"/>
      <c r="CLE239" s="243"/>
      <c r="CLF239" s="243"/>
      <c r="CLG239" s="243"/>
      <c r="CLH239" s="243"/>
      <c r="CLI239" s="243"/>
      <c r="CLJ239" s="243"/>
      <c r="CLK239" s="243"/>
      <c r="CLL239" s="243"/>
      <c r="CLM239" s="243"/>
      <c r="CLN239" s="243"/>
      <c r="CLO239" s="243"/>
      <c r="CLP239" s="243"/>
      <c r="CLQ239" s="243"/>
      <c r="CLR239" s="243"/>
      <c r="CLS239" s="243"/>
      <c r="CLT239" s="243"/>
      <c r="CLU239" s="243"/>
      <c r="CLV239" s="243"/>
      <c r="CLW239" s="243"/>
      <c r="CLX239" s="243"/>
      <c r="CLY239" s="243"/>
      <c r="CLZ239" s="243"/>
      <c r="CMA239" s="243"/>
      <c r="CMB239" s="243"/>
      <c r="CMC239" s="243"/>
      <c r="CMD239" s="243"/>
      <c r="CME239" s="243"/>
      <c r="CMF239" s="243"/>
      <c r="CMG239" s="243"/>
      <c r="CMH239" s="243"/>
      <c r="CMI239" s="243"/>
      <c r="CMJ239" s="243"/>
      <c r="CMK239" s="243"/>
      <c r="CML239" s="243"/>
      <c r="CMM239" s="243"/>
      <c r="CMN239" s="243"/>
      <c r="CMO239" s="243"/>
      <c r="CMP239" s="243"/>
      <c r="CMQ239" s="243"/>
      <c r="CMR239" s="243"/>
      <c r="CMS239" s="243"/>
      <c r="CMT239" s="243"/>
      <c r="CMU239" s="243"/>
      <c r="CMV239" s="243"/>
      <c r="CMW239" s="243"/>
      <c r="CMX239" s="243"/>
      <c r="CMY239" s="243"/>
      <c r="CMZ239" s="243"/>
      <c r="CNA239" s="243"/>
      <c r="CNB239" s="243"/>
      <c r="CNC239" s="243"/>
      <c r="CND239" s="243"/>
      <c r="CNE239" s="243"/>
      <c r="CNF239" s="243"/>
      <c r="CNG239" s="243"/>
      <c r="CNH239" s="243"/>
      <c r="CNI239" s="243"/>
      <c r="CNJ239" s="243"/>
      <c r="CNK239" s="243"/>
      <c r="CNL239" s="243"/>
      <c r="CNM239" s="243"/>
      <c r="CNN239" s="243"/>
      <c r="CNO239" s="243"/>
      <c r="CNP239" s="243"/>
      <c r="CNQ239" s="243"/>
      <c r="CNR239" s="243"/>
      <c r="CNS239" s="243"/>
      <c r="CNT239" s="243"/>
      <c r="CNU239" s="243"/>
      <c r="CNV239" s="243"/>
      <c r="CNW239" s="243"/>
      <c r="CNX239" s="243"/>
      <c r="CNY239" s="243"/>
      <c r="CNZ239" s="243"/>
      <c r="COA239" s="243"/>
      <c r="COB239" s="243"/>
      <c r="COC239" s="243"/>
      <c r="COD239" s="243"/>
      <c r="COE239" s="243"/>
      <c r="COF239" s="243"/>
      <c r="COG239" s="243"/>
      <c r="COH239" s="243"/>
      <c r="COI239" s="243"/>
      <c r="COJ239" s="243"/>
      <c r="COK239" s="243"/>
      <c r="COL239" s="243"/>
      <c r="COM239" s="243"/>
      <c r="CON239" s="243"/>
      <c r="COO239" s="243"/>
      <c r="COP239" s="243"/>
      <c r="COQ239" s="243"/>
      <c r="COR239" s="243"/>
      <c r="COS239" s="243"/>
      <c r="COT239" s="243"/>
      <c r="COU239" s="243"/>
      <c r="COV239" s="243"/>
      <c r="COW239" s="243"/>
      <c r="COX239" s="243"/>
      <c r="COY239" s="243"/>
      <c r="COZ239" s="243"/>
      <c r="CPA239" s="243"/>
      <c r="CPB239" s="243"/>
      <c r="CPC239" s="243"/>
      <c r="CPD239" s="243"/>
      <c r="CPE239" s="243"/>
      <c r="CPF239" s="243"/>
      <c r="CPG239" s="243"/>
      <c r="CPH239" s="243"/>
      <c r="CPI239" s="243"/>
      <c r="CPJ239" s="243"/>
      <c r="CPK239" s="243"/>
      <c r="CPL239" s="243"/>
      <c r="CPM239" s="243"/>
      <c r="CPN239" s="243"/>
      <c r="CPO239" s="243"/>
      <c r="CPP239" s="243"/>
      <c r="CPQ239" s="243"/>
      <c r="CPR239" s="243"/>
      <c r="CPS239" s="243"/>
      <c r="CPT239" s="243"/>
      <c r="CPU239" s="243"/>
      <c r="CPV239" s="243"/>
      <c r="CPW239" s="243"/>
      <c r="CPX239" s="243"/>
      <c r="CPY239" s="243"/>
      <c r="CPZ239" s="243"/>
      <c r="CQA239" s="243"/>
      <c r="CQB239" s="243"/>
      <c r="CQC239" s="243"/>
      <c r="CQD239" s="243"/>
      <c r="CQE239" s="243"/>
      <c r="CQF239" s="243"/>
      <c r="CQG239" s="243"/>
      <c r="CQH239" s="243"/>
      <c r="CQI239" s="243"/>
      <c r="CQJ239" s="243"/>
      <c r="CQK239" s="243"/>
      <c r="CQL239" s="243"/>
      <c r="CQM239" s="243"/>
      <c r="CQN239" s="243"/>
      <c r="CQO239" s="243"/>
      <c r="CQP239" s="243"/>
      <c r="CQQ239" s="243"/>
      <c r="CQR239" s="243"/>
      <c r="CQS239" s="243"/>
      <c r="CQT239" s="243"/>
      <c r="CQU239" s="243"/>
      <c r="CQV239" s="243"/>
      <c r="CQW239" s="243"/>
      <c r="CQX239" s="243"/>
      <c r="CQY239" s="243"/>
      <c r="CQZ239" s="243"/>
      <c r="CRA239" s="243"/>
      <c r="CRB239" s="243"/>
      <c r="CRC239" s="243"/>
      <c r="CRD239" s="243"/>
      <c r="CRE239" s="243"/>
      <c r="CRF239" s="243"/>
      <c r="CRG239" s="243"/>
      <c r="CRH239" s="243"/>
      <c r="CRI239" s="243"/>
      <c r="CRJ239" s="243"/>
      <c r="CRK239" s="243"/>
      <c r="CRL239" s="243"/>
      <c r="CRM239" s="243"/>
      <c r="CRN239" s="243"/>
      <c r="CRO239" s="243"/>
      <c r="CRP239" s="243"/>
      <c r="CRQ239" s="243"/>
      <c r="CRR239" s="243"/>
      <c r="CRS239" s="243"/>
      <c r="CRT239" s="243"/>
      <c r="CRU239" s="243"/>
      <c r="CRV239" s="243"/>
      <c r="CRW239" s="243"/>
      <c r="CRX239" s="243"/>
      <c r="CRY239" s="243"/>
      <c r="CRZ239" s="243"/>
      <c r="CSA239" s="243"/>
      <c r="CSB239" s="243"/>
      <c r="CSC239" s="243"/>
      <c r="CSD239" s="243"/>
      <c r="CSE239" s="243"/>
      <c r="CSF239" s="243"/>
      <c r="CSG239" s="243"/>
      <c r="CSH239" s="243"/>
      <c r="CSI239" s="243"/>
      <c r="CSJ239" s="243"/>
      <c r="CSK239" s="243"/>
      <c r="CSL239" s="243"/>
      <c r="CSM239" s="243"/>
      <c r="CSN239" s="243"/>
      <c r="CSO239" s="243"/>
      <c r="CSP239" s="243"/>
      <c r="CSQ239" s="243"/>
      <c r="CSR239" s="243"/>
      <c r="CSS239" s="243"/>
      <c r="CST239" s="243"/>
      <c r="CSU239" s="243"/>
      <c r="CSV239" s="243"/>
      <c r="CSW239" s="243"/>
      <c r="CSX239" s="243"/>
      <c r="CSY239" s="243"/>
      <c r="CSZ239" s="243"/>
      <c r="CTA239" s="243"/>
      <c r="CTB239" s="243"/>
      <c r="CTC239" s="243"/>
      <c r="CTD239" s="243"/>
      <c r="CTE239" s="243"/>
      <c r="CTF239" s="243"/>
      <c r="CTG239" s="243"/>
      <c r="CTH239" s="243"/>
      <c r="CTI239" s="243"/>
      <c r="CTJ239" s="243"/>
      <c r="CTK239" s="243"/>
      <c r="CTL239" s="243"/>
      <c r="CTM239" s="243"/>
      <c r="CTN239" s="243"/>
      <c r="CTO239" s="243"/>
      <c r="CTP239" s="243"/>
      <c r="CTQ239" s="243"/>
      <c r="CTR239" s="243"/>
      <c r="CTS239" s="243"/>
      <c r="CTT239" s="243"/>
      <c r="CTU239" s="243"/>
      <c r="CTV239" s="243"/>
      <c r="CTW239" s="243"/>
      <c r="CTX239" s="243"/>
      <c r="CTY239" s="243"/>
      <c r="CTZ239" s="243"/>
      <c r="CUA239" s="243"/>
      <c r="CUB239" s="243"/>
      <c r="CUC239" s="243"/>
      <c r="CUD239" s="243"/>
      <c r="CUE239" s="243"/>
      <c r="CUF239" s="243"/>
      <c r="CUG239" s="243"/>
      <c r="CUH239" s="243"/>
      <c r="CUI239" s="243"/>
      <c r="CUJ239" s="243"/>
      <c r="CUK239" s="243"/>
      <c r="CUL239" s="243"/>
      <c r="CUM239" s="243"/>
      <c r="CUN239" s="243"/>
      <c r="CUO239" s="243"/>
      <c r="CUP239" s="243"/>
      <c r="CUQ239" s="243"/>
      <c r="CUR239" s="243"/>
      <c r="CUS239" s="243"/>
      <c r="CUT239" s="243"/>
      <c r="CUU239" s="243"/>
      <c r="CUV239" s="243"/>
      <c r="CUW239" s="243"/>
      <c r="CUX239" s="243"/>
      <c r="CUY239" s="243"/>
      <c r="CUZ239" s="243"/>
      <c r="CVA239" s="243"/>
      <c r="CVB239" s="243"/>
      <c r="CVC239" s="243"/>
      <c r="CVD239" s="243"/>
      <c r="CVE239" s="243"/>
      <c r="CVF239" s="243"/>
      <c r="CVG239" s="243"/>
      <c r="CVH239" s="243"/>
      <c r="CVI239" s="243"/>
      <c r="CVJ239" s="243"/>
      <c r="CVK239" s="243"/>
      <c r="CVL239" s="243"/>
      <c r="CVM239" s="243"/>
      <c r="CVN239" s="243"/>
      <c r="CVO239" s="243"/>
      <c r="CVP239" s="243"/>
      <c r="CVQ239" s="243"/>
      <c r="CVR239" s="243"/>
      <c r="CVS239" s="243"/>
      <c r="CVT239" s="243"/>
      <c r="CVU239" s="243"/>
      <c r="CVV239" s="243"/>
      <c r="CVW239" s="243"/>
      <c r="CVX239" s="243"/>
      <c r="CVY239" s="243"/>
      <c r="CVZ239" s="243"/>
      <c r="CWA239" s="243"/>
      <c r="CWB239" s="243"/>
      <c r="CWC239" s="243"/>
      <c r="CWD239" s="243"/>
      <c r="CWE239" s="243"/>
      <c r="CWF239" s="243"/>
      <c r="CWG239" s="243"/>
      <c r="CWH239" s="243"/>
      <c r="CWI239" s="243"/>
      <c r="CWJ239" s="243"/>
      <c r="CWK239" s="243"/>
      <c r="CWL239" s="243"/>
      <c r="CWM239" s="243"/>
      <c r="CWN239" s="243"/>
      <c r="CWO239" s="243"/>
      <c r="CWP239" s="243"/>
      <c r="CWQ239" s="243"/>
      <c r="CWR239" s="243"/>
      <c r="CWS239" s="243"/>
      <c r="CWT239" s="243"/>
      <c r="CWU239" s="243"/>
      <c r="CWV239" s="243"/>
      <c r="CWW239" s="243"/>
      <c r="CWX239" s="243"/>
      <c r="CWY239" s="243"/>
      <c r="CWZ239" s="243"/>
      <c r="CXA239" s="243"/>
      <c r="CXB239" s="243"/>
      <c r="CXC239" s="243"/>
      <c r="CXD239" s="243"/>
      <c r="CXE239" s="243"/>
      <c r="CXF239" s="243"/>
      <c r="CXG239" s="243"/>
      <c r="CXH239" s="243"/>
      <c r="CXI239" s="243"/>
      <c r="CXJ239" s="243"/>
      <c r="CXK239" s="243"/>
      <c r="CXL239" s="243"/>
      <c r="CXM239" s="243"/>
      <c r="CXN239" s="243"/>
      <c r="CXO239" s="243"/>
      <c r="CXP239" s="243"/>
      <c r="CXQ239" s="243"/>
      <c r="CXR239" s="243"/>
      <c r="CXS239" s="243"/>
      <c r="CXT239" s="243"/>
      <c r="CXU239" s="243"/>
      <c r="CXV239" s="243"/>
      <c r="CXW239" s="243"/>
      <c r="CXX239" s="243"/>
      <c r="CXY239" s="243"/>
      <c r="CXZ239" s="243"/>
      <c r="CYA239" s="243"/>
      <c r="CYB239" s="243"/>
      <c r="CYC239" s="243"/>
      <c r="CYD239" s="243"/>
      <c r="CYE239" s="243"/>
      <c r="CYF239" s="243"/>
      <c r="CYG239" s="243"/>
      <c r="CYH239" s="243"/>
      <c r="CYI239" s="243"/>
      <c r="CYJ239" s="243"/>
      <c r="CYK239" s="243"/>
      <c r="CYL239" s="243"/>
      <c r="CYM239" s="243"/>
      <c r="CYN239" s="243"/>
      <c r="CYO239" s="243"/>
      <c r="CYP239" s="243"/>
      <c r="CYQ239" s="243"/>
      <c r="CYR239" s="243"/>
      <c r="CYS239" s="243"/>
      <c r="CYT239" s="243"/>
      <c r="CYU239" s="243"/>
      <c r="CYV239" s="243"/>
      <c r="CYW239" s="243"/>
      <c r="CYX239" s="243"/>
      <c r="CYY239" s="243"/>
      <c r="CYZ239" s="243"/>
      <c r="CZA239" s="243"/>
      <c r="CZB239" s="243"/>
      <c r="CZC239" s="243"/>
      <c r="CZD239" s="243"/>
      <c r="CZE239" s="243"/>
      <c r="CZF239" s="243"/>
      <c r="CZG239" s="243"/>
      <c r="CZH239" s="243"/>
      <c r="CZI239" s="243"/>
      <c r="CZJ239" s="243"/>
      <c r="CZK239" s="243"/>
      <c r="CZL239" s="243"/>
      <c r="CZM239" s="243"/>
      <c r="CZN239" s="243"/>
      <c r="CZO239" s="243"/>
      <c r="CZP239" s="243"/>
      <c r="CZQ239" s="243"/>
      <c r="CZR239" s="243"/>
      <c r="CZS239" s="243"/>
      <c r="CZT239" s="243"/>
      <c r="CZU239" s="243"/>
      <c r="CZV239" s="243"/>
      <c r="CZW239" s="243"/>
      <c r="CZX239" s="243"/>
      <c r="CZY239" s="243"/>
      <c r="CZZ239" s="243"/>
      <c r="DAA239" s="243"/>
      <c r="DAB239" s="243"/>
      <c r="DAC239" s="243"/>
      <c r="DAD239" s="243"/>
      <c r="DAE239" s="243"/>
      <c r="DAF239" s="243"/>
      <c r="DAG239" s="243"/>
      <c r="DAH239" s="243"/>
      <c r="DAI239" s="243"/>
      <c r="DAJ239" s="243"/>
      <c r="DAK239" s="243"/>
      <c r="DAL239" s="243"/>
      <c r="DAM239" s="243"/>
      <c r="DAN239" s="243"/>
      <c r="DAO239" s="243"/>
      <c r="DAP239" s="243"/>
      <c r="DAQ239" s="243"/>
      <c r="DAR239" s="243"/>
      <c r="DAS239" s="243"/>
      <c r="DAT239" s="243"/>
      <c r="DAU239" s="243"/>
      <c r="DAV239" s="243"/>
      <c r="DAW239" s="243"/>
      <c r="DAX239" s="243"/>
      <c r="DAY239" s="243"/>
      <c r="DAZ239" s="243"/>
      <c r="DBA239" s="243"/>
      <c r="DBB239" s="243"/>
      <c r="DBC239" s="243"/>
      <c r="DBD239" s="243"/>
      <c r="DBE239" s="243"/>
      <c r="DBF239" s="243"/>
      <c r="DBG239" s="243"/>
      <c r="DBH239" s="243"/>
      <c r="DBI239" s="243"/>
      <c r="DBJ239" s="243"/>
      <c r="DBK239" s="243"/>
      <c r="DBL239" s="243"/>
      <c r="DBM239" s="243"/>
      <c r="DBN239" s="243"/>
      <c r="DBO239" s="243"/>
      <c r="DBP239" s="243"/>
      <c r="DBQ239" s="243"/>
      <c r="DBR239" s="243"/>
      <c r="DBS239" s="243"/>
      <c r="DBT239" s="243"/>
      <c r="DBU239" s="243"/>
      <c r="DBV239" s="243"/>
      <c r="DBW239" s="243"/>
      <c r="DBX239" s="243"/>
      <c r="DBY239" s="243"/>
      <c r="DBZ239" s="243"/>
      <c r="DCA239" s="243"/>
      <c r="DCB239" s="243"/>
      <c r="DCC239" s="243"/>
      <c r="DCD239" s="243"/>
      <c r="DCE239" s="243"/>
      <c r="DCF239" s="243"/>
      <c r="DCG239" s="243"/>
      <c r="DCH239" s="243"/>
      <c r="DCI239" s="243"/>
      <c r="DCJ239" s="243"/>
      <c r="DCK239" s="243"/>
      <c r="DCL239" s="243"/>
      <c r="DCM239" s="243"/>
      <c r="DCN239" s="243"/>
      <c r="DCO239" s="243"/>
      <c r="DCP239" s="243"/>
      <c r="DCQ239" s="243"/>
      <c r="DCR239" s="243"/>
      <c r="DCS239" s="243"/>
      <c r="DCT239" s="243"/>
      <c r="DCU239" s="243"/>
      <c r="DCV239" s="243"/>
      <c r="DCW239" s="243"/>
      <c r="DCX239" s="243"/>
      <c r="DCY239" s="243"/>
      <c r="DCZ239" s="243"/>
      <c r="DDA239" s="243"/>
      <c r="DDB239" s="243"/>
      <c r="DDC239" s="243"/>
      <c r="DDD239" s="243"/>
      <c r="DDE239" s="243"/>
      <c r="DDF239" s="243"/>
      <c r="DDG239" s="243"/>
      <c r="DDH239" s="243"/>
      <c r="DDI239" s="243"/>
      <c r="DDJ239" s="243"/>
      <c r="DDK239" s="243"/>
      <c r="DDL239" s="243"/>
      <c r="DDM239" s="243"/>
      <c r="DDN239" s="243"/>
      <c r="DDO239" s="243"/>
      <c r="DDP239" s="243"/>
      <c r="DDQ239" s="243"/>
      <c r="DDR239" s="243"/>
      <c r="DDS239" s="243"/>
      <c r="DDT239" s="243"/>
      <c r="DDU239" s="243"/>
      <c r="DDV239" s="243"/>
      <c r="DDW239" s="243"/>
      <c r="DDX239" s="243"/>
      <c r="DDY239" s="243"/>
      <c r="DDZ239" s="243"/>
      <c r="DEA239" s="243"/>
      <c r="DEB239" s="243"/>
      <c r="DEC239" s="243"/>
      <c r="DED239" s="243"/>
      <c r="DEE239" s="243"/>
      <c r="DEF239" s="243"/>
      <c r="DEG239" s="243"/>
      <c r="DEH239" s="243"/>
      <c r="DEI239" s="243"/>
      <c r="DEJ239" s="243"/>
      <c r="DEK239" s="243"/>
      <c r="DEL239" s="243"/>
      <c r="DEM239" s="243"/>
      <c r="DEN239" s="243"/>
      <c r="DEO239" s="243"/>
      <c r="DEP239" s="243"/>
      <c r="DEQ239" s="243"/>
      <c r="DER239" s="243"/>
      <c r="DES239" s="243"/>
      <c r="DET239" s="243"/>
      <c r="DEU239" s="243"/>
      <c r="DEV239" s="243"/>
      <c r="DEW239" s="243"/>
      <c r="DEX239" s="243"/>
      <c r="DEY239" s="243"/>
      <c r="DEZ239" s="243"/>
      <c r="DFA239" s="243"/>
      <c r="DFB239" s="243"/>
      <c r="DFC239" s="243"/>
      <c r="DFD239" s="243"/>
      <c r="DFE239" s="243"/>
      <c r="DFF239" s="243"/>
      <c r="DFG239" s="243"/>
      <c r="DFH239" s="243"/>
      <c r="DFI239" s="243"/>
      <c r="DFJ239" s="243"/>
      <c r="DFK239" s="243"/>
      <c r="DFL239" s="243"/>
      <c r="DFM239" s="243"/>
      <c r="DFN239" s="243"/>
      <c r="DFO239" s="243"/>
      <c r="DFP239" s="243"/>
      <c r="DFQ239" s="243"/>
      <c r="DFR239" s="243"/>
      <c r="DFS239" s="243"/>
      <c r="DFT239" s="243"/>
      <c r="DFU239" s="243"/>
      <c r="DFV239" s="243"/>
      <c r="DFW239" s="243"/>
      <c r="DFX239" s="243"/>
      <c r="DFY239" s="243"/>
      <c r="DFZ239" s="243"/>
      <c r="DGA239" s="243"/>
      <c r="DGB239" s="243"/>
      <c r="DGC239" s="243"/>
      <c r="DGD239" s="243"/>
      <c r="DGE239" s="243"/>
      <c r="DGF239" s="243"/>
      <c r="DGG239" s="243"/>
      <c r="DGH239" s="243"/>
      <c r="DGI239" s="243"/>
      <c r="DGJ239" s="243"/>
      <c r="DGK239" s="243"/>
      <c r="DGL239" s="243"/>
      <c r="DGM239" s="243"/>
      <c r="DGN239" s="243"/>
      <c r="DGO239" s="243"/>
      <c r="DGP239" s="243"/>
      <c r="DGQ239" s="243"/>
      <c r="DGR239" s="243"/>
      <c r="DGS239" s="243"/>
      <c r="DGT239" s="243"/>
      <c r="DGU239" s="243"/>
      <c r="DGV239" s="243"/>
      <c r="DGW239" s="243"/>
      <c r="DGX239" s="243"/>
      <c r="DGY239" s="243"/>
      <c r="DGZ239" s="243"/>
      <c r="DHA239" s="243"/>
      <c r="DHB239" s="243"/>
      <c r="DHC239" s="243"/>
      <c r="DHD239" s="243"/>
      <c r="DHE239" s="243"/>
      <c r="DHF239" s="243"/>
      <c r="DHG239" s="243"/>
      <c r="DHH239" s="243"/>
      <c r="DHI239" s="243"/>
      <c r="DHJ239" s="243"/>
      <c r="DHK239" s="243"/>
      <c r="DHL239" s="243"/>
      <c r="DHM239" s="243"/>
      <c r="DHN239" s="243"/>
      <c r="DHO239" s="243"/>
      <c r="DHP239" s="243"/>
      <c r="DHQ239" s="243"/>
      <c r="DHR239" s="243"/>
      <c r="DHS239" s="243"/>
      <c r="DHT239" s="243"/>
      <c r="DHU239" s="243"/>
      <c r="DHV239" s="243"/>
      <c r="DHW239" s="243"/>
      <c r="DHX239" s="243"/>
      <c r="DHY239" s="243"/>
      <c r="DHZ239" s="243"/>
      <c r="DIA239" s="243"/>
      <c r="DIB239" s="243"/>
      <c r="DIC239" s="243"/>
      <c r="DID239" s="243"/>
      <c r="DIE239" s="243"/>
      <c r="DIF239" s="243"/>
      <c r="DIG239" s="243"/>
      <c r="DIH239" s="243"/>
      <c r="DII239" s="243"/>
      <c r="DIJ239" s="243"/>
      <c r="DIK239" s="243"/>
      <c r="DIL239" s="243"/>
      <c r="DIM239" s="243"/>
      <c r="DIN239" s="243"/>
      <c r="DIO239" s="243"/>
      <c r="DIP239" s="243"/>
      <c r="DIQ239" s="243"/>
      <c r="DIR239" s="243"/>
      <c r="DIS239" s="243"/>
      <c r="DIT239" s="243"/>
      <c r="DIU239" s="243"/>
      <c r="DIV239" s="243"/>
      <c r="DIW239" s="243"/>
      <c r="DIX239" s="243"/>
      <c r="DIY239" s="243"/>
      <c r="DIZ239" s="243"/>
      <c r="DJA239" s="243"/>
      <c r="DJB239" s="243"/>
      <c r="DJC239" s="243"/>
      <c r="DJD239" s="243"/>
      <c r="DJE239" s="243"/>
      <c r="DJF239" s="243"/>
      <c r="DJG239" s="243"/>
      <c r="DJH239" s="243"/>
      <c r="DJI239" s="243"/>
      <c r="DJJ239" s="243"/>
      <c r="DJK239" s="243"/>
      <c r="DJL239" s="243"/>
      <c r="DJM239" s="243"/>
      <c r="DJN239" s="243"/>
      <c r="DJO239" s="243"/>
      <c r="DJP239" s="243"/>
      <c r="DJQ239" s="243"/>
      <c r="DJR239" s="243"/>
      <c r="DJS239" s="243"/>
      <c r="DJT239" s="243"/>
      <c r="DJU239" s="243"/>
      <c r="DJV239" s="243"/>
      <c r="DJW239" s="243"/>
      <c r="DJX239" s="243"/>
      <c r="DJY239" s="243"/>
      <c r="DJZ239" s="243"/>
      <c r="DKA239" s="243"/>
      <c r="DKB239" s="243"/>
      <c r="DKC239" s="243"/>
      <c r="DKD239" s="243"/>
      <c r="DKE239" s="243"/>
      <c r="DKF239" s="243"/>
      <c r="DKG239" s="243"/>
      <c r="DKH239" s="243"/>
      <c r="DKI239" s="243"/>
      <c r="DKJ239" s="243"/>
      <c r="DKK239" s="243"/>
      <c r="DKL239" s="243"/>
      <c r="DKM239" s="243"/>
      <c r="DKN239" s="243"/>
      <c r="DKO239" s="243"/>
      <c r="DKP239" s="243"/>
      <c r="DKQ239" s="243"/>
      <c r="DKR239" s="243"/>
      <c r="DKS239" s="243"/>
      <c r="DKT239" s="243"/>
      <c r="DKU239" s="243"/>
      <c r="DKV239" s="243"/>
      <c r="DKW239" s="243"/>
      <c r="DKX239" s="243"/>
      <c r="DKY239" s="243"/>
      <c r="DKZ239" s="243"/>
      <c r="DLA239" s="243"/>
      <c r="DLB239" s="243"/>
      <c r="DLC239" s="243"/>
      <c r="DLD239" s="243"/>
      <c r="DLE239" s="243"/>
      <c r="DLF239" s="243"/>
      <c r="DLG239" s="243"/>
      <c r="DLH239" s="243"/>
      <c r="DLI239" s="243"/>
      <c r="DLJ239" s="243"/>
      <c r="DLK239" s="243"/>
      <c r="DLL239" s="243"/>
      <c r="DLM239" s="243"/>
      <c r="DLN239" s="243"/>
      <c r="DLO239" s="243"/>
      <c r="DLP239" s="243"/>
      <c r="DLQ239" s="243"/>
      <c r="DLR239" s="243"/>
      <c r="DLS239" s="243"/>
      <c r="DLT239" s="243"/>
      <c r="DLU239" s="243"/>
      <c r="DLV239" s="243"/>
      <c r="DLW239" s="243"/>
      <c r="DLX239" s="243"/>
      <c r="DLY239" s="243"/>
      <c r="DLZ239" s="243"/>
      <c r="DMA239" s="243"/>
      <c r="DMB239" s="243"/>
      <c r="DMC239" s="243"/>
      <c r="DMD239" s="243"/>
      <c r="DME239" s="243"/>
      <c r="DMF239" s="243"/>
      <c r="DMG239" s="243"/>
      <c r="DMH239" s="243"/>
      <c r="DMI239" s="243"/>
      <c r="DMJ239" s="243"/>
      <c r="DMK239" s="243"/>
      <c r="DML239" s="243"/>
      <c r="DMM239" s="243"/>
      <c r="DMN239" s="243"/>
      <c r="DMO239" s="243"/>
      <c r="DMP239" s="243"/>
      <c r="DMQ239" s="243"/>
      <c r="DMR239" s="243"/>
      <c r="DMS239" s="243"/>
      <c r="DMT239" s="243"/>
      <c r="DMU239" s="243"/>
      <c r="DMV239" s="243"/>
      <c r="DMW239" s="243"/>
      <c r="DMX239" s="243"/>
      <c r="DMY239" s="243"/>
      <c r="DMZ239" s="243"/>
      <c r="DNA239" s="243"/>
      <c r="DNB239" s="243"/>
      <c r="DNC239" s="243"/>
      <c r="DND239" s="243"/>
      <c r="DNE239" s="243"/>
      <c r="DNF239" s="243"/>
      <c r="DNG239" s="243"/>
      <c r="DNH239" s="243"/>
      <c r="DNI239" s="243"/>
      <c r="DNJ239" s="243"/>
      <c r="DNK239" s="243"/>
      <c r="DNL239" s="243"/>
      <c r="DNM239" s="243"/>
      <c r="DNN239" s="243"/>
      <c r="DNO239" s="243"/>
      <c r="DNP239" s="243"/>
      <c r="DNQ239" s="243"/>
      <c r="DNR239" s="243"/>
      <c r="DNS239" s="243"/>
      <c r="DNT239" s="243"/>
      <c r="DNU239" s="243"/>
      <c r="DNV239" s="243"/>
      <c r="DNW239" s="243"/>
      <c r="DNX239" s="243"/>
      <c r="DNY239" s="243"/>
      <c r="DNZ239" s="243"/>
      <c r="DOA239" s="243"/>
      <c r="DOB239" s="243"/>
      <c r="DOC239" s="243"/>
      <c r="DOD239" s="243"/>
      <c r="DOE239" s="243"/>
      <c r="DOF239" s="243"/>
      <c r="DOG239" s="243"/>
      <c r="DOH239" s="243"/>
      <c r="DOI239" s="243"/>
      <c r="DOJ239" s="243"/>
      <c r="DOK239" s="243"/>
      <c r="DOL239" s="243"/>
      <c r="DOM239" s="243"/>
      <c r="DON239" s="243"/>
      <c r="DOO239" s="243"/>
      <c r="DOP239" s="243"/>
      <c r="DOQ239" s="243"/>
      <c r="DOR239" s="243"/>
      <c r="DOS239" s="243"/>
      <c r="DOT239" s="243"/>
      <c r="DOU239" s="243"/>
      <c r="DOV239" s="243"/>
      <c r="DOW239" s="243"/>
      <c r="DOX239" s="243"/>
      <c r="DOY239" s="243"/>
      <c r="DOZ239" s="243"/>
      <c r="DPA239" s="243"/>
      <c r="DPB239" s="243"/>
      <c r="DPC239" s="243"/>
      <c r="DPD239" s="243"/>
      <c r="DPE239" s="243"/>
      <c r="DPF239" s="243"/>
      <c r="DPG239" s="243"/>
      <c r="DPH239" s="243"/>
      <c r="DPI239" s="243"/>
      <c r="DPJ239" s="243"/>
      <c r="DPK239" s="243"/>
      <c r="DPL239" s="243"/>
      <c r="DPM239" s="243"/>
      <c r="DPN239" s="243"/>
      <c r="DPO239" s="243"/>
      <c r="DPP239" s="243"/>
      <c r="DPQ239" s="243"/>
      <c r="DPR239" s="243"/>
      <c r="DPS239" s="243"/>
      <c r="DPT239" s="243"/>
      <c r="DPU239" s="243"/>
      <c r="DPV239" s="243"/>
      <c r="DPW239" s="243"/>
      <c r="DPX239" s="243"/>
      <c r="DPY239" s="243"/>
      <c r="DPZ239" s="243"/>
      <c r="DQA239" s="243"/>
      <c r="DQB239" s="243"/>
      <c r="DQC239" s="243"/>
      <c r="DQD239" s="243"/>
      <c r="DQE239" s="243"/>
      <c r="DQF239" s="243"/>
      <c r="DQG239" s="243"/>
      <c r="DQH239" s="243"/>
      <c r="DQI239" s="243"/>
      <c r="DQJ239" s="243"/>
      <c r="DQK239" s="243"/>
      <c r="DQL239" s="243"/>
      <c r="DQM239" s="243"/>
      <c r="DQN239" s="243"/>
      <c r="DQO239" s="243"/>
      <c r="DQP239" s="243"/>
      <c r="DQQ239" s="243"/>
      <c r="DQR239" s="243"/>
      <c r="DQS239" s="243"/>
      <c r="DQT239" s="243"/>
      <c r="DQU239" s="243"/>
      <c r="DQV239" s="243"/>
      <c r="DQW239" s="243"/>
      <c r="DQX239" s="243"/>
      <c r="DQY239" s="243"/>
      <c r="DQZ239" s="243"/>
      <c r="DRA239" s="243"/>
      <c r="DRB239" s="243"/>
      <c r="DRC239" s="243"/>
      <c r="DRD239" s="243"/>
      <c r="DRE239" s="243"/>
      <c r="DRF239" s="243"/>
      <c r="DRG239" s="243"/>
      <c r="DRH239" s="243"/>
      <c r="DRI239" s="243"/>
      <c r="DRJ239" s="243"/>
      <c r="DRK239" s="243"/>
      <c r="DRL239" s="243"/>
      <c r="DRM239" s="243"/>
      <c r="DRN239" s="243"/>
      <c r="DRO239" s="243"/>
      <c r="DRP239" s="243"/>
      <c r="DRQ239" s="243"/>
      <c r="DRR239" s="243"/>
      <c r="DRS239" s="243"/>
      <c r="DRT239" s="243"/>
      <c r="DRU239" s="243"/>
      <c r="DRV239" s="243"/>
      <c r="DRW239" s="243"/>
      <c r="DRX239" s="243"/>
      <c r="DRY239" s="243"/>
      <c r="DRZ239" s="243"/>
      <c r="DSA239" s="243"/>
      <c r="DSB239" s="243"/>
      <c r="DSC239" s="243"/>
      <c r="DSD239" s="243"/>
      <c r="DSE239" s="243"/>
      <c r="DSF239" s="243"/>
      <c r="DSG239" s="243"/>
      <c r="DSH239" s="243"/>
      <c r="DSI239" s="243"/>
      <c r="DSJ239" s="243"/>
      <c r="DSK239" s="243"/>
      <c r="DSL239" s="243"/>
      <c r="DSM239" s="243"/>
      <c r="DSN239" s="243"/>
      <c r="DSO239" s="243"/>
      <c r="DSP239" s="243"/>
      <c r="DSQ239" s="243"/>
      <c r="DSR239" s="243"/>
      <c r="DSS239" s="243"/>
      <c r="DST239" s="243"/>
      <c r="DSU239" s="243"/>
      <c r="DSV239" s="243"/>
      <c r="DSW239" s="243"/>
      <c r="DSX239" s="243"/>
      <c r="DSY239" s="243"/>
      <c r="DSZ239" s="243"/>
      <c r="DTA239" s="243"/>
      <c r="DTB239" s="243"/>
      <c r="DTC239" s="243"/>
      <c r="DTD239" s="243"/>
      <c r="DTE239" s="243"/>
      <c r="DTF239" s="243"/>
      <c r="DTG239" s="243"/>
      <c r="DTH239" s="243"/>
      <c r="DTI239" s="243"/>
      <c r="DTJ239" s="243"/>
      <c r="DTK239" s="243"/>
      <c r="DTL239" s="243"/>
      <c r="DTM239" s="243"/>
      <c r="DTN239" s="243"/>
      <c r="DTO239" s="243"/>
      <c r="DTP239" s="243"/>
      <c r="DTQ239" s="243"/>
      <c r="DTR239" s="243"/>
      <c r="DTS239" s="243"/>
      <c r="DTT239" s="243"/>
      <c r="DTU239" s="243"/>
      <c r="DTV239" s="243"/>
      <c r="DTW239" s="243"/>
      <c r="DTX239" s="243"/>
      <c r="DTY239" s="243"/>
      <c r="DTZ239" s="243"/>
      <c r="DUA239" s="243"/>
      <c r="DUB239" s="243"/>
      <c r="DUC239" s="243"/>
      <c r="DUD239" s="243"/>
      <c r="DUE239" s="243"/>
      <c r="DUF239" s="243"/>
      <c r="DUG239" s="243"/>
      <c r="DUH239" s="243"/>
      <c r="DUI239" s="243"/>
      <c r="DUJ239" s="243"/>
      <c r="DUK239" s="243"/>
      <c r="DUL239" s="243"/>
      <c r="DUM239" s="243"/>
      <c r="DUN239" s="243"/>
      <c r="DUO239" s="243"/>
      <c r="DUP239" s="243"/>
      <c r="DUQ239" s="243"/>
      <c r="DUR239" s="243"/>
      <c r="DUS239" s="243"/>
      <c r="DUT239" s="243"/>
      <c r="DUU239" s="243"/>
      <c r="DUV239" s="243"/>
      <c r="DUW239" s="243"/>
      <c r="DUX239" s="243"/>
      <c r="DUY239" s="243"/>
      <c r="DUZ239" s="243"/>
      <c r="DVA239" s="243"/>
      <c r="DVB239" s="243"/>
      <c r="DVC239" s="243"/>
      <c r="DVD239" s="243"/>
      <c r="DVE239" s="243"/>
      <c r="DVF239" s="243"/>
      <c r="DVG239" s="243"/>
      <c r="DVH239" s="243"/>
      <c r="DVI239" s="243"/>
      <c r="DVJ239" s="243"/>
      <c r="DVK239" s="243"/>
      <c r="DVL239" s="243"/>
      <c r="DVM239" s="243"/>
      <c r="DVN239" s="243"/>
      <c r="DVO239" s="243"/>
      <c r="DVP239" s="243"/>
      <c r="DVQ239" s="243"/>
      <c r="DVR239" s="243"/>
      <c r="DVS239" s="243"/>
      <c r="DVT239" s="243"/>
      <c r="DVU239" s="243"/>
      <c r="DVV239" s="243"/>
      <c r="DVW239" s="243"/>
      <c r="DVX239" s="243"/>
      <c r="DVY239" s="243"/>
      <c r="DVZ239" s="243"/>
      <c r="DWA239" s="243"/>
      <c r="DWB239" s="243"/>
      <c r="DWC239" s="243"/>
      <c r="DWD239" s="243"/>
      <c r="DWE239" s="243"/>
      <c r="DWF239" s="243"/>
      <c r="DWG239" s="243"/>
      <c r="DWH239" s="243"/>
      <c r="DWI239" s="243"/>
      <c r="DWJ239" s="243"/>
      <c r="DWK239" s="243"/>
      <c r="DWL239" s="243"/>
      <c r="DWM239" s="243"/>
      <c r="DWN239" s="243"/>
      <c r="DWO239" s="243"/>
      <c r="DWP239" s="243"/>
      <c r="DWQ239" s="243"/>
      <c r="DWR239" s="243"/>
      <c r="DWS239" s="243"/>
      <c r="DWT239" s="243"/>
      <c r="DWU239" s="243"/>
      <c r="DWV239" s="243"/>
      <c r="DWW239" s="243"/>
      <c r="DWX239" s="243"/>
      <c r="DWY239" s="243"/>
      <c r="DWZ239" s="243"/>
      <c r="DXA239" s="243"/>
      <c r="DXB239" s="243"/>
      <c r="DXC239" s="243"/>
      <c r="DXD239" s="243"/>
      <c r="DXE239" s="243"/>
      <c r="DXF239" s="243"/>
      <c r="DXG239" s="243"/>
      <c r="DXH239" s="243"/>
      <c r="DXI239" s="243"/>
      <c r="DXJ239" s="243"/>
      <c r="DXK239" s="243"/>
      <c r="DXL239" s="243"/>
      <c r="DXM239" s="243"/>
      <c r="DXN239" s="243"/>
      <c r="DXO239" s="243"/>
      <c r="DXP239" s="243"/>
      <c r="DXQ239" s="243"/>
      <c r="DXR239" s="243"/>
      <c r="DXS239" s="243"/>
      <c r="DXT239" s="243"/>
      <c r="DXU239" s="243"/>
      <c r="DXV239" s="243"/>
      <c r="DXW239" s="243"/>
      <c r="DXX239" s="243"/>
      <c r="DXY239" s="243"/>
      <c r="DXZ239" s="243"/>
      <c r="DYA239" s="243"/>
      <c r="DYB239" s="243"/>
      <c r="DYC239" s="243"/>
      <c r="DYD239" s="243"/>
      <c r="DYE239" s="243"/>
      <c r="DYF239" s="243"/>
      <c r="DYG239" s="243"/>
      <c r="DYH239" s="243"/>
      <c r="DYI239" s="243"/>
      <c r="DYJ239" s="243"/>
      <c r="DYK239" s="243"/>
      <c r="DYL239" s="243"/>
      <c r="DYM239" s="243"/>
      <c r="DYN239" s="243"/>
      <c r="DYO239" s="243"/>
      <c r="DYP239" s="243"/>
      <c r="DYQ239" s="243"/>
      <c r="DYR239" s="243"/>
      <c r="DYS239" s="243"/>
      <c r="DYT239" s="243"/>
      <c r="DYU239" s="243"/>
      <c r="DYV239" s="243"/>
      <c r="DYW239" s="243"/>
      <c r="DYX239" s="243"/>
      <c r="DYY239" s="243"/>
      <c r="DYZ239" s="243"/>
      <c r="DZA239" s="243"/>
      <c r="DZB239" s="243"/>
      <c r="DZC239" s="243"/>
      <c r="DZD239" s="243"/>
      <c r="DZE239" s="243"/>
      <c r="DZF239" s="243"/>
      <c r="DZG239" s="243"/>
      <c r="DZH239" s="243"/>
      <c r="DZI239" s="243"/>
      <c r="DZJ239" s="243"/>
      <c r="DZK239" s="243"/>
      <c r="DZL239" s="243"/>
      <c r="DZM239" s="243"/>
      <c r="DZN239" s="243"/>
      <c r="DZO239" s="243"/>
      <c r="DZP239" s="243"/>
      <c r="DZQ239" s="243"/>
      <c r="DZR239" s="243"/>
      <c r="DZS239" s="243"/>
      <c r="DZT239" s="243"/>
      <c r="DZU239" s="243"/>
      <c r="DZV239" s="243"/>
      <c r="DZW239" s="243"/>
      <c r="DZX239" s="243"/>
      <c r="DZY239" s="243"/>
      <c r="DZZ239" s="243"/>
      <c r="EAA239" s="243"/>
      <c r="EAB239" s="243"/>
      <c r="EAC239" s="243"/>
      <c r="EAD239" s="243"/>
      <c r="EAE239" s="243"/>
      <c r="EAF239" s="243"/>
      <c r="EAG239" s="243"/>
      <c r="EAH239" s="243"/>
      <c r="EAI239" s="243"/>
      <c r="EAJ239" s="243"/>
      <c r="EAK239" s="243"/>
      <c r="EAL239" s="243"/>
      <c r="EAM239" s="243"/>
      <c r="EAN239" s="243"/>
      <c r="EAO239" s="243"/>
      <c r="EAP239" s="243"/>
      <c r="EAQ239" s="243"/>
      <c r="EAR239" s="243"/>
      <c r="EAS239" s="243"/>
      <c r="EAT239" s="243"/>
      <c r="EAU239" s="243"/>
      <c r="EAV239" s="243"/>
      <c r="EAW239" s="243"/>
      <c r="EAX239" s="243"/>
      <c r="EAY239" s="243"/>
      <c r="EAZ239" s="243"/>
      <c r="EBA239" s="243"/>
      <c r="EBB239" s="243"/>
      <c r="EBC239" s="243"/>
      <c r="EBD239" s="243"/>
      <c r="EBE239" s="243"/>
      <c r="EBF239" s="243"/>
      <c r="EBG239" s="243"/>
      <c r="EBH239" s="243"/>
      <c r="EBI239" s="243"/>
      <c r="EBJ239" s="243"/>
      <c r="EBK239" s="243"/>
      <c r="EBL239" s="243"/>
      <c r="EBM239" s="243"/>
      <c r="EBN239" s="243"/>
      <c r="EBO239" s="243"/>
      <c r="EBP239" s="243"/>
      <c r="EBQ239" s="243"/>
      <c r="EBR239" s="243"/>
      <c r="EBS239" s="243"/>
      <c r="EBT239" s="243"/>
      <c r="EBU239" s="243"/>
      <c r="EBV239" s="243"/>
      <c r="EBW239" s="243"/>
      <c r="EBX239" s="243"/>
      <c r="EBY239" s="243"/>
      <c r="EBZ239" s="243"/>
      <c r="ECA239" s="243"/>
      <c r="ECB239" s="243"/>
      <c r="ECC239" s="243"/>
      <c r="ECD239" s="243"/>
      <c r="ECE239" s="243"/>
      <c r="ECF239" s="243"/>
      <c r="ECG239" s="243"/>
      <c r="ECH239" s="243"/>
      <c r="ECI239" s="243"/>
      <c r="ECJ239" s="243"/>
      <c r="ECK239" s="243"/>
      <c r="ECL239" s="243"/>
      <c r="ECM239" s="243"/>
      <c r="ECN239" s="243"/>
      <c r="ECO239" s="243"/>
      <c r="ECP239" s="243"/>
      <c r="ECQ239" s="243"/>
      <c r="ECR239" s="243"/>
      <c r="ECS239" s="243"/>
      <c r="ECT239" s="243"/>
      <c r="ECU239" s="243"/>
      <c r="ECV239" s="243"/>
      <c r="ECW239" s="243"/>
      <c r="ECX239" s="243"/>
      <c r="ECY239" s="243"/>
      <c r="ECZ239" s="243"/>
      <c r="EDA239" s="243"/>
      <c r="EDB239" s="243"/>
      <c r="EDC239" s="243"/>
      <c r="EDD239" s="243"/>
      <c r="EDE239" s="243"/>
      <c r="EDF239" s="243"/>
      <c r="EDG239" s="243"/>
      <c r="EDH239" s="243"/>
      <c r="EDI239" s="243"/>
      <c r="EDJ239" s="243"/>
      <c r="EDK239" s="243"/>
      <c r="EDL239" s="243"/>
      <c r="EDM239" s="243"/>
      <c r="EDN239" s="243"/>
      <c r="EDO239" s="243"/>
      <c r="EDP239" s="243"/>
      <c r="EDQ239" s="243"/>
      <c r="EDR239" s="243"/>
      <c r="EDS239" s="243"/>
      <c r="EDT239" s="243"/>
      <c r="EDU239" s="243"/>
      <c r="EDV239" s="243"/>
      <c r="EDW239" s="243"/>
      <c r="EDX239" s="243"/>
      <c r="EDY239" s="243"/>
      <c r="EDZ239" s="243"/>
      <c r="EEA239" s="243"/>
      <c r="EEB239" s="243"/>
      <c r="EEC239" s="243"/>
      <c r="EED239" s="243"/>
      <c r="EEE239" s="243"/>
      <c r="EEF239" s="243"/>
      <c r="EEG239" s="243"/>
      <c r="EEH239" s="243"/>
      <c r="EEI239" s="243"/>
      <c r="EEJ239" s="243"/>
      <c r="EEK239" s="243"/>
      <c r="EEL239" s="243"/>
      <c r="EEM239" s="243"/>
      <c r="EEN239" s="243"/>
      <c r="EEO239" s="243"/>
      <c r="EEP239" s="243"/>
      <c r="EEQ239" s="243"/>
      <c r="EER239" s="243"/>
      <c r="EES239" s="243"/>
      <c r="EET239" s="243"/>
      <c r="EEU239" s="243"/>
      <c r="EEV239" s="243"/>
      <c r="EEW239" s="243"/>
      <c r="EEX239" s="243"/>
      <c r="EEY239" s="243"/>
      <c r="EEZ239" s="243"/>
      <c r="EFA239" s="243"/>
      <c r="EFB239" s="243"/>
      <c r="EFC239" s="243"/>
      <c r="EFD239" s="243"/>
      <c r="EFE239" s="243"/>
      <c r="EFF239" s="243"/>
      <c r="EFG239" s="243"/>
      <c r="EFH239" s="243"/>
      <c r="EFI239" s="243"/>
      <c r="EFJ239" s="243"/>
      <c r="EFK239" s="243"/>
      <c r="EFL239" s="243"/>
      <c r="EFM239" s="243"/>
      <c r="EFN239" s="243"/>
      <c r="EFO239" s="243"/>
      <c r="EFP239" s="243"/>
      <c r="EFQ239" s="243"/>
      <c r="EFR239" s="243"/>
      <c r="EFS239" s="243"/>
      <c r="EFT239" s="243"/>
      <c r="EFU239" s="243"/>
      <c r="EFV239" s="243"/>
      <c r="EFW239" s="243"/>
      <c r="EFX239" s="243"/>
      <c r="EFY239" s="243"/>
      <c r="EFZ239" s="243"/>
      <c r="EGA239" s="243"/>
      <c r="EGB239" s="243"/>
      <c r="EGC239" s="243"/>
      <c r="EGD239" s="243"/>
      <c r="EGE239" s="243"/>
      <c r="EGF239" s="243"/>
      <c r="EGG239" s="243"/>
      <c r="EGH239" s="243"/>
      <c r="EGI239" s="243"/>
      <c r="EGJ239" s="243"/>
      <c r="EGK239" s="243"/>
      <c r="EGL239" s="243"/>
      <c r="EGM239" s="243"/>
      <c r="EGN239" s="243"/>
      <c r="EGO239" s="243"/>
      <c r="EGP239" s="243"/>
      <c r="EGQ239" s="243"/>
      <c r="EGR239" s="243"/>
      <c r="EGS239" s="243"/>
      <c r="EGT239" s="243"/>
      <c r="EGU239" s="243"/>
      <c r="EGV239" s="243"/>
      <c r="EGW239" s="243"/>
      <c r="EGX239" s="243"/>
      <c r="EGY239" s="243"/>
      <c r="EGZ239" s="243"/>
      <c r="EHA239" s="243"/>
      <c r="EHB239" s="243"/>
      <c r="EHC239" s="243"/>
      <c r="EHD239" s="243"/>
      <c r="EHE239" s="243"/>
      <c r="EHF239" s="243"/>
      <c r="EHG239" s="243"/>
      <c r="EHH239" s="243"/>
      <c r="EHI239" s="243"/>
      <c r="EHJ239" s="243"/>
      <c r="EHK239" s="243"/>
      <c r="EHL239" s="243"/>
      <c r="EHM239" s="243"/>
      <c r="EHN239" s="243"/>
      <c r="EHO239" s="243"/>
      <c r="EHP239" s="243"/>
      <c r="EHQ239" s="243"/>
      <c r="EHR239" s="243"/>
      <c r="EHS239" s="243"/>
      <c r="EHT239" s="243"/>
      <c r="EHU239" s="243"/>
      <c r="EHV239" s="243"/>
      <c r="EHW239" s="243"/>
      <c r="EHX239" s="243"/>
      <c r="EHY239" s="243"/>
      <c r="EHZ239" s="243"/>
      <c r="EIA239" s="243"/>
      <c r="EIB239" s="243"/>
      <c r="EIC239" s="243"/>
      <c r="EID239" s="243"/>
      <c r="EIE239" s="243"/>
      <c r="EIF239" s="243"/>
      <c r="EIG239" s="243"/>
      <c r="EIH239" s="243"/>
      <c r="EII239" s="243"/>
      <c r="EIJ239" s="243"/>
      <c r="EIK239" s="243"/>
      <c r="EIL239" s="243"/>
      <c r="EIM239" s="243"/>
      <c r="EIN239" s="243"/>
      <c r="EIO239" s="243"/>
      <c r="EIP239" s="243"/>
      <c r="EIQ239" s="243"/>
      <c r="EIR239" s="243"/>
      <c r="EIS239" s="243"/>
      <c r="EIT239" s="243"/>
      <c r="EIU239" s="243"/>
      <c r="EIV239" s="243"/>
      <c r="EIW239" s="243"/>
      <c r="EIX239" s="243"/>
      <c r="EIY239" s="243"/>
      <c r="EIZ239" s="243"/>
      <c r="EJA239" s="243"/>
      <c r="EJB239" s="243"/>
      <c r="EJC239" s="243"/>
      <c r="EJD239" s="243"/>
      <c r="EJE239" s="243"/>
      <c r="EJF239" s="243"/>
      <c r="EJG239" s="243"/>
      <c r="EJH239" s="243"/>
      <c r="EJI239" s="243"/>
      <c r="EJJ239" s="243"/>
      <c r="EJK239" s="243"/>
      <c r="EJL239" s="243"/>
      <c r="EJM239" s="243"/>
      <c r="EJN239" s="243"/>
      <c r="EJO239" s="243"/>
      <c r="EJP239" s="243"/>
      <c r="EJQ239" s="243"/>
      <c r="EJR239" s="243"/>
      <c r="EJS239" s="243"/>
      <c r="EJT239" s="243"/>
      <c r="EJU239" s="243"/>
      <c r="EJV239" s="243"/>
      <c r="EJW239" s="243"/>
      <c r="EJX239" s="243"/>
      <c r="EJY239" s="243"/>
      <c r="EJZ239" s="243"/>
      <c r="EKA239" s="243"/>
      <c r="EKB239" s="243"/>
      <c r="EKC239" s="243"/>
      <c r="EKD239" s="243"/>
      <c r="EKE239" s="243"/>
      <c r="EKF239" s="243"/>
      <c r="EKG239" s="243"/>
      <c r="EKH239" s="243"/>
      <c r="EKI239" s="243"/>
      <c r="EKJ239" s="243"/>
      <c r="EKK239" s="243"/>
      <c r="EKL239" s="243"/>
      <c r="EKM239" s="243"/>
      <c r="EKN239" s="243"/>
      <c r="EKO239" s="243"/>
      <c r="EKP239" s="243"/>
      <c r="EKQ239" s="243"/>
      <c r="EKR239" s="243"/>
      <c r="EKS239" s="243"/>
      <c r="EKT239" s="243"/>
      <c r="EKU239" s="243"/>
      <c r="EKV239" s="243"/>
      <c r="EKW239" s="243"/>
      <c r="EKX239" s="243"/>
      <c r="EKY239" s="243"/>
      <c r="EKZ239" s="243"/>
      <c r="ELA239" s="243"/>
      <c r="ELB239" s="243"/>
      <c r="ELC239" s="243"/>
      <c r="ELD239" s="243"/>
      <c r="ELE239" s="243"/>
      <c r="ELF239" s="243"/>
      <c r="ELG239" s="243"/>
      <c r="ELH239" s="243"/>
      <c r="ELI239" s="243"/>
      <c r="ELJ239" s="243"/>
      <c r="ELK239" s="243"/>
      <c r="ELL239" s="243"/>
      <c r="ELM239" s="243"/>
      <c r="ELN239" s="243"/>
      <c r="ELO239" s="243"/>
      <c r="ELP239" s="243"/>
      <c r="ELQ239" s="243"/>
      <c r="ELR239" s="243"/>
      <c r="ELS239" s="243"/>
      <c r="ELT239" s="243"/>
      <c r="ELU239" s="243"/>
      <c r="ELV239" s="243"/>
      <c r="ELW239" s="243"/>
      <c r="ELX239" s="243"/>
      <c r="ELY239" s="243"/>
      <c r="ELZ239" s="243"/>
      <c r="EMA239" s="243"/>
      <c r="EMB239" s="243"/>
      <c r="EMC239" s="243"/>
      <c r="EMD239" s="243"/>
      <c r="EME239" s="243"/>
      <c r="EMF239" s="243"/>
      <c r="EMG239" s="243"/>
      <c r="EMH239" s="243"/>
      <c r="EMI239" s="243"/>
      <c r="EMJ239" s="243"/>
      <c r="EMK239" s="243"/>
      <c r="EML239" s="243"/>
      <c r="EMM239" s="243"/>
      <c r="EMN239" s="243"/>
      <c r="EMO239" s="243"/>
      <c r="EMP239" s="243"/>
      <c r="EMQ239" s="243"/>
      <c r="EMR239" s="243"/>
      <c r="EMS239" s="243"/>
      <c r="EMT239" s="243"/>
      <c r="EMU239" s="243"/>
      <c r="EMV239" s="243"/>
      <c r="EMW239" s="243"/>
      <c r="EMX239" s="243"/>
      <c r="EMY239" s="243"/>
      <c r="EMZ239" s="243"/>
      <c r="ENA239" s="243"/>
      <c r="ENB239" s="243"/>
      <c r="ENC239" s="243"/>
      <c r="END239" s="243"/>
      <c r="ENE239" s="243"/>
      <c r="ENF239" s="243"/>
      <c r="ENG239" s="243"/>
      <c r="ENH239" s="243"/>
      <c r="ENI239" s="243"/>
      <c r="ENJ239" s="243"/>
      <c r="ENK239" s="243"/>
      <c r="ENL239" s="243"/>
      <c r="ENM239" s="243"/>
      <c r="ENN239" s="243"/>
      <c r="ENO239" s="243"/>
      <c r="ENP239" s="243"/>
      <c r="ENQ239" s="243"/>
      <c r="ENR239" s="243"/>
      <c r="ENS239" s="243"/>
      <c r="ENT239" s="243"/>
      <c r="ENU239" s="243"/>
      <c r="ENV239" s="243"/>
      <c r="ENW239" s="243"/>
      <c r="ENX239" s="243"/>
      <c r="ENY239" s="243"/>
      <c r="ENZ239" s="243"/>
      <c r="EOA239" s="243"/>
      <c r="EOB239" s="243"/>
      <c r="EOC239" s="243"/>
      <c r="EOD239" s="243"/>
      <c r="EOE239" s="243"/>
      <c r="EOF239" s="243"/>
      <c r="EOG239" s="243"/>
      <c r="EOH239" s="243"/>
      <c r="EOI239" s="243"/>
      <c r="EOJ239" s="243"/>
      <c r="EOK239" s="243"/>
      <c r="EOL239" s="243"/>
      <c r="EOM239" s="243"/>
      <c r="EON239" s="243"/>
      <c r="EOO239" s="243"/>
      <c r="EOP239" s="243"/>
      <c r="EOQ239" s="243"/>
      <c r="EOR239" s="243"/>
      <c r="EOS239" s="243"/>
      <c r="EOT239" s="243"/>
      <c r="EOU239" s="243"/>
      <c r="EOV239" s="243"/>
      <c r="EOW239" s="243"/>
      <c r="EOX239" s="243"/>
      <c r="EOY239" s="243"/>
      <c r="EOZ239" s="243"/>
      <c r="EPA239" s="243"/>
      <c r="EPB239" s="243"/>
      <c r="EPC239" s="243"/>
      <c r="EPD239" s="243"/>
      <c r="EPE239" s="243"/>
      <c r="EPF239" s="243"/>
      <c r="EPG239" s="243"/>
      <c r="EPH239" s="243"/>
      <c r="EPI239" s="243"/>
      <c r="EPJ239" s="243"/>
      <c r="EPK239" s="243"/>
      <c r="EPL239" s="243"/>
      <c r="EPM239" s="243"/>
      <c r="EPN239" s="243"/>
      <c r="EPO239" s="243"/>
      <c r="EPP239" s="243"/>
      <c r="EPQ239" s="243"/>
      <c r="EPR239" s="243"/>
      <c r="EPS239" s="243"/>
      <c r="EPT239" s="243"/>
      <c r="EPU239" s="243"/>
      <c r="EPV239" s="243"/>
      <c r="EPW239" s="243"/>
      <c r="EPX239" s="243"/>
      <c r="EPY239" s="243"/>
      <c r="EPZ239" s="243"/>
      <c r="EQA239" s="243"/>
      <c r="EQB239" s="243"/>
      <c r="EQC239" s="243"/>
      <c r="EQD239" s="243"/>
      <c r="EQE239" s="243"/>
      <c r="EQF239" s="243"/>
      <c r="EQG239" s="243"/>
      <c r="EQH239" s="243"/>
      <c r="EQI239" s="243"/>
      <c r="EQJ239" s="243"/>
      <c r="EQK239" s="243"/>
      <c r="EQL239" s="243"/>
      <c r="EQM239" s="243"/>
      <c r="EQN239" s="243"/>
      <c r="EQO239" s="243"/>
      <c r="EQP239" s="243"/>
      <c r="EQQ239" s="243"/>
      <c r="EQR239" s="243"/>
      <c r="EQS239" s="243"/>
      <c r="EQT239" s="243"/>
      <c r="EQU239" s="243"/>
      <c r="EQV239" s="243"/>
      <c r="EQW239" s="243"/>
      <c r="EQX239" s="243"/>
      <c r="EQY239" s="243"/>
      <c r="EQZ239" s="243"/>
      <c r="ERA239" s="243"/>
      <c r="ERB239" s="243"/>
      <c r="ERC239" s="243"/>
      <c r="ERD239" s="243"/>
      <c r="ERE239" s="243"/>
      <c r="ERF239" s="243"/>
      <c r="ERG239" s="243"/>
      <c r="ERH239" s="243"/>
      <c r="ERI239" s="243"/>
      <c r="ERJ239" s="243"/>
      <c r="ERK239" s="243"/>
      <c r="ERL239" s="243"/>
      <c r="ERM239" s="243"/>
      <c r="ERN239" s="243"/>
      <c r="ERO239" s="243"/>
      <c r="ERP239" s="243"/>
      <c r="ERQ239" s="243"/>
      <c r="ERR239" s="243"/>
      <c r="ERS239" s="243"/>
      <c r="ERT239" s="243"/>
      <c r="ERU239" s="243"/>
      <c r="ERV239" s="243"/>
      <c r="ERW239" s="243"/>
      <c r="ERX239" s="243"/>
      <c r="ERY239" s="243"/>
      <c r="ERZ239" s="243"/>
      <c r="ESA239" s="243"/>
      <c r="ESB239" s="243"/>
      <c r="ESC239" s="243"/>
      <c r="ESD239" s="243"/>
      <c r="ESE239" s="243"/>
      <c r="ESF239" s="243"/>
      <c r="ESG239" s="243"/>
      <c r="ESH239" s="243"/>
      <c r="ESI239" s="243"/>
      <c r="ESJ239" s="243"/>
      <c r="ESK239" s="243"/>
      <c r="ESL239" s="243"/>
      <c r="ESM239" s="243"/>
      <c r="ESN239" s="243"/>
      <c r="ESO239" s="243"/>
      <c r="ESP239" s="243"/>
      <c r="ESQ239" s="243"/>
      <c r="ESR239" s="243"/>
      <c r="ESS239" s="243"/>
      <c r="EST239" s="243"/>
      <c r="ESU239" s="243"/>
      <c r="ESV239" s="243"/>
      <c r="ESW239" s="243"/>
      <c r="ESX239" s="243"/>
      <c r="ESY239" s="243"/>
      <c r="ESZ239" s="243"/>
      <c r="ETA239" s="243"/>
      <c r="ETB239" s="243"/>
      <c r="ETC239" s="243"/>
      <c r="ETD239" s="243"/>
      <c r="ETE239" s="243"/>
      <c r="ETF239" s="243"/>
      <c r="ETG239" s="243"/>
      <c r="ETH239" s="243"/>
      <c r="ETI239" s="243"/>
      <c r="ETJ239" s="243"/>
      <c r="ETK239" s="243"/>
      <c r="ETL239" s="243"/>
      <c r="ETM239" s="243"/>
      <c r="ETN239" s="243"/>
      <c r="ETO239" s="243"/>
      <c r="ETP239" s="243"/>
      <c r="ETQ239" s="243"/>
      <c r="ETR239" s="243"/>
      <c r="ETS239" s="243"/>
      <c r="ETT239" s="243"/>
      <c r="ETU239" s="243"/>
      <c r="ETV239" s="243"/>
      <c r="ETW239" s="243"/>
      <c r="ETX239" s="243"/>
      <c r="ETY239" s="243"/>
      <c r="ETZ239" s="243"/>
      <c r="EUA239" s="243"/>
      <c r="EUB239" s="243"/>
      <c r="EUC239" s="243"/>
      <c r="EUD239" s="243"/>
      <c r="EUE239" s="243"/>
      <c r="EUF239" s="243"/>
      <c r="EUG239" s="243"/>
      <c r="EUH239" s="243"/>
      <c r="EUI239" s="243"/>
      <c r="EUJ239" s="243"/>
      <c r="EUK239" s="243"/>
      <c r="EUL239" s="243"/>
      <c r="EUM239" s="243"/>
      <c r="EUN239" s="243"/>
      <c r="EUO239" s="243"/>
      <c r="EUP239" s="243"/>
      <c r="EUQ239" s="243"/>
      <c r="EUR239" s="243"/>
      <c r="EUS239" s="243"/>
      <c r="EUT239" s="243"/>
      <c r="EUU239" s="243"/>
      <c r="EUV239" s="243"/>
      <c r="EUW239" s="243"/>
      <c r="EUX239" s="243"/>
      <c r="EUY239" s="243"/>
      <c r="EUZ239" s="243"/>
      <c r="EVA239" s="243"/>
      <c r="EVB239" s="243"/>
      <c r="EVC239" s="243"/>
      <c r="EVD239" s="243"/>
      <c r="EVE239" s="243"/>
      <c r="EVF239" s="243"/>
      <c r="EVG239" s="243"/>
      <c r="EVH239" s="243"/>
      <c r="EVI239" s="243"/>
      <c r="EVJ239" s="243"/>
      <c r="EVK239" s="243"/>
      <c r="EVL239" s="243"/>
      <c r="EVM239" s="243"/>
      <c r="EVN239" s="243"/>
      <c r="EVO239" s="243"/>
      <c r="EVP239" s="243"/>
      <c r="EVQ239" s="243"/>
      <c r="EVR239" s="243"/>
      <c r="EVS239" s="243"/>
      <c r="EVT239" s="243"/>
      <c r="EVU239" s="243"/>
      <c r="EVV239" s="243"/>
      <c r="EVW239" s="243"/>
      <c r="EVX239" s="243"/>
      <c r="EVY239" s="243"/>
      <c r="EVZ239" s="243"/>
      <c r="EWA239" s="243"/>
      <c r="EWB239" s="243"/>
      <c r="EWC239" s="243"/>
      <c r="EWD239" s="243"/>
      <c r="EWE239" s="243"/>
      <c r="EWF239" s="243"/>
      <c r="EWG239" s="243"/>
      <c r="EWH239" s="243"/>
      <c r="EWI239" s="243"/>
      <c r="EWJ239" s="243"/>
      <c r="EWK239" s="243"/>
      <c r="EWL239" s="243"/>
      <c r="EWM239" s="243"/>
      <c r="EWN239" s="243"/>
      <c r="EWO239" s="243"/>
      <c r="EWP239" s="243"/>
      <c r="EWQ239" s="243"/>
      <c r="EWR239" s="243"/>
      <c r="EWS239" s="243"/>
      <c r="EWT239" s="243"/>
      <c r="EWU239" s="243"/>
      <c r="EWV239" s="243"/>
      <c r="EWW239" s="243"/>
      <c r="EWX239" s="243"/>
      <c r="EWY239" s="243"/>
      <c r="EWZ239" s="243"/>
      <c r="EXA239" s="243"/>
      <c r="EXB239" s="243"/>
      <c r="EXC239" s="243"/>
      <c r="EXD239" s="243"/>
      <c r="EXE239" s="243"/>
      <c r="EXF239" s="243"/>
      <c r="EXG239" s="243"/>
      <c r="EXH239" s="243"/>
      <c r="EXI239" s="243"/>
      <c r="EXJ239" s="243"/>
      <c r="EXK239" s="243"/>
      <c r="EXL239" s="243"/>
      <c r="EXM239" s="243"/>
      <c r="EXN239" s="243"/>
      <c r="EXO239" s="243"/>
      <c r="EXP239" s="243"/>
      <c r="EXQ239" s="243"/>
      <c r="EXR239" s="243"/>
      <c r="EXS239" s="243"/>
      <c r="EXT239" s="243"/>
      <c r="EXU239" s="243"/>
      <c r="EXV239" s="243"/>
      <c r="EXW239" s="243"/>
      <c r="EXX239" s="243"/>
      <c r="EXY239" s="243"/>
      <c r="EXZ239" s="243"/>
      <c r="EYA239" s="243"/>
      <c r="EYB239" s="243"/>
      <c r="EYC239" s="243"/>
      <c r="EYD239" s="243"/>
      <c r="EYE239" s="243"/>
      <c r="EYF239" s="243"/>
      <c r="EYG239" s="243"/>
      <c r="EYH239" s="243"/>
      <c r="EYI239" s="243"/>
      <c r="EYJ239" s="243"/>
      <c r="EYK239" s="243"/>
      <c r="EYL239" s="243"/>
      <c r="EYM239" s="243"/>
      <c r="EYN239" s="243"/>
      <c r="EYO239" s="243"/>
      <c r="EYP239" s="243"/>
      <c r="EYQ239" s="243"/>
      <c r="EYR239" s="243"/>
      <c r="EYS239" s="243"/>
      <c r="EYT239" s="243"/>
      <c r="EYU239" s="243"/>
      <c r="EYV239" s="243"/>
      <c r="EYW239" s="243"/>
      <c r="EYX239" s="243"/>
      <c r="EYY239" s="243"/>
      <c r="EYZ239" s="243"/>
      <c r="EZA239" s="243"/>
      <c r="EZB239" s="243"/>
      <c r="EZC239" s="243"/>
      <c r="EZD239" s="243"/>
      <c r="EZE239" s="243"/>
      <c r="EZF239" s="243"/>
      <c r="EZG239" s="243"/>
      <c r="EZH239" s="243"/>
      <c r="EZI239" s="243"/>
      <c r="EZJ239" s="243"/>
      <c r="EZK239" s="243"/>
      <c r="EZL239" s="243"/>
      <c r="EZM239" s="243"/>
      <c r="EZN239" s="243"/>
      <c r="EZO239" s="243"/>
      <c r="EZP239" s="243"/>
      <c r="EZQ239" s="243"/>
      <c r="EZR239" s="243"/>
      <c r="EZS239" s="243"/>
      <c r="EZT239" s="243"/>
      <c r="EZU239" s="243"/>
      <c r="EZV239" s="243"/>
      <c r="EZW239" s="243"/>
      <c r="EZX239" s="243"/>
      <c r="EZY239" s="243"/>
      <c r="EZZ239" s="243"/>
      <c r="FAA239" s="243"/>
      <c r="FAB239" s="243"/>
      <c r="FAC239" s="243"/>
      <c r="FAD239" s="243"/>
      <c r="FAE239" s="243"/>
      <c r="FAF239" s="243"/>
      <c r="FAG239" s="243"/>
      <c r="FAH239" s="243"/>
      <c r="FAI239" s="243"/>
      <c r="FAJ239" s="243"/>
      <c r="FAK239" s="243"/>
      <c r="FAL239" s="243"/>
      <c r="FAM239" s="243"/>
      <c r="FAN239" s="243"/>
      <c r="FAO239" s="243"/>
      <c r="FAP239" s="243"/>
      <c r="FAQ239" s="243"/>
      <c r="FAR239" s="243"/>
      <c r="FAS239" s="243"/>
      <c r="FAT239" s="243"/>
      <c r="FAU239" s="243"/>
      <c r="FAV239" s="243"/>
      <c r="FAW239" s="243"/>
      <c r="FAX239" s="243"/>
      <c r="FAY239" s="243"/>
      <c r="FAZ239" s="243"/>
      <c r="FBA239" s="243"/>
      <c r="FBB239" s="243"/>
      <c r="FBC239" s="243"/>
      <c r="FBD239" s="243"/>
      <c r="FBE239" s="243"/>
      <c r="FBF239" s="243"/>
      <c r="FBG239" s="243"/>
      <c r="FBH239" s="243"/>
      <c r="FBI239" s="243"/>
      <c r="FBJ239" s="243"/>
      <c r="FBK239" s="243"/>
      <c r="FBL239" s="243"/>
      <c r="FBM239" s="243"/>
      <c r="FBN239" s="243"/>
      <c r="FBO239" s="243"/>
      <c r="FBP239" s="243"/>
      <c r="FBQ239" s="243"/>
      <c r="FBR239" s="243"/>
      <c r="FBS239" s="243"/>
      <c r="FBT239" s="243"/>
      <c r="FBU239" s="243"/>
      <c r="FBV239" s="243"/>
      <c r="FBW239" s="243"/>
      <c r="FBX239" s="243"/>
      <c r="FBY239" s="243"/>
      <c r="FBZ239" s="243"/>
      <c r="FCA239" s="243"/>
      <c r="FCB239" s="243"/>
      <c r="FCC239" s="243"/>
      <c r="FCD239" s="243"/>
      <c r="FCE239" s="243"/>
      <c r="FCF239" s="243"/>
      <c r="FCG239" s="243"/>
      <c r="FCH239" s="243"/>
      <c r="FCI239" s="243"/>
      <c r="FCJ239" s="243"/>
      <c r="FCK239" s="243"/>
      <c r="FCL239" s="243"/>
      <c r="FCM239" s="243"/>
      <c r="FCN239" s="243"/>
      <c r="FCO239" s="243"/>
      <c r="FCP239" s="243"/>
      <c r="FCQ239" s="243"/>
      <c r="FCR239" s="243"/>
      <c r="FCS239" s="243"/>
      <c r="FCT239" s="243"/>
      <c r="FCU239" s="243"/>
      <c r="FCV239" s="243"/>
      <c r="FCW239" s="243"/>
      <c r="FCX239" s="243"/>
      <c r="FCY239" s="243"/>
      <c r="FCZ239" s="243"/>
      <c r="FDA239" s="243"/>
      <c r="FDB239" s="243"/>
      <c r="FDC239" s="243"/>
      <c r="FDD239" s="243"/>
      <c r="FDE239" s="243"/>
      <c r="FDF239" s="243"/>
      <c r="FDG239" s="243"/>
      <c r="FDH239" s="243"/>
      <c r="FDI239" s="243"/>
      <c r="FDJ239" s="243"/>
      <c r="FDK239" s="243"/>
      <c r="FDL239" s="243"/>
      <c r="FDM239" s="243"/>
      <c r="FDN239" s="243"/>
      <c r="FDO239" s="243"/>
      <c r="FDP239" s="243"/>
      <c r="FDQ239" s="243"/>
      <c r="FDR239" s="243"/>
      <c r="FDS239" s="243"/>
      <c r="FDT239" s="243"/>
      <c r="FDU239" s="243"/>
      <c r="FDV239" s="243"/>
      <c r="FDW239" s="243"/>
      <c r="FDX239" s="243"/>
      <c r="FDY239" s="243"/>
      <c r="FDZ239" s="243"/>
      <c r="FEA239" s="243"/>
      <c r="FEB239" s="243"/>
      <c r="FEC239" s="243"/>
      <c r="FED239" s="243"/>
      <c r="FEE239" s="243"/>
      <c r="FEF239" s="243"/>
      <c r="FEG239" s="243"/>
      <c r="FEH239" s="243"/>
      <c r="FEI239" s="243"/>
      <c r="FEJ239" s="243"/>
      <c r="FEK239" s="243"/>
      <c r="FEL239" s="243"/>
      <c r="FEM239" s="243"/>
      <c r="FEN239" s="243"/>
      <c r="FEO239" s="243"/>
      <c r="FEP239" s="243"/>
      <c r="FEQ239" s="243"/>
      <c r="FER239" s="243"/>
      <c r="FES239" s="243"/>
      <c r="FET239" s="243"/>
      <c r="FEU239" s="243"/>
      <c r="FEV239" s="243"/>
      <c r="FEW239" s="243"/>
      <c r="FEX239" s="243"/>
      <c r="FEY239" s="243"/>
      <c r="FEZ239" s="243"/>
      <c r="FFA239" s="243"/>
      <c r="FFB239" s="243"/>
      <c r="FFC239" s="243"/>
      <c r="FFD239" s="243"/>
      <c r="FFE239" s="243"/>
      <c r="FFF239" s="243"/>
      <c r="FFG239" s="243"/>
      <c r="FFH239" s="243"/>
      <c r="FFI239" s="243"/>
      <c r="FFJ239" s="243"/>
      <c r="FFK239" s="243"/>
      <c r="FFL239" s="243"/>
      <c r="FFM239" s="243"/>
      <c r="FFN239" s="243"/>
      <c r="FFO239" s="243"/>
      <c r="FFP239" s="243"/>
      <c r="FFQ239" s="243"/>
      <c r="FFR239" s="243"/>
      <c r="FFS239" s="243"/>
      <c r="FFT239" s="243"/>
      <c r="FFU239" s="243"/>
      <c r="FFV239" s="243"/>
      <c r="FFW239" s="243"/>
      <c r="FFX239" s="243"/>
      <c r="FFY239" s="243"/>
      <c r="FFZ239" s="243"/>
      <c r="FGA239" s="243"/>
      <c r="FGB239" s="243"/>
      <c r="FGC239" s="243"/>
      <c r="FGD239" s="243"/>
      <c r="FGE239" s="243"/>
      <c r="FGF239" s="243"/>
      <c r="FGG239" s="243"/>
      <c r="FGH239" s="243"/>
      <c r="FGI239" s="243"/>
      <c r="FGJ239" s="243"/>
      <c r="FGK239" s="243"/>
      <c r="FGL239" s="243"/>
      <c r="FGM239" s="243"/>
      <c r="FGN239" s="243"/>
      <c r="FGO239" s="243"/>
      <c r="FGP239" s="243"/>
      <c r="FGQ239" s="243"/>
      <c r="FGR239" s="243"/>
      <c r="FGS239" s="243"/>
      <c r="FGT239" s="243"/>
      <c r="FGU239" s="243"/>
      <c r="FGV239" s="243"/>
      <c r="FGW239" s="243"/>
      <c r="FGX239" s="243"/>
      <c r="FGY239" s="243"/>
      <c r="FGZ239" s="243"/>
      <c r="FHA239" s="243"/>
      <c r="FHB239" s="243"/>
      <c r="FHC239" s="243"/>
      <c r="FHD239" s="243"/>
      <c r="FHE239" s="243"/>
      <c r="FHF239" s="243"/>
      <c r="FHG239" s="243"/>
      <c r="FHH239" s="243"/>
      <c r="FHI239" s="243"/>
      <c r="FHJ239" s="243"/>
      <c r="FHK239" s="243"/>
      <c r="FHL239" s="243"/>
      <c r="FHM239" s="243"/>
      <c r="FHN239" s="243"/>
      <c r="FHO239" s="243"/>
      <c r="FHP239" s="243"/>
      <c r="FHQ239" s="243"/>
      <c r="FHR239" s="243"/>
      <c r="FHS239" s="243"/>
      <c r="FHT239" s="243"/>
      <c r="FHU239" s="243"/>
      <c r="FHV239" s="243"/>
      <c r="FHW239" s="243"/>
      <c r="FHX239" s="243"/>
      <c r="FHY239" s="243"/>
      <c r="FHZ239" s="243"/>
      <c r="FIA239" s="243"/>
      <c r="FIB239" s="243"/>
      <c r="FIC239" s="243"/>
      <c r="FID239" s="243"/>
      <c r="FIE239" s="243"/>
      <c r="FIF239" s="243"/>
      <c r="FIG239" s="243"/>
      <c r="FIH239" s="243"/>
      <c r="FII239" s="243"/>
      <c r="FIJ239" s="243"/>
      <c r="FIK239" s="243"/>
      <c r="FIL239" s="243"/>
      <c r="FIM239" s="243"/>
      <c r="FIN239" s="243"/>
      <c r="FIO239" s="243"/>
      <c r="FIP239" s="243"/>
      <c r="FIQ239" s="243"/>
      <c r="FIR239" s="243"/>
      <c r="FIS239" s="243"/>
      <c r="FIT239" s="243"/>
      <c r="FIU239" s="243"/>
      <c r="FIV239" s="243"/>
      <c r="FIW239" s="243"/>
      <c r="FIX239" s="243"/>
      <c r="FIY239" s="243"/>
      <c r="FIZ239" s="243"/>
      <c r="FJA239" s="243"/>
      <c r="FJB239" s="243"/>
      <c r="FJC239" s="243"/>
      <c r="FJD239" s="243"/>
      <c r="FJE239" s="243"/>
      <c r="FJF239" s="243"/>
      <c r="FJG239" s="243"/>
      <c r="FJH239" s="243"/>
      <c r="FJI239" s="243"/>
      <c r="FJJ239" s="243"/>
      <c r="FJK239" s="243"/>
      <c r="FJL239" s="243"/>
      <c r="FJM239" s="243"/>
      <c r="FJN239" s="243"/>
      <c r="FJO239" s="243"/>
      <c r="FJP239" s="243"/>
      <c r="FJQ239" s="243"/>
      <c r="FJR239" s="243"/>
      <c r="FJS239" s="243"/>
      <c r="FJT239" s="243"/>
      <c r="FJU239" s="243"/>
      <c r="FJV239" s="243"/>
      <c r="FJW239" s="243"/>
      <c r="FJX239" s="243"/>
      <c r="FJY239" s="243"/>
      <c r="FJZ239" s="243"/>
      <c r="FKA239" s="243"/>
      <c r="FKB239" s="243"/>
      <c r="FKC239" s="243"/>
      <c r="FKD239" s="243"/>
      <c r="FKE239" s="243"/>
      <c r="FKF239" s="243"/>
      <c r="FKG239" s="243"/>
      <c r="FKH239" s="243"/>
      <c r="FKI239" s="243"/>
      <c r="FKJ239" s="243"/>
      <c r="FKK239" s="243"/>
      <c r="FKL239" s="243"/>
      <c r="FKM239" s="243"/>
      <c r="FKN239" s="243"/>
      <c r="FKO239" s="243"/>
      <c r="FKP239" s="243"/>
      <c r="FKQ239" s="243"/>
      <c r="FKR239" s="243"/>
      <c r="FKS239" s="243"/>
      <c r="FKT239" s="243"/>
      <c r="FKU239" s="243"/>
      <c r="FKV239" s="243"/>
      <c r="FKW239" s="243"/>
      <c r="FKX239" s="243"/>
      <c r="FKY239" s="243"/>
      <c r="FKZ239" s="243"/>
      <c r="FLA239" s="243"/>
      <c r="FLB239" s="243"/>
      <c r="FLC239" s="243"/>
      <c r="FLD239" s="243"/>
      <c r="FLE239" s="243"/>
      <c r="FLF239" s="243"/>
      <c r="FLG239" s="243"/>
      <c r="FLH239" s="243"/>
      <c r="FLI239" s="243"/>
      <c r="FLJ239" s="243"/>
      <c r="FLK239" s="243"/>
      <c r="FLL239" s="243"/>
      <c r="FLM239" s="243"/>
      <c r="FLN239" s="243"/>
      <c r="FLO239" s="243"/>
      <c r="FLP239" s="243"/>
      <c r="FLQ239" s="243"/>
      <c r="FLR239" s="243"/>
      <c r="FLS239" s="243"/>
      <c r="FLT239" s="243"/>
      <c r="FLU239" s="243"/>
      <c r="FLV239" s="243"/>
      <c r="FLW239" s="243"/>
      <c r="FLX239" s="243"/>
      <c r="FLY239" s="243"/>
      <c r="FLZ239" s="243"/>
      <c r="FMA239" s="243"/>
      <c r="FMB239" s="243"/>
      <c r="FMC239" s="243"/>
      <c r="FMD239" s="243"/>
      <c r="FME239" s="243"/>
      <c r="FMF239" s="243"/>
      <c r="FMG239" s="243"/>
      <c r="FMH239" s="243"/>
      <c r="FMI239" s="243"/>
      <c r="FMJ239" s="243"/>
      <c r="FMK239" s="243"/>
      <c r="FML239" s="243"/>
      <c r="FMM239" s="243"/>
      <c r="FMN239" s="243"/>
      <c r="FMO239" s="243"/>
      <c r="FMP239" s="243"/>
      <c r="FMQ239" s="243"/>
      <c r="FMR239" s="243"/>
      <c r="FMS239" s="243"/>
      <c r="FMT239" s="243"/>
      <c r="FMU239" s="243"/>
      <c r="FMV239" s="243"/>
      <c r="FMW239" s="243"/>
      <c r="FMX239" s="243"/>
      <c r="FMY239" s="243"/>
      <c r="FMZ239" s="243"/>
      <c r="FNA239" s="243"/>
      <c r="FNB239" s="243"/>
      <c r="FNC239" s="243"/>
      <c r="FND239" s="243"/>
      <c r="FNE239" s="243"/>
      <c r="FNF239" s="243"/>
      <c r="FNG239" s="243"/>
      <c r="FNH239" s="243"/>
      <c r="FNI239" s="243"/>
      <c r="FNJ239" s="243"/>
      <c r="FNK239" s="243"/>
      <c r="FNL239" s="243"/>
      <c r="FNM239" s="243"/>
      <c r="FNN239" s="243"/>
      <c r="FNO239" s="243"/>
      <c r="FNP239" s="243"/>
      <c r="FNQ239" s="243"/>
      <c r="FNR239" s="243"/>
      <c r="FNS239" s="243"/>
      <c r="FNT239" s="243"/>
      <c r="FNU239" s="243"/>
      <c r="FNV239" s="243"/>
      <c r="FNW239" s="243"/>
      <c r="FNX239" s="243"/>
      <c r="FNY239" s="243"/>
      <c r="FNZ239" s="243"/>
      <c r="FOA239" s="243"/>
      <c r="FOB239" s="243"/>
      <c r="FOC239" s="243"/>
      <c r="FOD239" s="243"/>
      <c r="FOE239" s="243"/>
      <c r="FOF239" s="243"/>
      <c r="FOG239" s="243"/>
      <c r="FOH239" s="243"/>
      <c r="FOI239" s="243"/>
      <c r="FOJ239" s="243"/>
      <c r="FOK239" s="243"/>
      <c r="FOL239" s="243"/>
      <c r="FOM239" s="243"/>
      <c r="FON239" s="243"/>
      <c r="FOO239" s="243"/>
      <c r="FOP239" s="243"/>
      <c r="FOQ239" s="243"/>
      <c r="FOR239" s="243"/>
      <c r="FOS239" s="243"/>
      <c r="FOT239" s="243"/>
      <c r="FOU239" s="243"/>
      <c r="FOV239" s="243"/>
      <c r="FOW239" s="243"/>
      <c r="FOX239" s="243"/>
      <c r="FOY239" s="243"/>
      <c r="FOZ239" s="243"/>
      <c r="FPA239" s="243"/>
      <c r="FPB239" s="243"/>
      <c r="FPC239" s="243"/>
      <c r="FPD239" s="243"/>
      <c r="FPE239" s="243"/>
      <c r="FPF239" s="243"/>
      <c r="FPG239" s="243"/>
      <c r="FPH239" s="243"/>
      <c r="FPI239" s="243"/>
      <c r="FPJ239" s="243"/>
      <c r="FPK239" s="243"/>
      <c r="FPL239" s="243"/>
      <c r="FPM239" s="243"/>
      <c r="FPN239" s="243"/>
      <c r="FPO239" s="243"/>
      <c r="FPP239" s="243"/>
      <c r="FPQ239" s="243"/>
      <c r="FPR239" s="243"/>
      <c r="FPS239" s="243"/>
      <c r="FPT239" s="243"/>
      <c r="FPU239" s="243"/>
      <c r="FPV239" s="243"/>
      <c r="FPW239" s="243"/>
      <c r="FPX239" s="243"/>
      <c r="FPY239" s="243"/>
      <c r="FPZ239" s="243"/>
      <c r="FQA239" s="243"/>
      <c r="FQB239" s="243"/>
      <c r="FQC239" s="243"/>
      <c r="FQD239" s="243"/>
      <c r="FQE239" s="243"/>
      <c r="FQF239" s="243"/>
      <c r="FQG239" s="243"/>
      <c r="FQH239" s="243"/>
      <c r="FQI239" s="243"/>
      <c r="FQJ239" s="243"/>
      <c r="FQK239" s="243"/>
      <c r="FQL239" s="243"/>
      <c r="FQM239" s="243"/>
      <c r="FQN239" s="243"/>
      <c r="FQO239" s="243"/>
      <c r="FQP239" s="243"/>
      <c r="FQQ239" s="243"/>
      <c r="FQR239" s="243"/>
      <c r="FQS239" s="243"/>
      <c r="FQT239" s="243"/>
      <c r="FQU239" s="243"/>
      <c r="FQV239" s="243"/>
      <c r="FQW239" s="243"/>
      <c r="FQX239" s="243"/>
      <c r="FQY239" s="243"/>
      <c r="FQZ239" s="243"/>
      <c r="FRA239" s="243"/>
      <c r="FRB239" s="243"/>
      <c r="FRC239" s="243"/>
      <c r="FRD239" s="243"/>
      <c r="FRE239" s="243"/>
      <c r="FRF239" s="243"/>
      <c r="FRG239" s="243"/>
      <c r="FRH239" s="243"/>
      <c r="FRI239" s="243"/>
      <c r="FRJ239" s="243"/>
      <c r="FRK239" s="243"/>
      <c r="FRL239" s="243"/>
      <c r="FRM239" s="243"/>
      <c r="FRN239" s="243"/>
      <c r="FRO239" s="243"/>
      <c r="FRP239" s="243"/>
      <c r="FRQ239" s="243"/>
      <c r="FRR239" s="243"/>
      <c r="FRS239" s="243"/>
      <c r="FRT239" s="243"/>
      <c r="FRU239" s="243"/>
      <c r="FRV239" s="243"/>
      <c r="FRW239" s="243"/>
      <c r="FRX239" s="243"/>
      <c r="FRY239" s="243"/>
      <c r="FRZ239" s="243"/>
      <c r="FSA239" s="243"/>
      <c r="FSB239" s="243"/>
      <c r="FSC239" s="243"/>
      <c r="FSD239" s="243"/>
      <c r="FSE239" s="243"/>
      <c r="FSF239" s="243"/>
      <c r="FSG239" s="243"/>
      <c r="FSH239" s="243"/>
      <c r="FSI239" s="243"/>
      <c r="FSJ239" s="243"/>
      <c r="FSK239" s="243"/>
      <c r="FSL239" s="243"/>
      <c r="FSM239" s="243"/>
      <c r="FSN239" s="243"/>
      <c r="FSO239" s="243"/>
      <c r="FSP239" s="243"/>
      <c r="FSQ239" s="243"/>
      <c r="FSR239" s="243"/>
      <c r="FSS239" s="243"/>
      <c r="FST239" s="243"/>
      <c r="FSU239" s="243"/>
      <c r="FSV239" s="243"/>
      <c r="FSW239" s="243"/>
      <c r="FSX239" s="243"/>
      <c r="FSY239" s="243"/>
      <c r="FSZ239" s="243"/>
      <c r="FTA239" s="243"/>
      <c r="FTB239" s="243"/>
      <c r="FTC239" s="243"/>
      <c r="FTD239" s="243"/>
      <c r="FTE239" s="243"/>
      <c r="FTF239" s="243"/>
      <c r="FTG239" s="243"/>
      <c r="FTH239" s="243"/>
      <c r="FTI239" s="243"/>
      <c r="FTJ239" s="243"/>
      <c r="FTK239" s="243"/>
      <c r="FTL239" s="243"/>
      <c r="FTM239" s="243"/>
      <c r="FTN239" s="243"/>
      <c r="FTO239" s="243"/>
      <c r="FTP239" s="243"/>
      <c r="FTQ239" s="243"/>
      <c r="FTR239" s="243"/>
      <c r="FTS239" s="243"/>
      <c r="FTT239" s="243"/>
      <c r="FTU239" s="243"/>
      <c r="FTV239" s="243"/>
      <c r="FTW239" s="243"/>
      <c r="FTX239" s="243"/>
      <c r="FTY239" s="243"/>
      <c r="FTZ239" s="243"/>
      <c r="FUA239" s="243"/>
      <c r="FUB239" s="243"/>
      <c r="FUC239" s="243"/>
      <c r="FUD239" s="243"/>
      <c r="FUE239" s="243"/>
      <c r="FUF239" s="243"/>
      <c r="FUG239" s="243"/>
      <c r="FUH239" s="243"/>
      <c r="FUI239" s="243"/>
      <c r="FUJ239" s="243"/>
      <c r="FUK239" s="243"/>
      <c r="FUL239" s="243"/>
      <c r="FUM239" s="243"/>
      <c r="FUN239" s="243"/>
      <c r="FUO239" s="243"/>
      <c r="FUP239" s="243"/>
      <c r="FUQ239" s="243"/>
      <c r="FUR239" s="243"/>
      <c r="FUS239" s="243"/>
      <c r="FUT239" s="243"/>
      <c r="FUU239" s="243"/>
      <c r="FUV239" s="243"/>
      <c r="FUW239" s="243"/>
      <c r="FUX239" s="243"/>
      <c r="FUY239" s="243"/>
      <c r="FUZ239" s="243"/>
      <c r="FVA239" s="243"/>
      <c r="FVB239" s="243"/>
      <c r="FVC239" s="243"/>
      <c r="FVD239" s="243"/>
      <c r="FVE239" s="243"/>
      <c r="FVF239" s="243"/>
      <c r="FVG239" s="243"/>
      <c r="FVH239" s="243"/>
      <c r="FVI239" s="243"/>
      <c r="FVJ239" s="243"/>
      <c r="FVK239" s="243"/>
      <c r="FVL239" s="243"/>
      <c r="FVM239" s="243"/>
      <c r="FVN239" s="243"/>
      <c r="FVO239" s="243"/>
      <c r="FVP239" s="243"/>
      <c r="FVQ239" s="243"/>
      <c r="FVR239" s="243"/>
      <c r="FVS239" s="243"/>
      <c r="FVT239" s="243"/>
      <c r="FVU239" s="243"/>
      <c r="FVV239" s="243"/>
      <c r="FVW239" s="243"/>
      <c r="FVX239" s="243"/>
      <c r="FVY239" s="243"/>
      <c r="FVZ239" s="243"/>
      <c r="FWA239" s="243"/>
      <c r="FWB239" s="243"/>
      <c r="FWC239" s="243"/>
      <c r="FWD239" s="243"/>
      <c r="FWE239" s="243"/>
      <c r="FWF239" s="243"/>
      <c r="FWG239" s="243"/>
      <c r="FWH239" s="243"/>
      <c r="FWI239" s="243"/>
      <c r="FWJ239" s="243"/>
      <c r="FWK239" s="243"/>
      <c r="FWL239" s="243"/>
      <c r="FWM239" s="243"/>
      <c r="FWN239" s="243"/>
      <c r="FWO239" s="243"/>
      <c r="FWP239" s="243"/>
      <c r="FWQ239" s="243"/>
      <c r="FWR239" s="243"/>
      <c r="FWS239" s="243"/>
      <c r="FWT239" s="243"/>
      <c r="FWU239" s="243"/>
      <c r="FWV239" s="243"/>
      <c r="FWW239" s="243"/>
      <c r="FWX239" s="243"/>
      <c r="FWY239" s="243"/>
      <c r="FWZ239" s="243"/>
      <c r="FXA239" s="243"/>
      <c r="FXB239" s="243"/>
      <c r="FXC239" s="243"/>
      <c r="FXD239" s="243"/>
      <c r="FXE239" s="243"/>
      <c r="FXF239" s="243"/>
      <c r="FXG239" s="243"/>
      <c r="FXH239" s="243"/>
      <c r="FXI239" s="243"/>
      <c r="FXJ239" s="243"/>
      <c r="FXK239" s="243"/>
      <c r="FXL239" s="243"/>
      <c r="FXM239" s="243"/>
      <c r="FXN239" s="243"/>
      <c r="FXO239" s="243"/>
      <c r="FXP239" s="243"/>
      <c r="FXQ239" s="243"/>
      <c r="FXR239" s="243"/>
      <c r="FXS239" s="243"/>
      <c r="FXT239" s="243"/>
      <c r="FXU239" s="243"/>
      <c r="FXV239" s="243"/>
      <c r="FXW239" s="243"/>
      <c r="FXX239" s="243"/>
      <c r="FXY239" s="243"/>
      <c r="FXZ239" s="243"/>
      <c r="FYA239" s="243"/>
      <c r="FYB239" s="243"/>
      <c r="FYC239" s="243"/>
      <c r="FYD239" s="243"/>
      <c r="FYE239" s="243"/>
      <c r="FYF239" s="243"/>
      <c r="FYG239" s="243"/>
      <c r="FYH239" s="243"/>
      <c r="FYI239" s="243"/>
      <c r="FYJ239" s="243"/>
      <c r="FYK239" s="243"/>
      <c r="FYL239" s="243"/>
      <c r="FYM239" s="243"/>
      <c r="FYN239" s="243"/>
      <c r="FYO239" s="243"/>
      <c r="FYP239" s="243"/>
      <c r="FYQ239" s="243"/>
      <c r="FYR239" s="243"/>
      <c r="FYS239" s="243"/>
      <c r="FYT239" s="243"/>
      <c r="FYU239" s="243"/>
      <c r="FYV239" s="243"/>
      <c r="FYW239" s="243"/>
      <c r="FYX239" s="243"/>
      <c r="FYY239" s="243"/>
      <c r="FYZ239" s="243"/>
      <c r="FZA239" s="243"/>
      <c r="FZB239" s="243"/>
      <c r="FZC239" s="243"/>
      <c r="FZD239" s="243"/>
      <c r="FZE239" s="243"/>
      <c r="FZF239" s="243"/>
      <c r="FZG239" s="243"/>
      <c r="FZH239" s="243"/>
      <c r="FZI239" s="243"/>
      <c r="FZJ239" s="243"/>
      <c r="FZK239" s="243"/>
      <c r="FZL239" s="243"/>
      <c r="FZM239" s="243"/>
      <c r="FZN239" s="243"/>
      <c r="FZO239" s="243"/>
      <c r="FZP239" s="243"/>
      <c r="FZQ239" s="243"/>
      <c r="FZR239" s="243"/>
      <c r="FZS239" s="243"/>
      <c r="FZT239" s="243"/>
      <c r="FZU239" s="243"/>
      <c r="FZV239" s="243"/>
      <c r="FZW239" s="243"/>
      <c r="FZX239" s="243"/>
      <c r="FZY239" s="243"/>
      <c r="FZZ239" s="243"/>
      <c r="GAA239" s="243"/>
      <c r="GAB239" s="243"/>
      <c r="GAC239" s="243"/>
      <c r="GAD239" s="243"/>
      <c r="GAE239" s="243"/>
      <c r="GAF239" s="243"/>
      <c r="GAG239" s="243"/>
      <c r="GAH239" s="243"/>
      <c r="GAI239" s="243"/>
      <c r="GAJ239" s="243"/>
      <c r="GAK239" s="243"/>
      <c r="GAL239" s="243"/>
      <c r="GAM239" s="243"/>
      <c r="GAN239" s="243"/>
      <c r="GAO239" s="243"/>
      <c r="GAP239" s="243"/>
      <c r="GAQ239" s="243"/>
      <c r="GAR239" s="243"/>
      <c r="GAS239" s="243"/>
      <c r="GAT239" s="243"/>
      <c r="GAU239" s="243"/>
      <c r="GAV239" s="243"/>
      <c r="GAW239" s="243"/>
      <c r="GAX239" s="243"/>
      <c r="GAY239" s="243"/>
      <c r="GAZ239" s="243"/>
      <c r="GBA239" s="243"/>
      <c r="GBB239" s="243"/>
      <c r="GBC239" s="243"/>
      <c r="GBD239" s="243"/>
      <c r="GBE239" s="243"/>
      <c r="GBF239" s="243"/>
      <c r="GBG239" s="243"/>
      <c r="GBH239" s="243"/>
      <c r="GBI239" s="243"/>
      <c r="GBJ239" s="243"/>
      <c r="GBK239" s="243"/>
      <c r="GBL239" s="243"/>
      <c r="GBM239" s="243"/>
      <c r="GBN239" s="243"/>
      <c r="GBO239" s="243"/>
      <c r="GBP239" s="243"/>
      <c r="GBQ239" s="243"/>
      <c r="GBR239" s="243"/>
      <c r="GBS239" s="243"/>
      <c r="GBT239" s="243"/>
      <c r="GBU239" s="243"/>
      <c r="GBV239" s="243"/>
      <c r="GBW239" s="243"/>
      <c r="GBX239" s="243"/>
      <c r="GBY239" s="243"/>
      <c r="GBZ239" s="243"/>
      <c r="GCA239" s="243"/>
      <c r="GCB239" s="243"/>
      <c r="GCC239" s="243"/>
      <c r="GCD239" s="243"/>
      <c r="GCE239" s="243"/>
      <c r="GCF239" s="243"/>
      <c r="GCG239" s="243"/>
      <c r="GCH239" s="243"/>
      <c r="GCI239" s="243"/>
      <c r="GCJ239" s="243"/>
      <c r="GCK239" s="243"/>
      <c r="GCL239" s="243"/>
      <c r="GCM239" s="243"/>
      <c r="GCN239" s="243"/>
      <c r="GCO239" s="243"/>
      <c r="GCP239" s="243"/>
      <c r="GCQ239" s="243"/>
      <c r="GCR239" s="243"/>
      <c r="GCS239" s="243"/>
      <c r="GCT239" s="243"/>
      <c r="GCU239" s="243"/>
      <c r="GCV239" s="243"/>
      <c r="GCW239" s="243"/>
      <c r="GCX239" s="243"/>
      <c r="GCY239" s="243"/>
      <c r="GCZ239" s="243"/>
      <c r="GDA239" s="243"/>
      <c r="GDB239" s="243"/>
      <c r="GDC239" s="243"/>
      <c r="GDD239" s="243"/>
      <c r="GDE239" s="243"/>
      <c r="GDF239" s="243"/>
      <c r="GDG239" s="243"/>
      <c r="GDH239" s="243"/>
      <c r="GDI239" s="243"/>
      <c r="GDJ239" s="243"/>
      <c r="GDK239" s="243"/>
      <c r="GDL239" s="243"/>
      <c r="GDM239" s="243"/>
      <c r="GDN239" s="243"/>
      <c r="GDO239" s="243"/>
      <c r="GDP239" s="243"/>
      <c r="GDQ239" s="243"/>
      <c r="GDR239" s="243"/>
      <c r="GDS239" s="243"/>
      <c r="GDT239" s="243"/>
      <c r="GDU239" s="243"/>
      <c r="GDV239" s="243"/>
      <c r="GDW239" s="243"/>
      <c r="GDX239" s="243"/>
      <c r="GDY239" s="243"/>
      <c r="GDZ239" s="243"/>
      <c r="GEA239" s="243"/>
      <c r="GEB239" s="243"/>
      <c r="GEC239" s="243"/>
      <c r="GED239" s="243"/>
      <c r="GEE239" s="243"/>
      <c r="GEF239" s="243"/>
      <c r="GEG239" s="243"/>
      <c r="GEH239" s="243"/>
      <c r="GEI239" s="243"/>
      <c r="GEJ239" s="243"/>
      <c r="GEK239" s="243"/>
      <c r="GEL239" s="243"/>
      <c r="GEM239" s="243"/>
      <c r="GEN239" s="243"/>
      <c r="GEO239" s="243"/>
      <c r="GEP239" s="243"/>
      <c r="GEQ239" s="243"/>
      <c r="GER239" s="243"/>
      <c r="GES239" s="243"/>
      <c r="GET239" s="243"/>
      <c r="GEU239" s="243"/>
      <c r="GEV239" s="243"/>
      <c r="GEW239" s="243"/>
      <c r="GEX239" s="243"/>
      <c r="GEY239" s="243"/>
      <c r="GEZ239" s="243"/>
      <c r="GFA239" s="243"/>
      <c r="GFB239" s="243"/>
      <c r="GFC239" s="243"/>
      <c r="GFD239" s="243"/>
      <c r="GFE239" s="243"/>
      <c r="GFF239" s="243"/>
      <c r="GFG239" s="243"/>
      <c r="GFH239" s="243"/>
      <c r="GFI239" s="243"/>
      <c r="GFJ239" s="243"/>
      <c r="GFK239" s="243"/>
      <c r="GFL239" s="243"/>
      <c r="GFM239" s="243"/>
      <c r="GFN239" s="243"/>
      <c r="GFO239" s="243"/>
      <c r="GFP239" s="243"/>
      <c r="GFQ239" s="243"/>
      <c r="GFR239" s="243"/>
      <c r="GFS239" s="243"/>
      <c r="GFT239" s="243"/>
      <c r="GFU239" s="243"/>
      <c r="GFV239" s="243"/>
      <c r="GFW239" s="243"/>
      <c r="GFX239" s="243"/>
      <c r="GFY239" s="243"/>
      <c r="GFZ239" s="243"/>
      <c r="GGA239" s="243"/>
      <c r="GGB239" s="243"/>
      <c r="GGC239" s="243"/>
      <c r="GGD239" s="243"/>
      <c r="GGE239" s="243"/>
      <c r="GGF239" s="243"/>
      <c r="GGG239" s="243"/>
      <c r="GGH239" s="243"/>
      <c r="GGI239" s="243"/>
      <c r="GGJ239" s="243"/>
      <c r="GGK239" s="243"/>
      <c r="GGL239" s="243"/>
      <c r="GGM239" s="243"/>
      <c r="GGN239" s="243"/>
      <c r="GGO239" s="243"/>
      <c r="GGP239" s="243"/>
      <c r="GGQ239" s="243"/>
      <c r="GGR239" s="243"/>
      <c r="GGS239" s="243"/>
      <c r="GGT239" s="243"/>
      <c r="GGU239" s="243"/>
      <c r="GGV239" s="243"/>
      <c r="GGW239" s="243"/>
      <c r="GGX239" s="243"/>
      <c r="GGY239" s="243"/>
      <c r="GGZ239" s="243"/>
      <c r="GHA239" s="243"/>
      <c r="GHB239" s="243"/>
      <c r="GHC239" s="243"/>
      <c r="GHD239" s="243"/>
      <c r="GHE239" s="243"/>
      <c r="GHF239" s="243"/>
      <c r="GHG239" s="243"/>
      <c r="GHH239" s="243"/>
      <c r="GHI239" s="243"/>
      <c r="GHJ239" s="243"/>
      <c r="GHK239" s="243"/>
      <c r="GHL239" s="243"/>
      <c r="GHM239" s="243"/>
      <c r="GHN239" s="243"/>
      <c r="GHO239" s="243"/>
      <c r="GHP239" s="243"/>
      <c r="GHQ239" s="243"/>
      <c r="GHR239" s="243"/>
      <c r="GHS239" s="243"/>
      <c r="GHT239" s="243"/>
      <c r="GHU239" s="243"/>
      <c r="GHV239" s="243"/>
      <c r="GHW239" s="243"/>
      <c r="GHX239" s="243"/>
      <c r="GHY239" s="243"/>
      <c r="GHZ239" s="243"/>
      <c r="GIA239" s="243"/>
      <c r="GIB239" s="243"/>
      <c r="GIC239" s="243"/>
      <c r="GID239" s="243"/>
      <c r="GIE239" s="243"/>
      <c r="GIF239" s="243"/>
      <c r="GIG239" s="243"/>
      <c r="GIH239" s="243"/>
      <c r="GII239" s="243"/>
      <c r="GIJ239" s="243"/>
      <c r="GIK239" s="243"/>
      <c r="GIL239" s="243"/>
      <c r="GIM239" s="243"/>
      <c r="GIN239" s="243"/>
      <c r="GIO239" s="243"/>
      <c r="GIP239" s="243"/>
      <c r="GIQ239" s="243"/>
      <c r="GIR239" s="243"/>
      <c r="GIS239" s="243"/>
      <c r="GIT239" s="243"/>
      <c r="GIU239" s="243"/>
      <c r="GIV239" s="243"/>
      <c r="GIW239" s="243"/>
      <c r="GIX239" s="243"/>
      <c r="GIY239" s="243"/>
      <c r="GIZ239" s="243"/>
      <c r="GJA239" s="243"/>
      <c r="GJB239" s="243"/>
      <c r="GJC239" s="243"/>
      <c r="GJD239" s="243"/>
      <c r="GJE239" s="243"/>
      <c r="GJF239" s="243"/>
      <c r="GJG239" s="243"/>
      <c r="GJH239" s="243"/>
      <c r="GJI239" s="243"/>
      <c r="GJJ239" s="243"/>
      <c r="GJK239" s="243"/>
      <c r="GJL239" s="243"/>
      <c r="GJM239" s="243"/>
      <c r="GJN239" s="243"/>
      <c r="GJO239" s="243"/>
      <c r="GJP239" s="243"/>
      <c r="GJQ239" s="243"/>
      <c r="GJR239" s="243"/>
      <c r="GJS239" s="243"/>
      <c r="GJT239" s="243"/>
      <c r="GJU239" s="243"/>
      <c r="GJV239" s="243"/>
      <c r="GJW239" s="243"/>
      <c r="GJX239" s="243"/>
      <c r="GJY239" s="243"/>
      <c r="GJZ239" s="243"/>
      <c r="GKA239" s="243"/>
      <c r="GKB239" s="243"/>
      <c r="GKC239" s="243"/>
      <c r="GKD239" s="243"/>
      <c r="GKE239" s="243"/>
      <c r="GKF239" s="243"/>
      <c r="GKG239" s="243"/>
      <c r="GKH239" s="243"/>
      <c r="GKI239" s="243"/>
      <c r="GKJ239" s="243"/>
      <c r="GKK239" s="243"/>
      <c r="GKL239" s="243"/>
      <c r="GKM239" s="243"/>
      <c r="GKN239" s="243"/>
      <c r="GKO239" s="243"/>
      <c r="GKP239" s="243"/>
      <c r="GKQ239" s="243"/>
      <c r="GKR239" s="243"/>
      <c r="GKS239" s="243"/>
      <c r="GKT239" s="243"/>
      <c r="GKU239" s="243"/>
      <c r="GKV239" s="243"/>
      <c r="GKW239" s="243"/>
      <c r="GKX239" s="243"/>
      <c r="GKY239" s="243"/>
      <c r="GKZ239" s="243"/>
      <c r="GLA239" s="243"/>
      <c r="GLB239" s="243"/>
      <c r="GLC239" s="243"/>
      <c r="GLD239" s="243"/>
      <c r="GLE239" s="243"/>
      <c r="GLF239" s="243"/>
      <c r="GLG239" s="243"/>
      <c r="GLH239" s="243"/>
      <c r="GLI239" s="243"/>
      <c r="GLJ239" s="243"/>
      <c r="GLK239" s="243"/>
      <c r="GLL239" s="243"/>
      <c r="GLM239" s="243"/>
      <c r="GLN239" s="243"/>
      <c r="GLO239" s="243"/>
      <c r="GLP239" s="243"/>
      <c r="GLQ239" s="243"/>
      <c r="GLR239" s="243"/>
      <c r="GLS239" s="243"/>
      <c r="GLT239" s="243"/>
      <c r="GLU239" s="243"/>
      <c r="GLV239" s="243"/>
      <c r="GLW239" s="243"/>
      <c r="GLX239" s="243"/>
      <c r="GLY239" s="243"/>
      <c r="GLZ239" s="243"/>
      <c r="GMA239" s="243"/>
      <c r="GMB239" s="243"/>
      <c r="GMC239" s="243"/>
      <c r="GMD239" s="243"/>
      <c r="GME239" s="243"/>
      <c r="GMF239" s="243"/>
      <c r="GMG239" s="243"/>
      <c r="GMH239" s="243"/>
      <c r="GMI239" s="243"/>
      <c r="GMJ239" s="243"/>
      <c r="GMK239" s="243"/>
      <c r="GML239" s="243"/>
      <c r="GMM239" s="243"/>
      <c r="GMN239" s="243"/>
      <c r="GMO239" s="243"/>
      <c r="GMP239" s="243"/>
      <c r="GMQ239" s="243"/>
      <c r="GMR239" s="243"/>
      <c r="GMS239" s="243"/>
      <c r="GMT239" s="243"/>
      <c r="GMU239" s="243"/>
      <c r="GMV239" s="243"/>
      <c r="GMW239" s="243"/>
      <c r="GMX239" s="243"/>
      <c r="GMY239" s="243"/>
      <c r="GMZ239" s="243"/>
      <c r="GNA239" s="243"/>
      <c r="GNB239" s="243"/>
      <c r="GNC239" s="243"/>
      <c r="GND239" s="243"/>
      <c r="GNE239" s="243"/>
      <c r="GNF239" s="243"/>
      <c r="GNG239" s="243"/>
      <c r="GNH239" s="243"/>
      <c r="GNI239" s="243"/>
      <c r="GNJ239" s="243"/>
      <c r="GNK239" s="243"/>
      <c r="GNL239" s="243"/>
      <c r="GNM239" s="243"/>
      <c r="GNN239" s="243"/>
      <c r="GNO239" s="243"/>
      <c r="GNP239" s="243"/>
      <c r="GNQ239" s="243"/>
      <c r="GNR239" s="243"/>
      <c r="GNS239" s="243"/>
      <c r="GNT239" s="243"/>
      <c r="GNU239" s="243"/>
      <c r="GNV239" s="243"/>
      <c r="GNW239" s="243"/>
      <c r="GNX239" s="243"/>
      <c r="GNY239" s="243"/>
      <c r="GNZ239" s="243"/>
      <c r="GOA239" s="243"/>
      <c r="GOB239" s="243"/>
      <c r="GOC239" s="243"/>
      <c r="GOD239" s="243"/>
      <c r="GOE239" s="243"/>
      <c r="GOF239" s="243"/>
      <c r="GOG239" s="243"/>
      <c r="GOH239" s="243"/>
      <c r="GOI239" s="243"/>
      <c r="GOJ239" s="243"/>
      <c r="GOK239" s="243"/>
      <c r="GOL239" s="243"/>
      <c r="GOM239" s="243"/>
      <c r="GON239" s="243"/>
      <c r="GOO239" s="243"/>
      <c r="GOP239" s="243"/>
      <c r="GOQ239" s="243"/>
      <c r="GOR239" s="243"/>
      <c r="GOS239" s="243"/>
      <c r="GOT239" s="243"/>
      <c r="GOU239" s="243"/>
      <c r="GOV239" s="243"/>
      <c r="GOW239" s="243"/>
      <c r="GOX239" s="243"/>
      <c r="GOY239" s="243"/>
      <c r="GOZ239" s="243"/>
      <c r="GPA239" s="243"/>
      <c r="GPB239" s="243"/>
      <c r="GPC239" s="243"/>
      <c r="GPD239" s="243"/>
      <c r="GPE239" s="243"/>
      <c r="GPF239" s="243"/>
      <c r="GPG239" s="243"/>
      <c r="GPH239" s="243"/>
      <c r="GPI239" s="243"/>
      <c r="GPJ239" s="243"/>
      <c r="GPK239" s="243"/>
      <c r="GPL239" s="243"/>
      <c r="GPM239" s="243"/>
      <c r="GPN239" s="243"/>
      <c r="GPO239" s="243"/>
      <c r="GPP239" s="243"/>
      <c r="GPQ239" s="243"/>
      <c r="GPR239" s="243"/>
      <c r="GPS239" s="243"/>
      <c r="GPT239" s="243"/>
      <c r="GPU239" s="243"/>
      <c r="GPV239" s="243"/>
      <c r="GPW239" s="243"/>
      <c r="GPX239" s="243"/>
      <c r="GPY239" s="243"/>
      <c r="GPZ239" s="243"/>
      <c r="GQA239" s="243"/>
      <c r="GQB239" s="243"/>
      <c r="GQC239" s="243"/>
      <c r="GQD239" s="243"/>
      <c r="GQE239" s="243"/>
      <c r="GQF239" s="243"/>
      <c r="GQG239" s="243"/>
      <c r="GQH239" s="243"/>
      <c r="GQI239" s="243"/>
      <c r="GQJ239" s="243"/>
      <c r="GQK239" s="243"/>
      <c r="GQL239" s="243"/>
      <c r="GQM239" s="243"/>
      <c r="GQN239" s="243"/>
      <c r="GQO239" s="243"/>
      <c r="GQP239" s="243"/>
      <c r="GQQ239" s="243"/>
      <c r="GQR239" s="243"/>
      <c r="GQS239" s="243"/>
      <c r="GQT239" s="243"/>
      <c r="GQU239" s="243"/>
      <c r="GQV239" s="243"/>
      <c r="GQW239" s="243"/>
      <c r="GQX239" s="243"/>
      <c r="GQY239" s="243"/>
      <c r="GQZ239" s="243"/>
      <c r="GRA239" s="243"/>
      <c r="GRB239" s="243"/>
      <c r="GRC239" s="243"/>
      <c r="GRD239" s="243"/>
      <c r="GRE239" s="243"/>
      <c r="GRF239" s="243"/>
      <c r="GRG239" s="243"/>
      <c r="GRH239" s="243"/>
      <c r="GRI239" s="243"/>
      <c r="GRJ239" s="243"/>
      <c r="GRK239" s="243"/>
      <c r="GRL239" s="243"/>
      <c r="GRM239" s="243"/>
      <c r="GRN239" s="243"/>
      <c r="GRO239" s="243"/>
      <c r="GRP239" s="243"/>
      <c r="GRQ239" s="243"/>
      <c r="GRR239" s="243"/>
      <c r="GRS239" s="243"/>
      <c r="GRT239" s="243"/>
      <c r="GRU239" s="243"/>
      <c r="GRV239" s="243"/>
      <c r="GRW239" s="243"/>
      <c r="GRX239" s="243"/>
      <c r="GRY239" s="243"/>
      <c r="GRZ239" s="243"/>
      <c r="GSA239" s="243"/>
      <c r="GSB239" s="243"/>
      <c r="GSC239" s="243"/>
      <c r="GSD239" s="243"/>
      <c r="GSE239" s="243"/>
      <c r="GSF239" s="243"/>
      <c r="GSG239" s="243"/>
      <c r="GSH239" s="243"/>
      <c r="GSI239" s="243"/>
      <c r="GSJ239" s="243"/>
      <c r="GSK239" s="243"/>
      <c r="GSL239" s="243"/>
      <c r="GSM239" s="243"/>
      <c r="GSN239" s="243"/>
      <c r="GSO239" s="243"/>
      <c r="GSP239" s="243"/>
      <c r="GSQ239" s="243"/>
      <c r="GSR239" s="243"/>
      <c r="GSS239" s="243"/>
      <c r="GST239" s="243"/>
      <c r="GSU239" s="243"/>
      <c r="GSV239" s="243"/>
      <c r="GSW239" s="243"/>
      <c r="GSX239" s="243"/>
      <c r="GSY239" s="243"/>
      <c r="GSZ239" s="243"/>
      <c r="GTA239" s="243"/>
      <c r="GTB239" s="243"/>
      <c r="GTC239" s="243"/>
      <c r="GTD239" s="243"/>
      <c r="GTE239" s="243"/>
      <c r="GTF239" s="243"/>
      <c r="GTG239" s="243"/>
      <c r="GTH239" s="243"/>
      <c r="GTI239" s="243"/>
      <c r="GTJ239" s="243"/>
      <c r="GTK239" s="243"/>
      <c r="GTL239" s="243"/>
      <c r="GTM239" s="243"/>
      <c r="GTN239" s="243"/>
      <c r="GTO239" s="243"/>
      <c r="GTP239" s="243"/>
      <c r="GTQ239" s="243"/>
      <c r="GTR239" s="243"/>
      <c r="GTS239" s="243"/>
      <c r="GTT239" s="243"/>
      <c r="GTU239" s="243"/>
      <c r="GTV239" s="243"/>
      <c r="GTW239" s="243"/>
      <c r="GTX239" s="243"/>
      <c r="GTY239" s="243"/>
      <c r="GTZ239" s="243"/>
      <c r="GUA239" s="243"/>
      <c r="GUB239" s="243"/>
      <c r="GUC239" s="243"/>
      <c r="GUD239" s="243"/>
      <c r="GUE239" s="243"/>
      <c r="GUF239" s="243"/>
      <c r="GUG239" s="243"/>
      <c r="GUH239" s="243"/>
      <c r="GUI239" s="243"/>
      <c r="GUJ239" s="243"/>
      <c r="GUK239" s="243"/>
      <c r="GUL239" s="243"/>
      <c r="GUM239" s="243"/>
      <c r="GUN239" s="243"/>
      <c r="GUO239" s="243"/>
      <c r="GUP239" s="243"/>
      <c r="GUQ239" s="243"/>
      <c r="GUR239" s="243"/>
      <c r="GUS239" s="243"/>
      <c r="GUT239" s="243"/>
      <c r="GUU239" s="243"/>
      <c r="GUV239" s="243"/>
      <c r="GUW239" s="243"/>
      <c r="GUX239" s="243"/>
      <c r="GUY239" s="243"/>
      <c r="GUZ239" s="243"/>
      <c r="GVA239" s="243"/>
      <c r="GVB239" s="243"/>
      <c r="GVC239" s="243"/>
      <c r="GVD239" s="243"/>
      <c r="GVE239" s="243"/>
      <c r="GVF239" s="243"/>
      <c r="GVG239" s="243"/>
      <c r="GVH239" s="243"/>
      <c r="GVI239" s="243"/>
      <c r="GVJ239" s="243"/>
      <c r="GVK239" s="243"/>
      <c r="GVL239" s="243"/>
      <c r="GVM239" s="243"/>
      <c r="GVN239" s="243"/>
      <c r="GVO239" s="243"/>
      <c r="GVP239" s="243"/>
      <c r="GVQ239" s="243"/>
      <c r="GVR239" s="243"/>
      <c r="GVS239" s="243"/>
      <c r="GVT239" s="243"/>
      <c r="GVU239" s="243"/>
      <c r="GVV239" s="243"/>
      <c r="GVW239" s="243"/>
      <c r="GVX239" s="243"/>
      <c r="GVY239" s="243"/>
      <c r="GVZ239" s="243"/>
      <c r="GWA239" s="243"/>
      <c r="GWB239" s="243"/>
      <c r="GWC239" s="243"/>
      <c r="GWD239" s="243"/>
      <c r="GWE239" s="243"/>
      <c r="GWF239" s="243"/>
      <c r="GWG239" s="243"/>
      <c r="GWH239" s="243"/>
      <c r="GWI239" s="243"/>
      <c r="GWJ239" s="243"/>
      <c r="GWK239" s="243"/>
      <c r="GWL239" s="243"/>
      <c r="GWM239" s="243"/>
      <c r="GWN239" s="243"/>
      <c r="GWO239" s="243"/>
      <c r="GWP239" s="243"/>
      <c r="GWQ239" s="243"/>
      <c r="GWR239" s="243"/>
      <c r="GWS239" s="243"/>
      <c r="GWT239" s="243"/>
      <c r="GWU239" s="243"/>
      <c r="GWV239" s="243"/>
      <c r="GWW239" s="243"/>
      <c r="GWX239" s="243"/>
      <c r="GWY239" s="243"/>
      <c r="GWZ239" s="243"/>
      <c r="GXA239" s="243"/>
      <c r="GXB239" s="243"/>
      <c r="GXC239" s="243"/>
      <c r="GXD239" s="243"/>
      <c r="GXE239" s="243"/>
      <c r="GXF239" s="243"/>
      <c r="GXG239" s="243"/>
      <c r="GXH239" s="243"/>
      <c r="GXI239" s="243"/>
      <c r="GXJ239" s="243"/>
      <c r="GXK239" s="243"/>
      <c r="GXL239" s="243"/>
      <c r="GXM239" s="243"/>
      <c r="GXN239" s="243"/>
      <c r="GXO239" s="243"/>
      <c r="GXP239" s="243"/>
      <c r="GXQ239" s="243"/>
      <c r="GXR239" s="243"/>
      <c r="GXS239" s="243"/>
      <c r="GXT239" s="243"/>
      <c r="GXU239" s="243"/>
      <c r="GXV239" s="243"/>
      <c r="GXW239" s="243"/>
      <c r="GXX239" s="243"/>
      <c r="GXY239" s="243"/>
      <c r="GXZ239" s="243"/>
      <c r="GYA239" s="243"/>
      <c r="GYB239" s="243"/>
      <c r="GYC239" s="243"/>
      <c r="GYD239" s="243"/>
      <c r="GYE239" s="243"/>
      <c r="GYF239" s="243"/>
      <c r="GYG239" s="243"/>
      <c r="GYH239" s="243"/>
      <c r="GYI239" s="243"/>
      <c r="GYJ239" s="243"/>
      <c r="GYK239" s="243"/>
      <c r="GYL239" s="243"/>
      <c r="GYM239" s="243"/>
      <c r="GYN239" s="243"/>
      <c r="GYO239" s="243"/>
      <c r="GYP239" s="243"/>
      <c r="GYQ239" s="243"/>
      <c r="GYR239" s="243"/>
      <c r="GYS239" s="243"/>
      <c r="GYT239" s="243"/>
      <c r="GYU239" s="243"/>
      <c r="GYV239" s="243"/>
      <c r="GYW239" s="243"/>
      <c r="GYX239" s="243"/>
      <c r="GYY239" s="243"/>
      <c r="GYZ239" s="243"/>
      <c r="GZA239" s="243"/>
      <c r="GZB239" s="243"/>
      <c r="GZC239" s="243"/>
      <c r="GZD239" s="243"/>
      <c r="GZE239" s="243"/>
      <c r="GZF239" s="243"/>
      <c r="GZG239" s="243"/>
      <c r="GZH239" s="243"/>
      <c r="GZI239" s="243"/>
      <c r="GZJ239" s="243"/>
      <c r="GZK239" s="243"/>
      <c r="GZL239" s="243"/>
      <c r="GZM239" s="243"/>
      <c r="GZN239" s="243"/>
      <c r="GZO239" s="243"/>
      <c r="GZP239" s="243"/>
      <c r="GZQ239" s="243"/>
      <c r="GZR239" s="243"/>
      <c r="GZS239" s="243"/>
      <c r="GZT239" s="243"/>
      <c r="GZU239" s="243"/>
      <c r="GZV239" s="243"/>
      <c r="GZW239" s="243"/>
      <c r="GZX239" s="243"/>
      <c r="GZY239" s="243"/>
      <c r="GZZ239" s="243"/>
      <c r="HAA239" s="243"/>
      <c r="HAB239" s="243"/>
      <c r="HAC239" s="243"/>
      <c r="HAD239" s="243"/>
      <c r="HAE239" s="243"/>
      <c r="HAF239" s="243"/>
      <c r="HAG239" s="243"/>
      <c r="HAH239" s="243"/>
      <c r="HAI239" s="243"/>
      <c r="HAJ239" s="243"/>
      <c r="HAK239" s="243"/>
      <c r="HAL239" s="243"/>
      <c r="HAM239" s="243"/>
      <c r="HAN239" s="243"/>
      <c r="HAO239" s="243"/>
      <c r="HAP239" s="243"/>
      <c r="HAQ239" s="243"/>
      <c r="HAR239" s="243"/>
      <c r="HAS239" s="243"/>
      <c r="HAT239" s="243"/>
      <c r="HAU239" s="243"/>
      <c r="HAV239" s="243"/>
      <c r="HAW239" s="243"/>
      <c r="HAX239" s="243"/>
      <c r="HAY239" s="243"/>
      <c r="HAZ239" s="243"/>
      <c r="HBA239" s="243"/>
      <c r="HBB239" s="243"/>
      <c r="HBC239" s="243"/>
      <c r="HBD239" s="243"/>
      <c r="HBE239" s="243"/>
      <c r="HBF239" s="243"/>
      <c r="HBG239" s="243"/>
      <c r="HBH239" s="243"/>
      <c r="HBI239" s="243"/>
      <c r="HBJ239" s="243"/>
      <c r="HBK239" s="243"/>
      <c r="HBL239" s="243"/>
      <c r="HBM239" s="243"/>
      <c r="HBN239" s="243"/>
      <c r="HBO239" s="243"/>
      <c r="HBP239" s="243"/>
      <c r="HBQ239" s="243"/>
      <c r="HBR239" s="243"/>
      <c r="HBS239" s="243"/>
      <c r="HBT239" s="243"/>
      <c r="HBU239" s="243"/>
      <c r="HBV239" s="243"/>
      <c r="HBW239" s="243"/>
      <c r="HBX239" s="243"/>
      <c r="HBY239" s="243"/>
      <c r="HBZ239" s="243"/>
      <c r="HCA239" s="243"/>
      <c r="HCB239" s="243"/>
      <c r="HCC239" s="243"/>
      <c r="HCD239" s="243"/>
      <c r="HCE239" s="243"/>
      <c r="HCF239" s="243"/>
      <c r="HCG239" s="243"/>
      <c r="HCH239" s="243"/>
      <c r="HCI239" s="243"/>
      <c r="HCJ239" s="243"/>
      <c r="HCK239" s="243"/>
      <c r="HCL239" s="243"/>
      <c r="HCM239" s="243"/>
      <c r="HCN239" s="243"/>
      <c r="HCO239" s="243"/>
      <c r="HCP239" s="243"/>
      <c r="HCQ239" s="243"/>
      <c r="HCR239" s="243"/>
      <c r="HCS239" s="243"/>
      <c r="HCT239" s="243"/>
      <c r="HCU239" s="243"/>
      <c r="HCV239" s="243"/>
      <c r="HCW239" s="243"/>
      <c r="HCX239" s="243"/>
      <c r="HCY239" s="243"/>
      <c r="HCZ239" s="243"/>
      <c r="HDA239" s="243"/>
      <c r="HDB239" s="243"/>
      <c r="HDC239" s="243"/>
      <c r="HDD239" s="243"/>
      <c r="HDE239" s="243"/>
      <c r="HDF239" s="243"/>
      <c r="HDG239" s="243"/>
      <c r="HDH239" s="243"/>
      <c r="HDI239" s="243"/>
      <c r="HDJ239" s="243"/>
      <c r="HDK239" s="243"/>
      <c r="HDL239" s="243"/>
      <c r="HDM239" s="243"/>
      <c r="HDN239" s="243"/>
      <c r="HDO239" s="243"/>
      <c r="HDP239" s="243"/>
      <c r="HDQ239" s="243"/>
      <c r="HDR239" s="243"/>
      <c r="HDS239" s="243"/>
      <c r="HDT239" s="243"/>
      <c r="HDU239" s="243"/>
      <c r="HDV239" s="243"/>
      <c r="HDW239" s="243"/>
      <c r="HDX239" s="243"/>
      <c r="HDY239" s="243"/>
      <c r="HDZ239" s="243"/>
      <c r="HEA239" s="243"/>
      <c r="HEB239" s="243"/>
      <c r="HEC239" s="243"/>
      <c r="HED239" s="243"/>
      <c r="HEE239" s="243"/>
      <c r="HEF239" s="243"/>
      <c r="HEG239" s="243"/>
      <c r="HEH239" s="243"/>
      <c r="HEI239" s="243"/>
      <c r="HEJ239" s="243"/>
      <c r="HEK239" s="243"/>
      <c r="HEL239" s="243"/>
      <c r="HEM239" s="243"/>
      <c r="HEN239" s="243"/>
      <c r="HEO239" s="243"/>
      <c r="HEP239" s="243"/>
      <c r="HEQ239" s="243"/>
      <c r="HER239" s="243"/>
      <c r="HES239" s="243"/>
      <c r="HET239" s="243"/>
      <c r="HEU239" s="243"/>
      <c r="HEV239" s="243"/>
      <c r="HEW239" s="243"/>
      <c r="HEX239" s="243"/>
      <c r="HEY239" s="243"/>
      <c r="HEZ239" s="243"/>
      <c r="HFA239" s="243"/>
      <c r="HFB239" s="243"/>
      <c r="HFC239" s="243"/>
      <c r="HFD239" s="243"/>
      <c r="HFE239" s="243"/>
      <c r="HFF239" s="243"/>
      <c r="HFG239" s="243"/>
      <c r="HFH239" s="243"/>
      <c r="HFI239" s="243"/>
      <c r="HFJ239" s="243"/>
      <c r="HFK239" s="243"/>
      <c r="HFL239" s="243"/>
      <c r="HFM239" s="243"/>
      <c r="HFN239" s="243"/>
      <c r="HFO239" s="243"/>
      <c r="HFP239" s="243"/>
      <c r="HFQ239" s="243"/>
      <c r="HFR239" s="243"/>
      <c r="HFS239" s="243"/>
      <c r="HFT239" s="243"/>
      <c r="HFU239" s="243"/>
      <c r="HFV239" s="243"/>
      <c r="HFW239" s="243"/>
      <c r="HFX239" s="243"/>
      <c r="HFY239" s="243"/>
      <c r="HFZ239" s="243"/>
      <c r="HGA239" s="243"/>
      <c r="HGB239" s="243"/>
      <c r="HGC239" s="243"/>
      <c r="HGD239" s="243"/>
      <c r="HGE239" s="243"/>
      <c r="HGF239" s="243"/>
      <c r="HGG239" s="243"/>
      <c r="HGH239" s="243"/>
      <c r="HGI239" s="243"/>
      <c r="HGJ239" s="243"/>
      <c r="HGK239" s="243"/>
      <c r="HGL239" s="243"/>
      <c r="HGM239" s="243"/>
      <c r="HGN239" s="243"/>
      <c r="HGO239" s="243"/>
      <c r="HGP239" s="243"/>
      <c r="HGQ239" s="243"/>
      <c r="HGR239" s="243"/>
      <c r="HGS239" s="243"/>
      <c r="HGT239" s="243"/>
      <c r="HGU239" s="243"/>
      <c r="HGV239" s="243"/>
      <c r="HGW239" s="243"/>
      <c r="HGX239" s="243"/>
      <c r="HGY239" s="243"/>
      <c r="HGZ239" s="243"/>
      <c r="HHA239" s="243"/>
      <c r="HHB239" s="243"/>
      <c r="HHC239" s="243"/>
      <c r="HHD239" s="243"/>
      <c r="HHE239" s="243"/>
      <c r="HHF239" s="243"/>
      <c r="HHG239" s="243"/>
      <c r="HHH239" s="243"/>
      <c r="HHI239" s="243"/>
      <c r="HHJ239" s="243"/>
      <c r="HHK239" s="243"/>
      <c r="HHL239" s="243"/>
      <c r="HHM239" s="243"/>
      <c r="HHN239" s="243"/>
      <c r="HHO239" s="243"/>
      <c r="HHP239" s="243"/>
      <c r="HHQ239" s="243"/>
      <c r="HHR239" s="243"/>
      <c r="HHS239" s="243"/>
      <c r="HHT239" s="243"/>
      <c r="HHU239" s="243"/>
      <c r="HHV239" s="243"/>
      <c r="HHW239" s="243"/>
      <c r="HHX239" s="243"/>
      <c r="HHY239" s="243"/>
      <c r="HHZ239" s="243"/>
      <c r="HIA239" s="243"/>
      <c r="HIB239" s="243"/>
      <c r="HIC239" s="243"/>
      <c r="HID239" s="243"/>
      <c r="HIE239" s="243"/>
      <c r="HIF239" s="243"/>
      <c r="HIG239" s="243"/>
      <c r="HIH239" s="243"/>
      <c r="HII239" s="243"/>
      <c r="HIJ239" s="243"/>
      <c r="HIK239" s="243"/>
      <c r="HIL239" s="243"/>
      <c r="HIM239" s="243"/>
      <c r="HIN239" s="243"/>
      <c r="HIO239" s="243"/>
      <c r="HIP239" s="243"/>
      <c r="HIQ239" s="243"/>
      <c r="HIR239" s="243"/>
      <c r="HIS239" s="243"/>
      <c r="HIT239" s="243"/>
      <c r="HIU239" s="243"/>
      <c r="HIV239" s="243"/>
      <c r="HIW239" s="243"/>
      <c r="HIX239" s="243"/>
      <c r="HIY239" s="243"/>
      <c r="HIZ239" s="243"/>
      <c r="HJA239" s="243"/>
      <c r="HJB239" s="243"/>
      <c r="HJC239" s="243"/>
      <c r="HJD239" s="243"/>
      <c r="HJE239" s="243"/>
      <c r="HJF239" s="243"/>
      <c r="HJG239" s="243"/>
      <c r="HJH239" s="243"/>
      <c r="HJI239" s="243"/>
      <c r="HJJ239" s="243"/>
      <c r="HJK239" s="243"/>
      <c r="HJL239" s="243"/>
      <c r="HJM239" s="243"/>
      <c r="HJN239" s="243"/>
      <c r="HJO239" s="243"/>
      <c r="HJP239" s="243"/>
      <c r="HJQ239" s="243"/>
      <c r="HJR239" s="243"/>
      <c r="HJS239" s="243"/>
      <c r="HJT239" s="243"/>
      <c r="HJU239" s="243"/>
      <c r="HJV239" s="243"/>
      <c r="HJW239" s="243"/>
      <c r="HJX239" s="243"/>
      <c r="HJY239" s="243"/>
      <c r="HJZ239" s="243"/>
      <c r="HKA239" s="243"/>
      <c r="HKB239" s="243"/>
      <c r="HKC239" s="243"/>
      <c r="HKD239" s="243"/>
      <c r="HKE239" s="243"/>
      <c r="HKF239" s="243"/>
      <c r="HKG239" s="243"/>
      <c r="HKH239" s="243"/>
      <c r="HKI239" s="243"/>
      <c r="HKJ239" s="243"/>
      <c r="HKK239" s="243"/>
      <c r="HKL239" s="243"/>
      <c r="HKM239" s="243"/>
      <c r="HKN239" s="243"/>
      <c r="HKO239" s="243"/>
      <c r="HKP239" s="243"/>
      <c r="HKQ239" s="243"/>
      <c r="HKR239" s="243"/>
      <c r="HKS239" s="243"/>
      <c r="HKT239" s="243"/>
      <c r="HKU239" s="243"/>
      <c r="HKV239" s="243"/>
      <c r="HKW239" s="243"/>
      <c r="HKX239" s="243"/>
      <c r="HKY239" s="243"/>
      <c r="HKZ239" s="243"/>
      <c r="HLA239" s="243"/>
      <c r="HLB239" s="243"/>
      <c r="HLC239" s="243"/>
      <c r="HLD239" s="243"/>
      <c r="HLE239" s="243"/>
      <c r="HLF239" s="243"/>
      <c r="HLG239" s="243"/>
      <c r="HLH239" s="243"/>
      <c r="HLI239" s="243"/>
      <c r="HLJ239" s="243"/>
      <c r="HLK239" s="243"/>
      <c r="HLL239" s="243"/>
      <c r="HLM239" s="243"/>
      <c r="HLN239" s="243"/>
      <c r="HLO239" s="243"/>
      <c r="HLP239" s="243"/>
      <c r="HLQ239" s="243"/>
      <c r="HLR239" s="243"/>
      <c r="HLS239" s="243"/>
      <c r="HLT239" s="243"/>
      <c r="HLU239" s="243"/>
      <c r="HLV239" s="243"/>
      <c r="HLW239" s="243"/>
      <c r="HLX239" s="243"/>
      <c r="HLY239" s="243"/>
      <c r="HLZ239" s="243"/>
      <c r="HMA239" s="243"/>
      <c r="HMB239" s="243"/>
      <c r="HMC239" s="243"/>
      <c r="HMD239" s="243"/>
      <c r="HME239" s="243"/>
      <c r="HMF239" s="243"/>
      <c r="HMG239" s="243"/>
      <c r="HMH239" s="243"/>
      <c r="HMI239" s="243"/>
      <c r="HMJ239" s="243"/>
      <c r="HMK239" s="243"/>
      <c r="HML239" s="243"/>
      <c r="HMM239" s="243"/>
      <c r="HMN239" s="243"/>
      <c r="HMO239" s="243"/>
      <c r="HMP239" s="243"/>
      <c r="HMQ239" s="243"/>
      <c r="HMR239" s="243"/>
      <c r="HMS239" s="243"/>
      <c r="HMT239" s="243"/>
      <c r="HMU239" s="243"/>
      <c r="HMV239" s="243"/>
      <c r="HMW239" s="243"/>
      <c r="HMX239" s="243"/>
      <c r="HMY239" s="243"/>
      <c r="HMZ239" s="243"/>
      <c r="HNA239" s="243"/>
      <c r="HNB239" s="243"/>
      <c r="HNC239" s="243"/>
      <c r="HND239" s="243"/>
      <c r="HNE239" s="243"/>
      <c r="HNF239" s="243"/>
      <c r="HNG239" s="243"/>
      <c r="HNH239" s="243"/>
      <c r="HNI239" s="243"/>
      <c r="HNJ239" s="243"/>
      <c r="HNK239" s="243"/>
      <c r="HNL239" s="243"/>
      <c r="HNM239" s="243"/>
      <c r="HNN239" s="243"/>
      <c r="HNO239" s="243"/>
      <c r="HNP239" s="243"/>
      <c r="HNQ239" s="243"/>
      <c r="HNR239" s="243"/>
      <c r="HNS239" s="243"/>
      <c r="HNT239" s="243"/>
      <c r="HNU239" s="243"/>
      <c r="HNV239" s="243"/>
      <c r="HNW239" s="243"/>
      <c r="HNX239" s="243"/>
      <c r="HNY239" s="243"/>
      <c r="HNZ239" s="243"/>
      <c r="HOA239" s="243"/>
      <c r="HOB239" s="243"/>
      <c r="HOC239" s="243"/>
      <c r="HOD239" s="243"/>
      <c r="HOE239" s="243"/>
      <c r="HOF239" s="243"/>
      <c r="HOG239" s="243"/>
      <c r="HOH239" s="243"/>
      <c r="HOI239" s="243"/>
      <c r="HOJ239" s="243"/>
      <c r="HOK239" s="243"/>
      <c r="HOL239" s="243"/>
      <c r="HOM239" s="243"/>
      <c r="HON239" s="243"/>
      <c r="HOO239" s="243"/>
      <c r="HOP239" s="243"/>
      <c r="HOQ239" s="243"/>
      <c r="HOR239" s="243"/>
      <c r="HOS239" s="243"/>
      <c r="HOT239" s="243"/>
      <c r="HOU239" s="243"/>
      <c r="HOV239" s="243"/>
      <c r="HOW239" s="243"/>
      <c r="HOX239" s="243"/>
      <c r="HOY239" s="243"/>
      <c r="HOZ239" s="243"/>
      <c r="HPA239" s="243"/>
      <c r="HPB239" s="243"/>
      <c r="HPC239" s="243"/>
      <c r="HPD239" s="243"/>
      <c r="HPE239" s="243"/>
      <c r="HPF239" s="243"/>
      <c r="HPG239" s="243"/>
      <c r="HPH239" s="243"/>
      <c r="HPI239" s="243"/>
      <c r="HPJ239" s="243"/>
      <c r="HPK239" s="243"/>
      <c r="HPL239" s="243"/>
      <c r="HPM239" s="243"/>
      <c r="HPN239" s="243"/>
      <c r="HPO239" s="243"/>
      <c r="HPP239" s="243"/>
      <c r="HPQ239" s="243"/>
      <c r="HPR239" s="243"/>
      <c r="HPS239" s="243"/>
      <c r="HPT239" s="243"/>
      <c r="HPU239" s="243"/>
      <c r="HPV239" s="243"/>
      <c r="HPW239" s="243"/>
      <c r="HPX239" s="243"/>
      <c r="HPY239" s="243"/>
      <c r="HPZ239" s="243"/>
      <c r="HQA239" s="243"/>
      <c r="HQB239" s="243"/>
      <c r="HQC239" s="243"/>
      <c r="HQD239" s="243"/>
      <c r="HQE239" s="243"/>
      <c r="HQF239" s="243"/>
      <c r="HQG239" s="243"/>
      <c r="HQH239" s="243"/>
      <c r="HQI239" s="243"/>
      <c r="HQJ239" s="243"/>
      <c r="HQK239" s="243"/>
      <c r="HQL239" s="243"/>
      <c r="HQM239" s="243"/>
      <c r="HQN239" s="243"/>
      <c r="HQO239" s="243"/>
      <c r="HQP239" s="243"/>
      <c r="HQQ239" s="243"/>
      <c r="HQR239" s="243"/>
      <c r="HQS239" s="243"/>
      <c r="HQT239" s="243"/>
      <c r="HQU239" s="243"/>
      <c r="HQV239" s="243"/>
      <c r="HQW239" s="243"/>
      <c r="HQX239" s="243"/>
      <c r="HQY239" s="243"/>
      <c r="HQZ239" s="243"/>
      <c r="HRA239" s="243"/>
      <c r="HRB239" s="243"/>
      <c r="HRC239" s="243"/>
      <c r="HRD239" s="243"/>
      <c r="HRE239" s="243"/>
      <c r="HRF239" s="243"/>
      <c r="HRG239" s="243"/>
      <c r="HRH239" s="243"/>
      <c r="HRI239" s="243"/>
      <c r="HRJ239" s="243"/>
      <c r="HRK239" s="243"/>
      <c r="HRL239" s="243"/>
      <c r="HRM239" s="243"/>
      <c r="HRN239" s="243"/>
      <c r="HRO239" s="243"/>
      <c r="HRP239" s="243"/>
      <c r="HRQ239" s="243"/>
      <c r="HRR239" s="243"/>
      <c r="HRS239" s="243"/>
      <c r="HRT239" s="243"/>
      <c r="HRU239" s="243"/>
      <c r="HRV239" s="243"/>
      <c r="HRW239" s="243"/>
      <c r="HRX239" s="243"/>
      <c r="HRY239" s="243"/>
      <c r="HRZ239" s="243"/>
      <c r="HSA239" s="243"/>
      <c r="HSB239" s="243"/>
      <c r="HSC239" s="243"/>
      <c r="HSD239" s="243"/>
      <c r="HSE239" s="243"/>
      <c r="HSF239" s="243"/>
      <c r="HSG239" s="243"/>
      <c r="HSH239" s="243"/>
      <c r="HSI239" s="243"/>
      <c r="HSJ239" s="243"/>
      <c r="HSK239" s="243"/>
      <c r="HSL239" s="243"/>
      <c r="HSM239" s="243"/>
      <c r="HSN239" s="243"/>
      <c r="HSO239" s="243"/>
      <c r="HSP239" s="243"/>
      <c r="HSQ239" s="243"/>
      <c r="HSR239" s="243"/>
      <c r="HSS239" s="243"/>
      <c r="HST239" s="243"/>
      <c r="HSU239" s="243"/>
      <c r="HSV239" s="243"/>
      <c r="HSW239" s="243"/>
      <c r="HSX239" s="243"/>
      <c r="HSY239" s="243"/>
      <c r="HSZ239" s="243"/>
      <c r="HTA239" s="243"/>
      <c r="HTB239" s="243"/>
      <c r="HTC239" s="243"/>
      <c r="HTD239" s="243"/>
      <c r="HTE239" s="243"/>
      <c r="HTF239" s="243"/>
      <c r="HTG239" s="243"/>
      <c r="HTH239" s="243"/>
      <c r="HTI239" s="243"/>
      <c r="HTJ239" s="243"/>
      <c r="HTK239" s="243"/>
      <c r="HTL239" s="243"/>
      <c r="HTM239" s="243"/>
      <c r="HTN239" s="243"/>
      <c r="HTO239" s="243"/>
      <c r="HTP239" s="243"/>
      <c r="HTQ239" s="243"/>
      <c r="HTR239" s="243"/>
      <c r="HTS239" s="243"/>
      <c r="HTT239" s="243"/>
      <c r="HTU239" s="243"/>
      <c r="HTV239" s="243"/>
      <c r="HTW239" s="243"/>
      <c r="HTX239" s="243"/>
      <c r="HTY239" s="243"/>
      <c r="HTZ239" s="243"/>
      <c r="HUA239" s="243"/>
      <c r="HUB239" s="243"/>
      <c r="HUC239" s="243"/>
      <c r="HUD239" s="243"/>
      <c r="HUE239" s="243"/>
      <c r="HUF239" s="243"/>
      <c r="HUG239" s="243"/>
      <c r="HUH239" s="243"/>
      <c r="HUI239" s="243"/>
      <c r="HUJ239" s="243"/>
      <c r="HUK239" s="243"/>
      <c r="HUL239" s="243"/>
      <c r="HUM239" s="243"/>
      <c r="HUN239" s="243"/>
      <c r="HUO239" s="243"/>
      <c r="HUP239" s="243"/>
      <c r="HUQ239" s="243"/>
      <c r="HUR239" s="243"/>
      <c r="HUS239" s="243"/>
      <c r="HUT239" s="243"/>
      <c r="HUU239" s="243"/>
      <c r="HUV239" s="243"/>
      <c r="HUW239" s="243"/>
      <c r="HUX239" s="243"/>
      <c r="HUY239" s="243"/>
      <c r="HUZ239" s="243"/>
      <c r="HVA239" s="243"/>
      <c r="HVB239" s="243"/>
      <c r="HVC239" s="243"/>
      <c r="HVD239" s="243"/>
      <c r="HVE239" s="243"/>
      <c r="HVF239" s="243"/>
      <c r="HVG239" s="243"/>
      <c r="HVH239" s="243"/>
      <c r="HVI239" s="243"/>
      <c r="HVJ239" s="243"/>
      <c r="HVK239" s="243"/>
      <c r="HVL239" s="243"/>
      <c r="HVM239" s="243"/>
      <c r="HVN239" s="243"/>
      <c r="HVO239" s="243"/>
      <c r="HVP239" s="243"/>
      <c r="HVQ239" s="243"/>
      <c r="HVR239" s="243"/>
      <c r="HVS239" s="243"/>
      <c r="HVT239" s="243"/>
      <c r="HVU239" s="243"/>
      <c r="HVV239" s="243"/>
      <c r="HVW239" s="243"/>
      <c r="HVX239" s="243"/>
      <c r="HVY239" s="243"/>
      <c r="HVZ239" s="243"/>
      <c r="HWA239" s="243"/>
      <c r="HWB239" s="243"/>
      <c r="HWC239" s="243"/>
      <c r="HWD239" s="243"/>
      <c r="HWE239" s="243"/>
      <c r="HWF239" s="243"/>
      <c r="HWG239" s="243"/>
      <c r="HWH239" s="243"/>
      <c r="HWI239" s="243"/>
      <c r="HWJ239" s="243"/>
      <c r="HWK239" s="243"/>
      <c r="HWL239" s="243"/>
      <c r="HWM239" s="243"/>
      <c r="HWN239" s="243"/>
      <c r="HWO239" s="243"/>
      <c r="HWP239" s="243"/>
      <c r="HWQ239" s="243"/>
      <c r="HWR239" s="243"/>
      <c r="HWS239" s="243"/>
      <c r="HWT239" s="243"/>
      <c r="HWU239" s="243"/>
      <c r="HWV239" s="243"/>
      <c r="HWW239" s="243"/>
      <c r="HWX239" s="243"/>
      <c r="HWY239" s="243"/>
      <c r="HWZ239" s="243"/>
      <c r="HXA239" s="243"/>
      <c r="HXB239" s="243"/>
      <c r="HXC239" s="243"/>
      <c r="HXD239" s="243"/>
      <c r="HXE239" s="243"/>
      <c r="HXF239" s="243"/>
      <c r="HXG239" s="243"/>
      <c r="HXH239" s="243"/>
      <c r="HXI239" s="243"/>
      <c r="HXJ239" s="243"/>
      <c r="HXK239" s="243"/>
      <c r="HXL239" s="243"/>
      <c r="HXM239" s="243"/>
      <c r="HXN239" s="243"/>
      <c r="HXO239" s="243"/>
      <c r="HXP239" s="243"/>
      <c r="HXQ239" s="243"/>
      <c r="HXR239" s="243"/>
      <c r="HXS239" s="243"/>
      <c r="HXT239" s="243"/>
      <c r="HXU239" s="243"/>
      <c r="HXV239" s="243"/>
      <c r="HXW239" s="243"/>
      <c r="HXX239" s="243"/>
      <c r="HXY239" s="243"/>
      <c r="HXZ239" s="243"/>
      <c r="HYA239" s="243"/>
      <c r="HYB239" s="243"/>
      <c r="HYC239" s="243"/>
      <c r="HYD239" s="243"/>
      <c r="HYE239" s="243"/>
      <c r="HYF239" s="243"/>
      <c r="HYG239" s="243"/>
      <c r="HYH239" s="243"/>
      <c r="HYI239" s="243"/>
      <c r="HYJ239" s="243"/>
      <c r="HYK239" s="243"/>
      <c r="HYL239" s="243"/>
      <c r="HYM239" s="243"/>
      <c r="HYN239" s="243"/>
      <c r="HYO239" s="243"/>
      <c r="HYP239" s="243"/>
      <c r="HYQ239" s="243"/>
      <c r="HYR239" s="243"/>
      <c r="HYS239" s="243"/>
      <c r="HYT239" s="243"/>
      <c r="HYU239" s="243"/>
      <c r="HYV239" s="243"/>
      <c r="HYW239" s="243"/>
      <c r="HYX239" s="243"/>
      <c r="HYY239" s="243"/>
      <c r="HYZ239" s="243"/>
      <c r="HZA239" s="243"/>
      <c r="HZB239" s="243"/>
      <c r="HZC239" s="243"/>
      <c r="HZD239" s="243"/>
      <c r="HZE239" s="243"/>
      <c r="HZF239" s="243"/>
      <c r="HZG239" s="243"/>
      <c r="HZH239" s="243"/>
      <c r="HZI239" s="243"/>
      <c r="HZJ239" s="243"/>
      <c r="HZK239" s="243"/>
      <c r="HZL239" s="243"/>
      <c r="HZM239" s="243"/>
      <c r="HZN239" s="243"/>
      <c r="HZO239" s="243"/>
      <c r="HZP239" s="243"/>
      <c r="HZQ239" s="243"/>
      <c r="HZR239" s="243"/>
      <c r="HZS239" s="243"/>
      <c r="HZT239" s="243"/>
      <c r="HZU239" s="243"/>
      <c r="HZV239" s="243"/>
      <c r="HZW239" s="243"/>
      <c r="HZX239" s="243"/>
      <c r="HZY239" s="243"/>
      <c r="HZZ239" s="243"/>
      <c r="IAA239" s="243"/>
      <c r="IAB239" s="243"/>
      <c r="IAC239" s="243"/>
      <c r="IAD239" s="243"/>
      <c r="IAE239" s="243"/>
      <c r="IAF239" s="243"/>
      <c r="IAG239" s="243"/>
      <c r="IAH239" s="243"/>
      <c r="IAI239" s="243"/>
      <c r="IAJ239" s="243"/>
      <c r="IAK239" s="243"/>
      <c r="IAL239" s="243"/>
      <c r="IAM239" s="243"/>
      <c r="IAN239" s="243"/>
      <c r="IAO239" s="243"/>
      <c r="IAP239" s="243"/>
      <c r="IAQ239" s="243"/>
      <c r="IAR239" s="243"/>
      <c r="IAS239" s="243"/>
      <c r="IAT239" s="243"/>
      <c r="IAU239" s="243"/>
      <c r="IAV239" s="243"/>
      <c r="IAW239" s="243"/>
      <c r="IAX239" s="243"/>
      <c r="IAY239" s="243"/>
      <c r="IAZ239" s="243"/>
      <c r="IBA239" s="243"/>
      <c r="IBB239" s="243"/>
      <c r="IBC239" s="243"/>
      <c r="IBD239" s="243"/>
      <c r="IBE239" s="243"/>
      <c r="IBF239" s="243"/>
      <c r="IBG239" s="243"/>
      <c r="IBH239" s="243"/>
      <c r="IBI239" s="243"/>
      <c r="IBJ239" s="243"/>
      <c r="IBK239" s="243"/>
      <c r="IBL239" s="243"/>
      <c r="IBM239" s="243"/>
      <c r="IBN239" s="243"/>
      <c r="IBO239" s="243"/>
      <c r="IBP239" s="243"/>
      <c r="IBQ239" s="243"/>
      <c r="IBR239" s="243"/>
      <c r="IBS239" s="243"/>
      <c r="IBT239" s="243"/>
      <c r="IBU239" s="243"/>
      <c r="IBV239" s="243"/>
      <c r="IBW239" s="243"/>
      <c r="IBX239" s="243"/>
      <c r="IBY239" s="243"/>
      <c r="IBZ239" s="243"/>
      <c r="ICA239" s="243"/>
      <c r="ICB239" s="243"/>
      <c r="ICC239" s="243"/>
      <c r="ICD239" s="243"/>
      <c r="ICE239" s="243"/>
      <c r="ICF239" s="243"/>
      <c r="ICG239" s="243"/>
      <c r="ICH239" s="243"/>
      <c r="ICI239" s="243"/>
      <c r="ICJ239" s="243"/>
      <c r="ICK239" s="243"/>
      <c r="ICL239" s="243"/>
      <c r="ICM239" s="243"/>
      <c r="ICN239" s="243"/>
      <c r="ICO239" s="243"/>
      <c r="ICP239" s="243"/>
      <c r="ICQ239" s="243"/>
      <c r="ICR239" s="243"/>
      <c r="ICS239" s="243"/>
      <c r="ICT239" s="243"/>
      <c r="ICU239" s="243"/>
      <c r="ICV239" s="243"/>
      <c r="ICW239" s="243"/>
      <c r="ICX239" s="243"/>
      <c r="ICY239" s="243"/>
      <c r="ICZ239" s="243"/>
      <c r="IDA239" s="243"/>
      <c r="IDB239" s="243"/>
      <c r="IDC239" s="243"/>
      <c r="IDD239" s="243"/>
      <c r="IDE239" s="243"/>
      <c r="IDF239" s="243"/>
      <c r="IDG239" s="243"/>
      <c r="IDH239" s="243"/>
      <c r="IDI239" s="243"/>
      <c r="IDJ239" s="243"/>
      <c r="IDK239" s="243"/>
      <c r="IDL239" s="243"/>
      <c r="IDM239" s="243"/>
      <c r="IDN239" s="243"/>
      <c r="IDO239" s="243"/>
      <c r="IDP239" s="243"/>
      <c r="IDQ239" s="243"/>
      <c r="IDR239" s="243"/>
      <c r="IDS239" s="243"/>
      <c r="IDT239" s="243"/>
      <c r="IDU239" s="243"/>
      <c r="IDV239" s="243"/>
      <c r="IDW239" s="243"/>
      <c r="IDX239" s="243"/>
      <c r="IDY239" s="243"/>
      <c r="IDZ239" s="243"/>
      <c r="IEA239" s="243"/>
      <c r="IEB239" s="243"/>
      <c r="IEC239" s="243"/>
      <c r="IED239" s="243"/>
      <c r="IEE239" s="243"/>
      <c r="IEF239" s="243"/>
      <c r="IEG239" s="243"/>
      <c r="IEH239" s="243"/>
      <c r="IEI239" s="243"/>
      <c r="IEJ239" s="243"/>
      <c r="IEK239" s="243"/>
      <c r="IEL239" s="243"/>
      <c r="IEM239" s="243"/>
      <c r="IEN239" s="243"/>
      <c r="IEO239" s="243"/>
      <c r="IEP239" s="243"/>
      <c r="IEQ239" s="243"/>
      <c r="IER239" s="243"/>
      <c r="IES239" s="243"/>
      <c r="IET239" s="243"/>
      <c r="IEU239" s="243"/>
      <c r="IEV239" s="243"/>
      <c r="IEW239" s="243"/>
      <c r="IEX239" s="243"/>
      <c r="IEY239" s="243"/>
      <c r="IEZ239" s="243"/>
      <c r="IFA239" s="243"/>
      <c r="IFB239" s="243"/>
      <c r="IFC239" s="243"/>
      <c r="IFD239" s="243"/>
      <c r="IFE239" s="243"/>
      <c r="IFF239" s="243"/>
      <c r="IFG239" s="243"/>
      <c r="IFH239" s="243"/>
      <c r="IFI239" s="243"/>
      <c r="IFJ239" s="243"/>
      <c r="IFK239" s="243"/>
      <c r="IFL239" s="243"/>
      <c r="IFM239" s="243"/>
      <c r="IFN239" s="243"/>
      <c r="IFO239" s="243"/>
      <c r="IFP239" s="243"/>
      <c r="IFQ239" s="243"/>
      <c r="IFR239" s="243"/>
      <c r="IFS239" s="243"/>
      <c r="IFT239" s="243"/>
      <c r="IFU239" s="243"/>
      <c r="IFV239" s="243"/>
      <c r="IFW239" s="243"/>
      <c r="IFX239" s="243"/>
      <c r="IFY239" s="243"/>
      <c r="IFZ239" s="243"/>
      <c r="IGA239" s="243"/>
      <c r="IGB239" s="243"/>
      <c r="IGC239" s="243"/>
      <c r="IGD239" s="243"/>
      <c r="IGE239" s="243"/>
      <c r="IGF239" s="243"/>
      <c r="IGG239" s="243"/>
      <c r="IGH239" s="243"/>
      <c r="IGI239" s="243"/>
      <c r="IGJ239" s="243"/>
      <c r="IGK239" s="243"/>
      <c r="IGL239" s="243"/>
      <c r="IGM239" s="243"/>
      <c r="IGN239" s="243"/>
      <c r="IGO239" s="243"/>
      <c r="IGP239" s="243"/>
      <c r="IGQ239" s="243"/>
      <c r="IGR239" s="243"/>
      <c r="IGS239" s="243"/>
      <c r="IGT239" s="243"/>
      <c r="IGU239" s="243"/>
      <c r="IGV239" s="243"/>
      <c r="IGW239" s="243"/>
      <c r="IGX239" s="243"/>
      <c r="IGY239" s="243"/>
      <c r="IGZ239" s="243"/>
      <c r="IHA239" s="243"/>
      <c r="IHB239" s="243"/>
      <c r="IHC239" s="243"/>
      <c r="IHD239" s="243"/>
      <c r="IHE239" s="243"/>
      <c r="IHF239" s="243"/>
      <c r="IHG239" s="243"/>
      <c r="IHH239" s="243"/>
      <c r="IHI239" s="243"/>
      <c r="IHJ239" s="243"/>
      <c r="IHK239" s="243"/>
      <c r="IHL239" s="243"/>
      <c r="IHM239" s="243"/>
      <c r="IHN239" s="243"/>
      <c r="IHO239" s="243"/>
      <c r="IHP239" s="243"/>
      <c r="IHQ239" s="243"/>
      <c r="IHR239" s="243"/>
      <c r="IHS239" s="243"/>
      <c r="IHT239" s="243"/>
      <c r="IHU239" s="243"/>
      <c r="IHV239" s="243"/>
      <c r="IHW239" s="243"/>
      <c r="IHX239" s="243"/>
      <c r="IHY239" s="243"/>
      <c r="IHZ239" s="243"/>
      <c r="IIA239" s="243"/>
      <c r="IIB239" s="243"/>
      <c r="IIC239" s="243"/>
      <c r="IID239" s="243"/>
      <c r="IIE239" s="243"/>
      <c r="IIF239" s="243"/>
      <c r="IIG239" s="243"/>
      <c r="IIH239" s="243"/>
      <c r="III239" s="243"/>
      <c r="IIJ239" s="243"/>
      <c r="IIK239" s="243"/>
      <c r="IIL239" s="243"/>
      <c r="IIM239" s="243"/>
      <c r="IIN239" s="243"/>
      <c r="IIO239" s="243"/>
      <c r="IIP239" s="243"/>
      <c r="IIQ239" s="243"/>
      <c r="IIR239" s="243"/>
      <c r="IIS239" s="243"/>
      <c r="IIT239" s="243"/>
      <c r="IIU239" s="243"/>
      <c r="IIV239" s="243"/>
      <c r="IIW239" s="243"/>
      <c r="IIX239" s="243"/>
      <c r="IIY239" s="243"/>
      <c r="IIZ239" s="243"/>
      <c r="IJA239" s="243"/>
      <c r="IJB239" s="243"/>
      <c r="IJC239" s="243"/>
      <c r="IJD239" s="243"/>
      <c r="IJE239" s="243"/>
      <c r="IJF239" s="243"/>
      <c r="IJG239" s="243"/>
      <c r="IJH239" s="243"/>
      <c r="IJI239" s="243"/>
      <c r="IJJ239" s="243"/>
      <c r="IJK239" s="243"/>
      <c r="IJL239" s="243"/>
      <c r="IJM239" s="243"/>
      <c r="IJN239" s="243"/>
      <c r="IJO239" s="243"/>
      <c r="IJP239" s="243"/>
      <c r="IJQ239" s="243"/>
      <c r="IJR239" s="243"/>
      <c r="IJS239" s="243"/>
      <c r="IJT239" s="243"/>
      <c r="IJU239" s="243"/>
      <c r="IJV239" s="243"/>
      <c r="IJW239" s="243"/>
      <c r="IJX239" s="243"/>
      <c r="IJY239" s="243"/>
      <c r="IJZ239" s="243"/>
      <c r="IKA239" s="243"/>
      <c r="IKB239" s="243"/>
      <c r="IKC239" s="243"/>
      <c r="IKD239" s="243"/>
      <c r="IKE239" s="243"/>
      <c r="IKF239" s="243"/>
      <c r="IKG239" s="243"/>
      <c r="IKH239" s="243"/>
      <c r="IKI239" s="243"/>
      <c r="IKJ239" s="243"/>
      <c r="IKK239" s="243"/>
      <c r="IKL239" s="243"/>
      <c r="IKM239" s="243"/>
      <c r="IKN239" s="243"/>
      <c r="IKO239" s="243"/>
      <c r="IKP239" s="243"/>
      <c r="IKQ239" s="243"/>
      <c r="IKR239" s="243"/>
      <c r="IKS239" s="243"/>
      <c r="IKT239" s="243"/>
      <c r="IKU239" s="243"/>
      <c r="IKV239" s="243"/>
      <c r="IKW239" s="243"/>
      <c r="IKX239" s="243"/>
      <c r="IKY239" s="243"/>
      <c r="IKZ239" s="243"/>
      <c r="ILA239" s="243"/>
      <c r="ILB239" s="243"/>
      <c r="ILC239" s="243"/>
      <c r="ILD239" s="243"/>
      <c r="ILE239" s="243"/>
      <c r="ILF239" s="243"/>
      <c r="ILG239" s="243"/>
      <c r="ILH239" s="243"/>
      <c r="ILI239" s="243"/>
      <c r="ILJ239" s="243"/>
      <c r="ILK239" s="243"/>
      <c r="ILL239" s="243"/>
      <c r="ILM239" s="243"/>
      <c r="ILN239" s="243"/>
      <c r="ILO239" s="243"/>
      <c r="ILP239" s="243"/>
      <c r="ILQ239" s="243"/>
      <c r="ILR239" s="243"/>
      <c r="ILS239" s="243"/>
      <c r="ILT239" s="243"/>
      <c r="ILU239" s="243"/>
      <c r="ILV239" s="243"/>
      <c r="ILW239" s="243"/>
      <c r="ILX239" s="243"/>
      <c r="ILY239" s="243"/>
      <c r="ILZ239" s="243"/>
      <c r="IMA239" s="243"/>
      <c r="IMB239" s="243"/>
      <c r="IMC239" s="243"/>
      <c r="IMD239" s="243"/>
      <c r="IME239" s="243"/>
      <c r="IMF239" s="243"/>
      <c r="IMG239" s="243"/>
      <c r="IMH239" s="243"/>
      <c r="IMI239" s="243"/>
      <c r="IMJ239" s="243"/>
      <c r="IMK239" s="243"/>
      <c r="IML239" s="243"/>
      <c r="IMM239" s="243"/>
      <c r="IMN239" s="243"/>
      <c r="IMO239" s="243"/>
      <c r="IMP239" s="243"/>
      <c r="IMQ239" s="243"/>
      <c r="IMR239" s="243"/>
      <c r="IMS239" s="243"/>
      <c r="IMT239" s="243"/>
      <c r="IMU239" s="243"/>
      <c r="IMV239" s="243"/>
      <c r="IMW239" s="243"/>
      <c r="IMX239" s="243"/>
      <c r="IMY239" s="243"/>
      <c r="IMZ239" s="243"/>
      <c r="INA239" s="243"/>
      <c r="INB239" s="243"/>
      <c r="INC239" s="243"/>
      <c r="IND239" s="243"/>
      <c r="INE239" s="243"/>
      <c r="INF239" s="243"/>
      <c r="ING239" s="243"/>
      <c r="INH239" s="243"/>
      <c r="INI239" s="243"/>
      <c r="INJ239" s="243"/>
      <c r="INK239" s="243"/>
      <c r="INL239" s="243"/>
      <c r="INM239" s="243"/>
      <c r="INN239" s="243"/>
      <c r="INO239" s="243"/>
      <c r="INP239" s="243"/>
      <c r="INQ239" s="243"/>
      <c r="INR239" s="243"/>
      <c r="INS239" s="243"/>
      <c r="INT239" s="243"/>
      <c r="INU239" s="243"/>
      <c r="INV239" s="243"/>
      <c r="INW239" s="243"/>
      <c r="INX239" s="243"/>
      <c r="INY239" s="243"/>
      <c r="INZ239" s="243"/>
      <c r="IOA239" s="243"/>
      <c r="IOB239" s="243"/>
      <c r="IOC239" s="243"/>
      <c r="IOD239" s="243"/>
      <c r="IOE239" s="243"/>
      <c r="IOF239" s="243"/>
      <c r="IOG239" s="243"/>
      <c r="IOH239" s="243"/>
      <c r="IOI239" s="243"/>
      <c r="IOJ239" s="243"/>
      <c r="IOK239" s="243"/>
      <c r="IOL239" s="243"/>
      <c r="IOM239" s="243"/>
      <c r="ION239" s="243"/>
      <c r="IOO239" s="243"/>
      <c r="IOP239" s="243"/>
      <c r="IOQ239" s="243"/>
      <c r="IOR239" s="243"/>
      <c r="IOS239" s="243"/>
      <c r="IOT239" s="243"/>
      <c r="IOU239" s="243"/>
      <c r="IOV239" s="243"/>
      <c r="IOW239" s="243"/>
      <c r="IOX239" s="243"/>
      <c r="IOY239" s="243"/>
      <c r="IOZ239" s="243"/>
      <c r="IPA239" s="243"/>
      <c r="IPB239" s="243"/>
      <c r="IPC239" s="243"/>
      <c r="IPD239" s="243"/>
      <c r="IPE239" s="243"/>
      <c r="IPF239" s="243"/>
      <c r="IPG239" s="243"/>
      <c r="IPH239" s="243"/>
      <c r="IPI239" s="243"/>
      <c r="IPJ239" s="243"/>
      <c r="IPK239" s="243"/>
      <c r="IPL239" s="243"/>
      <c r="IPM239" s="243"/>
      <c r="IPN239" s="243"/>
      <c r="IPO239" s="243"/>
      <c r="IPP239" s="243"/>
      <c r="IPQ239" s="243"/>
      <c r="IPR239" s="243"/>
      <c r="IPS239" s="243"/>
      <c r="IPT239" s="243"/>
      <c r="IPU239" s="243"/>
      <c r="IPV239" s="243"/>
      <c r="IPW239" s="243"/>
      <c r="IPX239" s="243"/>
      <c r="IPY239" s="243"/>
      <c r="IPZ239" s="243"/>
      <c r="IQA239" s="243"/>
      <c r="IQB239" s="243"/>
      <c r="IQC239" s="243"/>
      <c r="IQD239" s="243"/>
      <c r="IQE239" s="243"/>
      <c r="IQF239" s="243"/>
      <c r="IQG239" s="243"/>
      <c r="IQH239" s="243"/>
      <c r="IQI239" s="243"/>
      <c r="IQJ239" s="243"/>
      <c r="IQK239" s="243"/>
      <c r="IQL239" s="243"/>
      <c r="IQM239" s="243"/>
      <c r="IQN239" s="243"/>
      <c r="IQO239" s="243"/>
      <c r="IQP239" s="243"/>
      <c r="IQQ239" s="243"/>
      <c r="IQR239" s="243"/>
      <c r="IQS239" s="243"/>
      <c r="IQT239" s="243"/>
      <c r="IQU239" s="243"/>
      <c r="IQV239" s="243"/>
      <c r="IQW239" s="243"/>
      <c r="IQX239" s="243"/>
      <c r="IQY239" s="243"/>
      <c r="IQZ239" s="243"/>
      <c r="IRA239" s="243"/>
      <c r="IRB239" s="243"/>
      <c r="IRC239" s="243"/>
      <c r="IRD239" s="243"/>
      <c r="IRE239" s="243"/>
      <c r="IRF239" s="243"/>
      <c r="IRG239" s="243"/>
      <c r="IRH239" s="243"/>
      <c r="IRI239" s="243"/>
      <c r="IRJ239" s="243"/>
      <c r="IRK239" s="243"/>
      <c r="IRL239" s="243"/>
      <c r="IRM239" s="243"/>
      <c r="IRN239" s="243"/>
      <c r="IRO239" s="243"/>
      <c r="IRP239" s="243"/>
      <c r="IRQ239" s="243"/>
      <c r="IRR239" s="243"/>
      <c r="IRS239" s="243"/>
      <c r="IRT239" s="243"/>
      <c r="IRU239" s="243"/>
      <c r="IRV239" s="243"/>
      <c r="IRW239" s="243"/>
      <c r="IRX239" s="243"/>
      <c r="IRY239" s="243"/>
      <c r="IRZ239" s="243"/>
      <c r="ISA239" s="243"/>
      <c r="ISB239" s="243"/>
      <c r="ISC239" s="243"/>
      <c r="ISD239" s="243"/>
      <c r="ISE239" s="243"/>
      <c r="ISF239" s="243"/>
      <c r="ISG239" s="243"/>
      <c r="ISH239" s="243"/>
      <c r="ISI239" s="243"/>
      <c r="ISJ239" s="243"/>
      <c r="ISK239" s="243"/>
      <c r="ISL239" s="243"/>
      <c r="ISM239" s="243"/>
      <c r="ISN239" s="243"/>
      <c r="ISO239" s="243"/>
      <c r="ISP239" s="243"/>
      <c r="ISQ239" s="243"/>
      <c r="ISR239" s="243"/>
      <c r="ISS239" s="243"/>
      <c r="IST239" s="243"/>
      <c r="ISU239" s="243"/>
      <c r="ISV239" s="243"/>
      <c r="ISW239" s="243"/>
      <c r="ISX239" s="243"/>
      <c r="ISY239" s="243"/>
      <c r="ISZ239" s="243"/>
      <c r="ITA239" s="243"/>
      <c r="ITB239" s="243"/>
      <c r="ITC239" s="243"/>
      <c r="ITD239" s="243"/>
      <c r="ITE239" s="243"/>
      <c r="ITF239" s="243"/>
      <c r="ITG239" s="243"/>
      <c r="ITH239" s="243"/>
      <c r="ITI239" s="243"/>
      <c r="ITJ239" s="243"/>
      <c r="ITK239" s="243"/>
      <c r="ITL239" s="243"/>
      <c r="ITM239" s="243"/>
      <c r="ITN239" s="243"/>
      <c r="ITO239" s="243"/>
      <c r="ITP239" s="243"/>
      <c r="ITQ239" s="243"/>
      <c r="ITR239" s="243"/>
      <c r="ITS239" s="243"/>
      <c r="ITT239" s="243"/>
      <c r="ITU239" s="243"/>
      <c r="ITV239" s="243"/>
      <c r="ITW239" s="243"/>
      <c r="ITX239" s="243"/>
      <c r="ITY239" s="243"/>
      <c r="ITZ239" s="243"/>
      <c r="IUA239" s="243"/>
      <c r="IUB239" s="243"/>
      <c r="IUC239" s="243"/>
      <c r="IUD239" s="243"/>
      <c r="IUE239" s="243"/>
      <c r="IUF239" s="243"/>
      <c r="IUG239" s="243"/>
      <c r="IUH239" s="243"/>
      <c r="IUI239" s="243"/>
      <c r="IUJ239" s="243"/>
      <c r="IUK239" s="243"/>
      <c r="IUL239" s="243"/>
      <c r="IUM239" s="243"/>
      <c r="IUN239" s="243"/>
      <c r="IUO239" s="243"/>
      <c r="IUP239" s="243"/>
      <c r="IUQ239" s="243"/>
      <c r="IUR239" s="243"/>
      <c r="IUS239" s="243"/>
      <c r="IUT239" s="243"/>
      <c r="IUU239" s="243"/>
      <c r="IUV239" s="243"/>
      <c r="IUW239" s="243"/>
      <c r="IUX239" s="243"/>
      <c r="IUY239" s="243"/>
      <c r="IUZ239" s="243"/>
      <c r="IVA239" s="243"/>
      <c r="IVB239" s="243"/>
      <c r="IVC239" s="243"/>
      <c r="IVD239" s="243"/>
      <c r="IVE239" s="243"/>
      <c r="IVF239" s="243"/>
      <c r="IVG239" s="243"/>
      <c r="IVH239" s="243"/>
      <c r="IVI239" s="243"/>
      <c r="IVJ239" s="243"/>
      <c r="IVK239" s="243"/>
      <c r="IVL239" s="243"/>
      <c r="IVM239" s="243"/>
      <c r="IVN239" s="243"/>
      <c r="IVO239" s="243"/>
      <c r="IVP239" s="243"/>
      <c r="IVQ239" s="243"/>
      <c r="IVR239" s="243"/>
      <c r="IVS239" s="243"/>
      <c r="IVT239" s="243"/>
      <c r="IVU239" s="243"/>
      <c r="IVV239" s="243"/>
      <c r="IVW239" s="243"/>
      <c r="IVX239" s="243"/>
      <c r="IVY239" s="243"/>
      <c r="IVZ239" s="243"/>
      <c r="IWA239" s="243"/>
      <c r="IWB239" s="243"/>
      <c r="IWC239" s="243"/>
      <c r="IWD239" s="243"/>
      <c r="IWE239" s="243"/>
      <c r="IWF239" s="243"/>
      <c r="IWG239" s="243"/>
      <c r="IWH239" s="243"/>
      <c r="IWI239" s="243"/>
      <c r="IWJ239" s="243"/>
      <c r="IWK239" s="243"/>
      <c r="IWL239" s="243"/>
      <c r="IWM239" s="243"/>
      <c r="IWN239" s="243"/>
      <c r="IWO239" s="243"/>
      <c r="IWP239" s="243"/>
      <c r="IWQ239" s="243"/>
      <c r="IWR239" s="243"/>
      <c r="IWS239" s="243"/>
      <c r="IWT239" s="243"/>
      <c r="IWU239" s="243"/>
      <c r="IWV239" s="243"/>
      <c r="IWW239" s="243"/>
      <c r="IWX239" s="243"/>
      <c r="IWY239" s="243"/>
      <c r="IWZ239" s="243"/>
      <c r="IXA239" s="243"/>
      <c r="IXB239" s="243"/>
      <c r="IXC239" s="243"/>
      <c r="IXD239" s="243"/>
      <c r="IXE239" s="243"/>
      <c r="IXF239" s="243"/>
      <c r="IXG239" s="243"/>
      <c r="IXH239" s="243"/>
      <c r="IXI239" s="243"/>
      <c r="IXJ239" s="243"/>
      <c r="IXK239" s="243"/>
      <c r="IXL239" s="243"/>
      <c r="IXM239" s="243"/>
      <c r="IXN239" s="243"/>
      <c r="IXO239" s="243"/>
      <c r="IXP239" s="243"/>
      <c r="IXQ239" s="243"/>
      <c r="IXR239" s="243"/>
      <c r="IXS239" s="243"/>
      <c r="IXT239" s="243"/>
      <c r="IXU239" s="243"/>
      <c r="IXV239" s="243"/>
      <c r="IXW239" s="243"/>
      <c r="IXX239" s="243"/>
      <c r="IXY239" s="243"/>
      <c r="IXZ239" s="243"/>
      <c r="IYA239" s="243"/>
      <c r="IYB239" s="243"/>
      <c r="IYC239" s="243"/>
      <c r="IYD239" s="243"/>
      <c r="IYE239" s="243"/>
      <c r="IYF239" s="243"/>
      <c r="IYG239" s="243"/>
      <c r="IYH239" s="243"/>
      <c r="IYI239" s="243"/>
      <c r="IYJ239" s="243"/>
      <c r="IYK239" s="243"/>
      <c r="IYL239" s="243"/>
      <c r="IYM239" s="243"/>
      <c r="IYN239" s="243"/>
      <c r="IYO239" s="243"/>
      <c r="IYP239" s="243"/>
      <c r="IYQ239" s="243"/>
      <c r="IYR239" s="243"/>
      <c r="IYS239" s="243"/>
      <c r="IYT239" s="243"/>
      <c r="IYU239" s="243"/>
      <c r="IYV239" s="243"/>
      <c r="IYW239" s="243"/>
      <c r="IYX239" s="243"/>
      <c r="IYY239" s="243"/>
      <c r="IYZ239" s="243"/>
      <c r="IZA239" s="243"/>
      <c r="IZB239" s="243"/>
      <c r="IZC239" s="243"/>
      <c r="IZD239" s="243"/>
      <c r="IZE239" s="243"/>
      <c r="IZF239" s="243"/>
      <c r="IZG239" s="243"/>
      <c r="IZH239" s="243"/>
      <c r="IZI239" s="243"/>
      <c r="IZJ239" s="243"/>
      <c r="IZK239" s="243"/>
      <c r="IZL239" s="243"/>
      <c r="IZM239" s="243"/>
      <c r="IZN239" s="243"/>
      <c r="IZO239" s="243"/>
      <c r="IZP239" s="243"/>
      <c r="IZQ239" s="243"/>
      <c r="IZR239" s="243"/>
      <c r="IZS239" s="243"/>
      <c r="IZT239" s="243"/>
      <c r="IZU239" s="243"/>
      <c r="IZV239" s="243"/>
      <c r="IZW239" s="243"/>
      <c r="IZX239" s="243"/>
      <c r="IZY239" s="243"/>
      <c r="IZZ239" s="243"/>
      <c r="JAA239" s="243"/>
      <c r="JAB239" s="243"/>
      <c r="JAC239" s="243"/>
      <c r="JAD239" s="243"/>
      <c r="JAE239" s="243"/>
      <c r="JAF239" s="243"/>
      <c r="JAG239" s="243"/>
      <c r="JAH239" s="243"/>
      <c r="JAI239" s="243"/>
      <c r="JAJ239" s="243"/>
      <c r="JAK239" s="243"/>
      <c r="JAL239" s="243"/>
      <c r="JAM239" s="243"/>
      <c r="JAN239" s="243"/>
      <c r="JAO239" s="243"/>
      <c r="JAP239" s="243"/>
      <c r="JAQ239" s="243"/>
      <c r="JAR239" s="243"/>
      <c r="JAS239" s="243"/>
      <c r="JAT239" s="243"/>
      <c r="JAU239" s="243"/>
      <c r="JAV239" s="243"/>
      <c r="JAW239" s="243"/>
      <c r="JAX239" s="243"/>
      <c r="JAY239" s="243"/>
      <c r="JAZ239" s="243"/>
      <c r="JBA239" s="243"/>
      <c r="JBB239" s="243"/>
      <c r="JBC239" s="243"/>
      <c r="JBD239" s="243"/>
      <c r="JBE239" s="243"/>
      <c r="JBF239" s="243"/>
      <c r="JBG239" s="243"/>
      <c r="JBH239" s="243"/>
      <c r="JBI239" s="243"/>
      <c r="JBJ239" s="243"/>
      <c r="JBK239" s="243"/>
      <c r="JBL239" s="243"/>
      <c r="JBM239" s="243"/>
      <c r="JBN239" s="243"/>
      <c r="JBO239" s="243"/>
      <c r="JBP239" s="243"/>
      <c r="JBQ239" s="243"/>
      <c r="JBR239" s="243"/>
      <c r="JBS239" s="243"/>
      <c r="JBT239" s="243"/>
      <c r="JBU239" s="243"/>
      <c r="JBV239" s="243"/>
      <c r="JBW239" s="243"/>
      <c r="JBX239" s="243"/>
      <c r="JBY239" s="243"/>
      <c r="JBZ239" s="243"/>
      <c r="JCA239" s="243"/>
      <c r="JCB239" s="243"/>
      <c r="JCC239" s="243"/>
      <c r="JCD239" s="243"/>
      <c r="JCE239" s="243"/>
      <c r="JCF239" s="243"/>
      <c r="JCG239" s="243"/>
      <c r="JCH239" s="243"/>
      <c r="JCI239" s="243"/>
      <c r="JCJ239" s="243"/>
      <c r="JCK239" s="243"/>
      <c r="JCL239" s="243"/>
      <c r="JCM239" s="243"/>
      <c r="JCN239" s="243"/>
      <c r="JCO239" s="243"/>
      <c r="JCP239" s="243"/>
      <c r="JCQ239" s="243"/>
      <c r="JCR239" s="243"/>
      <c r="JCS239" s="243"/>
      <c r="JCT239" s="243"/>
      <c r="JCU239" s="243"/>
      <c r="JCV239" s="243"/>
      <c r="JCW239" s="243"/>
      <c r="JCX239" s="243"/>
      <c r="JCY239" s="243"/>
      <c r="JCZ239" s="243"/>
      <c r="JDA239" s="243"/>
      <c r="JDB239" s="243"/>
      <c r="JDC239" s="243"/>
      <c r="JDD239" s="243"/>
      <c r="JDE239" s="243"/>
      <c r="JDF239" s="243"/>
      <c r="JDG239" s="243"/>
      <c r="JDH239" s="243"/>
      <c r="JDI239" s="243"/>
      <c r="JDJ239" s="243"/>
      <c r="JDK239" s="243"/>
      <c r="JDL239" s="243"/>
      <c r="JDM239" s="243"/>
      <c r="JDN239" s="243"/>
      <c r="JDO239" s="243"/>
      <c r="JDP239" s="243"/>
      <c r="JDQ239" s="243"/>
      <c r="JDR239" s="243"/>
      <c r="JDS239" s="243"/>
      <c r="JDT239" s="243"/>
      <c r="JDU239" s="243"/>
      <c r="JDV239" s="243"/>
      <c r="JDW239" s="243"/>
      <c r="JDX239" s="243"/>
      <c r="JDY239" s="243"/>
      <c r="JDZ239" s="243"/>
      <c r="JEA239" s="243"/>
      <c r="JEB239" s="243"/>
      <c r="JEC239" s="243"/>
      <c r="JED239" s="243"/>
      <c r="JEE239" s="243"/>
      <c r="JEF239" s="243"/>
      <c r="JEG239" s="243"/>
      <c r="JEH239" s="243"/>
      <c r="JEI239" s="243"/>
      <c r="JEJ239" s="243"/>
      <c r="JEK239" s="243"/>
      <c r="JEL239" s="243"/>
      <c r="JEM239" s="243"/>
      <c r="JEN239" s="243"/>
      <c r="JEO239" s="243"/>
      <c r="JEP239" s="243"/>
      <c r="JEQ239" s="243"/>
      <c r="JER239" s="243"/>
      <c r="JES239" s="243"/>
      <c r="JET239" s="243"/>
      <c r="JEU239" s="243"/>
      <c r="JEV239" s="243"/>
      <c r="JEW239" s="243"/>
      <c r="JEX239" s="243"/>
      <c r="JEY239" s="243"/>
      <c r="JEZ239" s="243"/>
      <c r="JFA239" s="243"/>
      <c r="JFB239" s="243"/>
      <c r="JFC239" s="243"/>
      <c r="JFD239" s="243"/>
      <c r="JFE239" s="243"/>
      <c r="JFF239" s="243"/>
      <c r="JFG239" s="243"/>
      <c r="JFH239" s="243"/>
      <c r="JFI239" s="243"/>
      <c r="JFJ239" s="243"/>
      <c r="JFK239" s="243"/>
      <c r="JFL239" s="243"/>
      <c r="JFM239" s="243"/>
      <c r="JFN239" s="243"/>
      <c r="JFO239" s="243"/>
      <c r="JFP239" s="243"/>
      <c r="JFQ239" s="243"/>
      <c r="JFR239" s="243"/>
      <c r="JFS239" s="243"/>
      <c r="JFT239" s="243"/>
      <c r="JFU239" s="243"/>
      <c r="JFV239" s="243"/>
      <c r="JFW239" s="243"/>
      <c r="JFX239" s="243"/>
      <c r="JFY239" s="243"/>
      <c r="JFZ239" s="243"/>
      <c r="JGA239" s="243"/>
      <c r="JGB239" s="243"/>
      <c r="JGC239" s="243"/>
      <c r="JGD239" s="243"/>
      <c r="JGE239" s="243"/>
      <c r="JGF239" s="243"/>
      <c r="JGG239" s="243"/>
      <c r="JGH239" s="243"/>
      <c r="JGI239" s="243"/>
      <c r="JGJ239" s="243"/>
      <c r="JGK239" s="243"/>
      <c r="JGL239" s="243"/>
      <c r="JGM239" s="243"/>
      <c r="JGN239" s="243"/>
      <c r="JGO239" s="243"/>
      <c r="JGP239" s="243"/>
      <c r="JGQ239" s="243"/>
      <c r="JGR239" s="243"/>
      <c r="JGS239" s="243"/>
      <c r="JGT239" s="243"/>
      <c r="JGU239" s="243"/>
      <c r="JGV239" s="243"/>
      <c r="JGW239" s="243"/>
      <c r="JGX239" s="243"/>
      <c r="JGY239" s="243"/>
      <c r="JGZ239" s="243"/>
      <c r="JHA239" s="243"/>
      <c r="JHB239" s="243"/>
      <c r="JHC239" s="243"/>
      <c r="JHD239" s="243"/>
      <c r="JHE239" s="243"/>
      <c r="JHF239" s="243"/>
      <c r="JHG239" s="243"/>
      <c r="JHH239" s="243"/>
      <c r="JHI239" s="243"/>
      <c r="JHJ239" s="243"/>
      <c r="JHK239" s="243"/>
      <c r="JHL239" s="243"/>
      <c r="JHM239" s="243"/>
      <c r="JHN239" s="243"/>
      <c r="JHO239" s="243"/>
      <c r="JHP239" s="243"/>
      <c r="JHQ239" s="243"/>
      <c r="JHR239" s="243"/>
      <c r="JHS239" s="243"/>
      <c r="JHT239" s="243"/>
      <c r="JHU239" s="243"/>
      <c r="JHV239" s="243"/>
      <c r="JHW239" s="243"/>
      <c r="JHX239" s="243"/>
      <c r="JHY239" s="243"/>
      <c r="JHZ239" s="243"/>
      <c r="JIA239" s="243"/>
      <c r="JIB239" s="243"/>
      <c r="JIC239" s="243"/>
      <c r="JID239" s="243"/>
      <c r="JIE239" s="243"/>
      <c r="JIF239" s="243"/>
      <c r="JIG239" s="243"/>
      <c r="JIH239" s="243"/>
      <c r="JII239" s="243"/>
      <c r="JIJ239" s="243"/>
      <c r="JIK239" s="243"/>
      <c r="JIL239" s="243"/>
      <c r="JIM239" s="243"/>
      <c r="JIN239" s="243"/>
      <c r="JIO239" s="243"/>
      <c r="JIP239" s="243"/>
      <c r="JIQ239" s="243"/>
      <c r="JIR239" s="243"/>
      <c r="JIS239" s="243"/>
      <c r="JIT239" s="243"/>
      <c r="JIU239" s="243"/>
      <c r="JIV239" s="243"/>
      <c r="JIW239" s="243"/>
      <c r="JIX239" s="243"/>
      <c r="JIY239" s="243"/>
      <c r="JIZ239" s="243"/>
      <c r="JJA239" s="243"/>
      <c r="JJB239" s="243"/>
      <c r="JJC239" s="243"/>
      <c r="JJD239" s="243"/>
      <c r="JJE239" s="243"/>
      <c r="JJF239" s="243"/>
      <c r="JJG239" s="243"/>
      <c r="JJH239" s="243"/>
      <c r="JJI239" s="243"/>
      <c r="JJJ239" s="243"/>
      <c r="JJK239" s="243"/>
      <c r="JJL239" s="243"/>
      <c r="JJM239" s="243"/>
      <c r="JJN239" s="243"/>
      <c r="JJO239" s="243"/>
      <c r="JJP239" s="243"/>
      <c r="JJQ239" s="243"/>
      <c r="JJR239" s="243"/>
      <c r="JJS239" s="243"/>
      <c r="JJT239" s="243"/>
      <c r="JJU239" s="243"/>
      <c r="JJV239" s="243"/>
      <c r="JJW239" s="243"/>
      <c r="JJX239" s="243"/>
      <c r="JJY239" s="243"/>
      <c r="JJZ239" s="243"/>
      <c r="JKA239" s="243"/>
      <c r="JKB239" s="243"/>
      <c r="JKC239" s="243"/>
      <c r="JKD239" s="243"/>
      <c r="JKE239" s="243"/>
      <c r="JKF239" s="243"/>
      <c r="JKG239" s="243"/>
      <c r="JKH239" s="243"/>
      <c r="JKI239" s="243"/>
      <c r="JKJ239" s="243"/>
      <c r="JKK239" s="243"/>
      <c r="JKL239" s="243"/>
      <c r="JKM239" s="243"/>
      <c r="JKN239" s="243"/>
      <c r="JKO239" s="243"/>
      <c r="JKP239" s="243"/>
      <c r="JKQ239" s="243"/>
      <c r="JKR239" s="243"/>
      <c r="JKS239" s="243"/>
      <c r="JKT239" s="243"/>
      <c r="JKU239" s="243"/>
      <c r="JKV239" s="243"/>
      <c r="JKW239" s="243"/>
      <c r="JKX239" s="243"/>
      <c r="JKY239" s="243"/>
      <c r="JKZ239" s="243"/>
      <c r="JLA239" s="243"/>
      <c r="JLB239" s="243"/>
      <c r="JLC239" s="243"/>
      <c r="JLD239" s="243"/>
      <c r="JLE239" s="243"/>
      <c r="JLF239" s="243"/>
      <c r="JLG239" s="243"/>
      <c r="JLH239" s="243"/>
      <c r="JLI239" s="243"/>
      <c r="JLJ239" s="243"/>
      <c r="JLK239" s="243"/>
      <c r="JLL239" s="243"/>
      <c r="JLM239" s="243"/>
      <c r="JLN239" s="243"/>
      <c r="JLO239" s="243"/>
      <c r="JLP239" s="243"/>
      <c r="JLQ239" s="243"/>
      <c r="JLR239" s="243"/>
      <c r="JLS239" s="243"/>
      <c r="JLT239" s="243"/>
      <c r="JLU239" s="243"/>
      <c r="JLV239" s="243"/>
      <c r="JLW239" s="243"/>
      <c r="JLX239" s="243"/>
      <c r="JLY239" s="243"/>
      <c r="JLZ239" s="243"/>
      <c r="JMA239" s="243"/>
      <c r="JMB239" s="243"/>
      <c r="JMC239" s="243"/>
      <c r="JMD239" s="243"/>
      <c r="JME239" s="243"/>
      <c r="JMF239" s="243"/>
      <c r="JMG239" s="243"/>
      <c r="JMH239" s="243"/>
      <c r="JMI239" s="243"/>
      <c r="JMJ239" s="243"/>
      <c r="JMK239" s="243"/>
      <c r="JML239" s="243"/>
      <c r="JMM239" s="243"/>
      <c r="JMN239" s="243"/>
      <c r="JMO239" s="243"/>
      <c r="JMP239" s="243"/>
      <c r="JMQ239" s="243"/>
      <c r="JMR239" s="243"/>
      <c r="JMS239" s="243"/>
      <c r="JMT239" s="243"/>
      <c r="JMU239" s="243"/>
      <c r="JMV239" s="243"/>
      <c r="JMW239" s="243"/>
      <c r="JMX239" s="243"/>
      <c r="JMY239" s="243"/>
      <c r="JMZ239" s="243"/>
      <c r="JNA239" s="243"/>
      <c r="JNB239" s="243"/>
      <c r="JNC239" s="243"/>
      <c r="JND239" s="243"/>
      <c r="JNE239" s="243"/>
      <c r="JNF239" s="243"/>
      <c r="JNG239" s="243"/>
      <c r="JNH239" s="243"/>
      <c r="JNI239" s="243"/>
      <c r="JNJ239" s="243"/>
      <c r="JNK239" s="243"/>
      <c r="JNL239" s="243"/>
      <c r="JNM239" s="243"/>
      <c r="JNN239" s="243"/>
      <c r="JNO239" s="243"/>
      <c r="JNP239" s="243"/>
      <c r="JNQ239" s="243"/>
      <c r="JNR239" s="243"/>
      <c r="JNS239" s="243"/>
      <c r="JNT239" s="243"/>
      <c r="JNU239" s="243"/>
      <c r="JNV239" s="243"/>
      <c r="JNW239" s="243"/>
      <c r="JNX239" s="243"/>
      <c r="JNY239" s="243"/>
      <c r="JNZ239" s="243"/>
      <c r="JOA239" s="243"/>
      <c r="JOB239" s="243"/>
      <c r="JOC239" s="243"/>
      <c r="JOD239" s="243"/>
      <c r="JOE239" s="243"/>
      <c r="JOF239" s="243"/>
      <c r="JOG239" s="243"/>
      <c r="JOH239" s="243"/>
      <c r="JOI239" s="243"/>
      <c r="JOJ239" s="243"/>
      <c r="JOK239" s="243"/>
      <c r="JOL239" s="243"/>
      <c r="JOM239" s="243"/>
      <c r="JON239" s="243"/>
      <c r="JOO239" s="243"/>
      <c r="JOP239" s="243"/>
      <c r="JOQ239" s="243"/>
      <c r="JOR239" s="243"/>
      <c r="JOS239" s="243"/>
      <c r="JOT239" s="243"/>
      <c r="JOU239" s="243"/>
      <c r="JOV239" s="243"/>
      <c r="JOW239" s="243"/>
      <c r="JOX239" s="243"/>
      <c r="JOY239" s="243"/>
      <c r="JOZ239" s="243"/>
      <c r="JPA239" s="243"/>
      <c r="JPB239" s="243"/>
      <c r="JPC239" s="243"/>
      <c r="JPD239" s="243"/>
      <c r="JPE239" s="243"/>
      <c r="JPF239" s="243"/>
      <c r="JPG239" s="243"/>
      <c r="JPH239" s="243"/>
      <c r="JPI239" s="243"/>
      <c r="JPJ239" s="243"/>
      <c r="JPK239" s="243"/>
      <c r="JPL239" s="243"/>
      <c r="JPM239" s="243"/>
      <c r="JPN239" s="243"/>
      <c r="JPO239" s="243"/>
      <c r="JPP239" s="243"/>
      <c r="JPQ239" s="243"/>
      <c r="JPR239" s="243"/>
      <c r="JPS239" s="243"/>
      <c r="JPT239" s="243"/>
      <c r="JPU239" s="243"/>
      <c r="JPV239" s="243"/>
      <c r="JPW239" s="243"/>
      <c r="JPX239" s="243"/>
      <c r="JPY239" s="243"/>
      <c r="JPZ239" s="243"/>
      <c r="JQA239" s="243"/>
      <c r="JQB239" s="243"/>
      <c r="JQC239" s="243"/>
      <c r="JQD239" s="243"/>
      <c r="JQE239" s="243"/>
      <c r="JQF239" s="243"/>
      <c r="JQG239" s="243"/>
      <c r="JQH239" s="243"/>
      <c r="JQI239" s="243"/>
      <c r="JQJ239" s="243"/>
      <c r="JQK239" s="243"/>
      <c r="JQL239" s="243"/>
      <c r="JQM239" s="243"/>
      <c r="JQN239" s="243"/>
      <c r="JQO239" s="243"/>
      <c r="JQP239" s="243"/>
      <c r="JQQ239" s="243"/>
      <c r="JQR239" s="243"/>
      <c r="JQS239" s="243"/>
      <c r="JQT239" s="243"/>
      <c r="JQU239" s="243"/>
      <c r="JQV239" s="243"/>
      <c r="JQW239" s="243"/>
      <c r="JQX239" s="243"/>
      <c r="JQY239" s="243"/>
      <c r="JQZ239" s="243"/>
      <c r="JRA239" s="243"/>
      <c r="JRB239" s="243"/>
      <c r="JRC239" s="243"/>
      <c r="JRD239" s="243"/>
      <c r="JRE239" s="243"/>
      <c r="JRF239" s="243"/>
      <c r="JRG239" s="243"/>
      <c r="JRH239" s="243"/>
      <c r="JRI239" s="243"/>
      <c r="JRJ239" s="243"/>
      <c r="JRK239" s="243"/>
      <c r="JRL239" s="243"/>
      <c r="JRM239" s="243"/>
      <c r="JRN239" s="243"/>
      <c r="JRO239" s="243"/>
      <c r="JRP239" s="243"/>
      <c r="JRQ239" s="243"/>
      <c r="JRR239" s="243"/>
      <c r="JRS239" s="243"/>
      <c r="JRT239" s="243"/>
      <c r="JRU239" s="243"/>
      <c r="JRV239" s="243"/>
      <c r="JRW239" s="243"/>
      <c r="JRX239" s="243"/>
      <c r="JRY239" s="243"/>
      <c r="JRZ239" s="243"/>
      <c r="JSA239" s="243"/>
      <c r="JSB239" s="243"/>
      <c r="JSC239" s="243"/>
      <c r="JSD239" s="243"/>
      <c r="JSE239" s="243"/>
      <c r="JSF239" s="243"/>
      <c r="JSG239" s="243"/>
      <c r="JSH239" s="243"/>
      <c r="JSI239" s="243"/>
      <c r="JSJ239" s="243"/>
      <c r="JSK239" s="243"/>
      <c r="JSL239" s="243"/>
      <c r="JSM239" s="243"/>
      <c r="JSN239" s="243"/>
      <c r="JSO239" s="243"/>
      <c r="JSP239" s="243"/>
      <c r="JSQ239" s="243"/>
      <c r="JSR239" s="243"/>
      <c r="JSS239" s="243"/>
      <c r="JST239" s="243"/>
      <c r="JSU239" s="243"/>
      <c r="JSV239" s="243"/>
      <c r="JSW239" s="243"/>
      <c r="JSX239" s="243"/>
      <c r="JSY239" s="243"/>
      <c r="JSZ239" s="243"/>
      <c r="JTA239" s="243"/>
      <c r="JTB239" s="243"/>
      <c r="JTC239" s="243"/>
      <c r="JTD239" s="243"/>
      <c r="JTE239" s="243"/>
      <c r="JTF239" s="243"/>
      <c r="JTG239" s="243"/>
      <c r="JTH239" s="243"/>
      <c r="JTI239" s="243"/>
      <c r="JTJ239" s="243"/>
      <c r="JTK239" s="243"/>
      <c r="JTL239" s="243"/>
      <c r="JTM239" s="243"/>
      <c r="JTN239" s="243"/>
      <c r="JTO239" s="243"/>
      <c r="JTP239" s="243"/>
      <c r="JTQ239" s="243"/>
      <c r="JTR239" s="243"/>
      <c r="JTS239" s="243"/>
      <c r="JTT239" s="243"/>
      <c r="JTU239" s="243"/>
      <c r="JTV239" s="243"/>
      <c r="JTW239" s="243"/>
      <c r="JTX239" s="243"/>
      <c r="JTY239" s="243"/>
      <c r="JTZ239" s="243"/>
      <c r="JUA239" s="243"/>
      <c r="JUB239" s="243"/>
      <c r="JUC239" s="243"/>
      <c r="JUD239" s="243"/>
      <c r="JUE239" s="243"/>
      <c r="JUF239" s="243"/>
      <c r="JUG239" s="243"/>
      <c r="JUH239" s="243"/>
      <c r="JUI239" s="243"/>
      <c r="JUJ239" s="243"/>
      <c r="JUK239" s="243"/>
      <c r="JUL239" s="243"/>
      <c r="JUM239" s="243"/>
      <c r="JUN239" s="243"/>
      <c r="JUO239" s="243"/>
      <c r="JUP239" s="243"/>
      <c r="JUQ239" s="243"/>
      <c r="JUR239" s="243"/>
      <c r="JUS239" s="243"/>
      <c r="JUT239" s="243"/>
      <c r="JUU239" s="243"/>
      <c r="JUV239" s="243"/>
      <c r="JUW239" s="243"/>
      <c r="JUX239" s="243"/>
      <c r="JUY239" s="243"/>
      <c r="JUZ239" s="243"/>
      <c r="JVA239" s="243"/>
      <c r="JVB239" s="243"/>
      <c r="JVC239" s="243"/>
      <c r="JVD239" s="243"/>
      <c r="JVE239" s="243"/>
      <c r="JVF239" s="243"/>
      <c r="JVG239" s="243"/>
      <c r="JVH239" s="243"/>
      <c r="JVI239" s="243"/>
      <c r="JVJ239" s="243"/>
      <c r="JVK239" s="243"/>
      <c r="JVL239" s="243"/>
      <c r="JVM239" s="243"/>
      <c r="JVN239" s="243"/>
      <c r="JVO239" s="243"/>
      <c r="JVP239" s="243"/>
      <c r="JVQ239" s="243"/>
      <c r="JVR239" s="243"/>
      <c r="JVS239" s="243"/>
      <c r="JVT239" s="243"/>
      <c r="JVU239" s="243"/>
      <c r="JVV239" s="243"/>
      <c r="JVW239" s="243"/>
      <c r="JVX239" s="243"/>
      <c r="JVY239" s="243"/>
      <c r="JVZ239" s="243"/>
      <c r="JWA239" s="243"/>
      <c r="JWB239" s="243"/>
      <c r="JWC239" s="243"/>
      <c r="JWD239" s="243"/>
      <c r="JWE239" s="243"/>
      <c r="JWF239" s="243"/>
      <c r="JWG239" s="243"/>
      <c r="JWH239" s="243"/>
      <c r="JWI239" s="243"/>
      <c r="JWJ239" s="243"/>
      <c r="JWK239" s="243"/>
      <c r="JWL239" s="243"/>
      <c r="JWM239" s="243"/>
      <c r="JWN239" s="243"/>
      <c r="JWO239" s="243"/>
      <c r="JWP239" s="243"/>
      <c r="JWQ239" s="243"/>
      <c r="JWR239" s="243"/>
      <c r="JWS239" s="243"/>
      <c r="JWT239" s="243"/>
      <c r="JWU239" s="243"/>
      <c r="JWV239" s="243"/>
      <c r="JWW239" s="243"/>
      <c r="JWX239" s="243"/>
      <c r="JWY239" s="243"/>
      <c r="JWZ239" s="243"/>
      <c r="JXA239" s="243"/>
      <c r="JXB239" s="243"/>
      <c r="JXC239" s="243"/>
      <c r="JXD239" s="243"/>
      <c r="JXE239" s="243"/>
      <c r="JXF239" s="243"/>
      <c r="JXG239" s="243"/>
      <c r="JXH239" s="243"/>
      <c r="JXI239" s="243"/>
      <c r="JXJ239" s="243"/>
      <c r="JXK239" s="243"/>
      <c r="JXL239" s="243"/>
      <c r="JXM239" s="243"/>
      <c r="JXN239" s="243"/>
      <c r="JXO239" s="243"/>
      <c r="JXP239" s="243"/>
      <c r="JXQ239" s="243"/>
      <c r="JXR239" s="243"/>
      <c r="JXS239" s="243"/>
      <c r="JXT239" s="243"/>
      <c r="JXU239" s="243"/>
      <c r="JXV239" s="243"/>
      <c r="JXW239" s="243"/>
      <c r="JXX239" s="243"/>
      <c r="JXY239" s="243"/>
      <c r="JXZ239" s="243"/>
      <c r="JYA239" s="243"/>
      <c r="JYB239" s="243"/>
      <c r="JYC239" s="243"/>
      <c r="JYD239" s="243"/>
      <c r="JYE239" s="243"/>
      <c r="JYF239" s="243"/>
      <c r="JYG239" s="243"/>
      <c r="JYH239" s="243"/>
      <c r="JYI239" s="243"/>
      <c r="JYJ239" s="243"/>
      <c r="JYK239" s="243"/>
      <c r="JYL239" s="243"/>
      <c r="JYM239" s="243"/>
      <c r="JYN239" s="243"/>
      <c r="JYO239" s="243"/>
      <c r="JYP239" s="243"/>
      <c r="JYQ239" s="243"/>
      <c r="JYR239" s="243"/>
      <c r="JYS239" s="243"/>
      <c r="JYT239" s="243"/>
      <c r="JYU239" s="243"/>
      <c r="JYV239" s="243"/>
      <c r="JYW239" s="243"/>
      <c r="JYX239" s="243"/>
      <c r="JYY239" s="243"/>
      <c r="JYZ239" s="243"/>
      <c r="JZA239" s="243"/>
      <c r="JZB239" s="243"/>
      <c r="JZC239" s="243"/>
      <c r="JZD239" s="243"/>
      <c r="JZE239" s="243"/>
      <c r="JZF239" s="243"/>
      <c r="JZG239" s="243"/>
      <c r="JZH239" s="243"/>
      <c r="JZI239" s="243"/>
      <c r="JZJ239" s="243"/>
      <c r="JZK239" s="243"/>
      <c r="JZL239" s="243"/>
      <c r="JZM239" s="243"/>
      <c r="JZN239" s="243"/>
      <c r="JZO239" s="243"/>
      <c r="JZP239" s="243"/>
      <c r="JZQ239" s="243"/>
      <c r="JZR239" s="243"/>
      <c r="JZS239" s="243"/>
      <c r="JZT239" s="243"/>
      <c r="JZU239" s="243"/>
      <c r="JZV239" s="243"/>
      <c r="JZW239" s="243"/>
      <c r="JZX239" s="243"/>
      <c r="JZY239" s="243"/>
      <c r="JZZ239" s="243"/>
      <c r="KAA239" s="243"/>
      <c r="KAB239" s="243"/>
      <c r="KAC239" s="243"/>
      <c r="KAD239" s="243"/>
      <c r="KAE239" s="243"/>
      <c r="KAF239" s="243"/>
      <c r="KAG239" s="243"/>
      <c r="KAH239" s="243"/>
      <c r="KAI239" s="243"/>
      <c r="KAJ239" s="243"/>
      <c r="KAK239" s="243"/>
      <c r="KAL239" s="243"/>
      <c r="KAM239" s="243"/>
      <c r="KAN239" s="243"/>
      <c r="KAO239" s="243"/>
      <c r="KAP239" s="243"/>
      <c r="KAQ239" s="243"/>
      <c r="KAR239" s="243"/>
      <c r="KAS239" s="243"/>
      <c r="KAT239" s="243"/>
      <c r="KAU239" s="243"/>
      <c r="KAV239" s="243"/>
      <c r="KAW239" s="243"/>
      <c r="KAX239" s="243"/>
      <c r="KAY239" s="243"/>
      <c r="KAZ239" s="243"/>
      <c r="KBA239" s="243"/>
      <c r="KBB239" s="243"/>
      <c r="KBC239" s="243"/>
      <c r="KBD239" s="243"/>
      <c r="KBE239" s="243"/>
      <c r="KBF239" s="243"/>
      <c r="KBG239" s="243"/>
      <c r="KBH239" s="243"/>
      <c r="KBI239" s="243"/>
      <c r="KBJ239" s="243"/>
      <c r="KBK239" s="243"/>
      <c r="KBL239" s="243"/>
      <c r="KBM239" s="243"/>
      <c r="KBN239" s="243"/>
      <c r="KBO239" s="243"/>
      <c r="KBP239" s="243"/>
      <c r="KBQ239" s="243"/>
      <c r="KBR239" s="243"/>
      <c r="KBS239" s="243"/>
      <c r="KBT239" s="243"/>
      <c r="KBU239" s="243"/>
      <c r="KBV239" s="243"/>
      <c r="KBW239" s="243"/>
      <c r="KBX239" s="243"/>
      <c r="KBY239" s="243"/>
      <c r="KBZ239" s="243"/>
      <c r="KCA239" s="243"/>
      <c r="KCB239" s="243"/>
      <c r="KCC239" s="243"/>
      <c r="KCD239" s="243"/>
      <c r="KCE239" s="243"/>
      <c r="KCF239" s="243"/>
      <c r="KCG239" s="243"/>
      <c r="KCH239" s="243"/>
      <c r="KCI239" s="243"/>
      <c r="KCJ239" s="243"/>
      <c r="KCK239" s="243"/>
      <c r="KCL239" s="243"/>
      <c r="KCM239" s="243"/>
      <c r="KCN239" s="243"/>
      <c r="KCO239" s="243"/>
      <c r="KCP239" s="243"/>
      <c r="KCQ239" s="243"/>
      <c r="KCR239" s="243"/>
      <c r="KCS239" s="243"/>
      <c r="KCT239" s="243"/>
      <c r="KCU239" s="243"/>
      <c r="KCV239" s="243"/>
      <c r="KCW239" s="243"/>
      <c r="KCX239" s="243"/>
      <c r="KCY239" s="243"/>
      <c r="KCZ239" s="243"/>
      <c r="KDA239" s="243"/>
      <c r="KDB239" s="243"/>
      <c r="KDC239" s="243"/>
      <c r="KDD239" s="243"/>
      <c r="KDE239" s="243"/>
      <c r="KDF239" s="243"/>
      <c r="KDG239" s="243"/>
      <c r="KDH239" s="243"/>
      <c r="KDI239" s="243"/>
      <c r="KDJ239" s="243"/>
      <c r="KDK239" s="243"/>
      <c r="KDL239" s="243"/>
      <c r="KDM239" s="243"/>
      <c r="KDN239" s="243"/>
      <c r="KDO239" s="243"/>
      <c r="KDP239" s="243"/>
      <c r="KDQ239" s="243"/>
      <c r="KDR239" s="243"/>
      <c r="KDS239" s="243"/>
      <c r="KDT239" s="243"/>
      <c r="KDU239" s="243"/>
      <c r="KDV239" s="243"/>
      <c r="KDW239" s="243"/>
      <c r="KDX239" s="243"/>
      <c r="KDY239" s="243"/>
      <c r="KDZ239" s="243"/>
      <c r="KEA239" s="243"/>
      <c r="KEB239" s="243"/>
      <c r="KEC239" s="243"/>
      <c r="KED239" s="243"/>
      <c r="KEE239" s="243"/>
      <c r="KEF239" s="243"/>
      <c r="KEG239" s="243"/>
      <c r="KEH239" s="243"/>
      <c r="KEI239" s="243"/>
      <c r="KEJ239" s="243"/>
      <c r="KEK239" s="243"/>
      <c r="KEL239" s="243"/>
      <c r="KEM239" s="243"/>
      <c r="KEN239" s="243"/>
      <c r="KEO239" s="243"/>
      <c r="KEP239" s="243"/>
      <c r="KEQ239" s="243"/>
      <c r="KER239" s="243"/>
      <c r="KES239" s="243"/>
      <c r="KET239" s="243"/>
      <c r="KEU239" s="243"/>
      <c r="KEV239" s="243"/>
      <c r="KEW239" s="243"/>
      <c r="KEX239" s="243"/>
      <c r="KEY239" s="243"/>
      <c r="KEZ239" s="243"/>
      <c r="KFA239" s="243"/>
      <c r="KFB239" s="243"/>
      <c r="KFC239" s="243"/>
      <c r="KFD239" s="243"/>
      <c r="KFE239" s="243"/>
      <c r="KFF239" s="243"/>
      <c r="KFG239" s="243"/>
      <c r="KFH239" s="243"/>
      <c r="KFI239" s="243"/>
      <c r="KFJ239" s="243"/>
      <c r="KFK239" s="243"/>
      <c r="KFL239" s="243"/>
      <c r="KFM239" s="243"/>
      <c r="KFN239" s="243"/>
      <c r="KFO239" s="243"/>
      <c r="KFP239" s="243"/>
      <c r="KFQ239" s="243"/>
      <c r="KFR239" s="243"/>
      <c r="KFS239" s="243"/>
      <c r="KFT239" s="243"/>
      <c r="KFU239" s="243"/>
      <c r="KFV239" s="243"/>
      <c r="KFW239" s="243"/>
      <c r="KFX239" s="243"/>
      <c r="KFY239" s="243"/>
      <c r="KFZ239" s="243"/>
      <c r="KGA239" s="243"/>
      <c r="KGB239" s="243"/>
      <c r="KGC239" s="243"/>
      <c r="KGD239" s="243"/>
      <c r="KGE239" s="243"/>
      <c r="KGF239" s="243"/>
      <c r="KGG239" s="243"/>
      <c r="KGH239" s="243"/>
      <c r="KGI239" s="243"/>
      <c r="KGJ239" s="243"/>
      <c r="KGK239" s="243"/>
      <c r="KGL239" s="243"/>
      <c r="KGM239" s="243"/>
      <c r="KGN239" s="243"/>
      <c r="KGO239" s="243"/>
      <c r="KGP239" s="243"/>
      <c r="KGQ239" s="243"/>
      <c r="KGR239" s="243"/>
      <c r="KGS239" s="243"/>
      <c r="KGT239" s="243"/>
      <c r="KGU239" s="243"/>
      <c r="KGV239" s="243"/>
      <c r="KGW239" s="243"/>
      <c r="KGX239" s="243"/>
      <c r="KGY239" s="243"/>
      <c r="KGZ239" s="243"/>
      <c r="KHA239" s="243"/>
      <c r="KHB239" s="243"/>
      <c r="KHC239" s="243"/>
      <c r="KHD239" s="243"/>
      <c r="KHE239" s="243"/>
      <c r="KHF239" s="243"/>
      <c r="KHG239" s="243"/>
      <c r="KHH239" s="243"/>
      <c r="KHI239" s="243"/>
      <c r="KHJ239" s="243"/>
      <c r="KHK239" s="243"/>
      <c r="KHL239" s="243"/>
      <c r="KHM239" s="243"/>
      <c r="KHN239" s="243"/>
      <c r="KHO239" s="243"/>
      <c r="KHP239" s="243"/>
      <c r="KHQ239" s="243"/>
      <c r="KHR239" s="243"/>
      <c r="KHS239" s="243"/>
      <c r="KHT239" s="243"/>
      <c r="KHU239" s="243"/>
      <c r="KHV239" s="243"/>
      <c r="KHW239" s="243"/>
      <c r="KHX239" s="243"/>
      <c r="KHY239" s="243"/>
      <c r="KHZ239" s="243"/>
      <c r="KIA239" s="243"/>
      <c r="KIB239" s="243"/>
      <c r="KIC239" s="243"/>
      <c r="KID239" s="243"/>
      <c r="KIE239" s="243"/>
      <c r="KIF239" s="243"/>
      <c r="KIG239" s="243"/>
      <c r="KIH239" s="243"/>
      <c r="KII239" s="243"/>
      <c r="KIJ239" s="243"/>
      <c r="KIK239" s="243"/>
      <c r="KIL239" s="243"/>
      <c r="KIM239" s="243"/>
      <c r="KIN239" s="243"/>
      <c r="KIO239" s="243"/>
      <c r="KIP239" s="243"/>
      <c r="KIQ239" s="243"/>
      <c r="KIR239" s="243"/>
      <c r="KIS239" s="243"/>
      <c r="KIT239" s="243"/>
      <c r="KIU239" s="243"/>
      <c r="KIV239" s="243"/>
      <c r="KIW239" s="243"/>
      <c r="KIX239" s="243"/>
      <c r="KIY239" s="243"/>
      <c r="KIZ239" s="243"/>
      <c r="KJA239" s="243"/>
      <c r="KJB239" s="243"/>
      <c r="KJC239" s="243"/>
      <c r="KJD239" s="243"/>
      <c r="KJE239" s="243"/>
      <c r="KJF239" s="243"/>
      <c r="KJG239" s="243"/>
      <c r="KJH239" s="243"/>
      <c r="KJI239" s="243"/>
      <c r="KJJ239" s="243"/>
      <c r="KJK239" s="243"/>
      <c r="KJL239" s="243"/>
      <c r="KJM239" s="243"/>
      <c r="KJN239" s="243"/>
      <c r="KJO239" s="243"/>
      <c r="KJP239" s="243"/>
      <c r="KJQ239" s="243"/>
      <c r="KJR239" s="243"/>
      <c r="KJS239" s="243"/>
      <c r="KJT239" s="243"/>
      <c r="KJU239" s="243"/>
      <c r="KJV239" s="243"/>
      <c r="KJW239" s="243"/>
      <c r="KJX239" s="243"/>
      <c r="KJY239" s="243"/>
      <c r="KJZ239" s="243"/>
      <c r="KKA239" s="243"/>
      <c r="KKB239" s="243"/>
      <c r="KKC239" s="243"/>
      <c r="KKD239" s="243"/>
      <c r="KKE239" s="243"/>
      <c r="KKF239" s="243"/>
      <c r="KKG239" s="243"/>
      <c r="KKH239" s="243"/>
      <c r="KKI239" s="243"/>
      <c r="KKJ239" s="243"/>
      <c r="KKK239" s="243"/>
      <c r="KKL239" s="243"/>
      <c r="KKM239" s="243"/>
      <c r="KKN239" s="243"/>
      <c r="KKO239" s="243"/>
      <c r="KKP239" s="243"/>
      <c r="KKQ239" s="243"/>
      <c r="KKR239" s="243"/>
      <c r="KKS239" s="243"/>
      <c r="KKT239" s="243"/>
      <c r="KKU239" s="243"/>
      <c r="KKV239" s="243"/>
      <c r="KKW239" s="243"/>
      <c r="KKX239" s="243"/>
      <c r="KKY239" s="243"/>
      <c r="KKZ239" s="243"/>
      <c r="KLA239" s="243"/>
      <c r="KLB239" s="243"/>
      <c r="KLC239" s="243"/>
      <c r="KLD239" s="243"/>
      <c r="KLE239" s="243"/>
      <c r="KLF239" s="243"/>
      <c r="KLG239" s="243"/>
      <c r="KLH239" s="243"/>
      <c r="KLI239" s="243"/>
      <c r="KLJ239" s="243"/>
      <c r="KLK239" s="243"/>
      <c r="KLL239" s="243"/>
      <c r="KLM239" s="243"/>
      <c r="KLN239" s="243"/>
      <c r="KLO239" s="243"/>
      <c r="KLP239" s="243"/>
      <c r="KLQ239" s="243"/>
      <c r="KLR239" s="243"/>
      <c r="KLS239" s="243"/>
      <c r="KLT239" s="243"/>
      <c r="KLU239" s="243"/>
      <c r="KLV239" s="243"/>
      <c r="KLW239" s="243"/>
      <c r="KLX239" s="243"/>
      <c r="KLY239" s="243"/>
      <c r="KLZ239" s="243"/>
      <c r="KMA239" s="243"/>
      <c r="KMB239" s="243"/>
      <c r="KMC239" s="243"/>
      <c r="KMD239" s="243"/>
      <c r="KME239" s="243"/>
      <c r="KMF239" s="243"/>
      <c r="KMG239" s="243"/>
      <c r="KMH239" s="243"/>
      <c r="KMI239" s="243"/>
      <c r="KMJ239" s="243"/>
      <c r="KMK239" s="243"/>
      <c r="KML239" s="243"/>
      <c r="KMM239" s="243"/>
      <c r="KMN239" s="243"/>
      <c r="KMO239" s="243"/>
      <c r="KMP239" s="243"/>
      <c r="KMQ239" s="243"/>
      <c r="KMR239" s="243"/>
      <c r="KMS239" s="243"/>
      <c r="KMT239" s="243"/>
      <c r="KMU239" s="243"/>
      <c r="KMV239" s="243"/>
      <c r="KMW239" s="243"/>
      <c r="KMX239" s="243"/>
      <c r="KMY239" s="243"/>
      <c r="KMZ239" s="243"/>
      <c r="KNA239" s="243"/>
      <c r="KNB239" s="243"/>
      <c r="KNC239" s="243"/>
      <c r="KND239" s="243"/>
      <c r="KNE239" s="243"/>
      <c r="KNF239" s="243"/>
      <c r="KNG239" s="243"/>
      <c r="KNH239" s="243"/>
      <c r="KNI239" s="243"/>
      <c r="KNJ239" s="243"/>
      <c r="KNK239" s="243"/>
      <c r="KNL239" s="243"/>
      <c r="KNM239" s="243"/>
      <c r="KNN239" s="243"/>
      <c r="KNO239" s="243"/>
      <c r="KNP239" s="243"/>
      <c r="KNQ239" s="243"/>
      <c r="KNR239" s="243"/>
      <c r="KNS239" s="243"/>
      <c r="KNT239" s="243"/>
      <c r="KNU239" s="243"/>
      <c r="KNV239" s="243"/>
      <c r="KNW239" s="243"/>
      <c r="KNX239" s="243"/>
      <c r="KNY239" s="243"/>
      <c r="KNZ239" s="243"/>
      <c r="KOA239" s="243"/>
      <c r="KOB239" s="243"/>
      <c r="KOC239" s="243"/>
      <c r="KOD239" s="243"/>
      <c r="KOE239" s="243"/>
      <c r="KOF239" s="243"/>
      <c r="KOG239" s="243"/>
      <c r="KOH239" s="243"/>
      <c r="KOI239" s="243"/>
      <c r="KOJ239" s="243"/>
      <c r="KOK239" s="243"/>
      <c r="KOL239" s="243"/>
      <c r="KOM239" s="243"/>
      <c r="KON239" s="243"/>
      <c r="KOO239" s="243"/>
      <c r="KOP239" s="243"/>
      <c r="KOQ239" s="243"/>
      <c r="KOR239" s="243"/>
      <c r="KOS239" s="243"/>
      <c r="KOT239" s="243"/>
      <c r="KOU239" s="243"/>
      <c r="KOV239" s="243"/>
      <c r="KOW239" s="243"/>
      <c r="KOX239" s="243"/>
      <c r="KOY239" s="243"/>
      <c r="KOZ239" s="243"/>
      <c r="KPA239" s="243"/>
      <c r="KPB239" s="243"/>
      <c r="KPC239" s="243"/>
      <c r="KPD239" s="243"/>
      <c r="KPE239" s="243"/>
      <c r="KPF239" s="243"/>
      <c r="KPG239" s="243"/>
      <c r="KPH239" s="243"/>
      <c r="KPI239" s="243"/>
      <c r="KPJ239" s="243"/>
      <c r="KPK239" s="243"/>
      <c r="KPL239" s="243"/>
      <c r="KPM239" s="243"/>
      <c r="KPN239" s="243"/>
      <c r="KPO239" s="243"/>
      <c r="KPP239" s="243"/>
      <c r="KPQ239" s="243"/>
      <c r="KPR239" s="243"/>
      <c r="KPS239" s="243"/>
      <c r="KPT239" s="243"/>
      <c r="KPU239" s="243"/>
      <c r="KPV239" s="243"/>
      <c r="KPW239" s="243"/>
      <c r="KPX239" s="243"/>
      <c r="KPY239" s="243"/>
      <c r="KPZ239" s="243"/>
      <c r="KQA239" s="243"/>
      <c r="KQB239" s="243"/>
      <c r="KQC239" s="243"/>
      <c r="KQD239" s="243"/>
      <c r="KQE239" s="243"/>
      <c r="KQF239" s="243"/>
      <c r="KQG239" s="243"/>
      <c r="KQH239" s="243"/>
      <c r="KQI239" s="243"/>
      <c r="KQJ239" s="243"/>
      <c r="KQK239" s="243"/>
      <c r="KQL239" s="243"/>
      <c r="KQM239" s="243"/>
      <c r="KQN239" s="243"/>
      <c r="KQO239" s="243"/>
      <c r="KQP239" s="243"/>
      <c r="KQQ239" s="243"/>
      <c r="KQR239" s="243"/>
      <c r="KQS239" s="243"/>
      <c r="KQT239" s="243"/>
      <c r="KQU239" s="243"/>
      <c r="KQV239" s="243"/>
      <c r="KQW239" s="243"/>
      <c r="KQX239" s="243"/>
      <c r="KQY239" s="243"/>
      <c r="KQZ239" s="243"/>
      <c r="KRA239" s="243"/>
      <c r="KRB239" s="243"/>
      <c r="KRC239" s="243"/>
      <c r="KRD239" s="243"/>
      <c r="KRE239" s="243"/>
      <c r="KRF239" s="243"/>
      <c r="KRG239" s="243"/>
      <c r="KRH239" s="243"/>
      <c r="KRI239" s="243"/>
      <c r="KRJ239" s="243"/>
      <c r="KRK239" s="243"/>
      <c r="KRL239" s="243"/>
      <c r="KRM239" s="243"/>
      <c r="KRN239" s="243"/>
      <c r="KRO239" s="243"/>
      <c r="KRP239" s="243"/>
      <c r="KRQ239" s="243"/>
      <c r="KRR239" s="243"/>
      <c r="KRS239" s="243"/>
      <c r="KRT239" s="243"/>
      <c r="KRU239" s="243"/>
      <c r="KRV239" s="243"/>
      <c r="KRW239" s="243"/>
      <c r="KRX239" s="243"/>
      <c r="KRY239" s="243"/>
      <c r="KRZ239" s="243"/>
      <c r="KSA239" s="243"/>
      <c r="KSB239" s="243"/>
      <c r="KSC239" s="243"/>
      <c r="KSD239" s="243"/>
      <c r="KSE239" s="243"/>
      <c r="KSF239" s="243"/>
      <c r="KSG239" s="243"/>
      <c r="KSH239" s="243"/>
      <c r="KSI239" s="243"/>
      <c r="KSJ239" s="243"/>
      <c r="KSK239" s="243"/>
      <c r="KSL239" s="243"/>
      <c r="KSM239" s="243"/>
      <c r="KSN239" s="243"/>
      <c r="KSO239" s="243"/>
      <c r="KSP239" s="243"/>
      <c r="KSQ239" s="243"/>
      <c r="KSR239" s="243"/>
      <c r="KSS239" s="243"/>
      <c r="KST239" s="243"/>
      <c r="KSU239" s="243"/>
      <c r="KSV239" s="243"/>
      <c r="KSW239" s="243"/>
      <c r="KSX239" s="243"/>
      <c r="KSY239" s="243"/>
      <c r="KSZ239" s="243"/>
      <c r="KTA239" s="243"/>
      <c r="KTB239" s="243"/>
      <c r="KTC239" s="243"/>
      <c r="KTD239" s="243"/>
      <c r="KTE239" s="243"/>
      <c r="KTF239" s="243"/>
      <c r="KTG239" s="243"/>
      <c r="KTH239" s="243"/>
      <c r="KTI239" s="243"/>
      <c r="KTJ239" s="243"/>
      <c r="KTK239" s="243"/>
      <c r="KTL239" s="243"/>
      <c r="KTM239" s="243"/>
      <c r="KTN239" s="243"/>
      <c r="KTO239" s="243"/>
      <c r="KTP239" s="243"/>
      <c r="KTQ239" s="243"/>
      <c r="KTR239" s="243"/>
      <c r="KTS239" s="243"/>
      <c r="KTT239" s="243"/>
      <c r="KTU239" s="243"/>
      <c r="KTV239" s="243"/>
      <c r="KTW239" s="243"/>
      <c r="KTX239" s="243"/>
      <c r="KTY239" s="243"/>
      <c r="KTZ239" s="243"/>
      <c r="KUA239" s="243"/>
      <c r="KUB239" s="243"/>
      <c r="KUC239" s="243"/>
      <c r="KUD239" s="243"/>
      <c r="KUE239" s="243"/>
      <c r="KUF239" s="243"/>
      <c r="KUG239" s="243"/>
      <c r="KUH239" s="243"/>
      <c r="KUI239" s="243"/>
      <c r="KUJ239" s="243"/>
      <c r="KUK239" s="243"/>
      <c r="KUL239" s="243"/>
      <c r="KUM239" s="243"/>
      <c r="KUN239" s="243"/>
      <c r="KUO239" s="243"/>
      <c r="KUP239" s="243"/>
      <c r="KUQ239" s="243"/>
      <c r="KUR239" s="243"/>
      <c r="KUS239" s="243"/>
      <c r="KUT239" s="243"/>
      <c r="KUU239" s="243"/>
      <c r="KUV239" s="243"/>
      <c r="KUW239" s="243"/>
      <c r="KUX239" s="243"/>
      <c r="KUY239" s="243"/>
      <c r="KUZ239" s="243"/>
      <c r="KVA239" s="243"/>
      <c r="KVB239" s="243"/>
      <c r="KVC239" s="243"/>
      <c r="KVD239" s="243"/>
      <c r="KVE239" s="243"/>
      <c r="KVF239" s="243"/>
      <c r="KVG239" s="243"/>
      <c r="KVH239" s="243"/>
      <c r="KVI239" s="243"/>
      <c r="KVJ239" s="243"/>
      <c r="KVK239" s="243"/>
      <c r="KVL239" s="243"/>
      <c r="KVM239" s="243"/>
      <c r="KVN239" s="243"/>
      <c r="KVO239" s="243"/>
      <c r="KVP239" s="243"/>
      <c r="KVQ239" s="243"/>
      <c r="KVR239" s="243"/>
      <c r="KVS239" s="243"/>
      <c r="KVT239" s="243"/>
      <c r="KVU239" s="243"/>
      <c r="KVV239" s="243"/>
      <c r="KVW239" s="243"/>
      <c r="KVX239" s="243"/>
      <c r="KVY239" s="243"/>
      <c r="KVZ239" s="243"/>
      <c r="KWA239" s="243"/>
      <c r="KWB239" s="243"/>
      <c r="KWC239" s="243"/>
      <c r="KWD239" s="243"/>
      <c r="KWE239" s="243"/>
      <c r="KWF239" s="243"/>
      <c r="KWG239" s="243"/>
      <c r="KWH239" s="243"/>
      <c r="KWI239" s="243"/>
      <c r="KWJ239" s="243"/>
      <c r="KWK239" s="243"/>
      <c r="KWL239" s="243"/>
      <c r="KWM239" s="243"/>
      <c r="KWN239" s="243"/>
      <c r="KWO239" s="243"/>
      <c r="KWP239" s="243"/>
      <c r="KWQ239" s="243"/>
      <c r="KWR239" s="243"/>
      <c r="KWS239" s="243"/>
      <c r="KWT239" s="243"/>
      <c r="KWU239" s="243"/>
      <c r="KWV239" s="243"/>
      <c r="KWW239" s="243"/>
      <c r="KWX239" s="243"/>
      <c r="KWY239" s="243"/>
      <c r="KWZ239" s="243"/>
      <c r="KXA239" s="243"/>
      <c r="KXB239" s="243"/>
      <c r="KXC239" s="243"/>
      <c r="KXD239" s="243"/>
      <c r="KXE239" s="243"/>
      <c r="KXF239" s="243"/>
      <c r="KXG239" s="243"/>
      <c r="KXH239" s="243"/>
      <c r="KXI239" s="243"/>
      <c r="KXJ239" s="243"/>
      <c r="KXK239" s="243"/>
      <c r="KXL239" s="243"/>
      <c r="KXM239" s="243"/>
      <c r="KXN239" s="243"/>
      <c r="KXO239" s="243"/>
      <c r="KXP239" s="243"/>
      <c r="KXQ239" s="243"/>
      <c r="KXR239" s="243"/>
      <c r="KXS239" s="243"/>
      <c r="KXT239" s="243"/>
      <c r="KXU239" s="243"/>
      <c r="KXV239" s="243"/>
      <c r="KXW239" s="243"/>
      <c r="KXX239" s="243"/>
      <c r="KXY239" s="243"/>
      <c r="KXZ239" s="243"/>
      <c r="KYA239" s="243"/>
      <c r="KYB239" s="243"/>
      <c r="KYC239" s="243"/>
      <c r="KYD239" s="243"/>
      <c r="KYE239" s="243"/>
      <c r="KYF239" s="243"/>
      <c r="KYG239" s="243"/>
      <c r="KYH239" s="243"/>
      <c r="KYI239" s="243"/>
      <c r="KYJ239" s="243"/>
      <c r="KYK239" s="243"/>
      <c r="KYL239" s="243"/>
      <c r="KYM239" s="243"/>
      <c r="KYN239" s="243"/>
      <c r="KYO239" s="243"/>
      <c r="KYP239" s="243"/>
      <c r="KYQ239" s="243"/>
      <c r="KYR239" s="243"/>
      <c r="KYS239" s="243"/>
      <c r="KYT239" s="243"/>
      <c r="KYU239" s="243"/>
      <c r="KYV239" s="243"/>
      <c r="KYW239" s="243"/>
      <c r="KYX239" s="243"/>
      <c r="KYY239" s="243"/>
      <c r="KYZ239" s="243"/>
      <c r="KZA239" s="243"/>
      <c r="KZB239" s="243"/>
      <c r="KZC239" s="243"/>
      <c r="KZD239" s="243"/>
      <c r="KZE239" s="243"/>
      <c r="KZF239" s="243"/>
      <c r="KZG239" s="243"/>
      <c r="KZH239" s="243"/>
      <c r="KZI239" s="243"/>
      <c r="KZJ239" s="243"/>
      <c r="KZK239" s="243"/>
      <c r="KZL239" s="243"/>
      <c r="KZM239" s="243"/>
      <c r="KZN239" s="243"/>
      <c r="KZO239" s="243"/>
      <c r="KZP239" s="243"/>
      <c r="KZQ239" s="243"/>
      <c r="KZR239" s="243"/>
      <c r="KZS239" s="243"/>
      <c r="KZT239" s="243"/>
      <c r="KZU239" s="243"/>
      <c r="KZV239" s="243"/>
      <c r="KZW239" s="243"/>
      <c r="KZX239" s="243"/>
      <c r="KZY239" s="243"/>
      <c r="KZZ239" s="243"/>
      <c r="LAA239" s="243"/>
      <c r="LAB239" s="243"/>
      <c r="LAC239" s="243"/>
      <c r="LAD239" s="243"/>
      <c r="LAE239" s="243"/>
      <c r="LAF239" s="243"/>
      <c r="LAG239" s="243"/>
      <c r="LAH239" s="243"/>
      <c r="LAI239" s="243"/>
      <c r="LAJ239" s="243"/>
      <c r="LAK239" s="243"/>
      <c r="LAL239" s="243"/>
      <c r="LAM239" s="243"/>
      <c r="LAN239" s="243"/>
      <c r="LAO239" s="243"/>
      <c r="LAP239" s="243"/>
      <c r="LAQ239" s="243"/>
      <c r="LAR239" s="243"/>
      <c r="LAS239" s="243"/>
      <c r="LAT239" s="243"/>
      <c r="LAU239" s="243"/>
      <c r="LAV239" s="243"/>
      <c r="LAW239" s="243"/>
      <c r="LAX239" s="243"/>
      <c r="LAY239" s="243"/>
      <c r="LAZ239" s="243"/>
      <c r="LBA239" s="243"/>
      <c r="LBB239" s="243"/>
      <c r="LBC239" s="243"/>
      <c r="LBD239" s="243"/>
      <c r="LBE239" s="243"/>
      <c r="LBF239" s="243"/>
      <c r="LBG239" s="243"/>
      <c r="LBH239" s="243"/>
      <c r="LBI239" s="243"/>
      <c r="LBJ239" s="243"/>
      <c r="LBK239" s="243"/>
      <c r="LBL239" s="243"/>
      <c r="LBM239" s="243"/>
      <c r="LBN239" s="243"/>
      <c r="LBO239" s="243"/>
      <c r="LBP239" s="243"/>
      <c r="LBQ239" s="243"/>
      <c r="LBR239" s="243"/>
      <c r="LBS239" s="243"/>
      <c r="LBT239" s="243"/>
      <c r="LBU239" s="243"/>
      <c r="LBV239" s="243"/>
      <c r="LBW239" s="243"/>
      <c r="LBX239" s="243"/>
      <c r="LBY239" s="243"/>
      <c r="LBZ239" s="243"/>
      <c r="LCA239" s="243"/>
      <c r="LCB239" s="243"/>
      <c r="LCC239" s="243"/>
      <c r="LCD239" s="243"/>
      <c r="LCE239" s="243"/>
      <c r="LCF239" s="243"/>
      <c r="LCG239" s="243"/>
      <c r="LCH239" s="243"/>
      <c r="LCI239" s="243"/>
      <c r="LCJ239" s="243"/>
      <c r="LCK239" s="243"/>
      <c r="LCL239" s="243"/>
      <c r="LCM239" s="243"/>
      <c r="LCN239" s="243"/>
      <c r="LCO239" s="243"/>
      <c r="LCP239" s="243"/>
      <c r="LCQ239" s="243"/>
      <c r="LCR239" s="243"/>
      <c r="LCS239" s="243"/>
      <c r="LCT239" s="243"/>
      <c r="LCU239" s="243"/>
      <c r="LCV239" s="243"/>
      <c r="LCW239" s="243"/>
      <c r="LCX239" s="243"/>
      <c r="LCY239" s="243"/>
      <c r="LCZ239" s="243"/>
      <c r="LDA239" s="243"/>
      <c r="LDB239" s="243"/>
      <c r="LDC239" s="243"/>
      <c r="LDD239" s="243"/>
      <c r="LDE239" s="243"/>
      <c r="LDF239" s="243"/>
      <c r="LDG239" s="243"/>
      <c r="LDH239" s="243"/>
      <c r="LDI239" s="243"/>
      <c r="LDJ239" s="243"/>
      <c r="LDK239" s="243"/>
      <c r="LDL239" s="243"/>
      <c r="LDM239" s="243"/>
      <c r="LDN239" s="243"/>
      <c r="LDO239" s="243"/>
      <c r="LDP239" s="243"/>
      <c r="LDQ239" s="243"/>
      <c r="LDR239" s="243"/>
      <c r="LDS239" s="243"/>
      <c r="LDT239" s="243"/>
      <c r="LDU239" s="243"/>
      <c r="LDV239" s="243"/>
      <c r="LDW239" s="243"/>
      <c r="LDX239" s="243"/>
      <c r="LDY239" s="243"/>
      <c r="LDZ239" s="243"/>
      <c r="LEA239" s="243"/>
      <c r="LEB239" s="243"/>
      <c r="LEC239" s="243"/>
      <c r="LED239" s="243"/>
      <c r="LEE239" s="243"/>
      <c r="LEF239" s="243"/>
      <c r="LEG239" s="243"/>
      <c r="LEH239" s="243"/>
      <c r="LEI239" s="243"/>
      <c r="LEJ239" s="243"/>
      <c r="LEK239" s="243"/>
      <c r="LEL239" s="243"/>
      <c r="LEM239" s="243"/>
      <c r="LEN239" s="243"/>
      <c r="LEO239" s="243"/>
      <c r="LEP239" s="243"/>
      <c r="LEQ239" s="243"/>
      <c r="LER239" s="243"/>
      <c r="LES239" s="243"/>
      <c r="LET239" s="243"/>
      <c r="LEU239" s="243"/>
      <c r="LEV239" s="243"/>
      <c r="LEW239" s="243"/>
      <c r="LEX239" s="243"/>
      <c r="LEY239" s="243"/>
      <c r="LEZ239" s="243"/>
      <c r="LFA239" s="243"/>
      <c r="LFB239" s="243"/>
      <c r="LFC239" s="243"/>
      <c r="LFD239" s="243"/>
      <c r="LFE239" s="243"/>
      <c r="LFF239" s="243"/>
      <c r="LFG239" s="243"/>
      <c r="LFH239" s="243"/>
      <c r="LFI239" s="243"/>
      <c r="LFJ239" s="243"/>
      <c r="LFK239" s="243"/>
      <c r="LFL239" s="243"/>
      <c r="LFM239" s="243"/>
      <c r="LFN239" s="243"/>
      <c r="LFO239" s="243"/>
      <c r="LFP239" s="243"/>
      <c r="LFQ239" s="243"/>
      <c r="LFR239" s="243"/>
      <c r="LFS239" s="243"/>
      <c r="LFT239" s="243"/>
      <c r="LFU239" s="243"/>
      <c r="LFV239" s="243"/>
      <c r="LFW239" s="243"/>
      <c r="LFX239" s="243"/>
      <c r="LFY239" s="243"/>
      <c r="LFZ239" s="243"/>
      <c r="LGA239" s="243"/>
      <c r="LGB239" s="243"/>
      <c r="LGC239" s="243"/>
      <c r="LGD239" s="243"/>
      <c r="LGE239" s="243"/>
      <c r="LGF239" s="243"/>
      <c r="LGG239" s="243"/>
      <c r="LGH239" s="243"/>
      <c r="LGI239" s="243"/>
      <c r="LGJ239" s="243"/>
      <c r="LGK239" s="243"/>
      <c r="LGL239" s="243"/>
      <c r="LGM239" s="243"/>
      <c r="LGN239" s="243"/>
      <c r="LGO239" s="243"/>
      <c r="LGP239" s="243"/>
      <c r="LGQ239" s="243"/>
      <c r="LGR239" s="243"/>
      <c r="LGS239" s="243"/>
      <c r="LGT239" s="243"/>
      <c r="LGU239" s="243"/>
      <c r="LGV239" s="243"/>
      <c r="LGW239" s="243"/>
      <c r="LGX239" s="243"/>
      <c r="LGY239" s="243"/>
      <c r="LGZ239" s="243"/>
      <c r="LHA239" s="243"/>
      <c r="LHB239" s="243"/>
      <c r="LHC239" s="243"/>
      <c r="LHD239" s="243"/>
      <c r="LHE239" s="243"/>
      <c r="LHF239" s="243"/>
      <c r="LHG239" s="243"/>
      <c r="LHH239" s="243"/>
      <c r="LHI239" s="243"/>
      <c r="LHJ239" s="243"/>
      <c r="LHK239" s="243"/>
      <c r="LHL239" s="243"/>
      <c r="LHM239" s="243"/>
      <c r="LHN239" s="243"/>
      <c r="LHO239" s="243"/>
      <c r="LHP239" s="243"/>
      <c r="LHQ239" s="243"/>
      <c r="LHR239" s="243"/>
      <c r="LHS239" s="243"/>
      <c r="LHT239" s="243"/>
      <c r="LHU239" s="243"/>
      <c r="LHV239" s="243"/>
      <c r="LHW239" s="243"/>
      <c r="LHX239" s="243"/>
      <c r="LHY239" s="243"/>
      <c r="LHZ239" s="243"/>
      <c r="LIA239" s="243"/>
      <c r="LIB239" s="243"/>
      <c r="LIC239" s="243"/>
      <c r="LID239" s="243"/>
      <c r="LIE239" s="243"/>
      <c r="LIF239" s="243"/>
      <c r="LIG239" s="243"/>
      <c r="LIH239" s="243"/>
      <c r="LII239" s="243"/>
      <c r="LIJ239" s="243"/>
      <c r="LIK239" s="243"/>
      <c r="LIL239" s="243"/>
      <c r="LIM239" s="243"/>
      <c r="LIN239" s="243"/>
      <c r="LIO239" s="243"/>
      <c r="LIP239" s="243"/>
      <c r="LIQ239" s="243"/>
      <c r="LIR239" s="243"/>
      <c r="LIS239" s="243"/>
      <c r="LIT239" s="243"/>
      <c r="LIU239" s="243"/>
      <c r="LIV239" s="243"/>
      <c r="LIW239" s="243"/>
      <c r="LIX239" s="243"/>
      <c r="LIY239" s="243"/>
      <c r="LIZ239" s="243"/>
      <c r="LJA239" s="243"/>
      <c r="LJB239" s="243"/>
      <c r="LJC239" s="243"/>
      <c r="LJD239" s="243"/>
      <c r="LJE239" s="243"/>
      <c r="LJF239" s="243"/>
      <c r="LJG239" s="243"/>
      <c r="LJH239" s="243"/>
      <c r="LJI239" s="243"/>
      <c r="LJJ239" s="243"/>
      <c r="LJK239" s="243"/>
      <c r="LJL239" s="243"/>
      <c r="LJM239" s="243"/>
      <c r="LJN239" s="243"/>
      <c r="LJO239" s="243"/>
      <c r="LJP239" s="243"/>
      <c r="LJQ239" s="243"/>
      <c r="LJR239" s="243"/>
      <c r="LJS239" s="243"/>
      <c r="LJT239" s="243"/>
      <c r="LJU239" s="243"/>
      <c r="LJV239" s="243"/>
      <c r="LJW239" s="243"/>
      <c r="LJX239" s="243"/>
      <c r="LJY239" s="243"/>
      <c r="LJZ239" s="243"/>
      <c r="LKA239" s="243"/>
      <c r="LKB239" s="243"/>
      <c r="LKC239" s="243"/>
      <c r="LKD239" s="243"/>
      <c r="LKE239" s="243"/>
      <c r="LKF239" s="243"/>
      <c r="LKG239" s="243"/>
      <c r="LKH239" s="243"/>
      <c r="LKI239" s="243"/>
      <c r="LKJ239" s="243"/>
      <c r="LKK239" s="243"/>
      <c r="LKL239" s="243"/>
      <c r="LKM239" s="243"/>
      <c r="LKN239" s="243"/>
      <c r="LKO239" s="243"/>
      <c r="LKP239" s="243"/>
      <c r="LKQ239" s="243"/>
      <c r="LKR239" s="243"/>
      <c r="LKS239" s="243"/>
      <c r="LKT239" s="243"/>
      <c r="LKU239" s="243"/>
      <c r="LKV239" s="243"/>
      <c r="LKW239" s="243"/>
      <c r="LKX239" s="243"/>
      <c r="LKY239" s="243"/>
      <c r="LKZ239" s="243"/>
      <c r="LLA239" s="243"/>
      <c r="LLB239" s="243"/>
      <c r="LLC239" s="243"/>
      <c r="LLD239" s="243"/>
      <c r="LLE239" s="243"/>
      <c r="LLF239" s="243"/>
      <c r="LLG239" s="243"/>
      <c r="LLH239" s="243"/>
      <c r="LLI239" s="243"/>
      <c r="LLJ239" s="243"/>
      <c r="LLK239" s="243"/>
      <c r="LLL239" s="243"/>
      <c r="LLM239" s="243"/>
      <c r="LLN239" s="243"/>
      <c r="LLO239" s="243"/>
      <c r="LLP239" s="243"/>
      <c r="LLQ239" s="243"/>
      <c r="LLR239" s="243"/>
      <c r="LLS239" s="243"/>
      <c r="LLT239" s="243"/>
      <c r="LLU239" s="243"/>
      <c r="LLV239" s="243"/>
      <c r="LLW239" s="243"/>
      <c r="LLX239" s="243"/>
      <c r="LLY239" s="243"/>
      <c r="LLZ239" s="243"/>
      <c r="LMA239" s="243"/>
      <c r="LMB239" s="243"/>
      <c r="LMC239" s="243"/>
      <c r="LMD239" s="243"/>
      <c r="LME239" s="243"/>
      <c r="LMF239" s="243"/>
      <c r="LMG239" s="243"/>
      <c r="LMH239" s="243"/>
      <c r="LMI239" s="243"/>
      <c r="LMJ239" s="243"/>
      <c r="LMK239" s="243"/>
      <c r="LML239" s="243"/>
      <c r="LMM239" s="243"/>
      <c r="LMN239" s="243"/>
      <c r="LMO239" s="243"/>
      <c r="LMP239" s="243"/>
      <c r="LMQ239" s="243"/>
      <c r="LMR239" s="243"/>
      <c r="LMS239" s="243"/>
      <c r="LMT239" s="243"/>
      <c r="LMU239" s="243"/>
      <c r="LMV239" s="243"/>
      <c r="LMW239" s="243"/>
      <c r="LMX239" s="243"/>
      <c r="LMY239" s="243"/>
      <c r="LMZ239" s="243"/>
      <c r="LNA239" s="243"/>
      <c r="LNB239" s="243"/>
      <c r="LNC239" s="243"/>
      <c r="LND239" s="243"/>
      <c r="LNE239" s="243"/>
      <c r="LNF239" s="243"/>
      <c r="LNG239" s="243"/>
      <c r="LNH239" s="243"/>
      <c r="LNI239" s="243"/>
      <c r="LNJ239" s="243"/>
      <c r="LNK239" s="243"/>
      <c r="LNL239" s="243"/>
      <c r="LNM239" s="243"/>
      <c r="LNN239" s="243"/>
      <c r="LNO239" s="243"/>
      <c r="LNP239" s="243"/>
      <c r="LNQ239" s="243"/>
      <c r="LNR239" s="243"/>
      <c r="LNS239" s="243"/>
      <c r="LNT239" s="243"/>
      <c r="LNU239" s="243"/>
      <c r="LNV239" s="243"/>
      <c r="LNW239" s="243"/>
      <c r="LNX239" s="243"/>
      <c r="LNY239" s="243"/>
      <c r="LNZ239" s="243"/>
      <c r="LOA239" s="243"/>
      <c r="LOB239" s="243"/>
      <c r="LOC239" s="243"/>
      <c r="LOD239" s="243"/>
      <c r="LOE239" s="243"/>
      <c r="LOF239" s="243"/>
      <c r="LOG239" s="243"/>
      <c r="LOH239" s="243"/>
      <c r="LOI239" s="243"/>
      <c r="LOJ239" s="243"/>
      <c r="LOK239" s="243"/>
      <c r="LOL239" s="243"/>
      <c r="LOM239" s="243"/>
      <c r="LON239" s="243"/>
      <c r="LOO239" s="243"/>
      <c r="LOP239" s="243"/>
      <c r="LOQ239" s="243"/>
      <c r="LOR239" s="243"/>
      <c r="LOS239" s="243"/>
      <c r="LOT239" s="243"/>
      <c r="LOU239" s="243"/>
      <c r="LOV239" s="243"/>
      <c r="LOW239" s="243"/>
      <c r="LOX239" s="243"/>
      <c r="LOY239" s="243"/>
      <c r="LOZ239" s="243"/>
      <c r="LPA239" s="243"/>
      <c r="LPB239" s="243"/>
      <c r="LPC239" s="243"/>
      <c r="LPD239" s="243"/>
      <c r="LPE239" s="243"/>
      <c r="LPF239" s="243"/>
      <c r="LPG239" s="243"/>
      <c r="LPH239" s="243"/>
      <c r="LPI239" s="243"/>
      <c r="LPJ239" s="243"/>
      <c r="LPK239" s="243"/>
      <c r="LPL239" s="243"/>
      <c r="LPM239" s="243"/>
      <c r="LPN239" s="243"/>
      <c r="LPO239" s="243"/>
      <c r="LPP239" s="243"/>
      <c r="LPQ239" s="243"/>
      <c r="LPR239" s="243"/>
      <c r="LPS239" s="243"/>
      <c r="LPT239" s="243"/>
      <c r="LPU239" s="243"/>
      <c r="LPV239" s="243"/>
      <c r="LPW239" s="243"/>
      <c r="LPX239" s="243"/>
      <c r="LPY239" s="243"/>
      <c r="LPZ239" s="243"/>
      <c r="LQA239" s="243"/>
      <c r="LQB239" s="243"/>
      <c r="LQC239" s="243"/>
      <c r="LQD239" s="243"/>
      <c r="LQE239" s="243"/>
      <c r="LQF239" s="243"/>
      <c r="LQG239" s="243"/>
      <c r="LQH239" s="243"/>
      <c r="LQI239" s="243"/>
      <c r="LQJ239" s="243"/>
      <c r="LQK239" s="243"/>
      <c r="LQL239" s="243"/>
      <c r="LQM239" s="243"/>
      <c r="LQN239" s="243"/>
      <c r="LQO239" s="243"/>
      <c r="LQP239" s="243"/>
      <c r="LQQ239" s="243"/>
      <c r="LQR239" s="243"/>
      <c r="LQS239" s="243"/>
      <c r="LQT239" s="243"/>
      <c r="LQU239" s="243"/>
      <c r="LQV239" s="243"/>
      <c r="LQW239" s="243"/>
      <c r="LQX239" s="243"/>
      <c r="LQY239" s="243"/>
      <c r="LQZ239" s="243"/>
      <c r="LRA239" s="243"/>
      <c r="LRB239" s="243"/>
      <c r="LRC239" s="243"/>
      <c r="LRD239" s="243"/>
      <c r="LRE239" s="243"/>
      <c r="LRF239" s="243"/>
      <c r="LRG239" s="243"/>
      <c r="LRH239" s="243"/>
      <c r="LRI239" s="243"/>
      <c r="LRJ239" s="243"/>
      <c r="LRK239" s="243"/>
      <c r="LRL239" s="243"/>
      <c r="LRM239" s="243"/>
      <c r="LRN239" s="243"/>
      <c r="LRO239" s="243"/>
      <c r="LRP239" s="243"/>
      <c r="LRQ239" s="243"/>
      <c r="LRR239" s="243"/>
      <c r="LRS239" s="243"/>
      <c r="LRT239" s="243"/>
      <c r="LRU239" s="243"/>
      <c r="LRV239" s="243"/>
      <c r="LRW239" s="243"/>
      <c r="LRX239" s="243"/>
      <c r="LRY239" s="243"/>
      <c r="LRZ239" s="243"/>
      <c r="LSA239" s="243"/>
      <c r="LSB239" s="243"/>
      <c r="LSC239" s="243"/>
      <c r="LSD239" s="243"/>
      <c r="LSE239" s="243"/>
      <c r="LSF239" s="243"/>
      <c r="LSG239" s="243"/>
      <c r="LSH239" s="243"/>
      <c r="LSI239" s="243"/>
      <c r="LSJ239" s="243"/>
      <c r="LSK239" s="243"/>
      <c r="LSL239" s="243"/>
      <c r="LSM239" s="243"/>
      <c r="LSN239" s="243"/>
      <c r="LSO239" s="243"/>
      <c r="LSP239" s="243"/>
      <c r="LSQ239" s="243"/>
      <c r="LSR239" s="243"/>
      <c r="LSS239" s="243"/>
      <c r="LST239" s="243"/>
      <c r="LSU239" s="243"/>
      <c r="LSV239" s="243"/>
      <c r="LSW239" s="243"/>
      <c r="LSX239" s="243"/>
      <c r="LSY239" s="243"/>
      <c r="LSZ239" s="243"/>
      <c r="LTA239" s="243"/>
      <c r="LTB239" s="243"/>
      <c r="LTC239" s="243"/>
      <c r="LTD239" s="243"/>
      <c r="LTE239" s="243"/>
      <c r="LTF239" s="243"/>
      <c r="LTG239" s="243"/>
      <c r="LTH239" s="243"/>
      <c r="LTI239" s="243"/>
      <c r="LTJ239" s="243"/>
      <c r="LTK239" s="243"/>
      <c r="LTL239" s="243"/>
      <c r="LTM239" s="243"/>
      <c r="LTN239" s="243"/>
      <c r="LTO239" s="243"/>
      <c r="LTP239" s="243"/>
      <c r="LTQ239" s="243"/>
      <c r="LTR239" s="243"/>
      <c r="LTS239" s="243"/>
      <c r="LTT239" s="243"/>
      <c r="LTU239" s="243"/>
      <c r="LTV239" s="243"/>
      <c r="LTW239" s="243"/>
      <c r="LTX239" s="243"/>
      <c r="LTY239" s="243"/>
      <c r="LTZ239" s="243"/>
      <c r="LUA239" s="243"/>
      <c r="LUB239" s="243"/>
      <c r="LUC239" s="243"/>
      <c r="LUD239" s="243"/>
      <c r="LUE239" s="243"/>
      <c r="LUF239" s="243"/>
      <c r="LUG239" s="243"/>
      <c r="LUH239" s="243"/>
      <c r="LUI239" s="243"/>
      <c r="LUJ239" s="243"/>
      <c r="LUK239" s="243"/>
      <c r="LUL239" s="243"/>
      <c r="LUM239" s="243"/>
      <c r="LUN239" s="243"/>
      <c r="LUO239" s="243"/>
      <c r="LUP239" s="243"/>
      <c r="LUQ239" s="243"/>
      <c r="LUR239" s="243"/>
      <c r="LUS239" s="243"/>
      <c r="LUT239" s="243"/>
      <c r="LUU239" s="243"/>
      <c r="LUV239" s="243"/>
      <c r="LUW239" s="243"/>
      <c r="LUX239" s="243"/>
      <c r="LUY239" s="243"/>
      <c r="LUZ239" s="243"/>
      <c r="LVA239" s="243"/>
      <c r="LVB239" s="243"/>
      <c r="LVC239" s="243"/>
      <c r="LVD239" s="243"/>
      <c r="LVE239" s="243"/>
      <c r="LVF239" s="243"/>
      <c r="LVG239" s="243"/>
      <c r="LVH239" s="243"/>
      <c r="LVI239" s="243"/>
      <c r="LVJ239" s="243"/>
      <c r="LVK239" s="243"/>
      <c r="LVL239" s="243"/>
      <c r="LVM239" s="243"/>
      <c r="LVN239" s="243"/>
      <c r="LVO239" s="243"/>
      <c r="LVP239" s="243"/>
      <c r="LVQ239" s="243"/>
      <c r="LVR239" s="243"/>
      <c r="LVS239" s="243"/>
      <c r="LVT239" s="243"/>
      <c r="LVU239" s="243"/>
      <c r="LVV239" s="243"/>
      <c r="LVW239" s="243"/>
      <c r="LVX239" s="243"/>
      <c r="LVY239" s="243"/>
      <c r="LVZ239" s="243"/>
      <c r="LWA239" s="243"/>
      <c r="LWB239" s="243"/>
      <c r="LWC239" s="243"/>
      <c r="LWD239" s="243"/>
      <c r="LWE239" s="243"/>
      <c r="LWF239" s="243"/>
      <c r="LWG239" s="243"/>
      <c r="LWH239" s="243"/>
      <c r="LWI239" s="243"/>
      <c r="LWJ239" s="243"/>
      <c r="LWK239" s="243"/>
      <c r="LWL239" s="243"/>
      <c r="LWM239" s="243"/>
      <c r="LWN239" s="243"/>
      <c r="LWO239" s="243"/>
      <c r="LWP239" s="243"/>
      <c r="LWQ239" s="243"/>
      <c r="LWR239" s="243"/>
      <c r="LWS239" s="243"/>
      <c r="LWT239" s="243"/>
      <c r="LWU239" s="243"/>
      <c r="LWV239" s="243"/>
      <c r="LWW239" s="243"/>
      <c r="LWX239" s="243"/>
      <c r="LWY239" s="243"/>
      <c r="LWZ239" s="243"/>
      <c r="LXA239" s="243"/>
      <c r="LXB239" s="243"/>
      <c r="LXC239" s="243"/>
      <c r="LXD239" s="243"/>
      <c r="LXE239" s="243"/>
      <c r="LXF239" s="243"/>
      <c r="LXG239" s="243"/>
      <c r="LXH239" s="243"/>
      <c r="LXI239" s="243"/>
      <c r="LXJ239" s="243"/>
      <c r="LXK239" s="243"/>
      <c r="LXL239" s="243"/>
      <c r="LXM239" s="243"/>
      <c r="LXN239" s="243"/>
      <c r="LXO239" s="243"/>
      <c r="LXP239" s="243"/>
      <c r="LXQ239" s="243"/>
      <c r="LXR239" s="243"/>
      <c r="LXS239" s="243"/>
      <c r="LXT239" s="243"/>
      <c r="LXU239" s="243"/>
      <c r="LXV239" s="243"/>
      <c r="LXW239" s="243"/>
      <c r="LXX239" s="243"/>
      <c r="LXY239" s="243"/>
      <c r="LXZ239" s="243"/>
      <c r="LYA239" s="243"/>
      <c r="LYB239" s="243"/>
      <c r="LYC239" s="243"/>
      <c r="LYD239" s="243"/>
      <c r="LYE239" s="243"/>
      <c r="LYF239" s="243"/>
      <c r="LYG239" s="243"/>
      <c r="LYH239" s="243"/>
      <c r="LYI239" s="243"/>
      <c r="LYJ239" s="243"/>
      <c r="LYK239" s="243"/>
      <c r="LYL239" s="243"/>
      <c r="LYM239" s="243"/>
      <c r="LYN239" s="243"/>
      <c r="LYO239" s="243"/>
      <c r="LYP239" s="243"/>
      <c r="LYQ239" s="243"/>
      <c r="LYR239" s="243"/>
      <c r="LYS239" s="243"/>
      <c r="LYT239" s="243"/>
      <c r="LYU239" s="243"/>
      <c r="LYV239" s="243"/>
      <c r="LYW239" s="243"/>
      <c r="LYX239" s="243"/>
      <c r="LYY239" s="243"/>
      <c r="LYZ239" s="243"/>
      <c r="LZA239" s="243"/>
      <c r="LZB239" s="243"/>
      <c r="LZC239" s="243"/>
      <c r="LZD239" s="243"/>
      <c r="LZE239" s="243"/>
      <c r="LZF239" s="243"/>
      <c r="LZG239" s="243"/>
      <c r="LZH239" s="243"/>
      <c r="LZI239" s="243"/>
      <c r="LZJ239" s="243"/>
      <c r="LZK239" s="243"/>
      <c r="LZL239" s="243"/>
      <c r="LZM239" s="243"/>
      <c r="LZN239" s="243"/>
      <c r="LZO239" s="243"/>
      <c r="LZP239" s="243"/>
      <c r="LZQ239" s="243"/>
      <c r="LZR239" s="243"/>
      <c r="LZS239" s="243"/>
      <c r="LZT239" s="243"/>
      <c r="LZU239" s="243"/>
      <c r="LZV239" s="243"/>
      <c r="LZW239" s="243"/>
      <c r="LZX239" s="243"/>
      <c r="LZY239" s="243"/>
      <c r="LZZ239" s="243"/>
      <c r="MAA239" s="243"/>
      <c r="MAB239" s="243"/>
      <c r="MAC239" s="243"/>
      <c r="MAD239" s="243"/>
      <c r="MAE239" s="243"/>
      <c r="MAF239" s="243"/>
      <c r="MAG239" s="243"/>
      <c r="MAH239" s="243"/>
      <c r="MAI239" s="243"/>
      <c r="MAJ239" s="243"/>
      <c r="MAK239" s="243"/>
      <c r="MAL239" s="243"/>
      <c r="MAM239" s="243"/>
      <c r="MAN239" s="243"/>
      <c r="MAO239" s="243"/>
      <c r="MAP239" s="243"/>
      <c r="MAQ239" s="243"/>
      <c r="MAR239" s="243"/>
      <c r="MAS239" s="243"/>
      <c r="MAT239" s="243"/>
      <c r="MAU239" s="243"/>
      <c r="MAV239" s="243"/>
      <c r="MAW239" s="243"/>
      <c r="MAX239" s="243"/>
      <c r="MAY239" s="243"/>
      <c r="MAZ239" s="243"/>
      <c r="MBA239" s="243"/>
      <c r="MBB239" s="243"/>
      <c r="MBC239" s="243"/>
      <c r="MBD239" s="243"/>
      <c r="MBE239" s="243"/>
      <c r="MBF239" s="243"/>
      <c r="MBG239" s="243"/>
      <c r="MBH239" s="243"/>
      <c r="MBI239" s="243"/>
      <c r="MBJ239" s="243"/>
      <c r="MBK239" s="243"/>
      <c r="MBL239" s="243"/>
      <c r="MBM239" s="243"/>
      <c r="MBN239" s="243"/>
      <c r="MBO239" s="243"/>
      <c r="MBP239" s="243"/>
      <c r="MBQ239" s="243"/>
      <c r="MBR239" s="243"/>
      <c r="MBS239" s="243"/>
      <c r="MBT239" s="243"/>
      <c r="MBU239" s="243"/>
      <c r="MBV239" s="243"/>
      <c r="MBW239" s="243"/>
      <c r="MBX239" s="243"/>
      <c r="MBY239" s="243"/>
      <c r="MBZ239" s="243"/>
      <c r="MCA239" s="243"/>
      <c r="MCB239" s="243"/>
      <c r="MCC239" s="243"/>
      <c r="MCD239" s="243"/>
      <c r="MCE239" s="243"/>
      <c r="MCF239" s="243"/>
      <c r="MCG239" s="243"/>
      <c r="MCH239" s="243"/>
      <c r="MCI239" s="243"/>
      <c r="MCJ239" s="243"/>
      <c r="MCK239" s="243"/>
      <c r="MCL239" s="243"/>
      <c r="MCM239" s="243"/>
      <c r="MCN239" s="243"/>
      <c r="MCO239" s="243"/>
      <c r="MCP239" s="243"/>
      <c r="MCQ239" s="243"/>
      <c r="MCR239" s="243"/>
      <c r="MCS239" s="243"/>
      <c r="MCT239" s="243"/>
      <c r="MCU239" s="243"/>
      <c r="MCV239" s="243"/>
      <c r="MCW239" s="243"/>
      <c r="MCX239" s="243"/>
      <c r="MCY239" s="243"/>
      <c r="MCZ239" s="243"/>
      <c r="MDA239" s="243"/>
      <c r="MDB239" s="243"/>
      <c r="MDC239" s="243"/>
      <c r="MDD239" s="243"/>
      <c r="MDE239" s="243"/>
      <c r="MDF239" s="243"/>
      <c r="MDG239" s="243"/>
      <c r="MDH239" s="243"/>
      <c r="MDI239" s="243"/>
      <c r="MDJ239" s="243"/>
      <c r="MDK239" s="243"/>
      <c r="MDL239" s="243"/>
      <c r="MDM239" s="243"/>
      <c r="MDN239" s="243"/>
      <c r="MDO239" s="243"/>
      <c r="MDP239" s="243"/>
      <c r="MDQ239" s="243"/>
      <c r="MDR239" s="243"/>
      <c r="MDS239" s="243"/>
      <c r="MDT239" s="243"/>
      <c r="MDU239" s="243"/>
      <c r="MDV239" s="243"/>
      <c r="MDW239" s="243"/>
      <c r="MDX239" s="243"/>
      <c r="MDY239" s="243"/>
      <c r="MDZ239" s="243"/>
      <c r="MEA239" s="243"/>
      <c r="MEB239" s="243"/>
      <c r="MEC239" s="243"/>
      <c r="MED239" s="243"/>
      <c r="MEE239" s="243"/>
      <c r="MEF239" s="243"/>
      <c r="MEG239" s="243"/>
      <c r="MEH239" s="243"/>
      <c r="MEI239" s="243"/>
      <c r="MEJ239" s="243"/>
      <c r="MEK239" s="243"/>
      <c r="MEL239" s="243"/>
      <c r="MEM239" s="243"/>
      <c r="MEN239" s="243"/>
      <c r="MEO239" s="243"/>
      <c r="MEP239" s="243"/>
      <c r="MEQ239" s="243"/>
      <c r="MER239" s="243"/>
      <c r="MES239" s="243"/>
      <c r="MET239" s="243"/>
      <c r="MEU239" s="243"/>
      <c r="MEV239" s="243"/>
      <c r="MEW239" s="243"/>
      <c r="MEX239" s="243"/>
      <c r="MEY239" s="243"/>
      <c r="MEZ239" s="243"/>
      <c r="MFA239" s="243"/>
      <c r="MFB239" s="243"/>
      <c r="MFC239" s="243"/>
      <c r="MFD239" s="243"/>
      <c r="MFE239" s="243"/>
      <c r="MFF239" s="243"/>
      <c r="MFG239" s="243"/>
      <c r="MFH239" s="243"/>
      <c r="MFI239" s="243"/>
      <c r="MFJ239" s="243"/>
      <c r="MFK239" s="243"/>
      <c r="MFL239" s="243"/>
      <c r="MFM239" s="243"/>
      <c r="MFN239" s="243"/>
      <c r="MFO239" s="243"/>
      <c r="MFP239" s="243"/>
      <c r="MFQ239" s="243"/>
      <c r="MFR239" s="243"/>
      <c r="MFS239" s="243"/>
      <c r="MFT239" s="243"/>
      <c r="MFU239" s="243"/>
      <c r="MFV239" s="243"/>
      <c r="MFW239" s="243"/>
      <c r="MFX239" s="243"/>
      <c r="MFY239" s="243"/>
      <c r="MFZ239" s="243"/>
      <c r="MGA239" s="243"/>
      <c r="MGB239" s="243"/>
      <c r="MGC239" s="243"/>
      <c r="MGD239" s="243"/>
      <c r="MGE239" s="243"/>
      <c r="MGF239" s="243"/>
      <c r="MGG239" s="243"/>
      <c r="MGH239" s="243"/>
      <c r="MGI239" s="243"/>
      <c r="MGJ239" s="243"/>
      <c r="MGK239" s="243"/>
      <c r="MGL239" s="243"/>
      <c r="MGM239" s="243"/>
      <c r="MGN239" s="243"/>
      <c r="MGO239" s="243"/>
      <c r="MGP239" s="243"/>
      <c r="MGQ239" s="243"/>
      <c r="MGR239" s="243"/>
      <c r="MGS239" s="243"/>
      <c r="MGT239" s="243"/>
      <c r="MGU239" s="243"/>
      <c r="MGV239" s="243"/>
      <c r="MGW239" s="243"/>
      <c r="MGX239" s="243"/>
      <c r="MGY239" s="243"/>
      <c r="MGZ239" s="243"/>
      <c r="MHA239" s="243"/>
      <c r="MHB239" s="243"/>
      <c r="MHC239" s="243"/>
      <c r="MHD239" s="243"/>
      <c r="MHE239" s="243"/>
      <c r="MHF239" s="243"/>
      <c r="MHG239" s="243"/>
      <c r="MHH239" s="243"/>
      <c r="MHI239" s="243"/>
      <c r="MHJ239" s="243"/>
      <c r="MHK239" s="243"/>
      <c r="MHL239" s="243"/>
      <c r="MHM239" s="243"/>
      <c r="MHN239" s="243"/>
      <c r="MHO239" s="243"/>
      <c r="MHP239" s="243"/>
      <c r="MHQ239" s="243"/>
      <c r="MHR239" s="243"/>
      <c r="MHS239" s="243"/>
      <c r="MHT239" s="243"/>
      <c r="MHU239" s="243"/>
      <c r="MHV239" s="243"/>
      <c r="MHW239" s="243"/>
      <c r="MHX239" s="243"/>
      <c r="MHY239" s="243"/>
      <c r="MHZ239" s="243"/>
      <c r="MIA239" s="243"/>
      <c r="MIB239" s="243"/>
      <c r="MIC239" s="243"/>
      <c r="MID239" s="243"/>
      <c r="MIE239" s="243"/>
      <c r="MIF239" s="243"/>
      <c r="MIG239" s="243"/>
      <c r="MIH239" s="243"/>
      <c r="MII239" s="243"/>
      <c r="MIJ239" s="243"/>
      <c r="MIK239" s="243"/>
      <c r="MIL239" s="243"/>
      <c r="MIM239" s="243"/>
      <c r="MIN239" s="243"/>
      <c r="MIO239" s="243"/>
      <c r="MIP239" s="243"/>
      <c r="MIQ239" s="243"/>
      <c r="MIR239" s="243"/>
      <c r="MIS239" s="243"/>
      <c r="MIT239" s="243"/>
      <c r="MIU239" s="243"/>
      <c r="MIV239" s="243"/>
      <c r="MIW239" s="243"/>
      <c r="MIX239" s="243"/>
      <c r="MIY239" s="243"/>
      <c r="MIZ239" s="243"/>
      <c r="MJA239" s="243"/>
      <c r="MJB239" s="243"/>
      <c r="MJC239" s="243"/>
      <c r="MJD239" s="243"/>
      <c r="MJE239" s="243"/>
      <c r="MJF239" s="243"/>
      <c r="MJG239" s="243"/>
      <c r="MJH239" s="243"/>
      <c r="MJI239" s="243"/>
      <c r="MJJ239" s="243"/>
      <c r="MJK239" s="243"/>
      <c r="MJL239" s="243"/>
      <c r="MJM239" s="243"/>
      <c r="MJN239" s="243"/>
      <c r="MJO239" s="243"/>
      <c r="MJP239" s="243"/>
      <c r="MJQ239" s="243"/>
      <c r="MJR239" s="243"/>
      <c r="MJS239" s="243"/>
      <c r="MJT239" s="243"/>
      <c r="MJU239" s="243"/>
      <c r="MJV239" s="243"/>
      <c r="MJW239" s="243"/>
      <c r="MJX239" s="243"/>
      <c r="MJY239" s="243"/>
      <c r="MJZ239" s="243"/>
      <c r="MKA239" s="243"/>
      <c r="MKB239" s="243"/>
      <c r="MKC239" s="243"/>
      <c r="MKD239" s="243"/>
      <c r="MKE239" s="243"/>
      <c r="MKF239" s="243"/>
      <c r="MKG239" s="243"/>
      <c r="MKH239" s="243"/>
      <c r="MKI239" s="243"/>
      <c r="MKJ239" s="243"/>
      <c r="MKK239" s="243"/>
      <c r="MKL239" s="243"/>
      <c r="MKM239" s="243"/>
      <c r="MKN239" s="243"/>
      <c r="MKO239" s="243"/>
      <c r="MKP239" s="243"/>
      <c r="MKQ239" s="243"/>
      <c r="MKR239" s="243"/>
      <c r="MKS239" s="243"/>
      <c r="MKT239" s="243"/>
      <c r="MKU239" s="243"/>
      <c r="MKV239" s="243"/>
      <c r="MKW239" s="243"/>
      <c r="MKX239" s="243"/>
      <c r="MKY239" s="243"/>
      <c r="MKZ239" s="243"/>
      <c r="MLA239" s="243"/>
      <c r="MLB239" s="243"/>
      <c r="MLC239" s="243"/>
      <c r="MLD239" s="243"/>
      <c r="MLE239" s="243"/>
      <c r="MLF239" s="243"/>
      <c r="MLG239" s="243"/>
      <c r="MLH239" s="243"/>
      <c r="MLI239" s="243"/>
      <c r="MLJ239" s="243"/>
      <c r="MLK239" s="243"/>
      <c r="MLL239" s="243"/>
      <c r="MLM239" s="243"/>
      <c r="MLN239" s="243"/>
      <c r="MLO239" s="243"/>
      <c r="MLP239" s="243"/>
      <c r="MLQ239" s="243"/>
      <c r="MLR239" s="243"/>
      <c r="MLS239" s="243"/>
      <c r="MLT239" s="243"/>
      <c r="MLU239" s="243"/>
      <c r="MLV239" s="243"/>
      <c r="MLW239" s="243"/>
      <c r="MLX239" s="243"/>
      <c r="MLY239" s="243"/>
      <c r="MLZ239" s="243"/>
      <c r="MMA239" s="243"/>
      <c r="MMB239" s="243"/>
      <c r="MMC239" s="243"/>
      <c r="MMD239" s="243"/>
      <c r="MME239" s="243"/>
      <c r="MMF239" s="243"/>
      <c r="MMG239" s="243"/>
      <c r="MMH239" s="243"/>
      <c r="MMI239" s="243"/>
      <c r="MMJ239" s="243"/>
      <c r="MMK239" s="243"/>
      <c r="MML239" s="243"/>
      <c r="MMM239" s="243"/>
      <c r="MMN239" s="243"/>
      <c r="MMO239" s="243"/>
      <c r="MMP239" s="243"/>
      <c r="MMQ239" s="243"/>
      <c r="MMR239" s="243"/>
      <c r="MMS239" s="243"/>
      <c r="MMT239" s="243"/>
      <c r="MMU239" s="243"/>
      <c r="MMV239" s="243"/>
      <c r="MMW239" s="243"/>
      <c r="MMX239" s="243"/>
      <c r="MMY239" s="243"/>
      <c r="MMZ239" s="243"/>
      <c r="MNA239" s="243"/>
      <c r="MNB239" s="243"/>
      <c r="MNC239" s="243"/>
      <c r="MND239" s="243"/>
      <c r="MNE239" s="243"/>
      <c r="MNF239" s="243"/>
      <c r="MNG239" s="243"/>
      <c r="MNH239" s="243"/>
      <c r="MNI239" s="243"/>
      <c r="MNJ239" s="243"/>
      <c r="MNK239" s="243"/>
      <c r="MNL239" s="243"/>
      <c r="MNM239" s="243"/>
      <c r="MNN239" s="243"/>
      <c r="MNO239" s="243"/>
      <c r="MNP239" s="243"/>
      <c r="MNQ239" s="243"/>
      <c r="MNR239" s="243"/>
      <c r="MNS239" s="243"/>
      <c r="MNT239" s="243"/>
      <c r="MNU239" s="243"/>
      <c r="MNV239" s="243"/>
      <c r="MNW239" s="243"/>
      <c r="MNX239" s="243"/>
      <c r="MNY239" s="243"/>
      <c r="MNZ239" s="243"/>
      <c r="MOA239" s="243"/>
      <c r="MOB239" s="243"/>
      <c r="MOC239" s="243"/>
      <c r="MOD239" s="243"/>
      <c r="MOE239" s="243"/>
      <c r="MOF239" s="243"/>
      <c r="MOG239" s="243"/>
      <c r="MOH239" s="243"/>
      <c r="MOI239" s="243"/>
      <c r="MOJ239" s="243"/>
      <c r="MOK239" s="243"/>
      <c r="MOL239" s="243"/>
      <c r="MOM239" s="243"/>
      <c r="MON239" s="243"/>
      <c r="MOO239" s="243"/>
      <c r="MOP239" s="243"/>
      <c r="MOQ239" s="243"/>
      <c r="MOR239" s="243"/>
      <c r="MOS239" s="243"/>
      <c r="MOT239" s="243"/>
      <c r="MOU239" s="243"/>
      <c r="MOV239" s="243"/>
      <c r="MOW239" s="243"/>
      <c r="MOX239" s="243"/>
      <c r="MOY239" s="243"/>
      <c r="MOZ239" s="243"/>
      <c r="MPA239" s="243"/>
      <c r="MPB239" s="243"/>
      <c r="MPC239" s="243"/>
      <c r="MPD239" s="243"/>
      <c r="MPE239" s="243"/>
      <c r="MPF239" s="243"/>
      <c r="MPG239" s="243"/>
      <c r="MPH239" s="243"/>
      <c r="MPI239" s="243"/>
      <c r="MPJ239" s="243"/>
      <c r="MPK239" s="243"/>
      <c r="MPL239" s="243"/>
      <c r="MPM239" s="243"/>
      <c r="MPN239" s="243"/>
      <c r="MPO239" s="243"/>
      <c r="MPP239" s="243"/>
      <c r="MPQ239" s="243"/>
      <c r="MPR239" s="243"/>
      <c r="MPS239" s="243"/>
      <c r="MPT239" s="243"/>
      <c r="MPU239" s="243"/>
      <c r="MPV239" s="243"/>
      <c r="MPW239" s="243"/>
      <c r="MPX239" s="243"/>
      <c r="MPY239" s="243"/>
      <c r="MPZ239" s="243"/>
      <c r="MQA239" s="243"/>
      <c r="MQB239" s="243"/>
      <c r="MQC239" s="243"/>
      <c r="MQD239" s="243"/>
      <c r="MQE239" s="243"/>
      <c r="MQF239" s="243"/>
      <c r="MQG239" s="243"/>
      <c r="MQH239" s="243"/>
      <c r="MQI239" s="243"/>
      <c r="MQJ239" s="243"/>
      <c r="MQK239" s="243"/>
      <c r="MQL239" s="243"/>
      <c r="MQM239" s="243"/>
      <c r="MQN239" s="243"/>
      <c r="MQO239" s="243"/>
      <c r="MQP239" s="243"/>
      <c r="MQQ239" s="243"/>
      <c r="MQR239" s="243"/>
      <c r="MQS239" s="243"/>
      <c r="MQT239" s="243"/>
      <c r="MQU239" s="243"/>
      <c r="MQV239" s="243"/>
      <c r="MQW239" s="243"/>
      <c r="MQX239" s="243"/>
      <c r="MQY239" s="243"/>
      <c r="MQZ239" s="243"/>
      <c r="MRA239" s="243"/>
      <c r="MRB239" s="243"/>
      <c r="MRC239" s="243"/>
      <c r="MRD239" s="243"/>
      <c r="MRE239" s="243"/>
      <c r="MRF239" s="243"/>
      <c r="MRG239" s="243"/>
      <c r="MRH239" s="243"/>
      <c r="MRI239" s="243"/>
      <c r="MRJ239" s="243"/>
      <c r="MRK239" s="243"/>
      <c r="MRL239" s="243"/>
      <c r="MRM239" s="243"/>
      <c r="MRN239" s="243"/>
      <c r="MRO239" s="243"/>
      <c r="MRP239" s="243"/>
      <c r="MRQ239" s="243"/>
      <c r="MRR239" s="243"/>
      <c r="MRS239" s="243"/>
      <c r="MRT239" s="243"/>
      <c r="MRU239" s="243"/>
      <c r="MRV239" s="243"/>
      <c r="MRW239" s="243"/>
      <c r="MRX239" s="243"/>
      <c r="MRY239" s="243"/>
      <c r="MRZ239" s="243"/>
      <c r="MSA239" s="243"/>
      <c r="MSB239" s="243"/>
      <c r="MSC239" s="243"/>
      <c r="MSD239" s="243"/>
      <c r="MSE239" s="243"/>
      <c r="MSF239" s="243"/>
      <c r="MSG239" s="243"/>
      <c r="MSH239" s="243"/>
      <c r="MSI239" s="243"/>
      <c r="MSJ239" s="243"/>
      <c r="MSK239" s="243"/>
      <c r="MSL239" s="243"/>
      <c r="MSM239" s="243"/>
      <c r="MSN239" s="243"/>
      <c r="MSO239" s="243"/>
      <c r="MSP239" s="243"/>
      <c r="MSQ239" s="243"/>
      <c r="MSR239" s="243"/>
      <c r="MSS239" s="243"/>
      <c r="MST239" s="243"/>
      <c r="MSU239" s="243"/>
      <c r="MSV239" s="243"/>
      <c r="MSW239" s="243"/>
      <c r="MSX239" s="243"/>
      <c r="MSY239" s="243"/>
      <c r="MSZ239" s="243"/>
      <c r="MTA239" s="243"/>
      <c r="MTB239" s="243"/>
      <c r="MTC239" s="243"/>
      <c r="MTD239" s="243"/>
      <c r="MTE239" s="243"/>
      <c r="MTF239" s="243"/>
      <c r="MTG239" s="243"/>
      <c r="MTH239" s="243"/>
      <c r="MTI239" s="243"/>
      <c r="MTJ239" s="243"/>
      <c r="MTK239" s="243"/>
      <c r="MTL239" s="243"/>
      <c r="MTM239" s="243"/>
      <c r="MTN239" s="243"/>
      <c r="MTO239" s="243"/>
      <c r="MTP239" s="243"/>
      <c r="MTQ239" s="243"/>
      <c r="MTR239" s="243"/>
      <c r="MTS239" s="243"/>
      <c r="MTT239" s="243"/>
      <c r="MTU239" s="243"/>
      <c r="MTV239" s="243"/>
      <c r="MTW239" s="243"/>
      <c r="MTX239" s="243"/>
      <c r="MTY239" s="243"/>
      <c r="MTZ239" s="243"/>
      <c r="MUA239" s="243"/>
      <c r="MUB239" s="243"/>
      <c r="MUC239" s="243"/>
      <c r="MUD239" s="243"/>
      <c r="MUE239" s="243"/>
      <c r="MUF239" s="243"/>
      <c r="MUG239" s="243"/>
      <c r="MUH239" s="243"/>
      <c r="MUI239" s="243"/>
      <c r="MUJ239" s="243"/>
      <c r="MUK239" s="243"/>
      <c r="MUL239" s="243"/>
      <c r="MUM239" s="243"/>
      <c r="MUN239" s="243"/>
      <c r="MUO239" s="243"/>
      <c r="MUP239" s="243"/>
      <c r="MUQ239" s="243"/>
      <c r="MUR239" s="243"/>
      <c r="MUS239" s="243"/>
      <c r="MUT239" s="243"/>
      <c r="MUU239" s="243"/>
      <c r="MUV239" s="243"/>
      <c r="MUW239" s="243"/>
      <c r="MUX239" s="243"/>
      <c r="MUY239" s="243"/>
      <c r="MUZ239" s="243"/>
      <c r="MVA239" s="243"/>
      <c r="MVB239" s="243"/>
      <c r="MVC239" s="243"/>
      <c r="MVD239" s="243"/>
      <c r="MVE239" s="243"/>
      <c r="MVF239" s="243"/>
      <c r="MVG239" s="243"/>
      <c r="MVH239" s="243"/>
      <c r="MVI239" s="243"/>
      <c r="MVJ239" s="243"/>
      <c r="MVK239" s="243"/>
      <c r="MVL239" s="243"/>
      <c r="MVM239" s="243"/>
      <c r="MVN239" s="243"/>
      <c r="MVO239" s="243"/>
      <c r="MVP239" s="243"/>
      <c r="MVQ239" s="243"/>
      <c r="MVR239" s="243"/>
      <c r="MVS239" s="243"/>
      <c r="MVT239" s="243"/>
      <c r="MVU239" s="243"/>
      <c r="MVV239" s="243"/>
      <c r="MVW239" s="243"/>
      <c r="MVX239" s="243"/>
      <c r="MVY239" s="243"/>
      <c r="MVZ239" s="243"/>
      <c r="MWA239" s="243"/>
      <c r="MWB239" s="243"/>
      <c r="MWC239" s="243"/>
      <c r="MWD239" s="243"/>
      <c r="MWE239" s="243"/>
      <c r="MWF239" s="243"/>
      <c r="MWG239" s="243"/>
      <c r="MWH239" s="243"/>
      <c r="MWI239" s="243"/>
      <c r="MWJ239" s="243"/>
      <c r="MWK239" s="243"/>
      <c r="MWL239" s="243"/>
      <c r="MWM239" s="243"/>
      <c r="MWN239" s="243"/>
      <c r="MWO239" s="243"/>
      <c r="MWP239" s="243"/>
      <c r="MWQ239" s="243"/>
      <c r="MWR239" s="243"/>
      <c r="MWS239" s="243"/>
      <c r="MWT239" s="243"/>
      <c r="MWU239" s="243"/>
      <c r="MWV239" s="243"/>
      <c r="MWW239" s="243"/>
      <c r="MWX239" s="243"/>
      <c r="MWY239" s="243"/>
      <c r="MWZ239" s="243"/>
      <c r="MXA239" s="243"/>
      <c r="MXB239" s="243"/>
      <c r="MXC239" s="243"/>
      <c r="MXD239" s="243"/>
      <c r="MXE239" s="243"/>
      <c r="MXF239" s="243"/>
      <c r="MXG239" s="243"/>
      <c r="MXH239" s="243"/>
      <c r="MXI239" s="243"/>
      <c r="MXJ239" s="243"/>
      <c r="MXK239" s="243"/>
      <c r="MXL239" s="243"/>
      <c r="MXM239" s="243"/>
      <c r="MXN239" s="243"/>
      <c r="MXO239" s="243"/>
      <c r="MXP239" s="243"/>
      <c r="MXQ239" s="243"/>
      <c r="MXR239" s="243"/>
      <c r="MXS239" s="243"/>
      <c r="MXT239" s="243"/>
      <c r="MXU239" s="243"/>
      <c r="MXV239" s="243"/>
      <c r="MXW239" s="243"/>
      <c r="MXX239" s="243"/>
      <c r="MXY239" s="243"/>
      <c r="MXZ239" s="243"/>
      <c r="MYA239" s="243"/>
      <c r="MYB239" s="243"/>
      <c r="MYC239" s="243"/>
      <c r="MYD239" s="243"/>
      <c r="MYE239" s="243"/>
      <c r="MYF239" s="243"/>
      <c r="MYG239" s="243"/>
      <c r="MYH239" s="243"/>
      <c r="MYI239" s="243"/>
      <c r="MYJ239" s="243"/>
      <c r="MYK239" s="243"/>
      <c r="MYL239" s="243"/>
      <c r="MYM239" s="243"/>
      <c r="MYN239" s="243"/>
      <c r="MYO239" s="243"/>
      <c r="MYP239" s="243"/>
      <c r="MYQ239" s="243"/>
      <c r="MYR239" s="243"/>
      <c r="MYS239" s="243"/>
      <c r="MYT239" s="243"/>
      <c r="MYU239" s="243"/>
      <c r="MYV239" s="243"/>
      <c r="MYW239" s="243"/>
      <c r="MYX239" s="243"/>
      <c r="MYY239" s="243"/>
      <c r="MYZ239" s="243"/>
      <c r="MZA239" s="243"/>
      <c r="MZB239" s="243"/>
      <c r="MZC239" s="243"/>
      <c r="MZD239" s="243"/>
      <c r="MZE239" s="243"/>
      <c r="MZF239" s="243"/>
      <c r="MZG239" s="243"/>
      <c r="MZH239" s="243"/>
      <c r="MZI239" s="243"/>
      <c r="MZJ239" s="243"/>
      <c r="MZK239" s="243"/>
      <c r="MZL239" s="243"/>
      <c r="MZM239" s="243"/>
      <c r="MZN239" s="243"/>
      <c r="MZO239" s="243"/>
      <c r="MZP239" s="243"/>
      <c r="MZQ239" s="243"/>
      <c r="MZR239" s="243"/>
      <c r="MZS239" s="243"/>
      <c r="MZT239" s="243"/>
      <c r="MZU239" s="243"/>
      <c r="MZV239" s="243"/>
      <c r="MZW239" s="243"/>
      <c r="MZX239" s="243"/>
      <c r="MZY239" s="243"/>
      <c r="MZZ239" s="243"/>
      <c r="NAA239" s="243"/>
      <c r="NAB239" s="243"/>
      <c r="NAC239" s="243"/>
      <c r="NAD239" s="243"/>
      <c r="NAE239" s="243"/>
      <c r="NAF239" s="243"/>
      <c r="NAG239" s="243"/>
      <c r="NAH239" s="243"/>
      <c r="NAI239" s="243"/>
      <c r="NAJ239" s="243"/>
      <c r="NAK239" s="243"/>
      <c r="NAL239" s="243"/>
      <c r="NAM239" s="243"/>
      <c r="NAN239" s="243"/>
      <c r="NAO239" s="243"/>
      <c r="NAP239" s="243"/>
      <c r="NAQ239" s="243"/>
      <c r="NAR239" s="243"/>
      <c r="NAS239" s="243"/>
      <c r="NAT239" s="243"/>
      <c r="NAU239" s="243"/>
      <c r="NAV239" s="243"/>
      <c r="NAW239" s="243"/>
      <c r="NAX239" s="243"/>
      <c r="NAY239" s="243"/>
      <c r="NAZ239" s="243"/>
      <c r="NBA239" s="243"/>
      <c r="NBB239" s="243"/>
      <c r="NBC239" s="243"/>
      <c r="NBD239" s="243"/>
      <c r="NBE239" s="243"/>
      <c r="NBF239" s="243"/>
      <c r="NBG239" s="243"/>
      <c r="NBH239" s="243"/>
      <c r="NBI239" s="243"/>
      <c r="NBJ239" s="243"/>
      <c r="NBK239" s="243"/>
      <c r="NBL239" s="243"/>
      <c r="NBM239" s="243"/>
      <c r="NBN239" s="243"/>
      <c r="NBO239" s="243"/>
      <c r="NBP239" s="243"/>
      <c r="NBQ239" s="243"/>
      <c r="NBR239" s="243"/>
      <c r="NBS239" s="243"/>
      <c r="NBT239" s="243"/>
      <c r="NBU239" s="243"/>
      <c r="NBV239" s="243"/>
      <c r="NBW239" s="243"/>
      <c r="NBX239" s="243"/>
      <c r="NBY239" s="243"/>
      <c r="NBZ239" s="243"/>
      <c r="NCA239" s="243"/>
      <c r="NCB239" s="243"/>
      <c r="NCC239" s="243"/>
      <c r="NCD239" s="243"/>
      <c r="NCE239" s="243"/>
      <c r="NCF239" s="243"/>
      <c r="NCG239" s="243"/>
      <c r="NCH239" s="243"/>
      <c r="NCI239" s="243"/>
      <c r="NCJ239" s="243"/>
      <c r="NCK239" s="243"/>
      <c r="NCL239" s="243"/>
      <c r="NCM239" s="243"/>
      <c r="NCN239" s="243"/>
      <c r="NCO239" s="243"/>
      <c r="NCP239" s="243"/>
      <c r="NCQ239" s="243"/>
      <c r="NCR239" s="243"/>
      <c r="NCS239" s="243"/>
      <c r="NCT239" s="243"/>
      <c r="NCU239" s="243"/>
      <c r="NCV239" s="243"/>
      <c r="NCW239" s="243"/>
      <c r="NCX239" s="243"/>
      <c r="NCY239" s="243"/>
      <c r="NCZ239" s="243"/>
      <c r="NDA239" s="243"/>
      <c r="NDB239" s="243"/>
      <c r="NDC239" s="243"/>
      <c r="NDD239" s="243"/>
      <c r="NDE239" s="243"/>
      <c r="NDF239" s="243"/>
      <c r="NDG239" s="243"/>
      <c r="NDH239" s="243"/>
      <c r="NDI239" s="243"/>
      <c r="NDJ239" s="243"/>
      <c r="NDK239" s="243"/>
      <c r="NDL239" s="243"/>
      <c r="NDM239" s="243"/>
      <c r="NDN239" s="243"/>
      <c r="NDO239" s="243"/>
      <c r="NDP239" s="243"/>
      <c r="NDQ239" s="243"/>
      <c r="NDR239" s="243"/>
      <c r="NDS239" s="243"/>
      <c r="NDT239" s="243"/>
      <c r="NDU239" s="243"/>
      <c r="NDV239" s="243"/>
      <c r="NDW239" s="243"/>
      <c r="NDX239" s="243"/>
      <c r="NDY239" s="243"/>
      <c r="NDZ239" s="243"/>
      <c r="NEA239" s="243"/>
      <c r="NEB239" s="243"/>
      <c r="NEC239" s="243"/>
      <c r="NED239" s="243"/>
      <c r="NEE239" s="243"/>
      <c r="NEF239" s="243"/>
      <c r="NEG239" s="243"/>
      <c r="NEH239" s="243"/>
      <c r="NEI239" s="243"/>
      <c r="NEJ239" s="243"/>
      <c r="NEK239" s="243"/>
      <c r="NEL239" s="243"/>
      <c r="NEM239" s="243"/>
      <c r="NEN239" s="243"/>
      <c r="NEO239" s="243"/>
      <c r="NEP239" s="243"/>
      <c r="NEQ239" s="243"/>
      <c r="NER239" s="243"/>
      <c r="NES239" s="243"/>
      <c r="NET239" s="243"/>
      <c r="NEU239" s="243"/>
      <c r="NEV239" s="243"/>
      <c r="NEW239" s="243"/>
      <c r="NEX239" s="243"/>
      <c r="NEY239" s="243"/>
      <c r="NEZ239" s="243"/>
      <c r="NFA239" s="243"/>
      <c r="NFB239" s="243"/>
      <c r="NFC239" s="243"/>
      <c r="NFD239" s="243"/>
      <c r="NFE239" s="243"/>
      <c r="NFF239" s="243"/>
      <c r="NFG239" s="243"/>
      <c r="NFH239" s="243"/>
      <c r="NFI239" s="243"/>
      <c r="NFJ239" s="243"/>
      <c r="NFK239" s="243"/>
      <c r="NFL239" s="243"/>
      <c r="NFM239" s="243"/>
      <c r="NFN239" s="243"/>
      <c r="NFO239" s="243"/>
      <c r="NFP239" s="243"/>
      <c r="NFQ239" s="243"/>
      <c r="NFR239" s="243"/>
      <c r="NFS239" s="243"/>
      <c r="NFT239" s="243"/>
      <c r="NFU239" s="243"/>
      <c r="NFV239" s="243"/>
      <c r="NFW239" s="243"/>
      <c r="NFX239" s="243"/>
      <c r="NFY239" s="243"/>
      <c r="NFZ239" s="243"/>
      <c r="NGA239" s="243"/>
      <c r="NGB239" s="243"/>
      <c r="NGC239" s="243"/>
      <c r="NGD239" s="243"/>
      <c r="NGE239" s="243"/>
      <c r="NGF239" s="243"/>
      <c r="NGG239" s="243"/>
      <c r="NGH239" s="243"/>
      <c r="NGI239" s="243"/>
      <c r="NGJ239" s="243"/>
      <c r="NGK239" s="243"/>
      <c r="NGL239" s="243"/>
      <c r="NGM239" s="243"/>
      <c r="NGN239" s="243"/>
      <c r="NGO239" s="243"/>
      <c r="NGP239" s="243"/>
      <c r="NGQ239" s="243"/>
      <c r="NGR239" s="243"/>
      <c r="NGS239" s="243"/>
      <c r="NGT239" s="243"/>
      <c r="NGU239" s="243"/>
      <c r="NGV239" s="243"/>
      <c r="NGW239" s="243"/>
      <c r="NGX239" s="243"/>
      <c r="NGY239" s="243"/>
      <c r="NGZ239" s="243"/>
      <c r="NHA239" s="243"/>
      <c r="NHB239" s="243"/>
      <c r="NHC239" s="243"/>
      <c r="NHD239" s="243"/>
      <c r="NHE239" s="243"/>
      <c r="NHF239" s="243"/>
      <c r="NHG239" s="243"/>
      <c r="NHH239" s="243"/>
      <c r="NHI239" s="243"/>
      <c r="NHJ239" s="243"/>
      <c r="NHK239" s="243"/>
      <c r="NHL239" s="243"/>
      <c r="NHM239" s="243"/>
      <c r="NHN239" s="243"/>
      <c r="NHO239" s="243"/>
      <c r="NHP239" s="243"/>
      <c r="NHQ239" s="243"/>
      <c r="NHR239" s="243"/>
      <c r="NHS239" s="243"/>
      <c r="NHT239" s="243"/>
      <c r="NHU239" s="243"/>
      <c r="NHV239" s="243"/>
      <c r="NHW239" s="243"/>
      <c r="NHX239" s="243"/>
      <c r="NHY239" s="243"/>
      <c r="NHZ239" s="243"/>
      <c r="NIA239" s="243"/>
      <c r="NIB239" s="243"/>
      <c r="NIC239" s="243"/>
      <c r="NID239" s="243"/>
      <c r="NIE239" s="243"/>
      <c r="NIF239" s="243"/>
      <c r="NIG239" s="243"/>
      <c r="NIH239" s="243"/>
      <c r="NII239" s="243"/>
      <c r="NIJ239" s="243"/>
      <c r="NIK239" s="243"/>
      <c r="NIL239" s="243"/>
      <c r="NIM239" s="243"/>
      <c r="NIN239" s="243"/>
      <c r="NIO239" s="243"/>
      <c r="NIP239" s="243"/>
      <c r="NIQ239" s="243"/>
      <c r="NIR239" s="243"/>
      <c r="NIS239" s="243"/>
      <c r="NIT239" s="243"/>
      <c r="NIU239" s="243"/>
      <c r="NIV239" s="243"/>
      <c r="NIW239" s="243"/>
      <c r="NIX239" s="243"/>
      <c r="NIY239" s="243"/>
      <c r="NIZ239" s="243"/>
      <c r="NJA239" s="243"/>
      <c r="NJB239" s="243"/>
      <c r="NJC239" s="243"/>
      <c r="NJD239" s="243"/>
      <c r="NJE239" s="243"/>
      <c r="NJF239" s="243"/>
      <c r="NJG239" s="243"/>
      <c r="NJH239" s="243"/>
      <c r="NJI239" s="243"/>
      <c r="NJJ239" s="243"/>
      <c r="NJK239" s="243"/>
      <c r="NJL239" s="243"/>
      <c r="NJM239" s="243"/>
      <c r="NJN239" s="243"/>
      <c r="NJO239" s="243"/>
      <c r="NJP239" s="243"/>
      <c r="NJQ239" s="243"/>
      <c r="NJR239" s="243"/>
      <c r="NJS239" s="243"/>
      <c r="NJT239" s="243"/>
      <c r="NJU239" s="243"/>
      <c r="NJV239" s="243"/>
      <c r="NJW239" s="243"/>
      <c r="NJX239" s="243"/>
      <c r="NJY239" s="243"/>
      <c r="NJZ239" s="243"/>
      <c r="NKA239" s="243"/>
      <c r="NKB239" s="243"/>
      <c r="NKC239" s="243"/>
      <c r="NKD239" s="243"/>
      <c r="NKE239" s="243"/>
      <c r="NKF239" s="243"/>
      <c r="NKG239" s="243"/>
      <c r="NKH239" s="243"/>
      <c r="NKI239" s="243"/>
      <c r="NKJ239" s="243"/>
      <c r="NKK239" s="243"/>
      <c r="NKL239" s="243"/>
      <c r="NKM239" s="243"/>
      <c r="NKN239" s="243"/>
      <c r="NKO239" s="243"/>
      <c r="NKP239" s="243"/>
      <c r="NKQ239" s="243"/>
      <c r="NKR239" s="243"/>
      <c r="NKS239" s="243"/>
      <c r="NKT239" s="243"/>
      <c r="NKU239" s="243"/>
      <c r="NKV239" s="243"/>
      <c r="NKW239" s="243"/>
      <c r="NKX239" s="243"/>
      <c r="NKY239" s="243"/>
      <c r="NKZ239" s="243"/>
      <c r="NLA239" s="243"/>
      <c r="NLB239" s="243"/>
      <c r="NLC239" s="243"/>
      <c r="NLD239" s="243"/>
      <c r="NLE239" s="243"/>
      <c r="NLF239" s="243"/>
      <c r="NLG239" s="243"/>
      <c r="NLH239" s="243"/>
      <c r="NLI239" s="243"/>
      <c r="NLJ239" s="243"/>
      <c r="NLK239" s="243"/>
      <c r="NLL239" s="243"/>
      <c r="NLM239" s="243"/>
      <c r="NLN239" s="243"/>
      <c r="NLO239" s="243"/>
      <c r="NLP239" s="243"/>
      <c r="NLQ239" s="243"/>
      <c r="NLR239" s="243"/>
      <c r="NLS239" s="243"/>
      <c r="NLT239" s="243"/>
      <c r="NLU239" s="243"/>
      <c r="NLV239" s="243"/>
      <c r="NLW239" s="243"/>
      <c r="NLX239" s="243"/>
      <c r="NLY239" s="243"/>
      <c r="NLZ239" s="243"/>
      <c r="NMA239" s="243"/>
      <c r="NMB239" s="243"/>
      <c r="NMC239" s="243"/>
      <c r="NMD239" s="243"/>
      <c r="NME239" s="243"/>
      <c r="NMF239" s="243"/>
      <c r="NMG239" s="243"/>
      <c r="NMH239" s="243"/>
      <c r="NMI239" s="243"/>
      <c r="NMJ239" s="243"/>
      <c r="NMK239" s="243"/>
      <c r="NML239" s="243"/>
      <c r="NMM239" s="243"/>
      <c r="NMN239" s="243"/>
      <c r="NMO239" s="243"/>
      <c r="NMP239" s="243"/>
      <c r="NMQ239" s="243"/>
      <c r="NMR239" s="243"/>
      <c r="NMS239" s="243"/>
      <c r="NMT239" s="243"/>
      <c r="NMU239" s="243"/>
      <c r="NMV239" s="243"/>
      <c r="NMW239" s="243"/>
      <c r="NMX239" s="243"/>
      <c r="NMY239" s="243"/>
      <c r="NMZ239" s="243"/>
      <c r="NNA239" s="243"/>
      <c r="NNB239" s="243"/>
      <c r="NNC239" s="243"/>
      <c r="NND239" s="243"/>
      <c r="NNE239" s="243"/>
      <c r="NNF239" s="243"/>
      <c r="NNG239" s="243"/>
      <c r="NNH239" s="243"/>
      <c r="NNI239" s="243"/>
      <c r="NNJ239" s="243"/>
      <c r="NNK239" s="243"/>
      <c r="NNL239" s="243"/>
      <c r="NNM239" s="243"/>
      <c r="NNN239" s="243"/>
      <c r="NNO239" s="243"/>
      <c r="NNP239" s="243"/>
      <c r="NNQ239" s="243"/>
      <c r="NNR239" s="243"/>
      <c r="NNS239" s="243"/>
      <c r="NNT239" s="243"/>
      <c r="NNU239" s="243"/>
      <c r="NNV239" s="243"/>
      <c r="NNW239" s="243"/>
      <c r="NNX239" s="243"/>
      <c r="NNY239" s="243"/>
      <c r="NNZ239" s="243"/>
      <c r="NOA239" s="243"/>
      <c r="NOB239" s="243"/>
      <c r="NOC239" s="243"/>
      <c r="NOD239" s="243"/>
      <c r="NOE239" s="243"/>
      <c r="NOF239" s="243"/>
      <c r="NOG239" s="243"/>
      <c r="NOH239" s="243"/>
      <c r="NOI239" s="243"/>
      <c r="NOJ239" s="243"/>
      <c r="NOK239" s="243"/>
      <c r="NOL239" s="243"/>
      <c r="NOM239" s="243"/>
      <c r="NON239" s="243"/>
      <c r="NOO239" s="243"/>
      <c r="NOP239" s="243"/>
      <c r="NOQ239" s="243"/>
      <c r="NOR239" s="243"/>
      <c r="NOS239" s="243"/>
      <c r="NOT239" s="243"/>
      <c r="NOU239" s="243"/>
      <c r="NOV239" s="243"/>
      <c r="NOW239" s="243"/>
      <c r="NOX239" s="243"/>
      <c r="NOY239" s="243"/>
      <c r="NOZ239" s="243"/>
      <c r="NPA239" s="243"/>
      <c r="NPB239" s="243"/>
      <c r="NPC239" s="243"/>
      <c r="NPD239" s="243"/>
      <c r="NPE239" s="243"/>
      <c r="NPF239" s="243"/>
      <c r="NPG239" s="243"/>
      <c r="NPH239" s="243"/>
      <c r="NPI239" s="243"/>
      <c r="NPJ239" s="243"/>
      <c r="NPK239" s="243"/>
      <c r="NPL239" s="243"/>
      <c r="NPM239" s="243"/>
      <c r="NPN239" s="243"/>
      <c r="NPO239" s="243"/>
      <c r="NPP239" s="243"/>
      <c r="NPQ239" s="243"/>
      <c r="NPR239" s="243"/>
      <c r="NPS239" s="243"/>
      <c r="NPT239" s="243"/>
      <c r="NPU239" s="243"/>
      <c r="NPV239" s="243"/>
      <c r="NPW239" s="243"/>
      <c r="NPX239" s="243"/>
      <c r="NPY239" s="243"/>
      <c r="NPZ239" s="243"/>
      <c r="NQA239" s="243"/>
      <c r="NQB239" s="243"/>
      <c r="NQC239" s="243"/>
      <c r="NQD239" s="243"/>
      <c r="NQE239" s="243"/>
      <c r="NQF239" s="243"/>
      <c r="NQG239" s="243"/>
      <c r="NQH239" s="243"/>
      <c r="NQI239" s="243"/>
      <c r="NQJ239" s="243"/>
      <c r="NQK239" s="243"/>
      <c r="NQL239" s="243"/>
      <c r="NQM239" s="243"/>
      <c r="NQN239" s="243"/>
      <c r="NQO239" s="243"/>
      <c r="NQP239" s="243"/>
      <c r="NQQ239" s="243"/>
      <c r="NQR239" s="243"/>
      <c r="NQS239" s="243"/>
      <c r="NQT239" s="243"/>
      <c r="NQU239" s="243"/>
      <c r="NQV239" s="243"/>
      <c r="NQW239" s="243"/>
      <c r="NQX239" s="243"/>
      <c r="NQY239" s="243"/>
      <c r="NQZ239" s="243"/>
      <c r="NRA239" s="243"/>
      <c r="NRB239" s="243"/>
      <c r="NRC239" s="243"/>
      <c r="NRD239" s="243"/>
      <c r="NRE239" s="243"/>
      <c r="NRF239" s="243"/>
      <c r="NRG239" s="243"/>
      <c r="NRH239" s="243"/>
      <c r="NRI239" s="243"/>
      <c r="NRJ239" s="243"/>
      <c r="NRK239" s="243"/>
      <c r="NRL239" s="243"/>
      <c r="NRM239" s="243"/>
      <c r="NRN239" s="243"/>
      <c r="NRO239" s="243"/>
      <c r="NRP239" s="243"/>
      <c r="NRQ239" s="243"/>
      <c r="NRR239" s="243"/>
      <c r="NRS239" s="243"/>
      <c r="NRT239" s="243"/>
      <c r="NRU239" s="243"/>
      <c r="NRV239" s="243"/>
      <c r="NRW239" s="243"/>
      <c r="NRX239" s="243"/>
      <c r="NRY239" s="243"/>
      <c r="NRZ239" s="243"/>
      <c r="NSA239" s="243"/>
      <c r="NSB239" s="243"/>
      <c r="NSC239" s="243"/>
      <c r="NSD239" s="243"/>
      <c r="NSE239" s="243"/>
      <c r="NSF239" s="243"/>
      <c r="NSG239" s="243"/>
      <c r="NSH239" s="243"/>
      <c r="NSI239" s="243"/>
      <c r="NSJ239" s="243"/>
      <c r="NSK239" s="243"/>
      <c r="NSL239" s="243"/>
      <c r="NSM239" s="243"/>
      <c r="NSN239" s="243"/>
      <c r="NSO239" s="243"/>
      <c r="NSP239" s="243"/>
      <c r="NSQ239" s="243"/>
      <c r="NSR239" s="243"/>
      <c r="NSS239" s="243"/>
      <c r="NST239" s="243"/>
      <c r="NSU239" s="243"/>
      <c r="NSV239" s="243"/>
      <c r="NSW239" s="243"/>
      <c r="NSX239" s="243"/>
      <c r="NSY239" s="243"/>
      <c r="NSZ239" s="243"/>
      <c r="NTA239" s="243"/>
      <c r="NTB239" s="243"/>
      <c r="NTC239" s="243"/>
      <c r="NTD239" s="243"/>
      <c r="NTE239" s="243"/>
      <c r="NTF239" s="243"/>
      <c r="NTG239" s="243"/>
      <c r="NTH239" s="243"/>
      <c r="NTI239" s="243"/>
      <c r="NTJ239" s="243"/>
      <c r="NTK239" s="243"/>
      <c r="NTL239" s="243"/>
      <c r="NTM239" s="243"/>
      <c r="NTN239" s="243"/>
      <c r="NTO239" s="243"/>
      <c r="NTP239" s="243"/>
      <c r="NTQ239" s="243"/>
      <c r="NTR239" s="243"/>
      <c r="NTS239" s="243"/>
      <c r="NTT239" s="243"/>
      <c r="NTU239" s="243"/>
      <c r="NTV239" s="243"/>
      <c r="NTW239" s="243"/>
      <c r="NTX239" s="243"/>
      <c r="NTY239" s="243"/>
      <c r="NTZ239" s="243"/>
      <c r="NUA239" s="243"/>
      <c r="NUB239" s="243"/>
      <c r="NUC239" s="243"/>
      <c r="NUD239" s="243"/>
      <c r="NUE239" s="243"/>
      <c r="NUF239" s="243"/>
      <c r="NUG239" s="243"/>
      <c r="NUH239" s="243"/>
      <c r="NUI239" s="243"/>
      <c r="NUJ239" s="243"/>
      <c r="NUK239" s="243"/>
      <c r="NUL239" s="243"/>
      <c r="NUM239" s="243"/>
      <c r="NUN239" s="243"/>
      <c r="NUO239" s="243"/>
      <c r="NUP239" s="243"/>
      <c r="NUQ239" s="243"/>
      <c r="NUR239" s="243"/>
      <c r="NUS239" s="243"/>
      <c r="NUT239" s="243"/>
      <c r="NUU239" s="243"/>
      <c r="NUV239" s="243"/>
      <c r="NUW239" s="243"/>
      <c r="NUX239" s="243"/>
      <c r="NUY239" s="243"/>
      <c r="NUZ239" s="243"/>
      <c r="NVA239" s="243"/>
      <c r="NVB239" s="243"/>
      <c r="NVC239" s="243"/>
      <c r="NVD239" s="243"/>
      <c r="NVE239" s="243"/>
      <c r="NVF239" s="243"/>
      <c r="NVG239" s="243"/>
      <c r="NVH239" s="243"/>
      <c r="NVI239" s="243"/>
      <c r="NVJ239" s="243"/>
      <c r="NVK239" s="243"/>
      <c r="NVL239" s="243"/>
      <c r="NVM239" s="243"/>
      <c r="NVN239" s="243"/>
      <c r="NVO239" s="243"/>
      <c r="NVP239" s="243"/>
      <c r="NVQ239" s="243"/>
      <c r="NVR239" s="243"/>
      <c r="NVS239" s="243"/>
      <c r="NVT239" s="243"/>
      <c r="NVU239" s="243"/>
      <c r="NVV239" s="243"/>
      <c r="NVW239" s="243"/>
      <c r="NVX239" s="243"/>
      <c r="NVY239" s="243"/>
      <c r="NVZ239" s="243"/>
      <c r="NWA239" s="243"/>
      <c r="NWB239" s="243"/>
      <c r="NWC239" s="243"/>
      <c r="NWD239" s="243"/>
      <c r="NWE239" s="243"/>
      <c r="NWF239" s="243"/>
      <c r="NWG239" s="243"/>
      <c r="NWH239" s="243"/>
      <c r="NWI239" s="243"/>
      <c r="NWJ239" s="243"/>
      <c r="NWK239" s="243"/>
      <c r="NWL239" s="243"/>
      <c r="NWM239" s="243"/>
      <c r="NWN239" s="243"/>
      <c r="NWO239" s="243"/>
      <c r="NWP239" s="243"/>
      <c r="NWQ239" s="243"/>
      <c r="NWR239" s="243"/>
      <c r="NWS239" s="243"/>
      <c r="NWT239" s="243"/>
      <c r="NWU239" s="243"/>
      <c r="NWV239" s="243"/>
      <c r="NWW239" s="243"/>
      <c r="NWX239" s="243"/>
      <c r="NWY239" s="243"/>
      <c r="NWZ239" s="243"/>
      <c r="NXA239" s="243"/>
      <c r="NXB239" s="243"/>
      <c r="NXC239" s="243"/>
      <c r="NXD239" s="243"/>
      <c r="NXE239" s="243"/>
      <c r="NXF239" s="243"/>
      <c r="NXG239" s="243"/>
      <c r="NXH239" s="243"/>
      <c r="NXI239" s="243"/>
      <c r="NXJ239" s="243"/>
      <c r="NXK239" s="243"/>
      <c r="NXL239" s="243"/>
      <c r="NXM239" s="243"/>
      <c r="NXN239" s="243"/>
      <c r="NXO239" s="243"/>
      <c r="NXP239" s="243"/>
      <c r="NXQ239" s="243"/>
      <c r="NXR239" s="243"/>
      <c r="NXS239" s="243"/>
      <c r="NXT239" s="243"/>
      <c r="NXU239" s="243"/>
      <c r="NXV239" s="243"/>
      <c r="NXW239" s="243"/>
      <c r="NXX239" s="243"/>
      <c r="NXY239" s="243"/>
      <c r="NXZ239" s="243"/>
      <c r="NYA239" s="243"/>
      <c r="NYB239" s="243"/>
      <c r="NYC239" s="243"/>
      <c r="NYD239" s="243"/>
      <c r="NYE239" s="243"/>
      <c r="NYF239" s="243"/>
      <c r="NYG239" s="243"/>
      <c r="NYH239" s="243"/>
      <c r="NYI239" s="243"/>
      <c r="NYJ239" s="243"/>
      <c r="NYK239" s="243"/>
      <c r="NYL239" s="243"/>
      <c r="NYM239" s="243"/>
      <c r="NYN239" s="243"/>
      <c r="NYO239" s="243"/>
      <c r="NYP239" s="243"/>
      <c r="NYQ239" s="243"/>
      <c r="NYR239" s="243"/>
      <c r="NYS239" s="243"/>
      <c r="NYT239" s="243"/>
      <c r="NYU239" s="243"/>
      <c r="NYV239" s="243"/>
      <c r="NYW239" s="243"/>
      <c r="NYX239" s="243"/>
      <c r="NYY239" s="243"/>
      <c r="NYZ239" s="243"/>
      <c r="NZA239" s="243"/>
      <c r="NZB239" s="243"/>
      <c r="NZC239" s="243"/>
      <c r="NZD239" s="243"/>
      <c r="NZE239" s="243"/>
      <c r="NZF239" s="243"/>
      <c r="NZG239" s="243"/>
      <c r="NZH239" s="243"/>
      <c r="NZI239" s="243"/>
      <c r="NZJ239" s="243"/>
      <c r="NZK239" s="243"/>
      <c r="NZL239" s="243"/>
      <c r="NZM239" s="243"/>
      <c r="NZN239" s="243"/>
      <c r="NZO239" s="243"/>
      <c r="NZP239" s="243"/>
      <c r="NZQ239" s="243"/>
      <c r="NZR239" s="243"/>
      <c r="NZS239" s="243"/>
      <c r="NZT239" s="243"/>
      <c r="NZU239" s="243"/>
      <c r="NZV239" s="243"/>
      <c r="NZW239" s="243"/>
      <c r="NZX239" s="243"/>
      <c r="NZY239" s="243"/>
      <c r="NZZ239" s="243"/>
      <c r="OAA239" s="243"/>
      <c r="OAB239" s="243"/>
      <c r="OAC239" s="243"/>
      <c r="OAD239" s="243"/>
      <c r="OAE239" s="243"/>
      <c r="OAF239" s="243"/>
      <c r="OAG239" s="243"/>
      <c r="OAH239" s="243"/>
      <c r="OAI239" s="243"/>
      <c r="OAJ239" s="243"/>
      <c r="OAK239" s="243"/>
      <c r="OAL239" s="243"/>
      <c r="OAM239" s="243"/>
      <c r="OAN239" s="243"/>
      <c r="OAO239" s="243"/>
      <c r="OAP239" s="243"/>
      <c r="OAQ239" s="243"/>
      <c r="OAR239" s="243"/>
      <c r="OAS239" s="243"/>
      <c r="OAT239" s="243"/>
      <c r="OAU239" s="243"/>
      <c r="OAV239" s="243"/>
      <c r="OAW239" s="243"/>
      <c r="OAX239" s="243"/>
      <c r="OAY239" s="243"/>
      <c r="OAZ239" s="243"/>
      <c r="OBA239" s="243"/>
      <c r="OBB239" s="243"/>
      <c r="OBC239" s="243"/>
      <c r="OBD239" s="243"/>
      <c r="OBE239" s="243"/>
      <c r="OBF239" s="243"/>
      <c r="OBG239" s="243"/>
      <c r="OBH239" s="243"/>
      <c r="OBI239" s="243"/>
      <c r="OBJ239" s="243"/>
      <c r="OBK239" s="243"/>
      <c r="OBL239" s="243"/>
      <c r="OBM239" s="243"/>
      <c r="OBN239" s="243"/>
      <c r="OBO239" s="243"/>
      <c r="OBP239" s="243"/>
      <c r="OBQ239" s="243"/>
      <c r="OBR239" s="243"/>
      <c r="OBS239" s="243"/>
      <c r="OBT239" s="243"/>
      <c r="OBU239" s="243"/>
      <c r="OBV239" s="243"/>
      <c r="OBW239" s="243"/>
      <c r="OBX239" s="243"/>
      <c r="OBY239" s="243"/>
      <c r="OBZ239" s="243"/>
      <c r="OCA239" s="243"/>
      <c r="OCB239" s="243"/>
      <c r="OCC239" s="243"/>
      <c r="OCD239" s="243"/>
      <c r="OCE239" s="243"/>
      <c r="OCF239" s="243"/>
      <c r="OCG239" s="243"/>
      <c r="OCH239" s="243"/>
      <c r="OCI239" s="243"/>
      <c r="OCJ239" s="243"/>
      <c r="OCK239" s="243"/>
      <c r="OCL239" s="243"/>
      <c r="OCM239" s="243"/>
      <c r="OCN239" s="243"/>
      <c r="OCO239" s="243"/>
      <c r="OCP239" s="243"/>
      <c r="OCQ239" s="243"/>
      <c r="OCR239" s="243"/>
      <c r="OCS239" s="243"/>
      <c r="OCT239" s="243"/>
      <c r="OCU239" s="243"/>
      <c r="OCV239" s="243"/>
      <c r="OCW239" s="243"/>
      <c r="OCX239" s="243"/>
      <c r="OCY239" s="243"/>
      <c r="OCZ239" s="243"/>
      <c r="ODA239" s="243"/>
      <c r="ODB239" s="243"/>
      <c r="ODC239" s="243"/>
      <c r="ODD239" s="243"/>
      <c r="ODE239" s="243"/>
      <c r="ODF239" s="243"/>
      <c r="ODG239" s="243"/>
      <c r="ODH239" s="243"/>
      <c r="ODI239" s="243"/>
      <c r="ODJ239" s="243"/>
      <c r="ODK239" s="243"/>
      <c r="ODL239" s="243"/>
      <c r="ODM239" s="243"/>
      <c r="ODN239" s="243"/>
      <c r="ODO239" s="243"/>
      <c r="ODP239" s="243"/>
      <c r="ODQ239" s="243"/>
      <c r="ODR239" s="243"/>
      <c r="ODS239" s="243"/>
      <c r="ODT239" s="243"/>
      <c r="ODU239" s="243"/>
      <c r="ODV239" s="243"/>
      <c r="ODW239" s="243"/>
      <c r="ODX239" s="243"/>
      <c r="ODY239" s="243"/>
      <c r="ODZ239" s="243"/>
      <c r="OEA239" s="243"/>
      <c r="OEB239" s="243"/>
      <c r="OEC239" s="243"/>
      <c r="OED239" s="243"/>
      <c r="OEE239" s="243"/>
      <c r="OEF239" s="243"/>
      <c r="OEG239" s="243"/>
      <c r="OEH239" s="243"/>
      <c r="OEI239" s="243"/>
      <c r="OEJ239" s="243"/>
      <c r="OEK239" s="243"/>
      <c r="OEL239" s="243"/>
      <c r="OEM239" s="243"/>
      <c r="OEN239" s="243"/>
      <c r="OEO239" s="243"/>
      <c r="OEP239" s="243"/>
      <c r="OEQ239" s="243"/>
      <c r="OER239" s="243"/>
      <c r="OES239" s="243"/>
      <c r="OET239" s="243"/>
      <c r="OEU239" s="243"/>
      <c r="OEV239" s="243"/>
      <c r="OEW239" s="243"/>
      <c r="OEX239" s="243"/>
      <c r="OEY239" s="243"/>
      <c r="OEZ239" s="243"/>
      <c r="OFA239" s="243"/>
      <c r="OFB239" s="243"/>
      <c r="OFC239" s="243"/>
      <c r="OFD239" s="243"/>
      <c r="OFE239" s="243"/>
      <c r="OFF239" s="243"/>
      <c r="OFG239" s="243"/>
      <c r="OFH239" s="243"/>
      <c r="OFI239" s="243"/>
      <c r="OFJ239" s="243"/>
      <c r="OFK239" s="243"/>
      <c r="OFL239" s="243"/>
      <c r="OFM239" s="243"/>
      <c r="OFN239" s="243"/>
      <c r="OFO239" s="243"/>
      <c r="OFP239" s="243"/>
      <c r="OFQ239" s="243"/>
      <c r="OFR239" s="243"/>
      <c r="OFS239" s="243"/>
      <c r="OFT239" s="243"/>
      <c r="OFU239" s="243"/>
      <c r="OFV239" s="243"/>
      <c r="OFW239" s="243"/>
      <c r="OFX239" s="243"/>
      <c r="OFY239" s="243"/>
      <c r="OFZ239" s="243"/>
      <c r="OGA239" s="243"/>
      <c r="OGB239" s="243"/>
      <c r="OGC239" s="243"/>
      <c r="OGD239" s="243"/>
      <c r="OGE239" s="243"/>
      <c r="OGF239" s="243"/>
      <c r="OGG239" s="243"/>
      <c r="OGH239" s="243"/>
      <c r="OGI239" s="243"/>
      <c r="OGJ239" s="243"/>
      <c r="OGK239" s="243"/>
      <c r="OGL239" s="243"/>
      <c r="OGM239" s="243"/>
      <c r="OGN239" s="243"/>
      <c r="OGO239" s="243"/>
      <c r="OGP239" s="243"/>
      <c r="OGQ239" s="243"/>
      <c r="OGR239" s="243"/>
      <c r="OGS239" s="243"/>
      <c r="OGT239" s="243"/>
      <c r="OGU239" s="243"/>
      <c r="OGV239" s="243"/>
      <c r="OGW239" s="243"/>
      <c r="OGX239" s="243"/>
      <c r="OGY239" s="243"/>
      <c r="OGZ239" s="243"/>
      <c r="OHA239" s="243"/>
      <c r="OHB239" s="243"/>
      <c r="OHC239" s="243"/>
      <c r="OHD239" s="243"/>
      <c r="OHE239" s="243"/>
      <c r="OHF239" s="243"/>
      <c r="OHG239" s="243"/>
      <c r="OHH239" s="243"/>
      <c r="OHI239" s="243"/>
      <c r="OHJ239" s="243"/>
      <c r="OHK239" s="243"/>
      <c r="OHL239" s="243"/>
      <c r="OHM239" s="243"/>
      <c r="OHN239" s="243"/>
      <c r="OHO239" s="243"/>
      <c r="OHP239" s="243"/>
      <c r="OHQ239" s="243"/>
      <c r="OHR239" s="243"/>
      <c r="OHS239" s="243"/>
      <c r="OHT239" s="243"/>
      <c r="OHU239" s="243"/>
      <c r="OHV239" s="243"/>
      <c r="OHW239" s="243"/>
      <c r="OHX239" s="243"/>
      <c r="OHY239" s="243"/>
      <c r="OHZ239" s="243"/>
      <c r="OIA239" s="243"/>
      <c r="OIB239" s="243"/>
      <c r="OIC239" s="243"/>
      <c r="OID239" s="243"/>
      <c r="OIE239" s="243"/>
      <c r="OIF239" s="243"/>
      <c r="OIG239" s="243"/>
      <c r="OIH239" s="243"/>
      <c r="OII239" s="243"/>
      <c r="OIJ239" s="243"/>
      <c r="OIK239" s="243"/>
      <c r="OIL239" s="243"/>
      <c r="OIM239" s="243"/>
      <c r="OIN239" s="243"/>
      <c r="OIO239" s="243"/>
      <c r="OIP239" s="243"/>
      <c r="OIQ239" s="243"/>
      <c r="OIR239" s="243"/>
      <c r="OIS239" s="243"/>
      <c r="OIT239" s="243"/>
      <c r="OIU239" s="243"/>
      <c r="OIV239" s="243"/>
      <c r="OIW239" s="243"/>
      <c r="OIX239" s="243"/>
      <c r="OIY239" s="243"/>
      <c r="OIZ239" s="243"/>
      <c r="OJA239" s="243"/>
      <c r="OJB239" s="243"/>
      <c r="OJC239" s="243"/>
      <c r="OJD239" s="243"/>
      <c r="OJE239" s="243"/>
      <c r="OJF239" s="243"/>
      <c r="OJG239" s="243"/>
      <c r="OJH239" s="243"/>
      <c r="OJI239" s="243"/>
      <c r="OJJ239" s="243"/>
      <c r="OJK239" s="243"/>
      <c r="OJL239" s="243"/>
      <c r="OJM239" s="243"/>
      <c r="OJN239" s="243"/>
      <c r="OJO239" s="243"/>
      <c r="OJP239" s="243"/>
      <c r="OJQ239" s="243"/>
      <c r="OJR239" s="243"/>
      <c r="OJS239" s="243"/>
      <c r="OJT239" s="243"/>
      <c r="OJU239" s="243"/>
      <c r="OJV239" s="243"/>
      <c r="OJW239" s="243"/>
      <c r="OJX239" s="243"/>
      <c r="OJY239" s="243"/>
      <c r="OJZ239" s="243"/>
      <c r="OKA239" s="243"/>
      <c r="OKB239" s="243"/>
      <c r="OKC239" s="243"/>
      <c r="OKD239" s="243"/>
      <c r="OKE239" s="243"/>
      <c r="OKF239" s="243"/>
      <c r="OKG239" s="243"/>
      <c r="OKH239" s="243"/>
      <c r="OKI239" s="243"/>
      <c r="OKJ239" s="243"/>
      <c r="OKK239" s="243"/>
      <c r="OKL239" s="243"/>
      <c r="OKM239" s="243"/>
      <c r="OKN239" s="243"/>
      <c r="OKO239" s="243"/>
      <c r="OKP239" s="243"/>
      <c r="OKQ239" s="243"/>
      <c r="OKR239" s="243"/>
      <c r="OKS239" s="243"/>
      <c r="OKT239" s="243"/>
      <c r="OKU239" s="243"/>
      <c r="OKV239" s="243"/>
      <c r="OKW239" s="243"/>
      <c r="OKX239" s="243"/>
      <c r="OKY239" s="243"/>
      <c r="OKZ239" s="243"/>
      <c r="OLA239" s="243"/>
      <c r="OLB239" s="243"/>
      <c r="OLC239" s="243"/>
      <c r="OLD239" s="243"/>
      <c r="OLE239" s="243"/>
      <c r="OLF239" s="243"/>
      <c r="OLG239" s="243"/>
      <c r="OLH239" s="243"/>
      <c r="OLI239" s="243"/>
      <c r="OLJ239" s="243"/>
      <c r="OLK239" s="243"/>
      <c r="OLL239" s="243"/>
      <c r="OLM239" s="243"/>
      <c r="OLN239" s="243"/>
      <c r="OLO239" s="243"/>
      <c r="OLP239" s="243"/>
      <c r="OLQ239" s="243"/>
      <c r="OLR239" s="243"/>
      <c r="OLS239" s="243"/>
      <c r="OLT239" s="243"/>
      <c r="OLU239" s="243"/>
      <c r="OLV239" s="243"/>
      <c r="OLW239" s="243"/>
      <c r="OLX239" s="243"/>
      <c r="OLY239" s="243"/>
      <c r="OLZ239" s="243"/>
      <c r="OMA239" s="243"/>
      <c r="OMB239" s="243"/>
      <c r="OMC239" s="243"/>
      <c r="OMD239" s="243"/>
      <c r="OME239" s="243"/>
      <c r="OMF239" s="243"/>
      <c r="OMG239" s="243"/>
      <c r="OMH239" s="243"/>
      <c r="OMI239" s="243"/>
      <c r="OMJ239" s="243"/>
      <c r="OMK239" s="243"/>
      <c r="OML239" s="243"/>
      <c r="OMM239" s="243"/>
      <c r="OMN239" s="243"/>
      <c r="OMO239" s="243"/>
      <c r="OMP239" s="243"/>
      <c r="OMQ239" s="243"/>
      <c r="OMR239" s="243"/>
      <c r="OMS239" s="243"/>
      <c r="OMT239" s="243"/>
      <c r="OMU239" s="243"/>
      <c r="OMV239" s="243"/>
      <c r="OMW239" s="243"/>
      <c r="OMX239" s="243"/>
      <c r="OMY239" s="243"/>
      <c r="OMZ239" s="243"/>
      <c r="ONA239" s="243"/>
      <c r="ONB239" s="243"/>
      <c r="ONC239" s="243"/>
      <c r="OND239" s="243"/>
      <c r="ONE239" s="243"/>
      <c r="ONF239" s="243"/>
      <c r="ONG239" s="243"/>
      <c r="ONH239" s="243"/>
      <c r="ONI239" s="243"/>
      <c r="ONJ239" s="243"/>
      <c r="ONK239" s="243"/>
      <c r="ONL239" s="243"/>
      <c r="ONM239" s="243"/>
      <c r="ONN239" s="243"/>
      <c r="ONO239" s="243"/>
      <c r="ONP239" s="243"/>
      <c r="ONQ239" s="243"/>
      <c r="ONR239" s="243"/>
      <c r="ONS239" s="243"/>
      <c r="ONT239" s="243"/>
      <c r="ONU239" s="243"/>
      <c r="ONV239" s="243"/>
      <c r="ONW239" s="243"/>
      <c r="ONX239" s="243"/>
      <c r="ONY239" s="243"/>
      <c r="ONZ239" s="243"/>
      <c r="OOA239" s="243"/>
      <c r="OOB239" s="243"/>
      <c r="OOC239" s="243"/>
      <c r="OOD239" s="243"/>
      <c r="OOE239" s="243"/>
      <c r="OOF239" s="243"/>
      <c r="OOG239" s="243"/>
      <c r="OOH239" s="243"/>
      <c r="OOI239" s="243"/>
      <c r="OOJ239" s="243"/>
      <c r="OOK239" s="243"/>
      <c r="OOL239" s="243"/>
      <c r="OOM239" s="243"/>
      <c r="OON239" s="243"/>
      <c r="OOO239" s="243"/>
      <c r="OOP239" s="243"/>
      <c r="OOQ239" s="243"/>
      <c r="OOR239" s="243"/>
      <c r="OOS239" s="243"/>
      <c r="OOT239" s="243"/>
      <c r="OOU239" s="243"/>
      <c r="OOV239" s="243"/>
      <c r="OOW239" s="243"/>
      <c r="OOX239" s="243"/>
      <c r="OOY239" s="243"/>
      <c r="OOZ239" s="243"/>
      <c r="OPA239" s="243"/>
      <c r="OPB239" s="243"/>
      <c r="OPC239" s="243"/>
      <c r="OPD239" s="243"/>
      <c r="OPE239" s="243"/>
      <c r="OPF239" s="243"/>
      <c r="OPG239" s="243"/>
      <c r="OPH239" s="243"/>
      <c r="OPI239" s="243"/>
      <c r="OPJ239" s="243"/>
      <c r="OPK239" s="243"/>
      <c r="OPL239" s="243"/>
      <c r="OPM239" s="243"/>
      <c r="OPN239" s="243"/>
      <c r="OPO239" s="243"/>
      <c r="OPP239" s="243"/>
      <c r="OPQ239" s="243"/>
      <c r="OPR239" s="243"/>
      <c r="OPS239" s="243"/>
      <c r="OPT239" s="243"/>
      <c r="OPU239" s="243"/>
      <c r="OPV239" s="243"/>
      <c r="OPW239" s="243"/>
      <c r="OPX239" s="243"/>
      <c r="OPY239" s="243"/>
      <c r="OPZ239" s="243"/>
      <c r="OQA239" s="243"/>
      <c r="OQB239" s="243"/>
      <c r="OQC239" s="243"/>
      <c r="OQD239" s="243"/>
      <c r="OQE239" s="243"/>
      <c r="OQF239" s="243"/>
      <c r="OQG239" s="243"/>
      <c r="OQH239" s="243"/>
      <c r="OQI239" s="243"/>
      <c r="OQJ239" s="243"/>
      <c r="OQK239" s="243"/>
      <c r="OQL239" s="243"/>
      <c r="OQM239" s="243"/>
      <c r="OQN239" s="243"/>
      <c r="OQO239" s="243"/>
      <c r="OQP239" s="243"/>
      <c r="OQQ239" s="243"/>
      <c r="OQR239" s="243"/>
      <c r="OQS239" s="243"/>
      <c r="OQT239" s="243"/>
      <c r="OQU239" s="243"/>
      <c r="OQV239" s="243"/>
      <c r="OQW239" s="243"/>
      <c r="OQX239" s="243"/>
      <c r="OQY239" s="243"/>
      <c r="OQZ239" s="243"/>
      <c r="ORA239" s="243"/>
      <c r="ORB239" s="243"/>
      <c r="ORC239" s="243"/>
      <c r="ORD239" s="243"/>
      <c r="ORE239" s="243"/>
      <c r="ORF239" s="243"/>
      <c r="ORG239" s="243"/>
      <c r="ORH239" s="243"/>
      <c r="ORI239" s="243"/>
      <c r="ORJ239" s="243"/>
      <c r="ORK239" s="243"/>
      <c r="ORL239" s="243"/>
      <c r="ORM239" s="243"/>
      <c r="ORN239" s="243"/>
      <c r="ORO239" s="243"/>
      <c r="ORP239" s="243"/>
      <c r="ORQ239" s="243"/>
      <c r="ORR239" s="243"/>
      <c r="ORS239" s="243"/>
      <c r="ORT239" s="243"/>
      <c r="ORU239" s="243"/>
      <c r="ORV239" s="243"/>
      <c r="ORW239" s="243"/>
      <c r="ORX239" s="243"/>
      <c r="ORY239" s="243"/>
      <c r="ORZ239" s="243"/>
      <c r="OSA239" s="243"/>
      <c r="OSB239" s="243"/>
      <c r="OSC239" s="243"/>
      <c r="OSD239" s="243"/>
      <c r="OSE239" s="243"/>
      <c r="OSF239" s="243"/>
      <c r="OSG239" s="243"/>
      <c r="OSH239" s="243"/>
      <c r="OSI239" s="243"/>
      <c r="OSJ239" s="243"/>
      <c r="OSK239" s="243"/>
      <c r="OSL239" s="243"/>
      <c r="OSM239" s="243"/>
      <c r="OSN239" s="243"/>
      <c r="OSO239" s="243"/>
      <c r="OSP239" s="243"/>
      <c r="OSQ239" s="243"/>
      <c r="OSR239" s="243"/>
      <c r="OSS239" s="243"/>
      <c r="OST239" s="243"/>
      <c r="OSU239" s="243"/>
      <c r="OSV239" s="243"/>
      <c r="OSW239" s="243"/>
      <c r="OSX239" s="243"/>
      <c r="OSY239" s="243"/>
      <c r="OSZ239" s="243"/>
      <c r="OTA239" s="243"/>
      <c r="OTB239" s="243"/>
      <c r="OTC239" s="243"/>
      <c r="OTD239" s="243"/>
      <c r="OTE239" s="243"/>
      <c r="OTF239" s="243"/>
      <c r="OTG239" s="243"/>
      <c r="OTH239" s="243"/>
      <c r="OTI239" s="243"/>
      <c r="OTJ239" s="243"/>
      <c r="OTK239" s="243"/>
      <c r="OTL239" s="243"/>
      <c r="OTM239" s="243"/>
      <c r="OTN239" s="243"/>
      <c r="OTO239" s="243"/>
      <c r="OTP239" s="243"/>
      <c r="OTQ239" s="243"/>
      <c r="OTR239" s="243"/>
      <c r="OTS239" s="243"/>
      <c r="OTT239" s="243"/>
      <c r="OTU239" s="243"/>
      <c r="OTV239" s="243"/>
      <c r="OTW239" s="243"/>
      <c r="OTX239" s="243"/>
      <c r="OTY239" s="243"/>
      <c r="OTZ239" s="243"/>
      <c r="OUA239" s="243"/>
      <c r="OUB239" s="243"/>
      <c r="OUC239" s="243"/>
      <c r="OUD239" s="243"/>
      <c r="OUE239" s="243"/>
      <c r="OUF239" s="243"/>
      <c r="OUG239" s="243"/>
      <c r="OUH239" s="243"/>
      <c r="OUI239" s="243"/>
      <c r="OUJ239" s="243"/>
      <c r="OUK239" s="243"/>
      <c r="OUL239" s="243"/>
      <c r="OUM239" s="243"/>
      <c r="OUN239" s="243"/>
      <c r="OUO239" s="243"/>
      <c r="OUP239" s="243"/>
      <c r="OUQ239" s="243"/>
      <c r="OUR239" s="243"/>
      <c r="OUS239" s="243"/>
      <c r="OUT239" s="243"/>
      <c r="OUU239" s="243"/>
      <c r="OUV239" s="243"/>
      <c r="OUW239" s="243"/>
      <c r="OUX239" s="243"/>
      <c r="OUY239" s="243"/>
      <c r="OUZ239" s="243"/>
      <c r="OVA239" s="243"/>
      <c r="OVB239" s="243"/>
      <c r="OVC239" s="243"/>
      <c r="OVD239" s="243"/>
      <c r="OVE239" s="243"/>
      <c r="OVF239" s="243"/>
      <c r="OVG239" s="243"/>
      <c r="OVH239" s="243"/>
      <c r="OVI239" s="243"/>
      <c r="OVJ239" s="243"/>
      <c r="OVK239" s="243"/>
      <c r="OVL239" s="243"/>
      <c r="OVM239" s="243"/>
      <c r="OVN239" s="243"/>
      <c r="OVO239" s="243"/>
      <c r="OVP239" s="243"/>
      <c r="OVQ239" s="243"/>
      <c r="OVR239" s="243"/>
      <c r="OVS239" s="243"/>
      <c r="OVT239" s="243"/>
      <c r="OVU239" s="243"/>
      <c r="OVV239" s="243"/>
      <c r="OVW239" s="243"/>
      <c r="OVX239" s="243"/>
      <c r="OVY239" s="243"/>
      <c r="OVZ239" s="243"/>
      <c r="OWA239" s="243"/>
      <c r="OWB239" s="243"/>
      <c r="OWC239" s="243"/>
      <c r="OWD239" s="243"/>
      <c r="OWE239" s="243"/>
      <c r="OWF239" s="243"/>
      <c r="OWG239" s="243"/>
      <c r="OWH239" s="243"/>
      <c r="OWI239" s="243"/>
      <c r="OWJ239" s="243"/>
      <c r="OWK239" s="243"/>
      <c r="OWL239" s="243"/>
      <c r="OWM239" s="243"/>
      <c r="OWN239" s="243"/>
      <c r="OWO239" s="243"/>
      <c r="OWP239" s="243"/>
      <c r="OWQ239" s="243"/>
      <c r="OWR239" s="243"/>
      <c r="OWS239" s="243"/>
      <c r="OWT239" s="243"/>
      <c r="OWU239" s="243"/>
      <c r="OWV239" s="243"/>
      <c r="OWW239" s="243"/>
      <c r="OWX239" s="243"/>
      <c r="OWY239" s="243"/>
      <c r="OWZ239" s="243"/>
      <c r="OXA239" s="243"/>
      <c r="OXB239" s="243"/>
      <c r="OXC239" s="243"/>
      <c r="OXD239" s="243"/>
      <c r="OXE239" s="243"/>
      <c r="OXF239" s="243"/>
      <c r="OXG239" s="243"/>
      <c r="OXH239" s="243"/>
      <c r="OXI239" s="243"/>
      <c r="OXJ239" s="243"/>
      <c r="OXK239" s="243"/>
      <c r="OXL239" s="243"/>
      <c r="OXM239" s="243"/>
      <c r="OXN239" s="243"/>
      <c r="OXO239" s="243"/>
      <c r="OXP239" s="243"/>
      <c r="OXQ239" s="243"/>
      <c r="OXR239" s="243"/>
      <c r="OXS239" s="243"/>
      <c r="OXT239" s="243"/>
      <c r="OXU239" s="243"/>
      <c r="OXV239" s="243"/>
      <c r="OXW239" s="243"/>
      <c r="OXX239" s="243"/>
      <c r="OXY239" s="243"/>
      <c r="OXZ239" s="243"/>
      <c r="OYA239" s="243"/>
      <c r="OYB239" s="243"/>
      <c r="OYC239" s="243"/>
      <c r="OYD239" s="243"/>
      <c r="OYE239" s="243"/>
      <c r="OYF239" s="243"/>
      <c r="OYG239" s="243"/>
      <c r="OYH239" s="243"/>
      <c r="OYI239" s="243"/>
      <c r="OYJ239" s="243"/>
      <c r="OYK239" s="243"/>
      <c r="OYL239" s="243"/>
      <c r="OYM239" s="243"/>
      <c r="OYN239" s="243"/>
      <c r="OYO239" s="243"/>
      <c r="OYP239" s="243"/>
      <c r="OYQ239" s="243"/>
      <c r="OYR239" s="243"/>
      <c r="OYS239" s="243"/>
      <c r="OYT239" s="243"/>
      <c r="OYU239" s="243"/>
      <c r="OYV239" s="243"/>
      <c r="OYW239" s="243"/>
      <c r="OYX239" s="243"/>
      <c r="OYY239" s="243"/>
      <c r="OYZ239" s="243"/>
      <c r="OZA239" s="243"/>
      <c r="OZB239" s="243"/>
      <c r="OZC239" s="243"/>
      <c r="OZD239" s="243"/>
      <c r="OZE239" s="243"/>
      <c r="OZF239" s="243"/>
      <c r="OZG239" s="243"/>
      <c r="OZH239" s="243"/>
      <c r="OZI239" s="243"/>
      <c r="OZJ239" s="243"/>
      <c r="OZK239" s="243"/>
      <c r="OZL239" s="243"/>
      <c r="OZM239" s="243"/>
      <c r="OZN239" s="243"/>
      <c r="OZO239" s="243"/>
      <c r="OZP239" s="243"/>
      <c r="OZQ239" s="243"/>
      <c r="OZR239" s="243"/>
      <c r="OZS239" s="243"/>
      <c r="OZT239" s="243"/>
      <c r="OZU239" s="243"/>
      <c r="OZV239" s="243"/>
      <c r="OZW239" s="243"/>
      <c r="OZX239" s="243"/>
      <c r="OZY239" s="243"/>
      <c r="OZZ239" s="243"/>
      <c r="PAA239" s="243"/>
      <c r="PAB239" s="243"/>
      <c r="PAC239" s="243"/>
      <c r="PAD239" s="243"/>
      <c r="PAE239" s="243"/>
      <c r="PAF239" s="243"/>
      <c r="PAG239" s="243"/>
      <c r="PAH239" s="243"/>
      <c r="PAI239" s="243"/>
      <c r="PAJ239" s="243"/>
      <c r="PAK239" s="243"/>
      <c r="PAL239" s="243"/>
      <c r="PAM239" s="243"/>
      <c r="PAN239" s="243"/>
      <c r="PAO239" s="243"/>
      <c r="PAP239" s="243"/>
      <c r="PAQ239" s="243"/>
      <c r="PAR239" s="243"/>
      <c r="PAS239" s="243"/>
      <c r="PAT239" s="243"/>
      <c r="PAU239" s="243"/>
      <c r="PAV239" s="243"/>
      <c r="PAW239" s="243"/>
      <c r="PAX239" s="243"/>
      <c r="PAY239" s="243"/>
      <c r="PAZ239" s="243"/>
      <c r="PBA239" s="243"/>
      <c r="PBB239" s="243"/>
      <c r="PBC239" s="243"/>
      <c r="PBD239" s="243"/>
      <c r="PBE239" s="243"/>
      <c r="PBF239" s="243"/>
      <c r="PBG239" s="243"/>
      <c r="PBH239" s="243"/>
      <c r="PBI239" s="243"/>
      <c r="PBJ239" s="243"/>
      <c r="PBK239" s="243"/>
      <c r="PBL239" s="243"/>
      <c r="PBM239" s="243"/>
      <c r="PBN239" s="243"/>
      <c r="PBO239" s="243"/>
      <c r="PBP239" s="243"/>
      <c r="PBQ239" s="243"/>
      <c r="PBR239" s="243"/>
      <c r="PBS239" s="243"/>
      <c r="PBT239" s="243"/>
      <c r="PBU239" s="243"/>
      <c r="PBV239" s="243"/>
      <c r="PBW239" s="243"/>
      <c r="PBX239" s="243"/>
      <c r="PBY239" s="243"/>
      <c r="PBZ239" s="243"/>
      <c r="PCA239" s="243"/>
      <c r="PCB239" s="243"/>
      <c r="PCC239" s="243"/>
      <c r="PCD239" s="243"/>
      <c r="PCE239" s="243"/>
      <c r="PCF239" s="243"/>
      <c r="PCG239" s="243"/>
      <c r="PCH239" s="243"/>
      <c r="PCI239" s="243"/>
      <c r="PCJ239" s="243"/>
      <c r="PCK239" s="243"/>
      <c r="PCL239" s="243"/>
      <c r="PCM239" s="243"/>
      <c r="PCN239" s="243"/>
      <c r="PCO239" s="243"/>
      <c r="PCP239" s="243"/>
      <c r="PCQ239" s="243"/>
      <c r="PCR239" s="243"/>
      <c r="PCS239" s="243"/>
      <c r="PCT239" s="243"/>
      <c r="PCU239" s="243"/>
      <c r="PCV239" s="243"/>
      <c r="PCW239" s="243"/>
      <c r="PCX239" s="243"/>
      <c r="PCY239" s="243"/>
      <c r="PCZ239" s="243"/>
      <c r="PDA239" s="243"/>
      <c r="PDB239" s="243"/>
      <c r="PDC239" s="243"/>
      <c r="PDD239" s="243"/>
      <c r="PDE239" s="243"/>
      <c r="PDF239" s="243"/>
      <c r="PDG239" s="243"/>
      <c r="PDH239" s="243"/>
      <c r="PDI239" s="243"/>
      <c r="PDJ239" s="243"/>
      <c r="PDK239" s="243"/>
      <c r="PDL239" s="243"/>
      <c r="PDM239" s="243"/>
      <c r="PDN239" s="243"/>
      <c r="PDO239" s="243"/>
      <c r="PDP239" s="243"/>
      <c r="PDQ239" s="243"/>
      <c r="PDR239" s="243"/>
      <c r="PDS239" s="243"/>
      <c r="PDT239" s="243"/>
      <c r="PDU239" s="243"/>
      <c r="PDV239" s="243"/>
      <c r="PDW239" s="243"/>
      <c r="PDX239" s="243"/>
      <c r="PDY239" s="243"/>
      <c r="PDZ239" s="243"/>
      <c r="PEA239" s="243"/>
      <c r="PEB239" s="243"/>
      <c r="PEC239" s="243"/>
      <c r="PED239" s="243"/>
      <c r="PEE239" s="243"/>
      <c r="PEF239" s="243"/>
      <c r="PEG239" s="243"/>
      <c r="PEH239" s="243"/>
      <c r="PEI239" s="243"/>
      <c r="PEJ239" s="243"/>
      <c r="PEK239" s="243"/>
      <c r="PEL239" s="243"/>
      <c r="PEM239" s="243"/>
      <c r="PEN239" s="243"/>
      <c r="PEO239" s="243"/>
      <c r="PEP239" s="243"/>
      <c r="PEQ239" s="243"/>
      <c r="PER239" s="243"/>
      <c r="PES239" s="243"/>
      <c r="PET239" s="243"/>
      <c r="PEU239" s="243"/>
      <c r="PEV239" s="243"/>
      <c r="PEW239" s="243"/>
      <c r="PEX239" s="243"/>
      <c r="PEY239" s="243"/>
      <c r="PEZ239" s="243"/>
      <c r="PFA239" s="243"/>
      <c r="PFB239" s="243"/>
      <c r="PFC239" s="243"/>
      <c r="PFD239" s="243"/>
      <c r="PFE239" s="243"/>
      <c r="PFF239" s="243"/>
      <c r="PFG239" s="243"/>
      <c r="PFH239" s="243"/>
      <c r="PFI239" s="243"/>
      <c r="PFJ239" s="243"/>
      <c r="PFK239" s="243"/>
      <c r="PFL239" s="243"/>
      <c r="PFM239" s="243"/>
      <c r="PFN239" s="243"/>
      <c r="PFO239" s="243"/>
      <c r="PFP239" s="243"/>
      <c r="PFQ239" s="243"/>
      <c r="PFR239" s="243"/>
      <c r="PFS239" s="243"/>
      <c r="PFT239" s="243"/>
      <c r="PFU239" s="243"/>
      <c r="PFV239" s="243"/>
      <c r="PFW239" s="243"/>
      <c r="PFX239" s="243"/>
      <c r="PFY239" s="243"/>
      <c r="PFZ239" s="243"/>
      <c r="PGA239" s="243"/>
      <c r="PGB239" s="243"/>
      <c r="PGC239" s="243"/>
      <c r="PGD239" s="243"/>
      <c r="PGE239" s="243"/>
      <c r="PGF239" s="243"/>
      <c r="PGG239" s="243"/>
      <c r="PGH239" s="243"/>
      <c r="PGI239" s="243"/>
      <c r="PGJ239" s="243"/>
      <c r="PGK239" s="243"/>
      <c r="PGL239" s="243"/>
      <c r="PGM239" s="243"/>
      <c r="PGN239" s="243"/>
      <c r="PGO239" s="243"/>
      <c r="PGP239" s="243"/>
      <c r="PGQ239" s="243"/>
      <c r="PGR239" s="243"/>
      <c r="PGS239" s="243"/>
      <c r="PGT239" s="243"/>
      <c r="PGU239" s="243"/>
      <c r="PGV239" s="243"/>
      <c r="PGW239" s="243"/>
      <c r="PGX239" s="243"/>
      <c r="PGY239" s="243"/>
      <c r="PGZ239" s="243"/>
      <c r="PHA239" s="243"/>
      <c r="PHB239" s="243"/>
      <c r="PHC239" s="243"/>
      <c r="PHD239" s="243"/>
      <c r="PHE239" s="243"/>
      <c r="PHF239" s="243"/>
      <c r="PHG239" s="243"/>
      <c r="PHH239" s="243"/>
      <c r="PHI239" s="243"/>
      <c r="PHJ239" s="243"/>
      <c r="PHK239" s="243"/>
      <c r="PHL239" s="243"/>
      <c r="PHM239" s="243"/>
      <c r="PHN239" s="243"/>
      <c r="PHO239" s="243"/>
      <c r="PHP239" s="243"/>
      <c r="PHQ239" s="243"/>
      <c r="PHR239" s="243"/>
      <c r="PHS239" s="243"/>
      <c r="PHT239" s="243"/>
      <c r="PHU239" s="243"/>
      <c r="PHV239" s="243"/>
      <c r="PHW239" s="243"/>
      <c r="PHX239" s="243"/>
      <c r="PHY239" s="243"/>
      <c r="PHZ239" s="243"/>
      <c r="PIA239" s="243"/>
      <c r="PIB239" s="243"/>
      <c r="PIC239" s="243"/>
      <c r="PID239" s="243"/>
      <c r="PIE239" s="243"/>
      <c r="PIF239" s="243"/>
      <c r="PIG239" s="243"/>
      <c r="PIH239" s="243"/>
      <c r="PII239" s="243"/>
      <c r="PIJ239" s="243"/>
      <c r="PIK239" s="243"/>
      <c r="PIL239" s="243"/>
      <c r="PIM239" s="243"/>
      <c r="PIN239" s="243"/>
      <c r="PIO239" s="243"/>
      <c r="PIP239" s="243"/>
      <c r="PIQ239" s="243"/>
      <c r="PIR239" s="243"/>
      <c r="PIS239" s="243"/>
      <c r="PIT239" s="243"/>
      <c r="PIU239" s="243"/>
      <c r="PIV239" s="243"/>
      <c r="PIW239" s="243"/>
      <c r="PIX239" s="243"/>
      <c r="PIY239" s="243"/>
      <c r="PIZ239" s="243"/>
      <c r="PJA239" s="243"/>
      <c r="PJB239" s="243"/>
      <c r="PJC239" s="243"/>
      <c r="PJD239" s="243"/>
      <c r="PJE239" s="243"/>
      <c r="PJF239" s="243"/>
      <c r="PJG239" s="243"/>
      <c r="PJH239" s="243"/>
      <c r="PJI239" s="243"/>
      <c r="PJJ239" s="243"/>
      <c r="PJK239" s="243"/>
      <c r="PJL239" s="243"/>
      <c r="PJM239" s="243"/>
      <c r="PJN239" s="243"/>
      <c r="PJO239" s="243"/>
      <c r="PJP239" s="243"/>
      <c r="PJQ239" s="243"/>
      <c r="PJR239" s="243"/>
      <c r="PJS239" s="243"/>
      <c r="PJT239" s="243"/>
      <c r="PJU239" s="243"/>
      <c r="PJV239" s="243"/>
      <c r="PJW239" s="243"/>
      <c r="PJX239" s="243"/>
      <c r="PJY239" s="243"/>
      <c r="PJZ239" s="243"/>
      <c r="PKA239" s="243"/>
      <c r="PKB239" s="243"/>
      <c r="PKC239" s="243"/>
      <c r="PKD239" s="243"/>
      <c r="PKE239" s="243"/>
      <c r="PKF239" s="243"/>
      <c r="PKG239" s="243"/>
      <c r="PKH239" s="243"/>
      <c r="PKI239" s="243"/>
      <c r="PKJ239" s="243"/>
      <c r="PKK239" s="243"/>
      <c r="PKL239" s="243"/>
      <c r="PKM239" s="243"/>
      <c r="PKN239" s="243"/>
      <c r="PKO239" s="243"/>
      <c r="PKP239" s="243"/>
      <c r="PKQ239" s="243"/>
      <c r="PKR239" s="243"/>
      <c r="PKS239" s="243"/>
      <c r="PKT239" s="243"/>
      <c r="PKU239" s="243"/>
      <c r="PKV239" s="243"/>
      <c r="PKW239" s="243"/>
      <c r="PKX239" s="243"/>
      <c r="PKY239" s="243"/>
      <c r="PKZ239" s="243"/>
      <c r="PLA239" s="243"/>
      <c r="PLB239" s="243"/>
      <c r="PLC239" s="243"/>
      <c r="PLD239" s="243"/>
      <c r="PLE239" s="243"/>
      <c r="PLF239" s="243"/>
      <c r="PLG239" s="243"/>
      <c r="PLH239" s="243"/>
      <c r="PLI239" s="243"/>
      <c r="PLJ239" s="243"/>
      <c r="PLK239" s="243"/>
      <c r="PLL239" s="243"/>
      <c r="PLM239" s="243"/>
      <c r="PLN239" s="243"/>
      <c r="PLO239" s="243"/>
      <c r="PLP239" s="243"/>
      <c r="PLQ239" s="243"/>
      <c r="PLR239" s="243"/>
      <c r="PLS239" s="243"/>
      <c r="PLT239" s="243"/>
      <c r="PLU239" s="243"/>
      <c r="PLV239" s="243"/>
      <c r="PLW239" s="243"/>
      <c r="PLX239" s="243"/>
      <c r="PLY239" s="243"/>
      <c r="PLZ239" s="243"/>
      <c r="PMA239" s="243"/>
      <c r="PMB239" s="243"/>
      <c r="PMC239" s="243"/>
      <c r="PMD239" s="243"/>
      <c r="PME239" s="243"/>
      <c r="PMF239" s="243"/>
      <c r="PMG239" s="243"/>
      <c r="PMH239" s="243"/>
      <c r="PMI239" s="243"/>
      <c r="PMJ239" s="243"/>
      <c r="PMK239" s="243"/>
      <c r="PML239" s="243"/>
      <c r="PMM239" s="243"/>
      <c r="PMN239" s="243"/>
      <c r="PMO239" s="243"/>
      <c r="PMP239" s="243"/>
      <c r="PMQ239" s="243"/>
      <c r="PMR239" s="243"/>
      <c r="PMS239" s="243"/>
      <c r="PMT239" s="243"/>
      <c r="PMU239" s="243"/>
      <c r="PMV239" s="243"/>
      <c r="PMW239" s="243"/>
      <c r="PMX239" s="243"/>
      <c r="PMY239" s="243"/>
      <c r="PMZ239" s="243"/>
      <c r="PNA239" s="243"/>
      <c r="PNB239" s="243"/>
      <c r="PNC239" s="243"/>
      <c r="PND239" s="243"/>
      <c r="PNE239" s="243"/>
      <c r="PNF239" s="243"/>
      <c r="PNG239" s="243"/>
      <c r="PNH239" s="243"/>
      <c r="PNI239" s="243"/>
      <c r="PNJ239" s="243"/>
      <c r="PNK239" s="243"/>
      <c r="PNL239" s="243"/>
      <c r="PNM239" s="243"/>
      <c r="PNN239" s="243"/>
      <c r="PNO239" s="243"/>
      <c r="PNP239" s="243"/>
      <c r="PNQ239" s="243"/>
      <c r="PNR239" s="243"/>
      <c r="PNS239" s="243"/>
      <c r="PNT239" s="243"/>
      <c r="PNU239" s="243"/>
      <c r="PNV239" s="243"/>
      <c r="PNW239" s="243"/>
      <c r="PNX239" s="243"/>
      <c r="PNY239" s="243"/>
      <c r="PNZ239" s="243"/>
      <c r="POA239" s="243"/>
      <c r="POB239" s="243"/>
      <c r="POC239" s="243"/>
      <c r="POD239" s="243"/>
      <c r="POE239" s="243"/>
      <c r="POF239" s="243"/>
      <c r="POG239" s="243"/>
      <c r="POH239" s="243"/>
      <c r="POI239" s="243"/>
      <c r="POJ239" s="243"/>
      <c r="POK239" s="243"/>
      <c r="POL239" s="243"/>
      <c r="POM239" s="243"/>
      <c r="PON239" s="243"/>
      <c r="POO239" s="243"/>
      <c r="POP239" s="243"/>
      <c r="POQ239" s="243"/>
      <c r="POR239" s="243"/>
      <c r="POS239" s="243"/>
      <c r="POT239" s="243"/>
      <c r="POU239" s="243"/>
      <c r="POV239" s="243"/>
      <c r="POW239" s="243"/>
      <c r="POX239" s="243"/>
      <c r="POY239" s="243"/>
      <c r="POZ239" s="243"/>
      <c r="PPA239" s="243"/>
      <c r="PPB239" s="243"/>
      <c r="PPC239" s="243"/>
      <c r="PPD239" s="243"/>
      <c r="PPE239" s="243"/>
      <c r="PPF239" s="243"/>
      <c r="PPG239" s="243"/>
      <c r="PPH239" s="243"/>
      <c r="PPI239" s="243"/>
      <c r="PPJ239" s="243"/>
      <c r="PPK239" s="243"/>
      <c r="PPL239" s="243"/>
      <c r="PPM239" s="243"/>
      <c r="PPN239" s="243"/>
      <c r="PPO239" s="243"/>
      <c r="PPP239" s="243"/>
      <c r="PPQ239" s="243"/>
      <c r="PPR239" s="243"/>
      <c r="PPS239" s="243"/>
      <c r="PPT239" s="243"/>
      <c r="PPU239" s="243"/>
      <c r="PPV239" s="243"/>
      <c r="PPW239" s="243"/>
      <c r="PPX239" s="243"/>
      <c r="PPY239" s="243"/>
      <c r="PPZ239" s="243"/>
      <c r="PQA239" s="243"/>
      <c r="PQB239" s="243"/>
      <c r="PQC239" s="243"/>
      <c r="PQD239" s="243"/>
      <c r="PQE239" s="243"/>
      <c r="PQF239" s="243"/>
      <c r="PQG239" s="243"/>
      <c r="PQH239" s="243"/>
      <c r="PQI239" s="243"/>
      <c r="PQJ239" s="243"/>
      <c r="PQK239" s="243"/>
      <c r="PQL239" s="243"/>
      <c r="PQM239" s="243"/>
      <c r="PQN239" s="243"/>
      <c r="PQO239" s="243"/>
      <c r="PQP239" s="243"/>
      <c r="PQQ239" s="243"/>
      <c r="PQR239" s="243"/>
      <c r="PQS239" s="243"/>
      <c r="PQT239" s="243"/>
      <c r="PQU239" s="243"/>
      <c r="PQV239" s="243"/>
      <c r="PQW239" s="243"/>
      <c r="PQX239" s="243"/>
      <c r="PQY239" s="243"/>
      <c r="PQZ239" s="243"/>
      <c r="PRA239" s="243"/>
      <c r="PRB239" s="243"/>
      <c r="PRC239" s="243"/>
      <c r="PRD239" s="243"/>
      <c r="PRE239" s="243"/>
      <c r="PRF239" s="243"/>
      <c r="PRG239" s="243"/>
      <c r="PRH239" s="243"/>
      <c r="PRI239" s="243"/>
      <c r="PRJ239" s="243"/>
      <c r="PRK239" s="243"/>
      <c r="PRL239" s="243"/>
      <c r="PRM239" s="243"/>
      <c r="PRN239" s="243"/>
      <c r="PRO239" s="243"/>
      <c r="PRP239" s="243"/>
      <c r="PRQ239" s="243"/>
      <c r="PRR239" s="243"/>
      <c r="PRS239" s="243"/>
      <c r="PRT239" s="243"/>
      <c r="PRU239" s="243"/>
      <c r="PRV239" s="243"/>
      <c r="PRW239" s="243"/>
      <c r="PRX239" s="243"/>
      <c r="PRY239" s="243"/>
      <c r="PRZ239" s="243"/>
      <c r="PSA239" s="243"/>
      <c r="PSB239" s="243"/>
      <c r="PSC239" s="243"/>
      <c r="PSD239" s="243"/>
      <c r="PSE239" s="243"/>
      <c r="PSF239" s="243"/>
      <c r="PSG239" s="243"/>
      <c r="PSH239" s="243"/>
      <c r="PSI239" s="243"/>
      <c r="PSJ239" s="243"/>
      <c r="PSK239" s="243"/>
      <c r="PSL239" s="243"/>
      <c r="PSM239" s="243"/>
      <c r="PSN239" s="243"/>
      <c r="PSO239" s="243"/>
      <c r="PSP239" s="243"/>
      <c r="PSQ239" s="243"/>
      <c r="PSR239" s="243"/>
      <c r="PSS239" s="243"/>
      <c r="PST239" s="243"/>
      <c r="PSU239" s="243"/>
      <c r="PSV239" s="243"/>
      <c r="PSW239" s="243"/>
      <c r="PSX239" s="243"/>
      <c r="PSY239" s="243"/>
      <c r="PSZ239" s="243"/>
      <c r="PTA239" s="243"/>
      <c r="PTB239" s="243"/>
      <c r="PTC239" s="243"/>
      <c r="PTD239" s="243"/>
      <c r="PTE239" s="243"/>
      <c r="PTF239" s="243"/>
      <c r="PTG239" s="243"/>
      <c r="PTH239" s="243"/>
      <c r="PTI239" s="243"/>
      <c r="PTJ239" s="243"/>
      <c r="PTK239" s="243"/>
      <c r="PTL239" s="243"/>
      <c r="PTM239" s="243"/>
      <c r="PTN239" s="243"/>
      <c r="PTO239" s="243"/>
      <c r="PTP239" s="243"/>
      <c r="PTQ239" s="243"/>
      <c r="PTR239" s="243"/>
      <c r="PTS239" s="243"/>
      <c r="PTT239" s="243"/>
      <c r="PTU239" s="243"/>
      <c r="PTV239" s="243"/>
      <c r="PTW239" s="243"/>
      <c r="PTX239" s="243"/>
      <c r="PTY239" s="243"/>
      <c r="PTZ239" s="243"/>
      <c r="PUA239" s="243"/>
      <c r="PUB239" s="243"/>
      <c r="PUC239" s="243"/>
      <c r="PUD239" s="243"/>
      <c r="PUE239" s="243"/>
      <c r="PUF239" s="243"/>
      <c r="PUG239" s="243"/>
      <c r="PUH239" s="243"/>
      <c r="PUI239" s="243"/>
      <c r="PUJ239" s="243"/>
      <c r="PUK239" s="243"/>
      <c r="PUL239" s="243"/>
      <c r="PUM239" s="243"/>
      <c r="PUN239" s="243"/>
      <c r="PUO239" s="243"/>
      <c r="PUP239" s="243"/>
      <c r="PUQ239" s="243"/>
      <c r="PUR239" s="243"/>
      <c r="PUS239" s="243"/>
      <c r="PUT239" s="243"/>
      <c r="PUU239" s="243"/>
      <c r="PUV239" s="243"/>
      <c r="PUW239" s="243"/>
      <c r="PUX239" s="243"/>
      <c r="PUY239" s="243"/>
      <c r="PUZ239" s="243"/>
      <c r="PVA239" s="243"/>
      <c r="PVB239" s="243"/>
      <c r="PVC239" s="243"/>
      <c r="PVD239" s="243"/>
      <c r="PVE239" s="243"/>
      <c r="PVF239" s="243"/>
      <c r="PVG239" s="243"/>
      <c r="PVH239" s="243"/>
      <c r="PVI239" s="243"/>
      <c r="PVJ239" s="243"/>
      <c r="PVK239" s="243"/>
      <c r="PVL239" s="243"/>
      <c r="PVM239" s="243"/>
      <c r="PVN239" s="243"/>
      <c r="PVO239" s="243"/>
      <c r="PVP239" s="243"/>
      <c r="PVQ239" s="243"/>
      <c r="PVR239" s="243"/>
      <c r="PVS239" s="243"/>
      <c r="PVT239" s="243"/>
      <c r="PVU239" s="243"/>
      <c r="PVV239" s="243"/>
      <c r="PVW239" s="243"/>
      <c r="PVX239" s="243"/>
      <c r="PVY239" s="243"/>
      <c r="PVZ239" s="243"/>
      <c r="PWA239" s="243"/>
      <c r="PWB239" s="243"/>
      <c r="PWC239" s="243"/>
      <c r="PWD239" s="243"/>
      <c r="PWE239" s="243"/>
      <c r="PWF239" s="243"/>
      <c r="PWG239" s="243"/>
      <c r="PWH239" s="243"/>
      <c r="PWI239" s="243"/>
      <c r="PWJ239" s="243"/>
      <c r="PWK239" s="243"/>
      <c r="PWL239" s="243"/>
      <c r="PWM239" s="243"/>
      <c r="PWN239" s="243"/>
      <c r="PWO239" s="243"/>
      <c r="PWP239" s="243"/>
      <c r="PWQ239" s="243"/>
      <c r="PWR239" s="243"/>
      <c r="PWS239" s="243"/>
      <c r="PWT239" s="243"/>
      <c r="PWU239" s="243"/>
      <c r="PWV239" s="243"/>
      <c r="PWW239" s="243"/>
      <c r="PWX239" s="243"/>
      <c r="PWY239" s="243"/>
      <c r="PWZ239" s="243"/>
      <c r="PXA239" s="243"/>
      <c r="PXB239" s="243"/>
      <c r="PXC239" s="243"/>
      <c r="PXD239" s="243"/>
      <c r="PXE239" s="243"/>
      <c r="PXF239" s="243"/>
      <c r="PXG239" s="243"/>
      <c r="PXH239" s="243"/>
      <c r="PXI239" s="243"/>
      <c r="PXJ239" s="243"/>
      <c r="PXK239" s="243"/>
      <c r="PXL239" s="243"/>
      <c r="PXM239" s="243"/>
      <c r="PXN239" s="243"/>
      <c r="PXO239" s="243"/>
      <c r="PXP239" s="243"/>
      <c r="PXQ239" s="243"/>
      <c r="PXR239" s="243"/>
      <c r="PXS239" s="243"/>
      <c r="PXT239" s="243"/>
      <c r="PXU239" s="243"/>
      <c r="PXV239" s="243"/>
      <c r="PXW239" s="243"/>
      <c r="PXX239" s="243"/>
      <c r="PXY239" s="243"/>
      <c r="PXZ239" s="243"/>
      <c r="PYA239" s="243"/>
      <c r="PYB239" s="243"/>
      <c r="PYC239" s="243"/>
      <c r="PYD239" s="243"/>
      <c r="PYE239" s="243"/>
      <c r="PYF239" s="243"/>
      <c r="PYG239" s="243"/>
      <c r="PYH239" s="243"/>
      <c r="PYI239" s="243"/>
      <c r="PYJ239" s="243"/>
      <c r="PYK239" s="243"/>
      <c r="PYL239" s="243"/>
      <c r="PYM239" s="243"/>
      <c r="PYN239" s="243"/>
      <c r="PYO239" s="243"/>
      <c r="PYP239" s="243"/>
      <c r="PYQ239" s="243"/>
      <c r="PYR239" s="243"/>
      <c r="PYS239" s="243"/>
      <c r="PYT239" s="243"/>
      <c r="PYU239" s="243"/>
      <c r="PYV239" s="243"/>
      <c r="PYW239" s="243"/>
      <c r="PYX239" s="243"/>
      <c r="PYY239" s="243"/>
      <c r="PYZ239" s="243"/>
      <c r="PZA239" s="243"/>
      <c r="PZB239" s="243"/>
      <c r="PZC239" s="243"/>
      <c r="PZD239" s="243"/>
      <c r="PZE239" s="243"/>
      <c r="PZF239" s="243"/>
      <c r="PZG239" s="243"/>
      <c r="PZH239" s="243"/>
      <c r="PZI239" s="243"/>
      <c r="PZJ239" s="243"/>
      <c r="PZK239" s="243"/>
      <c r="PZL239" s="243"/>
      <c r="PZM239" s="243"/>
      <c r="PZN239" s="243"/>
      <c r="PZO239" s="243"/>
      <c r="PZP239" s="243"/>
      <c r="PZQ239" s="243"/>
      <c r="PZR239" s="243"/>
      <c r="PZS239" s="243"/>
      <c r="PZT239" s="243"/>
      <c r="PZU239" s="243"/>
      <c r="PZV239" s="243"/>
      <c r="PZW239" s="243"/>
      <c r="PZX239" s="243"/>
      <c r="PZY239" s="243"/>
      <c r="PZZ239" s="243"/>
      <c r="QAA239" s="243"/>
      <c r="QAB239" s="243"/>
      <c r="QAC239" s="243"/>
      <c r="QAD239" s="243"/>
      <c r="QAE239" s="243"/>
      <c r="QAF239" s="243"/>
      <c r="QAG239" s="243"/>
      <c r="QAH239" s="243"/>
      <c r="QAI239" s="243"/>
      <c r="QAJ239" s="243"/>
      <c r="QAK239" s="243"/>
      <c r="QAL239" s="243"/>
      <c r="QAM239" s="243"/>
      <c r="QAN239" s="243"/>
      <c r="QAO239" s="243"/>
      <c r="QAP239" s="243"/>
      <c r="QAQ239" s="243"/>
      <c r="QAR239" s="243"/>
      <c r="QAS239" s="243"/>
      <c r="QAT239" s="243"/>
      <c r="QAU239" s="243"/>
      <c r="QAV239" s="243"/>
      <c r="QAW239" s="243"/>
      <c r="QAX239" s="243"/>
      <c r="QAY239" s="243"/>
      <c r="QAZ239" s="243"/>
      <c r="QBA239" s="243"/>
      <c r="QBB239" s="243"/>
      <c r="QBC239" s="243"/>
      <c r="QBD239" s="243"/>
      <c r="QBE239" s="243"/>
      <c r="QBF239" s="243"/>
      <c r="QBG239" s="243"/>
      <c r="QBH239" s="243"/>
      <c r="QBI239" s="243"/>
      <c r="QBJ239" s="243"/>
      <c r="QBK239" s="243"/>
      <c r="QBL239" s="243"/>
      <c r="QBM239" s="243"/>
      <c r="QBN239" s="243"/>
      <c r="QBO239" s="243"/>
      <c r="QBP239" s="243"/>
      <c r="QBQ239" s="243"/>
      <c r="QBR239" s="243"/>
      <c r="QBS239" s="243"/>
      <c r="QBT239" s="243"/>
      <c r="QBU239" s="243"/>
      <c r="QBV239" s="243"/>
      <c r="QBW239" s="243"/>
      <c r="QBX239" s="243"/>
      <c r="QBY239" s="243"/>
      <c r="QBZ239" s="243"/>
      <c r="QCA239" s="243"/>
      <c r="QCB239" s="243"/>
      <c r="QCC239" s="243"/>
      <c r="QCD239" s="243"/>
      <c r="QCE239" s="243"/>
      <c r="QCF239" s="243"/>
      <c r="QCG239" s="243"/>
      <c r="QCH239" s="243"/>
      <c r="QCI239" s="243"/>
      <c r="QCJ239" s="243"/>
      <c r="QCK239" s="243"/>
      <c r="QCL239" s="243"/>
      <c r="QCM239" s="243"/>
      <c r="QCN239" s="243"/>
      <c r="QCO239" s="243"/>
      <c r="QCP239" s="243"/>
      <c r="QCQ239" s="243"/>
      <c r="QCR239" s="243"/>
      <c r="QCS239" s="243"/>
      <c r="QCT239" s="243"/>
      <c r="QCU239" s="243"/>
      <c r="QCV239" s="243"/>
      <c r="QCW239" s="243"/>
      <c r="QCX239" s="243"/>
      <c r="QCY239" s="243"/>
      <c r="QCZ239" s="243"/>
      <c r="QDA239" s="243"/>
      <c r="QDB239" s="243"/>
      <c r="QDC239" s="243"/>
      <c r="QDD239" s="243"/>
      <c r="QDE239" s="243"/>
      <c r="QDF239" s="243"/>
      <c r="QDG239" s="243"/>
      <c r="QDH239" s="243"/>
      <c r="QDI239" s="243"/>
      <c r="QDJ239" s="243"/>
      <c r="QDK239" s="243"/>
      <c r="QDL239" s="243"/>
      <c r="QDM239" s="243"/>
      <c r="QDN239" s="243"/>
      <c r="QDO239" s="243"/>
      <c r="QDP239" s="243"/>
      <c r="QDQ239" s="243"/>
      <c r="QDR239" s="243"/>
      <c r="QDS239" s="243"/>
      <c r="QDT239" s="243"/>
      <c r="QDU239" s="243"/>
      <c r="QDV239" s="243"/>
      <c r="QDW239" s="243"/>
      <c r="QDX239" s="243"/>
      <c r="QDY239" s="243"/>
      <c r="QDZ239" s="243"/>
      <c r="QEA239" s="243"/>
      <c r="QEB239" s="243"/>
      <c r="QEC239" s="243"/>
      <c r="QED239" s="243"/>
      <c r="QEE239" s="243"/>
      <c r="QEF239" s="243"/>
      <c r="QEG239" s="243"/>
      <c r="QEH239" s="243"/>
      <c r="QEI239" s="243"/>
      <c r="QEJ239" s="243"/>
      <c r="QEK239" s="243"/>
      <c r="QEL239" s="243"/>
      <c r="QEM239" s="243"/>
      <c r="QEN239" s="243"/>
      <c r="QEO239" s="243"/>
      <c r="QEP239" s="243"/>
      <c r="QEQ239" s="243"/>
      <c r="QER239" s="243"/>
      <c r="QES239" s="243"/>
      <c r="QET239" s="243"/>
      <c r="QEU239" s="243"/>
      <c r="QEV239" s="243"/>
      <c r="QEW239" s="243"/>
      <c r="QEX239" s="243"/>
      <c r="QEY239" s="243"/>
      <c r="QEZ239" s="243"/>
      <c r="QFA239" s="243"/>
      <c r="QFB239" s="243"/>
      <c r="QFC239" s="243"/>
      <c r="QFD239" s="243"/>
      <c r="QFE239" s="243"/>
      <c r="QFF239" s="243"/>
      <c r="QFG239" s="243"/>
      <c r="QFH239" s="243"/>
      <c r="QFI239" s="243"/>
      <c r="QFJ239" s="243"/>
      <c r="QFK239" s="243"/>
      <c r="QFL239" s="243"/>
      <c r="QFM239" s="243"/>
      <c r="QFN239" s="243"/>
      <c r="QFO239" s="243"/>
      <c r="QFP239" s="243"/>
      <c r="QFQ239" s="243"/>
      <c r="QFR239" s="243"/>
      <c r="QFS239" s="243"/>
      <c r="QFT239" s="243"/>
      <c r="QFU239" s="243"/>
      <c r="QFV239" s="243"/>
      <c r="QFW239" s="243"/>
      <c r="QFX239" s="243"/>
      <c r="QFY239" s="243"/>
      <c r="QFZ239" s="243"/>
      <c r="QGA239" s="243"/>
      <c r="QGB239" s="243"/>
      <c r="QGC239" s="243"/>
      <c r="QGD239" s="243"/>
      <c r="QGE239" s="243"/>
      <c r="QGF239" s="243"/>
      <c r="QGG239" s="243"/>
      <c r="QGH239" s="243"/>
      <c r="QGI239" s="243"/>
      <c r="QGJ239" s="243"/>
      <c r="QGK239" s="243"/>
      <c r="QGL239" s="243"/>
      <c r="QGM239" s="243"/>
      <c r="QGN239" s="243"/>
      <c r="QGO239" s="243"/>
      <c r="QGP239" s="243"/>
      <c r="QGQ239" s="243"/>
      <c r="QGR239" s="243"/>
      <c r="QGS239" s="243"/>
      <c r="QGT239" s="243"/>
      <c r="QGU239" s="243"/>
      <c r="QGV239" s="243"/>
      <c r="QGW239" s="243"/>
      <c r="QGX239" s="243"/>
      <c r="QGY239" s="243"/>
      <c r="QGZ239" s="243"/>
      <c r="QHA239" s="243"/>
      <c r="QHB239" s="243"/>
      <c r="QHC239" s="243"/>
      <c r="QHD239" s="243"/>
      <c r="QHE239" s="243"/>
      <c r="QHF239" s="243"/>
      <c r="QHG239" s="243"/>
      <c r="QHH239" s="243"/>
      <c r="QHI239" s="243"/>
      <c r="QHJ239" s="243"/>
      <c r="QHK239" s="243"/>
      <c r="QHL239" s="243"/>
      <c r="QHM239" s="243"/>
      <c r="QHN239" s="243"/>
      <c r="QHO239" s="243"/>
      <c r="QHP239" s="243"/>
      <c r="QHQ239" s="243"/>
      <c r="QHR239" s="243"/>
      <c r="QHS239" s="243"/>
      <c r="QHT239" s="243"/>
      <c r="QHU239" s="243"/>
      <c r="QHV239" s="243"/>
      <c r="QHW239" s="243"/>
      <c r="QHX239" s="243"/>
      <c r="QHY239" s="243"/>
      <c r="QHZ239" s="243"/>
      <c r="QIA239" s="243"/>
      <c r="QIB239" s="243"/>
      <c r="QIC239" s="243"/>
      <c r="QID239" s="243"/>
      <c r="QIE239" s="243"/>
      <c r="QIF239" s="243"/>
      <c r="QIG239" s="243"/>
      <c r="QIH239" s="243"/>
      <c r="QII239" s="243"/>
      <c r="QIJ239" s="243"/>
      <c r="QIK239" s="243"/>
      <c r="QIL239" s="243"/>
      <c r="QIM239" s="243"/>
      <c r="QIN239" s="243"/>
      <c r="QIO239" s="243"/>
      <c r="QIP239" s="243"/>
      <c r="QIQ239" s="243"/>
      <c r="QIR239" s="243"/>
      <c r="QIS239" s="243"/>
      <c r="QIT239" s="243"/>
      <c r="QIU239" s="243"/>
      <c r="QIV239" s="243"/>
      <c r="QIW239" s="243"/>
      <c r="QIX239" s="243"/>
      <c r="QIY239" s="243"/>
      <c r="QIZ239" s="243"/>
      <c r="QJA239" s="243"/>
      <c r="QJB239" s="243"/>
      <c r="QJC239" s="243"/>
      <c r="QJD239" s="243"/>
      <c r="QJE239" s="243"/>
      <c r="QJF239" s="243"/>
      <c r="QJG239" s="243"/>
      <c r="QJH239" s="243"/>
      <c r="QJI239" s="243"/>
      <c r="QJJ239" s="243"/>
      <c r="QJK239" s="243"/>
      <c r="QJL239" s="243"/>
      <c r="QJM239" s="243"/>
      <c r="QJN239" s="243"/>
      <c r="QJO239" s="243"/>
      <c r="QJP239" s="243"/>
      <c r="QJQ239" s="243"/>
      <c r="QJR239" s="243"/>
      <c r="QJS239" s="243"/>
      <c r="QJT239" s="243"/>
      <c r="QJU239" s="243"/>
      <c r="QJV239" s="243"/>
      <c r="QJW239" s="243"/>
      <c r="QJX239" s="243"/>
      <c r="QJY239" s="243"/>
      <c r="QJZ239" s="243"/>
      <c r="QKA239" s="243"/>
      <c r="QKB239" s="243"/>
      <c r="QKC239" s="243"/>
      <c r="QKD239" s="243"/>
      <c r="QKE239" s="243"/>
      <c r="QKF239" s="243"/>
      <c r="QKG239" s="243"/>
      <c r="QKH239" s="243"/>
      <c r="QKI239" s="243"/>
      <c r="QKJ239" s="243"/>
      <c r="QKK239" s="243"/>
      <c r="QKL239" s="243"/>
      <c r="QKM239" s="243"/>
      <c r="QKN239" s="243"/>
      <c r="QKO239" s="243"/>
      <c r="QKP239" s="243"/>
      <c r="QKQ239" s="243"/>
      <c r="QKR239" s="243"/>
      <c r="QKS239" s="243"/>
      <c r="QKT239" s="243"/>
      <c r="QKU239" s="243"/>
      <c r="QKV239" s="243"/>
      <c r="QKW239" s="243"/>
      <c r="QKX239" s="243"/>
      <c r="QKY239" s="243"/>
      <c r="QKZ239" s="243"/>
      <c r="QLA239" s="243"/>
      <c r="QLB239" s="243"/>
      <c r="QLC239" s="243"/>
      <c r="QLD239" s="243"/>
      <c r="QLE239" s="243"/>
      <c r="QLF239" s="243"/>
      <c r="QLG239" s="243"/>
      <c r="QLH239" s="243"/>
      <c r="QLI239" s="243"/>
      <c r="QLJ239" s="243"/>
      <c r="QLK239" s="243"/>
      <c r="QLL239" s="243"/>
      <c r="QLM239" s="243"/>
      <c r="QLN239" s="243"/>
      <c r="QLO239" s="243"/>
      <c r="QLP239" s="243"/>
      <c r="QLQ239" s="243"/>
      <c r="QLR239" s="243"/>
      <c r="QLS239" s="243"/>
      <c r="QLT239" s="243"/>
      <c r="QLU239" s="243"/>
      <c r="QLV239" s="243"/>
      <c r="QLW239" s="243"/>
      <c r="QLX239" s="243"/>
      <c r="QLY239" s="243"/>
      <c r="QLZ239" s="243"/>
      <c r="QMA239" s="243"/>
      <c r="QMB239" s="243"/>
      <c r="QMC239" s="243"/>
      <c r="QMD239" s="243"/>
      <c r="QME239" s="243"/>
      <c r="QMF239" s="243"/>
      <c r="QMG239" s="243"/>
      <c r="QMH239" s="243"/>
      <c r="QMI239" s="243"/>
      <c r="QMJ239" s="243"/>
      <c r="QMK239" s="243"/>
      <c r="QML239" s="243"/>
      <c r="QMM239" s="243"/>
      <c r="QMN239" s="243"/>
      <c r="QMO239" s="243"/>
      <c r="QMP239" s="243"/>
      <c r="QMQ239" s="243"/>
      <c r="QMR239" s="243"/>
      <c r="QMS239" s="243"/>
      <c r="QMT239" s="243"/>
      <c r="QMU239" s="243"/>
      <c r="QMV239" s="243"/>
      <c r="QMW239" s="243"/>
      <c r="QMX239" s="243"/>
      <c r="QMY239" s="243"/>
      <c r="QMZ239" s="243"/>
      <c r="QNA239" s="243"/>
      <c r="QNB239" s="243"/>
      <c r="QNC239" s="243"/>
      <c r="QND239" s="243"/>
      <c r="QNE239" s="243"/>
      <c r="QNF239" s="243"/>
      <c r="QNG239" s="243"/>
      <c r="QNH239" s="243"/>
      <c r="QNI239" s="243"/>
      <c r="QNJ239" s="243"/>
      <c r="QNK239" s="243"/>
      <c r="QNL239" s="243"/>
      <c r="QNM239" s="243"/>
      <c r="QNN239" s="243"/>
      <c r="QNO239" s="243"/>
      <c r="QNP239" s="243"/>
      <c r="QNQ239" s="243"/>
      <c r="QNR239" s="243"/>
      <c r="QNS239" s="243"/>
      <c r="QNT239" s="243"/>
      <c r="QNU239" s="243"/>
      <c r="QNV239" s="243"/>
      <c r="QNW239" s="243"/>
      <c r="QNX239" s="243"/>
      <c r="QNY239" s="243"/>
      <c r="QNZ239" s="243"/>
      <c r="QOA239" s="243"/>
      <c r="QOB239" s="243"/>
      <c r="QOC239" s="243"/>
      <c r="QOD239" s="243"/>
      <c r="QOE239" s="243"/>
      <c r="QOF239" s="243"/>
      <c r="QOG239" s="243"/>
      <c r="QOH239" s="243"/>
      <c r="QOI239" s="243"/>
      <c r="QOJ239" s="243"/>
      <c r="QOK239" s="243"/>
      <c r="QOL239" s="243"/>
      <c r="QOM239" s="243"/>
      <c r="QON239" s="243"/>
      <c r="QOO239" s="243"/>
      <c r="QOP239" s="243"/>
      <c r="QOQ239" s="243"/>
      <c r="QOR239" s="243"/>
      <c r="QOS239" s="243"/>
      <c r="QOT239" s="243"/>
      <c r="QOU239" s="243"/>
      <c r="QOV239" s="243"/>
      <c r="QOW239" s="243"/>
      <c r="QOX239" s="243"/>
      <c r="QOY239" s="243"/>
      <c r="QOZ239" s="243"/>
      <c r="QPA239" s="243"/>
      <c r="QPB239" s="243"/>
      <c r="QPC239" s="243"/>
      <c r="QPD239" s="243"/>
      <c r="QPE239" s="243"/>
      <c r="QPF239" s="243"/>
      <c r="QPG239" s="243"/>
      <c r="QPH239" s="243"/>
      <c r="QPI239" s="243"/>
      <c r="QPJ239" s="243"/>
      <c r="QPK239" s="243"/>
      <c r="QPL239" s="243"/>
      <c r="QPM239" s="243"/>
      <c r="QPN239" s="243"/>
      <c r="QPO239" s="243"/>
      <c r="QPP239" s="243"/>
      <c r="QPQ239" s="243"/>
      <c r="QPR239" s="243"/>
      <c r="QPS239" s="243"/>
      <c r="QPT239" s="243"/>
      <c r="QPU239" s="243"/>
      <c r="QPV239" s="243"/>
      <c r="QPW239" s="243"/>
      <c r="QPX239" s="243"/>
      <c r="QPY239" s="243"/>
      <c r="QPZ239" s="243"/>
      <c r="QQA239" s="243"/>
      <c r="QQB239" s="243"/>
      <c r="QQC239" s="243"/>
      <c r="QQD239" s="243"/>
      <c r="QQE239" s="243"/>
      <c r="QQF239" s="243"/>
      <c r="QQG239" s="243"/>
      <c r="QQH239" s="243"/>
      <c r="QQI239" s="243"/>
      <c r="QQJ239" s="243"/>
      <c r="QQK239" s="243"/>
      <c r="QQL239" s="243"/>
      <c r="QQM239" s="243"/>
      <c r="QQN239" s="243"/>
      <c r="QQO239" s="243"/>
      <c r="QQP239" s="243"/>
      <c r="QQQ239" s="243"/>
      <c r="QQR239" s="243"/>
      <c r="QQS239" s="243"/>
      <c r="QQT239" s="243"/>
      <c r="QQU239" s="243"/>
      <c r="QQV239" s="243"/>
      <c r="QQW239" s="243"/>
      <c r="QQX239" s="243"/>
      <c r="QQY239" s="243"/>
      <c r="QQZ239" s="243"/>
      <c r="QRA239" s="243"/>
      <c r="QRB239" s="243"/>
      <c r="QRC239" s="243"/>
      <c r="QRD239" s="243"/>
      <c r="QRE239" s="243"/>
      <c r="QRF239" s="243"/>
      <c r="QRG239" s="243"/>
      <c r="QRH239" s="243"/>
      <c r="QRI239" s="243"/>
      <c r="QRJ239" s="243"/>
      <c r="QRK239" s="243"/>
      <c r="QRL239" s="243"/>
      <c r="QRM239" s="243"/>
      <c r="QRN239" s="243"/>
      <c r="QRO239" s="243"/>
      <c r="QRP239" s="243"/>
      <c r="QRQ239" s="243"/>
      <c r="QRR239" s="243"/>
      <c r="QRS239" s="243"/>
      <c r="QRT239" s="243"/>
      <c r="QRU239" s="243"/>
      <c r="QRV239" s="243"/>
      <c r="QRW239" s="243"/>
      <c r="QRX239" s="243"/>
      <c r="QRY239" s="243"/>
      <c r="QRZ239" s="243"/>
      <c r="QSA239" s="243"/>
      <c r="QSB239" s="243"/>
      <c r="QSC239" s="243"/>
      <c r="QSD239" s="243"/>
      <c r="QSE239" s="243"/>
      <c r="QSF239" s="243"/>
      <c r="QSG239" s="243"/>
      <c r="QSH239" s="243"/>
      <c r="QSI239" s="243"/>
      <c r="QSJ239" s="243"/>
      <c r="QSK239" s="243"/>
      <c r="QSL239" s="243"/>
      <c r="QSM239" s="243"/>
      <c r="QSN239" s="243"/>
      <c r="QSO239" s="243"/>
      <c r="QSP239" s="243"/>
      <c r="QSQ239" s="243"/>
      <c r="QSR239" s="243"/>
      <c r="QSS239" s="243"/>
      <c r="QST239" s="243"/>
      <c r="QSU239" s="243"/>
      <c r="QSV239" s="243"/>
      <c r="QSW239" s="243"/>
      <c r="QSX239" s="243"/>
      <c r="QSY239" s="243"/>
      <c r="QSZ239" s="243"/>
      <c r="QTA239" s="243"/>
      <c r="QTB239" s="243"/>
      <c r="QTC239" s="243"/>
      <c r="QTD239" s="243"/>
      <c r="QTE239" s="243"/>
      <c r="QTF239" s="243"/>
      <c r="QTG239" s="243"/>
      <c r="QTH239" s="243"/>
      <c r="QTI239" s="243"/>
      <c r="QTJ239" s="243"/>
      <c r="QTK239" s="243"/>
      <c r="QTL239" s="243"/>
      <c r="QTM239" s="243"/>
      <c r="QTN239" s="243"/>
      <c r="QTO239" s="243"/>
      <c r="QTP239" s="243"/>
      <c r="QTQ239" s="243"/>
      <c r="QTR239" s="243"/>
      <c r="QTS239" s="243"/>
      <c r="QTT239" s="243"/>
      <c r="QTU239" s="243"/>
      <c r="QTV239" s="243"/>
      <c r="QTW239" s="243"/>
      <c r="QTX239" s="243"/>
      <c r="QTY239" s="243"/>
      <c r="QTZ239" s="243"/>
      <c r="QUA239" s="243"/>
      <c r="QUB239" s="243"/>
      <c r="QUC239" s="243"/>
      <c r="QUD239" s="243"/>
      <c r="QUE239" s="243"/>
      <c r="QUF239" s="243"/>
      <c r="QUG239" s="243"/>
      <c r="QUH239" s="243"/>
      <c r="QUI239" s="243"/>
      <c r="QUJ239" s="243"/>
      <c r="QUK239" s="243"/>
      <c r="QUL239" s="243"/>
      <c r="QUM239" s="243"/>
      <c r="QUN239" s="243"/>
      <c r="QUO239" s="243"/>
      <c r="QUP239" s="243"/>
      <c r="QUQ239" s="243"/>
      <c r="QUR239" s="243"/>
      <c r="QUS239" s="243"/>
      <c r="QUT239" s="243"/>
      <c r="QUU239" s="243"/>
      <c r="QUV239" s="243"/>
      <c r="QUW239" s="243"/>
      <c r="QUX239" s="243"/>
      <c r="QUY239" s="243"/>
      <c r="QUZ239" s="243"/>
      <c r="QVA239" s="243"/>
      <c r="QVB239" s="243"/>
      <c r="QVC239" s="243"/>
      <c r="QVD239" s="243"/>
      <c r="QVE239" s="243"/>
      <c r="QVF239" s="243"/>
      <c r="QVG239" s="243"/>
      <c r="QVH239" s="243"/>
      <c r="QVI239" s="243"/>
      <c r="QVJ239" s="243"/>
      <c r="QVK239" s="243"/>
      <c r="QVL239" s="243"/>
      <c r="QVM239" s="243"/>
      <c r="QVN239" s="243"/>
      <c r="QVO239" s="243"/>
      <c r="QVP239" s="243"/>
      <c r="QVQ239" s="243"/>
      <c r="QVR239" s="243"/>
      <c r="QVS239" s="243"/>
      <c r="QVT239" s="243"/>
      <c r="QVU239" s="243"/>
      <c r="QVV239" s="243"/>
      <c r="QVW239" s="243"/>
      <c r="QVX239" s="243"/>
      <c r="QVY239" s="243"/>
      <c r="QVZ239" s="243"/>
      <c r="QWA239" s="243"/>
      <c r="QWB239" s="243"/>
      <c r="QWC239" s="243"/>
      <c r="QWD239" s="243"/>
      <c r="QWE239" s="243"/>
      <c r="QWF239" s="243"/>
      <c r="QWG239" s="243"/>
      <c r="QWH239" s="243"/>
      <c r="QWI239" s="243"/>
      <c r="QWJ239" s="243"/>
      <c r="QWK239" s="243"/>
      <c r="QWL239" s="243"/>
      <c r="QWM239" s="243"/>
      <c r="QWN239" s="243"/>
      <c r="QWO239" s="243"/>
      <c r="QWP239" s="243"/>
      <c r="QWQ239" s="243"/>
      <c r="QWR239" s="243"/>
      <c r="QWS239" s="243"/>
      <c r="QWT239" s="243"/>
      <c r="QWU239" s="243"/>
      <c r="QWV239" s="243"/>
      <c r="QWW239" s="243"/>
      <c r="QWX239" s="243"/>
      <c r="QWY239" s="243"/>
      <c r="QWZ239" s="243"/>
      <c r="QXA239" s="243"/>
      <c r="QXB239" s="243"/>
      <c r="QXC239" s="243"/>
      <c r="QXD239" s="243"/>
      <c r="QXE239" s="243"/>
      <c r="QXF239" s="243"/>
      <c r="QXG239" s="243"/>
      <c r="QXH239" s="243"/>
      <c r="QXI239" s="243"/>
      <c r="QXJ239" s="243"/>
      <c r="QXK239" s="243"/>
      <c r="QXL239" s="243"/>
      <c r="QXM239" s="243"/>
      <c r="QXN239" s="243"/>
      <c r="QXO239" s="243"/>
      <c r="QXP239" s="243"/>
      <c r="QXQ239" s="243"/>
      <c r="QXR239" s="243"/>
      <c r="QXS239" s="243"/>
      <c r="QXT239" s="243"/>
      <c r="QXU239" s="243"/>
      <c r="QXV239" s="243"/>
      <c r="QXW239" s="243"/>
      <c r="QXX239" s="243"/>
      <c r="QXY239" s="243"/>
      <c r="QXZ239" s="243"/>
      <c r="QYA239" s="243"/>
      <c r="QYB239" s="243"/>
      <c r="QYC239" s="243"/>
      <c r="QYD239" s="243"/>
      <c r="QYE239" s="243"/>
      <c r="QYF239" s="243"/>
      <c r="QYG239" s="243"/>
      <c r="QYH239" s="243"/>
      <c r="QYI239" s="243"/>
      <c r="QYJ239" s="243"/>
      <c r="QYK239" s="243"/>
      <c r="QYL239" s="243"/>
      <c r="QYM239" s="243"/>
      <c r="QYN239" s="243"/>
      <c r="QYO239" s="243"/>
      <c r="QYP239" s="243"/>
      <c r="QYQ239" s="243"/>
      <c r="QYR239" s="243"/>
      <c r="QYS239" s="243"/>
      <c r="QYT239" s="243"/>
      <c r="QYU239" s="243"/>
      <c r="QYV239" s="243"/>
      <c r="QYW239" s="243"/>
      <c r="QYX239" s="243"/>
      <c r="QYY239" s="243"/>
      <c r="QYZ239" s="243"/>
      <c r="QZA239" s="243"/>
      <c r="QZB239" s="243"/>
      <c r="QZC239" s="243"/>
      <c r="QZD239" s="243"/>
      <c r="QZE239" s="243"/>
      <c r="QZF239" s="243"/>
      <c r="QZG239" s="243"/>
      <c r="QZH239" s="243"/>
      <c r="QZI239" s="243"/>
      <c r="QZJ239" s="243"/>
      <c r="QZK239" s="243"/>
      <c r="QZL239" s="243"/>
      <c r="QZM239" s="243"/>
      <c r="QZN239" s="243"/>
      <c r="QZO239" s="243"/>
      <c r="QZP239" s="243"/>
      <c r="QZQ239" s="243"/>
      <c r="QZR239" s="243"/>
      <c r="QZS239" s="243"/>
      <c r="QZT239" s="243"/>
      <c r="QZU239" s="243"/>
      <c r="QZV239" s="243"/>
      <c r="QZW239" s="243"/>
      <c r="QZX239" s="243"/>
      <c r="QZY239" s="243"/>
      <c r="QZZ239" s="243"/>
      <c r="RAA239" s="243"/>
      <c r="RAB239" s="243"/>
      <c r="RAC239" s="243"/>
      <c r="RAD239" s="243"/>
      <c r="RAE239" s="243"/>
      <c r="RAF239" s="243"/>
      <c r="RAG239" s="243"/>
      <c r="RAH239" s="243"/>
      <c r="RAI239" s="243"/>
      <c r="RAJ239" s="243"/>
      <c r="RAK239" s="243"/>
      <c r="RAL239" s="243"/>
      <c r="RAM239" s="243"/>
      <c r="RAN239" s="243"/>
      <c r="RAO239" s="243"/>
      <c r="RAP239" s="243"/>
      <c r="RAQ239" s="243"/>
      <c r="RAR239" s="243"/>
      <c r="RAS239" s="243"/>
      <c r="RAT239" s="243"/>
      <c r="RAU239" s="243"/>
      <c r="RAV239" s="243"/>
      <c r="RAW239" s="243"/>
      <c r="RAX239" s="243"/>
      <c r="RAY239" s="243"/>
      <c r="RAZ239" s="243"/>
      <c r="RBA239" s="243"/>
      <c r="RBB239" s="243"/>
      <c r="RBC239" s="243"/>
      <c r="RBD239" s="243"/>
      <c r="RBE239" s="243"/>
      <c r="RBF239" s="243"/>
      <c r="RBG239" s="243"/>
      <c r="RBH239" s="243"/>
      <c r="RBI239" s="243"/>
      <c r="RBJ239" s="243"/>
      <c r="RBK239" s="243"/>
      <c r="RBL239" s="243"/>
      <c r="RBM239" s="243"/>
      <c r="RBN239" s="243"/>
      <c r="RBO239" s="243"/>
      <c r="RBP239" s="243"/>
      <c r="RBQ239" s="243"/>
      <c r="RBR239" s="243"/>
      <c r="RBS239" s="243"/>
      <c r="RBT239" s="243"/>
      <c r="RBU239" s="243"/>
      <c r="RBV239" s="243"/>
      <c r="RBW239" s="243"/>
      <c r="RBX239" s="243"/>
      <c r="RBY239" s="243"/>
      <c r="RBZ239" s="243"/>
      <c r="RCA239" s="243"/>
      <c r="RCB239" s="243"/>
      <c r="RCC239" s="243"/>
      <c r="RCD239" s="243"/>
      <c r="RCE239" s="243"/>
      <c r="RCF239" s="243"/>
      <c r="RCG239" s="243"/>
      <c r="RCH239" s="243"/>
      <c r="RCI239" s="243"/>
      <c r="RCJ239" s="243"/>
      <c r="RCK239" s="243"/>
      <c r="RCL239" s="243"/>
      <c r="RCM239" s="243"/>
      <c r="RCN239" s="243"/>
      <c r="RCO239" s="243"/>
      <c r="RCP239" s="243"/>
      <c r="RCQ239" s="243"/>
      <c r="RCR239" s="243"/>
      <c r="RCS239" s="243"/>
      <c r="RCT239" s="243"/>
      <c r="RCU239" s="243"/>
      <c r="RCV239" s="243"/>
      <c r="RCW239" s="243"/>
      <c r="RCX239" s="243"/>
      <c r="RCY239" s="243"/>
      <c r="RCZ239" s="243"/>
      <c r="RDA239" s="243"/>
      <c r="RDB239" s="243"/>
      <c r="RDC239" s="243"/>
      <c r="RDD239" s="243"/>
      <c r="RDE239" s="243"/>
      <c r="RDF239" s="243"/>
      <c r="RDG239" s="243"/>
      <c r="RDH239" s="243"/>
      <c r="RDI239" s="243"/>
      <c r="RDJ239" s="243"/>
      <c r="RDK239" s="243"/>
      <c r="RDL239" s="243"/>
      <c r="RDM239" s="243"/>
      <c r="RDN239" s="243"/>
      <c r="RDO239" s="243"/>
      <c r="RDP239" s="243"/>
      <c r="RDQ239" s="243"/>
      <c r="RDR239" s="243"/>
      <c r="RDS239" s="243"/>
      <c r="RDT239" s="243"/>
      <c r="RDU239" s="243"/>
      <c r="RDV239" s="243"/>
      <c r="RDW239" s="243"/>
      <c r="RDX239" s="243"/>
      <c r="RDY239" s="243"/>
      <c r="RDZ239" s="243"/>
      <c r="REA239" s="243"/>
      <c r="REB239" s="243"/>
      <c r="REC239" s="243"/>
      <c r="RED239" s="243"/>
      <c r="REE239" s="243"/>
      <c r="REF239" s="243"/>
      <c r="REG239" s="243"/>
      <c r="REH239" s="243"/>
      <c r="REI239" s="243"/>
      <c r="REJ239" s="243"/>
      <c r="REK239" s="243"/>
      <c r="REL239" s="243"/>
      <c r="REM239" s="243"/>
      <c r="REN239" s="243"/>
      <c r="REO239" s="243"/>
      <c r="REP239" s="243"/>
      <c r="REQ239" s="243"/>
      <c r="RER239" s="243"/>
      <c r="RES239" s="243"/>
      <c r="RET239" s="243"/>
      <c r="REU239" s="243"/>
      <c r="REV239" s="243"/>
      <c r="REW239" s="243"/>
      <c r="REX239" s="243"/>
      <c r="REY239" s="243"/>
      <c r="REZ239" s="243"/>
      <c r="RFA239" s="243"/>
      <c r="RFB239" s="243"/>
      <c r="RFC239" s="243"/>
      <c r="RFD239" s="243"/>
      <c r="RFE239" s="243"/>
      <c r="RFF239" s="243"/>
      <c r="RFG239" s="243"/>
      <c r="RFH239" s="243"/>
      <c r="RFI239" s="243"/>
      <c r="RFJ239" s="243"/>
      <c r="RFK239" s="243"/>
      <c r="RFL239" s="243"/>
      <c r="RFM239" s="243"/>
      <c r="RFN239" s="243"/>
      <c r="RFO239" s="243"/>
      <c r="RFP239" s="243"/>
      <c r="RFQ239" s="243"/>
      <c r="RFR239" s="243"/>
      <c r="RFS239" s="243"/>
      <c r="RFT239" s="243"/>
      <c r="RFU239" s="243"/>
      <c r="RFV239" s="243"/>
      <c r="RFW239" s="243"/>
      <c r="RFX239" s="243"/>
      <c r="RFY239" s="243"/>
      <c r="RFZ239" s="243"/>
      <c r="RGA239" s="243"/>
      <c r="RGB239" s="243"/>
      <c r="RGC239" s="243"/>
      <c r="RGD239" s="243"/>
      <c r="RGE239" s="243"/>
      <c r="RGF239" s="243"/>
      <c r="RGG239" s="243"/>
      <c r="RGH239" s="243"/>
      <c r="RGI239" s="243"/>
      <c r="RGJ239" s="243"/>
      <c r="RGK239" s="243"/>
      <c r="RGL239" s="243"/>
      <c r="RGM239" s="243"/>
      <c r="RGN239" s="243"/>
      <c r="RGO239" s="243"/>
      <c r="RGP239" s="243"/>
      <c r="RGQ239" s="243"/>
      <c r="RGR239" s="243"/>
      <c r="RGS239" s="243"/>
      <c r="RGT239" s="243"/>
      <c r="RGU239" s="243"/>
      <c r="RGV239" s="243"/>
      <c r="RGW239" s="243"/>
      <c r="RGX239" s="243"/>
      <c r="RGY239" s="243"/>
      <c r="RGZ239" s="243"/>
      <c r="RHA239" s="243"/>
      <c r="RHB239" s="243"/>
      <c r="RHC239" s="243"/>
      <c r="RHD239" s="243"/>
      <c r="RHE239" s="243"/>
      <c r="RHF239" s="243"/>
      <c r="RHG239" s="243"/>
      <c r="RHH239" s="243"/>
      <c r="RHI239" s="243"/>
      <c r="RHJ239" s="243"/>
      <c r="RHK239" s="243"/>
      <c r="RHL239" s="243"/>
      <c r="RHM239" s="243"/>
      <c r="RHN239" s="243"/>
      <c r="RHO239" s="243"/>
      <c r="RHP239" s="243"/>
      <c r="RHQ239" s="243"/>
      <c r="RHR239" s="243"/>
      <c r="RHS239" s="243"/>
      <c r="RHT239" s="243"/>
      <c r="RHU239" s="243"/>
      <c r="RHV239" s="243"/>
      <c r="RHW239" s="243"/>
      <c r="RHX239" s="243"/>
      <c r="RHY239" s="243"/>
      <c r="RHZ239" s="243"/>
      <c r="RIA239" s="243"/>
      <c r="RIB239" s="243"/>
      <c r="RIC239" s="243"/>
      <c r="RID239" s="243"/>
      <c r="RIE239" s="243"/>
      <c r="RIF239" s="243"/>
      <c r="RIG239" s="243"/>
      <c r="RIH239" s="243"/>
      <c r="RII239" s="243"/>
      <c r="RIJ239" s="243"/>
      <c r="RIK239" s="243"/>
      <c r="RIL239" s="243"/>
      <c r="RIM239" s="243"/>
      <c r="RIN239" s="243"/>
      <c r="RIO239" s="243"/>
      <c r="RIP239" s="243"/>
      <c r="RIQ239" s="243"/>
      <c r="RIR239" s="243"/>
      <c r="RIS239" s="243"/>
      <c r="RIT239" s="243"/>
      <c r="RIU239" s="243"/>
      <c r="RIV239" s="243"/>
      <c r="RIW239" s="243"/>
      <c r="RIX239" s="243"/>
      <c r="RIY239" s="243"/>
      <c r="RIZ239" s="243"/>
      <c r="RJA239" s="243"/>
      <c r="RJB239" s="243"/>
      <c r="RJC239" s="243"/>
      <c r="RJD239" s="243"/>
      <c r="RJE239" s="243"/>
      <c r="RJF239" s="243"/>
      <c r="RJG239" s="243"/>
      <c r="RJH239" s="243"/>
      <c r="RJI239" s="243"/>
      <c r="RJJ239" s="243"/>
      <c r="RJK239" s="243"/>
      <c r="RJL239" s="243"/>
      <c r="RJM239" s="243"/>
      <c r="RJN239" s="243"/>
      <c r="RJO239" s="243"/>
      <c r="RJP239" s="243"/>
      <c r="RJQ239" s="243"/>
      <c r="RJR239" s="243"/>
      <c r="RJS239" s="243"/>
      <c r="RJT239" s="243"/>
      <c r="RJU239" s="243"/>
      <c r="RJV239" s="243"/>
      <c r="RJW239" s="243"/>
      <c r="RJX239" s="243"/>
      <c r="RJY239" s="243"/>
      <c r="RJZ239" s="243"/>
      <c r="RKA239" s="243"/>
      <c r="RKB239" s="243"/>
      <c r="RKC239" s="243"/>
      <c r="RKD239" s="243"/>
      <c r="RKE239" s="243"/>
      <c r="RKF239" s="243"/>
      <c r="RKG239" s="243"/>
      <c r="RKH239" s="243"/>
      <c r="RKI239" s="243"/>
      <c r="RKJ239" s="243"/>
      <c r="RKK239" s="243"/>
      <c r="RKL239" s="243"/>
      <c r="RKM239" s="243"/>
      <c r="RKN239" s="243"/>
      <c r="RKO239" s="243"/>
      <c r="RKP239" s="243"/>
      <c r="RKQ239" s="243"/>
      <c r="RKR239" s="243"/>
      <c r="RKS239" s="243"/>
      <c r="RKT239" s="243"/>
      <c r="RKU239" s="243"/>
      <c r="RKV239" s="243"/>
      <c r="RKW239" s="243"/>
      <c r="RKX239" s="243"/>
      <c r="RKY239" s="243"/>
      <c r="RKZ239" s="243"/>
      <c r="RLA239" s="243"/>
      <c r="RLB239" s="243"/>
      <c r="RLC239" s="243"/>
      <c r="RLD239" s="243"/>
      <c r="RLE239" s="243"/>
      <c r="RLF239" s="243"/>
      <c r="RLG239" s="243"/>
      <c r="RLH239" s="243"/>
      <c r="RLI239" s="243"/>
      <c r="RLJ239" s="243"/>
      <c r="RLK239" s="243"/>
      <c r="RLL239" s="243"/>
      <c r="RLM239" s="243"/>
      <c r="RLN239" s="243"/>
      <c r="RLO239" s="243"/>
      <c r="RLP239" s="243"/>
      <c r="RLQ239" s="243"/>
      <c r="RLR239" s="243"/>
      <c r="RLS239" s="243"/>
      <c r="RLT239" s="243"/>
      <c r="RLU239" s="243"/>
      <c r="RLV239" s="243"/>
      <c r="RLW239" s="243"/>
      <c r="RLX239" s="243"/>
      <c r="RLY239" s="243"/>
      <c r="RLZ239" s="243"/>
      <c r="RMA239" s="243"/>
      <c r="RMB239" s="243"/>
      <c r="RMC239" s="243"/>
      <c r="RMD239" s="243"/>
      <c r="RME239" s="243"/>
      <c r="RMF239" s="243"/>
      <c r="RMG239" s="243"/>
      <c r="RMH239" s="243"/>
      <c r="RMI239" s="243"/>
      <c r="RMJ239" s="243"/>
      <c r="RMK239" s="243"/>
      <c r="RML239" s="243"/>
      <c r="RMM239" s="243"/>
      <c r="RMN239" s="243"/>
      <c r="RMO239" s="243"/>
      <c r="RMP239" s="243"/>
      <c r="RMQ239" s="243"/>
      <c r="RMR239" s="243"/>
      <c r="RMS239" s="243"/>
      <c r="RMT239" s="243"/>
      <c r="RMU239" s="243"/>
      <c r="RMV239" s="243"/>
      <c r="RMW239" s="243"/>
      <c r="RMX239" s="243"/>
      <c r="RMY239" s="243"/>
      <c r="RMZ239" s="243"/>
      <c r="RNA239" s="243"/>
      <c r="RNB239" s="243"/>
      <c r="RNC239" s="243"/>
      <c r="RND239" s="243"/>
      <c r="RNE239" s="243"/>
      <c r="RNF239" s="243"/>
      <c r="RNG239" s="243"/>
      <c r="RNH239" s="243"/>
      <c r="RNI239" s="243"/>
      <c r="RNJ239" s="243"/>
      <c r="RNK239" s="243"/>
      <c r="RNL239" s="243"/>
      <c r="RNM239" s="243"/>
      <c r="RNN239" s="243"/>
      <c r="RNO239" s="243"/>
      <c r="RNP239" s="243"/>
      <c r="RNQ239" s="243"/>
      <c r="RNR239" s="243"/>
      <c r="RNS239" s="243"/>
      <c r="RNT239" s="243"/>
      <c r="RNU239" s="243"/>
      <c r="RNV239" s="243"/>
      <c r="RNW239" s="243"/>
      <c r="RNX239" s="243"/>
      <c r="RNY239" s="243"/>
      <c r="RNZ239" s="243"/>
      <c r="ROA239" s="243"/>
      <c r="ROB239" s="243"/>
      <c r="ROC239" s="243"/>
      <c r="ROD239" s="243"/>
      <c r="ROE239" s="243"/>
      <c r="ROF239" s="243"/>
      <c r="ROG239" s="243"/>
      <c r="ROH239" s="243"/>
      <c r="ROI239" s="243"/>
      <c r="ROJ239" s="243"/>
      <c r="ROK239" s="243"/>
      <c r="ROL239" s="243"/>
      <c r="ROM239" s="243"/>
      <c r="RON239" s="243"/>
      <c r="ROO239" s="243"/>
      <c r="ROP239" s="243"/>
      <c r="ROQ239" s="243"/>
      <c r="ROR239" s="243"/>
      <c r="ROS239" s="243"/>
      <c r="ROT239" s="243"/>
      <c r="ROU239" s="243"/>
      <c r="ROV239" s="243"/>
      <c r="ROW239" s="243"/>
      <c r="ROX239" s="243"/>
      <c r="ROY239" s="243"/>
      <c r="ROZ239" s="243"/>
      <c r="RPA239" s="243"/>
      <c r="RPB239" s="243"/>
      <c r="RPC239" s="243"/>
      <c r="RPD239" s="243"/>
      <c r="RPE239" s="243"/>
      <c r="RPF239" s="243"/>
      <c r="RPG239" s="243"/>
      <c r="RPH239" s="243"/>
      <c r="RPI239" s="243"/>
      <c r="RPJ239" s="243"/>
      <c r="RPK239" s="243"/>
      <c r="RPL239" s="243"/>
      <c r="RPM239" s="243"/>
      <c r="RPN239" s="243"/>
      <c r="RPO239" s="243"/>
      <c r="RPP239" s="243"/>
      <c r="RPQ239" s="243"/>
      <c r="RPR239" s="243"/>
      <c r="RPS239" s="243"/>
      <c r="RPT239" s="243"/>
      <c r="RPU239" s="243"/>
      <c r="RPV239" s="243"/>
      <c r="RPW239" s="243"/>
      <c r="RPX239" s="243"/>
      <c r="RPY239" s="243"/>
      <c r="RPZ239" s="243"/>
      <c r="RQA239" s="243"/>
      <c r="RQB239" s="243"/>
      <c r="RQC239" s="243"/>
      <c r="RQD239" s="243"/>
      <c r="RQE239" s="243"/>
      <c r="RQF239" s="243"/>
      <c r="RQG239" s="243"/>
      <c r="RQH239" s="243"/>
      <c r="RQI239" s="243"/>
      <c r="RQJ239" s="243"/>
      <c r="RQK239" s="243"/>
      <c r="RQL239" s="243"/>
      <c r="RQM239" s="243"/>
      <c r="RQN239" s="243"/>
      <c r="RQO239" s="243"/>
      <c r="RQP239" s="243"/>
      <c r="RQQ239" s="243"/>
      <c r="RQR239" s="243"/>
      <c r="RQS239" s="243"/>
      <c r="RQT239" s="243"/>
      <c r="RQU239" s="243"/>
      <c r="RQV239" s="243"/>
      <c r="RQW239" s="243"/>
      <c r="RQX239" s="243"/>
      <c r="RQY239" s="243"/>
      <c r="RQZ239" s="243"/>
      <c r="RRA239" s="243"/>
      <c r="RRB239" s="243"/>
      <c r="RRC239" s="243"/>
      <c r="RRD239" s="243"/>
      <c r="RRE239" s="243"/>
      <c r="RRF239" s="243"/>
      <c r="RRG239" s="243"/>
      <c r="RRH239" s="243"/>
      <c r="RRI239" s="243"/>
      <c r="RRJ239" s="243"/>
      <c r="RRK239" s="243"/>
      <c r="RRL239" s="243"/>
      <c r="RRM239" s="243"/>
      <c r="RRN239" s="243"/>
      <c r="RRO239" s="243"/>
      <c r="RRP239" s="243"/>
      <c r="RRQ239" s="243"/>
      <c r="RRR239" s="243"/>
      <c r="RRS239" s="243"/>
      <c r="RRT239" s="243"/>
      <c r="RRU239" s="243"/>
      <c r="RRV239" s="243"/>
      <c r="RRW239" s="243"/>
      <c r="RRX239" s="243"/>
      <c r="RRY239" s="243"/>
      <c r="RRZ239" s="243"/>
      <c r="RSA239" s="243"/>
      <c r="RSB239" s="243"/>
      <c r="RSC239" s="243"/>
      <c r="RSD239" s="243"/>
      <c r="RSE239" s="243"/>
      <c r="RSF239" s="243"/>
      <c r="RSG239" s="243"/>
      <c r="RSH239" s="243"/>
      <c r="RSI239" s="243"/>
      <c r="RSJ239" s="243"/>
      <c r="RSK239" s="243"/>
      <c r="RSL239" s="243"/>
      <c r="RSM239" s="243"/>
      <c r="RSN239" s="243"/>
      <c r="RSO239" s="243"/>
      <c r="RSP239" s="243"/>
      <c r="RSQ239" s="243"/>
      <c r="RSR239" s="243"/>
      <c r="RSS239" s="243"/>
      <c r="RST239" s="243"/>
      <c r="RSU239" s="243"/>
      <c r="RSV239" s="243"/>
      <c r="RSW239" s="243"/>
      <c r="RSX239" s="243"/>
      <c r="RSY239" s="243"/>
      <c r="RSZ239" s="243"/>
      <c r="RTA239" s="243"/>
      <c r="RTB239" s="243"/>
      <c r="RTC239" s="243"/>
      <c r="RTD239" s="243"/>
      <c r="RTE239" s="243"/>
      <c r="RTF239" s="243"/>
      <c r="RTG239" s="243"/>
      <c r="RTH239" s="243"/>
      <c r="RTI239" s="243"/>
      <c r="RTJ239" s="243"/>
      <c r="RTK239" s="243"/>
      <c r="RTL239" s="243"/>
      <c r="RTM239" s="243"/>
      <c r="RTN239" s="243"/>
      <c r="RTO239" s="243"/>
      <c r="RTP239" s="243"/>
      <c r="RTQ239" s="243"/>
      <c r="RTR239" s="243"/>
      <c r="RTS239" s="243"/>
      <c r="RTT239" s="243"/>
      <c r="RTU239" s="243"/>
      <c r="RTV239" s="243"/>
      <c r="RTW239" s="243"/>
      <c r="RTX239" s="243"/>
      <c r="RTY239" s="243"/>
      <c r="RTZ239" s="243"/>
      <c r="RUA239" s="243"/>
      <c r="RUB239" s="243"/>
      <c r="RUC239" s="243"/>
      <c r="RUD239" s="243"/>
      <c r="RUE239" s="243"/>
      <c r="RUF239" s="243"/>
      <c r="RUG239" s="243"/>
      <c r="RUH239" s="243"/>
      <c r="RUI239" s="243"/>
      <c r="RUJ239" s="243"/>
      <c r="RUK239" s="243"/>
      <c r="RUL239" s="243"/>
      <c r="RUM239" s="243"/>
      <c r="RUN239" s="243"/>
      <c r="RUO239" s="243"/>
      <c r="RUP239" s="243"/>
      <c r="RUQ239" s="243"/>
      <c r="RUR239" s="243"/>
      <c r="RUS239" s="243"/>
      <c r="RUT239" s="243"/>
      <c r="RUU239" s="243"/>
      <c r="RUV239" s="243"/>
      <c r="RUW239" s="243"/>
      <c r="RUX239" s="243"/>
      <c r="RUY239" s="243"/>
      <c r="RUZ239" s="243"/>
      <c r="RVA239" s="243"/>
      <c r="RVB239" s="243"/>
      <c r="RVC239" s="243"/>
      <c r="RVD239" s="243"/>
      <c r="RVE239" s="243"/>
      <c r="RVF239" s="243"/>
      <c r="RVG239" s="243"/>
      <c r="RVH239" s="243"/>
      <c r="RVI239" s="243"/>
      <c r="RVJ239" s="243"/>
      <c r="RVK239" s="243"/>
      <c r="RVL239" s="243"/>
      <c r="RVM239" s="243"/>
      <c r="RVN239" s="243"/>
      <c r="RVO239" s="243"/>
      <c r="RVP239" s="243"/>
      <c r="RVQ239" s="243"/>
      <c r="RVR239" s="243"/>
      <c r="RVS239" s="243"/>
      <c r="RVT239" s="243"/>
      <c r="RVU239" s="243"/>
      <c r="RVV239" s="243"/>
      <c r="RVW239" s="243"/>
      <c r="RVX239" s="243"/>
      <c r="RVY239" s="243"/>
      <c r="RVZ239" s="243"/>
      <c r="RWA239" s="243"/>
      <c r="RWB239" s="243"/>
      <c r="RWC239" s="243"/>
      <c r="RWD239" s="243"/>
      <c r="RWE239" s="243"/>
      <c r="RWF239" s="243"/>
      <c r="RWG239" s="243"/>
      <c r="RWH239" s="243"/>
      <c r="RWI239" s="243"/>
      <c r="RWJ239" s="243"/>
      <c r="RWK239" s="243"/>
      <c r="RWL239" s="243"/>
      <c r="RWM239" s="243"/>
      <c r="RWN239" s="243"/>
      <c r="RWO239" s="243"/>
      <c r="RWP239" s="243"/>
      <c r="RWQ239" s="243"/>
      <c r="RWR239" s="243"/>
      <c r="RWS239" s="243"/>
      <c r="RWT239" s="243"/>
      <c r="RWU239" s="243"/>
      <c r="RWV239" s="243"/>
      <c r="RWW239" s="243"/>
      <c r="RWX239" s="243"/>
      <c r="RWY239" s="243"/>
      <c r="RWZ239" s="243"/>
      <c r="RXA239" s="243"/>
      <c r="RXB239" s="243"/>
      <c r="RXC239" s="243"/>
      <c r="RXD239" s="243"/>
      <c r="RXE239" s="243"/>
      <c r="RXF239" s="243"/>
      <c r="RXG239" s="243"/>
      <c r="RXH239" s="243"/>
      <c r="RXI239" s="243"/>
      <c r="RXJ239" s="243"/>
      <c r="RXK239" s="243"/>
      <c r="RXL239" s="243"/>
      <c r="RXM239" s="243"/>
      <c r="RXN239" s="243"/>
      <c r="RXO239" s="243"/>
      <c r="RXP239" s="243"/>
      <c r="RXQ239" s="243"/>
      <c r="RXR239" s="243"/>
      <c r="RXS239" s="243"/>
      <c r="RXT239" s="243"/>
      <c r="RXU239" s="243"/>
      <c r="RXV239" s="243"/>
      <c r="RXW239" s="243"/>
      <c r="RXX239" s="243"/>
      <c r="RXY239" s="243"/>
      <c r="RXZ239" s="243"/>
      <c r="RYA239" s="243"/>
      <c r="RYB239" s="243"/>
      <c r="RYC239" s="243"/>
      <c r="RYD239" s="243"/>
      <c r="RYE239" s="243"/>
      <c r="RYF239" s="243"/>
      <c r="RYG239" s="243"/>
      <c r="RYH239" s="243"/>
      <c r="RYI239" s="243"/>
      <c r="RYJ239" s="243"/>
      <c r="RYK239" s="243"/>
      <c r="RYL239" s="243"/>
      <c r="RYM239" s="243"/>
      <c r="RYN239" s="243"/>
      <c r="RYO239" s="243"/>
      <c r="RYP239" s="243"/>
      <c r="RYQ239" s="243"/>
      <c r="RYR239" s="243"/>
      <c r="RYS239" s="243"/>
      <c r="RYT239" s="243"/>
      <c r="RYU239" s="243"/>
      <c r="RYV239" s="243"/>
      <c r="RYW239" s="243"/>
      <c r="RYX239" s="243"/>
      <c r="RYY239" s="243"/>
      <c r="RYZ239" s="243"/>
      <c r="RZA239" s="243"/>
      <c r="RZB239" s="243"/>
      <c r="RZC239" s="243"/>
      <c r="RZD239" s="243"/>
      <c r="RZE239" s="243"/>
      <c r="RZF239" s="243"/>
      <c r="RZG239" s="243"/>
      <c r="RZH239" s="243"/>
      <c r="RZI239" s="243"/>
      <c r="RZJ239" s="243"/>
      <c r="RZK239" s="243"/>
      <c r="RZL239" s="243"/>
      <c r="RZM239" s="243"/>
      <c r="RZN239" s="243"/>
      <c r="RZO239" s="243"/>
      <c r="RZP239" s="243"/>
      <c r="RZQ239" s="243"/>
      <c r="RZR239" s="243"/>
      <c r="RZS239" s="243"/>
      <c r="RZT239" s="243"/>
      <c r="RZU239" s="243"/>
      <c r="RZV239" s="243"/>
      <c r="RZW239" s="243"/>
      <c r="RZX239" s="243"/>
      <c r="RZY239" s="243"/>
      <c r="RZZ239" s="243"/>
      <c r="SAA239" s="243"/>
      <c r="SAB239" s="243"/>
      <c r="SAC239" s="243"/>
      <c r="SAD239" s="243"/>
      <c r="SAE239" s="243"/>
      <c r="SAF239" s="243"/>
      <c r="SAG239" s="243"/>
      <c r="SAH239" s="243"/>
      <c r="SAI239" s="243"/>
      <c r="SAJ239" s="243"/>
      <c r="SAK239" s="243"/>
      <c r="SAL239" s="243"/>
      <c r="SAM239" s="243"/>
      <c r="SAN239" s="243"/>
      <c r="SAO239" s="243"/>
      <c r="SAP239" s="243"/>
      <c r="SAQ239" s="243"/>
      <c r="SAR239" s="243"/>
      <c r="SAS239" s="243"/>
      <c r="SAT239" s="243"/>
      <c r="SAU239" s="243"/>
      <c r="SAV239" s="243"/>
      <c r="SAW239" s="243"/>
      <c r="SAX239" s="243"/>
      <c r="SAY239" s="243"/>
      <c r="SAZ239" s="243"/>
      <c r="SBA239" s="243"/>
      <c r="SBB239" s="243"/>
      <c r="SBC239" s="243"/>
      <c r="SBD239" s="243"/>
      <c r="SBE239" s="243"/>
      <c r="SBF239" s="243"/>
      <c r="SBG239" s="243"/>
      <c r="SBH239" s="243"/>
      <c r="SBI239" s="243"/>
      <c r="SBJ239" s="243"/>
      <c r="SBK239" s="243"/>
      <c r="SBL239" s="243"/>
      <c r="SBM239" s="243"/>
      <c r="SBN239" s="243"/>
      <c r="SBO239" s="243"/>
      <c r="SBP239" s="243"/>
      <c r="SBQ239" s="243"/>
      <c r="SBR239" s="243"/>
      <c r="SBS239" s="243"/>
      <c r="SBT239" s="243"/>
      <c r="SBU239" s="243"/>
      <c r="SBV239" s="243"/>
      <c r="SBW239" s="243"/>
      <c r="SBX239" s="243"/>
      <c r="SBY239" s="243"/>
      <c r="SBZ239" s="243"/>
      <c r="SCA239" s="243"/>
      <c r="SCB239" s="243"/>
      <c r="SCC239" s="243"/>
      <c r="SCD239" s="243"/>
      <c r="SCE239" s="243"/>
      <c r="SCF239" s="243"/>
      <c r="SCG239" s="243"/>
      <c r="SCH239" s="243"/>
      <c r="SCI239" s="243"/>
      <c r="SCJ239" s="243"/>
      <c r="SCK239" s="243"/>
      <c r="SCL239" s="243"/>
      <c r="SCM239" s="243"/>
      <c r="SCN239" s="243"/>
      <c r="SCO239" s="243"/>
      <c r="SCP239" s="243"/>
      <c r="SCQ239" s="243"/>
      <c r="SCR239" s="243"/>
      <c r="SCS239" s="243"/>
      <c r="SCT239" s="243"/>
      <c r="SCU239" s="243"/>
      <c r="SCV239" s="243"/>
      <c r="SCW239" s="243"/>
      <c r="SCX239" s="243"/>
      <c r="SCY239" s="243"/>
      <c r="SCZ239" s="243"/>
      <c r="SDA239" s="243"/>
      <c r="SDB239" s="243"/>
      <c r="SDC239" s="243"/>
      <c r="SDD239" s="243"/>
      <c r="SDE239" s="243"/>
      <c r="SDF239" s="243"/>
      <c r="SDG239" s="243"/>
      <c r="SDH239" s="243"/>
      <c r="SDI239" s="243"/>
      <c r="SDJ239" s="243"/>
      <c r="SDK239" s="243"/>
      <c r="SDL239" s="243"/>
      <c r="SDM239" s="243"/>
      <c r="SDN239" s="243"/>
      <c r="SDO239" s="243"/>
      <c r="SDP239" s="243"/>
      <c r="SDQ239" s="243"/>
      <c r="SDR239" s="243"/>
      <c r="SDS239" s="243"/>
      <c r="SDT239" s="243"/>
      <c r="SDU239" s="243"/>
      <c r="SDV239" s="243"/>
      <c r="SDW239" s="243"/>
      <c r="SDX239" s="243"/>
      <c r="SDY239" s="243"/>
      <c r="SDZ239" s="243"/>
      <c r="SEA239" s="243"/>
      <c r="SEB239" s="243"/>
      <c r="SEC239" s="243"/>
      <c r="SED239" s="243"/>
      <c r="SEE239" s="243"/>
      <c r="SEF239" s="243"/>
      <c r="SEG239" s="243"/>
      <c r="SEH239" s="243"/>
      <c r="SEI239" s="243"/>
      <c r="SEJ239" s="243"/>
      <c r="SEK239" s="243"/>
      <c r="SEL239" s="243"/>
      <c r="SEM239" s="243"/>
      <c r="SEN239" s="243"/>
      <c r="SEO239" s="243"/>
      <c r="SEP239" s="243"/>
      <c r="SEQ239" s="243"/>
      <c r="SER239" s="243"/>
      <c r="SES239" s="243"/>
      <c r="SET239" s="243"/>
      <c r="SEU239" s="243"/>
      <c r="SEV239" s="243"/>
      <c r="SEW239" s="243"/>
      <c r="SEX239" s="243"/>
      <c r="SEY239" s="243"/>
      <c r="SEZ239" s="243"/>
      <c r="SFA239" s="243"/>
      <c r="SFB239" s="243"/>
      <c r="SFC239" s="243"/>
      <c r="SFD239" s="243"/>
      <c r="SFE239" s="243"/>
      <c r="SFF239" s="243"/>
      <c r="SFG239" s="243"/>
      <c r="SFH239" s="243"/>
      <c r="SFI239" s="243"/>
      <c r="SFJ239" s="243"/>
      <c r="SFK239" s="243"/>
      <c r="SFL239" s="243"/>
      <c r="SFM239" s="243"/>
      <c r="SFN239" s="243"/>
      <c r="SFO239" s="243"/>
      <c r="SFP239" s="243"/>
      <c r="SFQ239" s="243"/>
      <c r="SFR239" s="243"/>
      <c r="SFS239" s="243"/>
      <c r="SFT239" s="243"/>
      <c r="SFU239" s="243"/>
      <c r="SFV239" s="243"/>
      <c r="SFW239" s="243"/>
      <c r="SFX239" s="243"/>
      <c r="SFY239" s="243"/>
      <c r="SFZ239" s="243"/>
      <c r="SGA239" s="243"/>
      <c r="SGB239" s="243"/>
      <c r="SGC239" s="243"/>
      <c r="SGD239" s="243"/>
      <c r="SGE239" s="243"/>
      <c r="SGF239" s="243"/>
      <c r="SGG239" s="243"/>
      <c r="SGH239" s="243"/>
      <c r="SGI239" s="243"/>
      <c r="SGJ239" s="243"/>
      <c r="SGK239" s="243"/>
      <c r="SGL239" s="243"/>
      <c r="SGM239" s="243"/>
      <c r="SGN239" s="243"/>
      <c r="SGO239" s="243"/>
      <c r="SGP239" s="243"/>
      <c r="SGQ239" s="243"/>
      <c r="SGR239" s="243"/>
      <c r="SGS239" s="243"/>
      <c r="SGT239" s="243"/>
      <c r="SGU239" s="243"/>
      <c r="SGV239" s="243"/>
      <c r="SGW239" s="243"/>
      <c r="SGX239" s="243"/>
      <c r="SGY239" s="243"/>
      <c r="SGZ239" s="243"/>
      <c r="SHA239" s="243"/>
      <c r="SHB239" s="243"/>
      <c r="SHC239" s="243"/>
      <c r="SHD239" s="243"/>
      <c r="SHE239" s="243"/>
      <c r="SHF239" s="243"/>
      <c r="SHG239" s="243"/>
      <c r="SHH239" s="243"/>
      <c r="SHI239" s="243"/>
      <c r="SHJ239" s="243"/>
      <c r="SHK239" s="243"/>
      <c r="SHL239" s="243"/>
      <c r="SHM239" s="243"/>
      <c r="SHN239" s="243"/>
      <c r="SHO239" s="243"/>
      <c r="SHP239" s="243"/>
      <c r="SHQ239" s="243"/>
      <c r="SHR239" s="243"/>
      <c r="SHS239" s="243"/>
      <c r="SHT239" s="243"/>
      <c r="SHU239" s="243"/>
      <c r="SHV239" s="243"/>
      <c r="SHW239" s="243"/>
      <c r="SHX239" s="243"/>
      <c r="SHY239" s="243"/>
      <c r="SHZ239" s="243"/>
      <c r="SIA239" s="243"/>
      <c r="SIB239" s="243"/>
      <c r="SIC239" s="243"/>
      <c r="SID239" s="243"/>
      <c r="SIE239" s="243"/>
      <c r="SIF239" s="243"/>
      <c r="SIG239" s="243"/>
      <c r="SIH239" s="243"/>
      <c r="SII239" s="243"/>
      <c r="SIJ239" s="243"/>
      <c r="SIK239" s="243"/>
      <c r="SIL239" s="243"/>
      <c r="SIM239" s="243"/>
      <c r="SIN239" s="243"/>
      <c r="SIO239" s="243"/>
      <c r="SIP239" s="243"/>
      <c r="SIQ239" s="243"/>
      <c r="SIR239" s="243"/>
      <c r="SIS239" s="243"/>
      <c r="SIT239" s="243"/>
      <c r="SIU239" s="243"/>
      <c r="SIV239" s="243"/>
      <c r="SIW239" s="243"/>
      <c r="SIX239" s="243"/>
      <c r="SIY239" s="243"/>
      <c r="SIZ239" s="243"/>
      <c r="SJA239" s="243"/>
      <c r="SJB239" s="243"/>
      <c r="SJC239" s="243"/>
      <c r="SJD239" s="243"/>
      <c r="SJE239" s="243"/>
      <c r="SJF239" s="243"/>
      <c r="SJG239" s="243"/>
      <c r="SJH239" s="243"/>
      <c r="SJI239" s="243"/>
      <c r="SJJ239" s="243"/>
      <c r="SJK239" s="243"/>
      <c r="SJL239" s="243"/>
      <c r="SJM239" s="243"/>
      <c r="SJN239" s="243"/>
      <c r="SJO239" s="243"/>
      <c r="SJP239" s="243"/>
      <c r="SJQ239" s="243"/>
      <c r="SJR239" s="243"/>
      <c r="SJS239" s="243"/>
      <c r="SJT239" s="243"/>
      <c r="SJU239" s="243"/>
      <c r="SJV239" s="243"/>
      <c r="SJW239" s="243"/>
      <c r="SJX239" s="243"/>
      <c r="SJY239" s="243"/>
      <c r="SJZ239" s="243"/>
      <c r="SKA239" s="243"/>
      <c r="SKB239" s="243"/>
      <c r="SKC239" s="243"/>
      <c r="SKD239" s="243"/>
      <c r="SKE239" s="243"/>
      <c r="SKF239" s="243"/>
      <c r="SKG239" s="243"/>
      <c r="SKH239" s="243"/>
      <c r="SKI239" s="243"/>
      <c r="SKJ239" s="243"/>
      <c r="SKK239" s="243"/>
      <c r="SKL239" s="243"/>
      <c r="SKM239" s="243"/>
      <c r="SKN239" s="243"/>
      <c r="SKO239" s="243"/>
      <c r="SKP239" s="243"/>
      <c r="SKQ239" s="243"/>
      <c r="SKR239" s="243"/>
      <c r="SKS239" s="243"/>
      <c r="SKT239" s="243"/>
      <c r="SKU239" s="243"/>
      <c r="SKV239" s="243"/>
      <c r="SKW239" s="243"/>
      <c r="SKX239" s="243"/>
      <c r="SKY239" s="243"/>
      <c r="SKZ239" s="243"/>
      <c r="SLA239" s="243"/>
      <c r="SLB239" s="243"/>
      <c r="SLC239" s="243"/>
      <c r="SLD239" s="243"/>
      <c r="SLE239" s="243"/>
      <c r="SLF239" s="243"/>
      <c r="SLG239" s="243"/>
      <c r="SLH239" s="243"/>
      <c r="SLI239" s="243"/>
      <c r="SLJ239" s="243"/>
      <c r="SLK239" s="243"/>
      <c r="SLL239" s="243"/>
      <c r="SLM239" s="243"/>
      <c r="SLN239" s="243"/>
      <c r="SLO239" s="243"/>
      <c r="SLP239" s="243"/>
      <c r="SLQ239" s="243"/>
      <c r="SLR239" s="243"/>
      <c r="SLS239" s="243"/>
      <c r="SLT239" s="243"/>
      <c r="SLU239" s="243"/>
      <c r="SLV239" s="243"/>
      <c r="SLW239" s="243"/>
      <c r="SLX239" s="243"/>
      <c r="SLY239" s="243"/>
      <c r="SLZ239" s="243"/>
      <c r="SMA239" s="243"/>
      <c r="SMB239" s="243"/>
      <c r="SMC239" s="243"/>
      <c r="SMD239" s="243"/>
      <c r="SME239" s="243"/>
      <c r="SMF239" s="243"/>
      <c r="SMG239" s="243"/>
      <c r="SMH239" s="243"/>
      <c r="SMI239" s="243"/>
      <c r="SMJ239" s="243"/>
      <c r="SMK239" s="243"/>
      <c r="SML239" s="243"/>
      <c r="SMM239" s="243"/>
      <c r="SMN239" s="243"/>
      <c r="SMO239" s="243"/>
      <c r="SMP239" s="243"/>
      <c r="SMQ239" s="243"/>
      <c r="SMR239" s="243"/>
      <c r="SMS239" s="243"/>
      <c r="SMT239" s="243"/>
      <c r="SMU239" s="243"/>
      <c r="SMV239" s="243"/>
      <c r="SMW239" s="243"/>
      <c r="SMX239" s="243"/>
      <c r="SMY239" s="243"/>
      <c r="SMZ239" s="243"/>
      <c r="SNA239" s="243"/>
      <c r="SNB239" s="243"/>
      <c r="SNC239" s="243"/>
      <c r="SND239" s="243"/>
      <c r="SNE239" s="243"/>
      <c r="SNF239" s="243"/>
      <c r="SNG239" s="243"/>
      <c r="SNH239" s="243"/>
      <c r="SNI239" s="243"/>
      <c r="SNJ239" s="243"/>
      <c r="SNK239" s="243"/>
      <c r="SNL239" s="243"/>
      <c r="SNM239" s="243"/>
      <c r="SNN239" s="243"/>
      <c r="SNO239" s="243"/>
      <c r="SNP239" s="243"/>
      <c r="SNQ239" s="243"/>
      <c r="SNR239" s="243"/>
      <c r="SNS239" s="243"/>
      <c r="SNT239" s="243"/>
      <c r="SNU239" s="243"/>
      <c r="SNV239" s="243"/>
      <c r="SNW239" s="243"/>
      <c r="SNX239" s="243"/>
      <c r="SNY239" s="243"/>
      <c r="SNZ239" s="243"/>
      <c r="SOA239" s="243"/>
      <c r="SOB239" s="243"/>
      <c r="SOC239" s="243"/>
      <c r="SOD239" s="243"/>
      <c r="SOE239" s="243"/>
      <c r="SOF239" s="243"/>
      <c r="SOG239" s="243"/>
      <c r="SOH239" s="243"/>
      <c r="SOI239" s="243"/>
      <c r="SOJ239" s="243"/>
      <c r="SOK239" s="243"/>
      <c r="SOL239" s="243"/>
      <c r="SOM239" s="243"/>
      <c r="SON239" s="243"/>
      <c r="SOO239" s="243"/>
      <c r="SOP239" s="243"/>
      <c r="SOQ239" s="243"/>
      <c r="SOR239" s="243"/>
      <c r="SOS239" s="243"/>
      <c r="SOT239" s="243"/>
      <c r="SOU239" s="243"/>
      <c r="SOV239" s="243"/>
      <c r="SOW239" s="243"/>
      <c r="SOX239" s="243"/>
      <c r="SOY239" s="243"/>
      <c r="SOZ239" s="243"/>
      <c r="SPA239" s="243"/>
      <c r="SPB239" s="243"/>
      <c r="SPC239" s="243"/>
      <c r="SPD239" s="243"/>
      <c r="SPE239" s="243"/>
      <c r="SPF239" s="243"/>
      <c r="SPG239" s="243"/>
      <c r="SPH239" s="243"/>
      <c r="SPI239" s="243"/>
      <c r="SPJ239" s="243"/>
      <c r="SPK239" s="243"/>
      <c r="SPL239" s="243"/>
      <c r="SPM239" s="243"/>
      <c r="SPN239" s="243"/>
      <c r="SPO239" s="243"/>
      <c r="SPP239" s="243"/>
      <c r="SPQ239" s="243"/>
      <c r="SPR239" s="243"/>
      <c r="SPS239" s="243"/>
      <c r="SPT239" s="243"/>
      <c r="SPU239" s="243"/>
      <c r="SPV239" s="243"/>
      <c r="SPW239" s="243"/>
      <c r="SPX239" s="243"/>
      <c r="SPY239" s="243"/>
      <c r="SPZ239" s="243"/>
      <c r="SQA239" s="243"/>
      <c r="SQB239" s="243"/>
      <c r="SQC239" s="243"/>
      <c r="SQD239" s="243"/>
      <c r="SQE239" s="243"/>
      <c r="SQF239" s="243"/>
      <c r="SQG239" s="243"/>
      <c r="SQH239" s="243"/>
      <c r="SQI239" s="243"/>
      <c r="SQJ239" s="243"/>
      <c r="SQK239" s="243"/>
      <c r="SQL239" s="243"/>
      <c r="SQM239" s="243"/>
      <c r="SQN239" s="243"/>
      <c r="SQO239" s="243"/>
      <c r="SQP239" s="243"/>
      <c r="SQQ239" s="243"/>
      <c r="SQR239" s="243"/>
      <c r="SQS239" s="243"/>
      <c r="SQT239" s="243"/>
      <c r="SQU239" s="243"/>
      <c r="SQV239" s="243"/>
      <c r="SQW239" s="243"/>
      <c r="SQX239" s="243"/>
      <c r="SQY239" s="243"/>
      <c r="SQZ239" s="243"/>
      <c r="SRA239" s="243"/>
      <c r="SRB239" s="243"/>
      <c r="SRC239" s="243"/>
      <c r="SRD239" s="243"/>
      <c r="SRE239" s="243"/>
      <c r="SRF239" s="243"/>
      <c r="SRG239" s="243"/>
      <c r="SRH239" s="243"/>
      <c r="SRI239" s="243"/>
      <c r="SRJ239" s="243"/>
      <c r="SRK239" s="243"/>
      <c r="SRL239" s="243"/>
      <c r="SRM239" s="243"/>
      <c r="SRN239" s="243"/>
      <c r="SRO239" s="243"/>
      <c r="SRP239" s="243"/>
      <c r="SRQ239" s="243"/>
      <c r="SRR239" s="243"/>
      <c r="SRS239" s="243"/>
      <c r="SRT239" s="243"/>
      <c r="SRU239" s="243"/>
      <c r="SRV239" s="243"/>
      <c r="SRW239" s="243"/>
      <c r="SRX239" s="243"/>
      <c r="SRY239" s="243"/>
      <c r="SRZ239" s="243"/>
      <c r="SSA239" s="243"/>
      <c r="SSB239" s="243"/>
      <c r="SSC239" s="243"/>
      <c r="SSD239" s="243"/>
      <c r="SSE239" s="243"/>
      <c r="SSF239" s="243"/>
      <c r="SSG239" s="243"/>
      <c r="SSH239" s="243"/>
      <c r="SSI239" s="243"/>
      <c r="SSJ239" s="243"/>
      <c r="SSK239" s="243"/>
      <c r="SSL239" s="243"/>
      <c r="SSM239" s="243"/>
      <c r="SSN239" s="243"/>
      <c r="SSO239" s="243"/>
      <c r="SSP239" s="243"/>
      <c r="SSQ239" s="243"/>
      <c r="SSR239" s="243"/>
      <c r="SSS239" s="243"/>
      <c r="SST239" s="243"/>
      <c r="SSU239" s="243"/>
      <c r="SSV239" s="243"/>
      <c r="SSW239" s="243"/>
      <c r="SSX239" s="243"/>
      <c r="SSY239" s="243"/>
      <c r="SSZ239" s="243"/>
      <c r="STA239" s="243"/>
      <c r="STB239" s="243"/>
      <c r="STC239" s="243"/>
      <c r="STD239" s="243"/>
      <c r="STE239" s="243"/>
      <c r="STF239" s="243"/>
      <c r="STG239" s="243"/>
      <c r="STH239" s="243"/>
      <c r="STI239" s="243"/>
      <c r="STJ239" s="243"/>
      <c r="STK239" s="243"/>
      <c r="STL239" s="243"/>
      <c r="STM239" s="243"/>
      <c r="STN239" s="243"/>
      <c r="STO239" s="243"/>
      <c r="STP239" s="243"/>
      <c r="STQ239" s="243"/>
      <c r="STR239" s="243"/>
      <c r="STS239" s="243"/>
      <c r="STT239" s="243"/>
      <c r="STU239" s="243"/>
      <c r="STV239" s="243"/>
      <c r="STW239" s="243"/>
      <c r="STX239" s="243"/>
      <c r="STY239" s="243"/>
      <c r="STZ239" s="243"/>
      <c r="SUA239" s="243"/>
      <c r="SUB239" s="243"/>
      <c r="SUC239" s="243"/>
      <c r="SUD239" s="243"/>
      <c r="SUE239" s="243"/>
      <c r="SUF239" s="243"/>
      <c r="SUG239" s="243"/>
      <c r="SUH239" s="243"/>
      <c r="SUI239" s="243"/>
      <c r="SUJ239" s="243"/>
      <c r="SUK239" s="243"/>
      <c r="SUL239" s="243"/>
      <c r="SUM239" s="243"/>
      <c r="SUN239" s="243"/>
      <c r="SUO239" s="243"/>
      <c r="SUP239" s="243"/>
      <c r="SUQ239" s="243"/>
      <c r="SUR239" s="243"/>
      <c r="SUS239" s="243"/>
      <c r="SUT239" s="243"/>
      <c r="SUU239" s="243"/>
      <c r="SUV239" s="243"/>
      <c r="SUW239" s="243"/>
      <c r="SUX239" s="243"/>
      <c r="SUY239" s="243"/>
      <c r="SUZ239" s="243"/>
      <c r="SVA239" s="243"/>
      <c r="SVB239" s="243"/>
      <c r="SVC239" s="243"/>
      <c r="SVD239" s="243"/>
      <c r="SVE239" s="243"/>
      <c r="SVF239" s="243"/>
      <c r="SVG239" s="243"/>
      <c r="SVH239" s="243"/>
      <c r="SVI239" s="243"/>
      <c r="SVJ239" s="243"/>
      <c r="SVK239" s="243"/>
      <c r="SVL239" s="243"/>
      <c r="SVM239" s="243"/>
      <c r="SVN239" s="243"/>
      <c r="SVO239" s="243"/>
      <c r="SVP239" s="243"/>
      <c r="SVQ239" s="243"/>
      <c r="SVR239" s="243"/>
      <c r="SVS239" s="243"/>
      <c r="SVT239" s="243"/>
      <c r="SVU239" s="243"/>
      <c r="SVV239" s="243"/>
      <c r="SVW239" s="243"/>
      <c r="SVX239" s="243"/>
      <c r="SVY239" s="243"/>
      <c r="SVZ239" s="243"/>
      <c r="SWA239" s="243"/>
      <c r="SWB239" s="243"/>
      <c r="SWC239" s="243"/>
      <c r="SWD239" s="243"/>
      <c r="SWE239" s="243"/>
      <c r="SWF239" s="243"/>
      <c r="SWG239" s="243"/>
      <c r="SWH239" s="243"/>
      <c r="SWI239" s="243"/>
      <c r="SWJ239" s="243"/>
      <c r="SWK239" s="243"/>
      <c r="SWL239" s="243"/>
      <c r="SWM239" s="243"/>
      <c r="SWN239" s="243"/>
      <c r="SWO239" s="243"/>
      <c r="SWP239" s="243"/>
      <c r="SWQ239" s="243"/>
      <c r="SWR239" s="243"/>
      <c r="SWS239" s="243"/>
      <c r="SWT239" s="243"/>
      <c r="SWU239" s="243"/>
      <c r="SWV239" s="243"/>
      <c r="SWW239" s="243"/>
      <c r="SWX239" s="243"/>
      <c r="SWY239" s="243"/>
      <c r="SWZ239" s="243"/>
      <c r="SXA239" s="243"/>
      <c r="SXB239" s="243"/>
      <c r="SXC239" s="243"/>
      <c r="SXD239" s="243"/>
      <c r="SXE239" s="243"/>
      <c r="SXF239" s="243"/>
      <c r="SXG239" s="243"/>
      <c r="SXH239" s="243"/>
      <c r="SXI239" s="243"/>
      <c r="SXJ239" s="243"/>
      <c r="SXK239" s="243"/>
      <c r="SXL239" s="243"/>
      <c r="SXM239" s="243"/>
      <c r="SXN239" s="243"/>
      <c r="SXO239" s="243"/>
      <c r="SXP239" s="243"/>
      <c r="SXQ239" s="243"/>
      <c r="SXR239" s="243"/>
      <c r="SXS239" s="243"/>
      <c r="SXT239" s="243"/>
      <c r="SXU239" s="243"/>
      <c r="SXV239" s="243"/>
      <c r="SXW239" s="243"/>
      <c r="SXX239" s="243"/>
      <c r="SXY239" s="243"/>
      <c r="SXZ239" s="243"/>
      <c r="SYA239" s="243"/>
      <c r="SYB239" s="243"/>
      <c r="SYC239" s="243"/>
      <c r="SYD239" s="243"/>
      <c r="SYE239" s="243"/>
      <c r="SYF239" s="243"/>
      <c r="SYG239" s="243"/>
      <c r="SYH239" s="243"/>
      <c r="SYI239" s="243"/>
      <c r="SYJ239" s="243"/>
      <c r="SYK239" s="243"/>
      <c r="SYL239" s="243"/>
      <c r="SYM239" s="243"/>
      <c r="SYN239" s="243"/>
      <c r="SYO239" s="243"/>
      <c r="SYP239" s="243"/>
      <c r="SYQ239" s="243"/>
      <c r="SYR239" s="243"/>
      <c r="SYS239" s="243"/>
      <c r="SYT239" s="243"/>
      <c r="SYU239" s="243"/>
      <c r="SYV239" s="243"/>
      <c r="SYW239" s="243"/>
      <c r="SYX239" s="243"/>
      <c r="SYY239" s="243"/>
      <c r="SYZ239" s="243"/>
      <c r="SZA239" s="243"/>
      <c r="SZB239" s="243"/>
      <c r="SZC239" s="243"/>
      <c r="SZD239" s="243"/>
      <c r="SZE239" s="243"/>
      <c r="SZF239" s="243"/>
      <c r="SZG239" s="243"/>
      <c r="SZH239" s="243"/>
      <c r="SZI239" s="243"/>
      <c r="SZJ239" s="243"/>
      <c r="SZK239" s="243"/>
      <c r="SZL239" s="243"/>
      <c r="SZM239" s="243"/>
      <c r="SZN239" s="243"/>
      <c r="SZO239" s="243"/>
      <c r="SZP239" s="243"/>
      <c r="SZQ239" s="243"/>
      <c r="SZR239" s="243"/>
      <c r="SZS239" s="243"/>
      <c r="SZT239" s="243"/>
      <c r="SZU239" s="243"/>
      <c r="SZV239" s="243"/>
      <c r="SZW239" s="243"/>
      <c r="SZX239" s="243"/>
      <c r="SZY239" s="243"/>
      <c r="SZZ239" s="243"/>
      <c r="TAA239" s="243"/>
      <c r="TAB239" s="243"/>
      <c r="TAC239" s="243"/>
      <c r="TAD239" s="243"/>
      <c r="TAE239" s="243"/>
      <c r="TAF239" s="243"/>
      <c r="TAG239" s="243"/>
      <c r="TAH239" s="243"/>
      <c r="TAI239" s="243"/>
      <c r="TAJ239" s="243"/>
      <c r="TAK239" s="243"/>
      <c r="TAL239" s="243"/>
      <c r="TAM239" s="243"/>
      <c r="TAN239" s="243"/>
      <c r="TAO239" s="243"/>
      <c r="TAP239" s="243"/>
      <c r="TAQ239" s="243"/>
      <c r="TAR239" s="243"/>
      <c r="TAS239" s="243"/>
      <c r="TAT239" s="243"/>
      <c r="TAU239" s="243"/>
      <c r="TAV239" s="243"/>
      <c r="TAW239" s="243"/>
      <c r="TAX239" s="243"/>
      <c r="TAY239" s="243"/>
      <c r="TAZ239" s="243"/>
      <c r="TBA239" s="243"/>
      <c r="TBB239" s="243"/>
      <c r="TBC239" s="243"/>
      <c r="TBD239" s="243"/>
      <c r="TBE239" s="243"/>
      <c r="TBF239" s="243"/>
      <c r="TBG239" s="243"/>
      <c r="TBH239" s="243"/>
      <c r="TBI239" s="243"/>
      <c r="TBJ239" s="243"/>
      <c r="TBK239" s="243"/>
      <c r="TBL239" s="243"/>
      <c r="TBM239" s="243"/>
      <c r="TBN239" s="243"/>
      <c r="TBO239" s="243"/>
      <c r="TBP239" s="243"/>
      <c r="TBQ239" s="243"/>
      <c r="TBR239" s="243"/>
      <c r="TBS239" s="243"/>
      <c r="TBT239" s="243"/>
      <c r="TBU239" s="243"/>
      <c r="TBV239" s="243"/>
      <c r="TBW239" s="243"/>
      <c r="TBX239" s="243"/>
      <c r="TBY239" s="243"/>
      <c r="TBZ239" s="243"/>
      <c r="TCA239" s="243"/>
      <c r="TCB239" s="243"/>
      <c r="TCC239" s="243"/>
      <c r="TCD239" s="243"/>
      <c r="TCE239" s="243"/>
      <c r="TCF239" s="243"/>
      <c r="TCG239" s="243"/>
      <c r="TCH239" s="243"/>
      <c r="TCI239" s="243"/>
      <c r="TCJ239" s="243"/>
      <c r="TCK239" s="243"/>
      <c r="TCL239" s="243"/>
      <c r="TCM239" s="243"/>
      <c r="TCN239" s="243"/>
      <c r="TCO239" s="243"/>
      <c r="TCP239" s="243"/>
      <c r="TCQ239" s="243"/>
      <c r="TCR239" s="243"/>
      <c r="TCS239" s="243"/>
      <c r="TCT239" s="243"/>
      <c r="TCU239" s="243"/>
      <c r="TCV239" s="243"/>
      <c r="TCW239" s="243"/>
      <c r="TCX239" s="243"/>
      <c r="TCY239" s="243"/>
      <c r="TCZ239" s="243"/>
      <c r="TDA239" s="243"/>
      <c r="TDB239" s="243"/>
      <c r="TDC239" s="243"/>
      <c r="TDD239" s="243"/>
      <c r="TDE239" s="243"/>
      <c r="TDF239" s="243"/>
      <c r="TDG239" s="243"/>
      <c r="TDH239" s="243"/>
      <c r="TDI239" s="243"/>
      <c r="TDJ239" s="243"/>
      <c r="TDK239" s="243"/>
      <c r="TDL239" s="243"/>
      <c r="TDM239" s="243"/>
      <c r="TDN239" s="243"/>
      <c r="TDO239" s="243"/>
      <c r="TDP239" s="243"/>
      <c r="TDQ239" s="243"/>
      <c r="TDR239" s="243"/>
      <c r="TDS239" s="243"/>
      <c r="TDT239" s="243"/>
      <c r="TDU239" s="243"/>
      <c r="TDV239" s="243"/>
      <c r="TDW239" s="243"/>
      <c r="TDX239" s="243"/>
      <c r="TDY239" s="243"/>
      <c r="TDZ239" s="243"/>
      <c r="TEA239" s="243"/>
      <c r="TEB239" s="243"/>
      <c r="TEC239" s="243"/>
      <c r="TED239" s="243"/>
      <c r="TEE239" s="243"/>
      <c r="TEF239" s="243"/>
      <c r="TEG239" s="243"/>
      <c r="TEH239" s="243"/>
      <c r="TEI239" s="243"/>
      <c r="TEJ239" s="243"/>
      <c r="TEK239" s="243"/>
      <c r="TEL239" s="243"/>
      <c r="TEM239" s="243"/>
      <c r="TEN239" s="243"/>
      <c r="TEO239" s="243"/>
      <c r="TEP239" s="243"/>
      <c r="TEQ239" s="243"/>
      <c r="TER239" s="243"/>
      <c r="TES239" s="243"/>
      <c r="TET239" s="243"/>
      <c r="TEU239" s="243"/>
      <c r="TEV239" s="243"/>
      <c r="TEW239" s="243"/>
      <c r="TEX239" s="243"/>
      <c r="TEY239" s="243"/>
      <c r="TEZ239" s="243"/>
      <c r="TFA239" s="243"/>
      <c r="TFB239" s="243"/>
      <c r="TFC239" s="243"/>
      <c r="TFD239" s="243"/>
      <c r="TFE239" s="243"/>
      <c r="TFF239" s="243"/>
      <c r="TFG239" s="243"/>
      <c r="TFH239" s="243"/>
      <c r="TFI239" s="243"/>
      <c r="TFJ239" s="243"/>
      <c r="TFK239" s="243"/>
      <c r="TFL239" s="243"/>
      <c r="TFM239" s="243"/>
      <c r="TFN239" s="243"/>
      <c r="TFO239" s="243"/>
      <c r="TFP239" s="243"/>
      <c r="TFQ239" s="243"/>
      <c r="TFR239" s="243"/>
      <c r="TFS239" s="243"/>
      <c r="TFT239" s="243"/>
      <c r="TFU239" s="243"/>
      <c r="TFV239" s="243"/>
      <c r="TFW239" s="243"/>
      <c r="TFX239" s="243"/>
      <c r="TFY239" s="243"/>
      <c r="TFZ239" s="243"/>
      <c r="TGA239" s="243"/>
      <c r="TGB239" s="243"/>
      <c r="TGC239" s="243"/>
      <c r="TGD239" s="243"/>
      <c r="TGE239" s="243"/>
      <c r="TGF239" s="243"/>
      <c r="TGG239" s="243"/>
      <c r="TGH239" s="243"/>
      <c r="TGI239" s="243"/>
      <c r="TGJ239" s="243"/>
      <c r="TGK239" s="243"/>
      <c r="TGL239" s="243"/>
      <c r="TGM239" s="243"/>
      <c r="TGN239" s="243"/>
      <c r="TGO239" s="243"/>
      <c r="TGP239" s="243"/>
      <c r="TGQ239" s="243"/>
      <c r="TGR239" s="243"/>
      <c r="TGS239" s="243"/>
      <c r="TGT239" s="243"/>
      <c r="TGU239" s="243"/>
      <c r="TGV239" s="243"/>
      <c r="TGW239" s="243"/>
      <c r="TGX239" s="243"/>
      <c r="TGY239" s="243"/>
      <c r="TGZ239" s="243"/>
      <c r="THA239" s="243"/>
      <c r="THB239" s="243"/>
      <c r="THC239" s="243"/>
      <c r="THD239" s="243"/>
      <c r="THE239" s="243"/>
      <c r="THF239" s="243"/>
      <c r="THG239" s="243"/>
      <c r="THH239" s="243"/>
      <c r="THI239" s="243"/>
      <c r="THJ239" s="243"/>
      <c r="THK239" s="243"/>
      <c r="THL239" s="243"/>
      <c r="THM239" s="243"/>
      <c r="THN239" s="243"/>
      <c r="THO239" s="243"/>
      <c r="THP239" s="243"/>
      <c r="THQ239" s="243"/>
      <c r="THR239" s="243"/>
      <c r="THS239" s="243"/>
      <c r="THT239" s="243"/>
      <c r="THU239" s="243"/>
      <c r="THV239" s="243"/>
      <c r="THW239" s="243"/>
      <c r="THX239" s="243"/>
      <c r="THY239" s="243"/>
      <c r="THZ239" s="243"/>
      <c r="TIA239" s="243"/>
      <c r="TIB239" s="243"/>
      <c r="TIC239" s="243"/>
      <c r="TID239" s="243"/>
      <c r="TIE239" s="243"/>
      <c r="TIF239" s="243"/>
      <c r="TIG239" s="243"/>
      <c r="TIH239" s="243"/>
      <c r="TII239" s="243"/>
      <c r="TIJ239" s="243"/>
      <c r="TIK239" s="243"/>
      <c r="TIL239" s="243"/>
      <c r="TIM239" s="243"/>
      <c r="TIN239" s="243"/>
      <c r="TIO239" s="243"/>
      <c r="TIP239" s="243"/>
      <c r="TIQ239" s="243"/>
      <c r="TIR239" s="243"/>
      <c r="TIS239" s="243"/>
      <c r="TIT239" s="243"/>
      <c r="TIU239" s="243"/>
      <c r="TIV239" s="243"/>
      <c r="TIW239" s="243"/>
      <c r="TIX239" s="243"/>
      <c r="TIY239" s="243"/>
      <c r="TIZ239" s="243"/>
      <c r="TJA239" s="243"/>
      <c r="TJB239" s="243"/>
      <c r="TJC239" s="243"/>
      <c r="TJD239" s="243"/>
      <c r="TJE239" s="243"/>
      <c r="TJF239" s="243"/>
      <c r="TJG239" s="243"/>
      <c r="TJH239" s="243"/>
      <c r="TJI239" s="243"/>
      <c r="TJJ239" s="243"/>
      <c r="TJK239" s="243"/>
      <c r="TJL239" s="243"/>
      <c r="TJM239" s="243"/>
      <c r="TJN239" s="243"/>
      <c r="TJO239" s="243"/>
      <c r="TJP239" s="243"/>
      <c r="TJQ239" s="243"/>
      <c r="TJR239" s="243"/>
      <c r="TJS239" s="243"/>
      <c r="TJT239" s="243"/>
      <c r="TJU239" s="243"/>
      <c r="TJV239" s="243"/>
      <c r="TJW239" s="243"/>
      <c r="TJX239" s="243"/>
      <c r="TJY239" s="243"/>
      <c r="TJZ239" s="243"/>
      <c r="TKA239" s="243"/>
      <c r="TKB239" s="243"/>
      <c r="TKC239" s="243"/>
      <c r="TKD239" s="243"/>
      <c r="TKE239" s="243"/>
      <c r="TKF239" s="243"/>
      <c r="TKG239" s="243"/>
      <c r="TKH239" s="243"/>
      <c r="TKI239" s="243"/>
      <c r="TKJ239" s="243"/>
      <c r="TKK239" s="243"/>
      <c r="TKL239" s="243"/>
      <c r="TKM239" s="243"/>
      <c r="TKN239" s="243"/>
      <c r="TKO239" s="243"/>
      <c r="TKP239" s="243"/>
      <c r="TKQ239" s="243"/>
      <c r="TKR239" s="243"/>
      <c r="TKS239" s="243"/>
      <c r="TKT239" s="243"/>
      <c r="TKU239" s="243"/>
      <c r="TKV239" s="243"/>
      <c r="TKW239" s="243"/>
      <c r="TKX239" s="243"/>
      <c r="TKY239" s="243"/>
      <c r="TKZ239" s="243"/>
      <c r="TLA239" s="243"/>
      <c r="TLB239" s="243"/>
      <c r="TLC239" s="243"/>
      <c r="TLD239" s="243"/>
      <c r="TLE239" s="243"/>
      <c r="TLF239" s="243"/>
      <c r="TLG239" s="243"/>
      <c r="TLH239" s="243"/>
      <c r="TLI239" s="243"/>
      <c r="TLJ239" s="243"/>
      <c r="TLK239" s="243"/>
      <c r="TLL239" s="243"/>
      <c r="TLM239" s="243"/>
      <c r="TLN239" s="243"/>
      <c r="TLO239" s="243"/>
      <c r="TLP239" s="243"/>
      <c r="TLQ239" s="243"/>
      <c r="TLR239" s="243"/>
      <c r="TLS239" s="243"/>
      <c r="TLT239" s="243"/>
      <c r="TLU239" s="243"/>
      <c r="TLV239" s="243"/>
      <c r="TLW239" s="243"/>
      <c r="TLX239" s="243"/>
      <c r="TLY239" s="243"/>
      <c r="TLZ239" s="243"/>
      <c r="TMA239" s="243"/>
      <c r="TMB239" s="243"/>
      <c r="TMC239" s="243"/>
      <c r="TMD239" s="243"/>
      <c r="TME239" s="243"/>
      <c r="TMF239" s="243"/>
      <c r="TMG239" s="243"/>
      <c r="TMH239" s="243"/>
      <c r="TMI239" s="243"/>
      <c r="TMJ239" s="243"/>
      <c r="TMK239" s="243"/>
      <c r="TML239" s="243"/>
      <c r="TMM239" s="243"/>
      <c r="TMN239" s="243"/>
      <c r="TMO239" s="243"/>
      <c r="TMP239" s="243"/>
      <c r="TMQ239" s="243"/>
      <c r="TMR239" s="243"/>
      <c r="TMS239" s="243"/>
      <c r="TMT239" s="243"/>
      <c r="TMU239" s="243"/>
      <c r="TMV239" s="243"/>
      <c r="TMW239" s="243"/>
      <c r="TMX239" s="243"/>
      <c r="TMY239" s="243"/>
      <c r="TMZ239" s="243"/>
      <c r="TNA239" s="243"/>
      <c r="TNB239" s="243"/>
      <c r="TNC239" s="243"/>
      <c r="TND239" s="243"/>
      <c r="TNE239" s="243"/>
      <c r="TNF239" s="243"/>
      <c r="TNG239" s="243"/>
      <c r="TNH239" s="243"/>
      <c r="TNI239" s="243"/>
      <c r="TNJ239" s="243"/>
      <c r="TNK239" s="243"/>
      <c r="TNL239" s="243"/>
      <c r="TNM239" s="243"/>
      <c r="TNN239" s="243"/>
      <c r="TNO239" s="243"/>
      <c r="TNP239" s="243"/>
      <c r="TNQ239" s="243"/>
      <c r="TNR239" s="243"/>
      <c r="TNS239" s="243"/>
      <c r="TNT239" s="243"/>
      <c r="TNU239" s="243"/>
      <c r="TNV239" s="243"/>
      <c r="TNW239" s="243"/>
      <c r="TNX239" s="243"/>
      <c r="TNY239" s="243"/>
      <c r="TNZ239" s="243"/>
      <c r="TOA239" s="243"/>
      <c r="TOB239" s="243"/>
      <c r="TOC239" s="243"/>
      <c r="TOD239" s="243"/>
      <c r="TOE239" s="243"/>
      <c r="TOF239" s="243"/>
      <c r="TOG239" s="243"/>
      <c r="TOH239" s="243"/>
      <c r="TOI239" s="243"/>
      <c r="TOJ239" s="243"/>
      <c r="TOK239" s="243"/>
      <c r="TOL239" s="243"/>
      <c r="TOM239" s="243"/>
      <c r="TON239" s="243"/>
      <c r="TOO239" s="243"/>
      <c r="TOP239" s="243"/>
      <c r="TOQ239" s="243"/>
      <c r="TOR239" s="243"/>
      <c r="TOS239" s="243"/>
      <c r="TOT239" s="243"/>
      <c r="TOU239" s="243"/>
      <c r="TOV239" s="243"/>
      <c r="TOW239" s="243"/>
      <c r="TOX239" s="243"/>
      <c r="TOY239" s="243"/>
      <c r="TOZ239" s="243"/>
      <c r="TPA239" s="243"/>
      <c r="TPB239" s="243"/>
      <c r="TPC239" s="243"/>
      <c r="TPD239" s="243"/>
      <c r="TPE239" s="243"/>
      <c r="TPF239" s="243"/>
      <c r="TPG239" s="243"/>
      <c r="TPH239" s="243"/>
      <c r="TPI239" s="243"/>
      <c r="TPJ239" s="243"/>
      <c r="TPK239" s="243"/>
      <c r="TPL239" s="243"/>
      <c r="TPM239" s="243"/>
      <c r="TPN239" s="243"/>
      <c r="TPO239" s="243"/>
      <c r="TPP239" s="243"/>
      <c r="TPQ239" s="243"/>
      <c r="TPR239" s="243"/>
      <c r="TPS239" s="243"/>
      <c r="TPT239" s="243"/>
      <c r="TPU239" s="243"/>
      <c r="TPV239" s="243"/>
      <c r="TPW239" s="243"/>
      <c r="TPX239" s="243"/>
      <c r="TPY239" s="243"/>
      <c r="TPZ239" s="243"/>
      <c r="TQA239" s="243"/>
      <c r="TQB239" s="243"/>
      <c r="TQC239" s="243"/>
      <c r="TQD239" s="243"/>
      <c r="TQE239" s="243"/>
      <c r="TQF239" s="243"/>
      <c r="TQG239" s="243"/>
      <c r="TQH239" s="243"/>
      <c r="TQI239" s="243"/>
      <c r="TQJ239" s="243"/>
      <c r="TQK239" s="243"/>
      <c r="TQL239" s="243"/>
      <c r="TQM239" s="243"/>
      <c r="TQN239" s="243"/>
      <c r="TQO239" s="243"/>
      <c r="TQP239" s="243"/>
      <c r="TQQ239" s="243"/>
      <c r="TQR239" s="243"/>
      <c r="TQS239" s="243"/>
      <c r="TQT239" s="243"/>
      <c r="TQU239" s="243"/>
      <c r="TQV239" s="243"/>
      <c r="TQW239" s="243"/>
      <c r="TQX239" s="243"/>
      <c r="TQY239" s="243"/>
      <c r="TQZ239" s="243"/>
      <c r="TRA239" s="243"/>
      <c r="TRB239" s="243"/>
      <c r="TRC239" s="243"/>
      <c r="TRD239" s="243"/>
      <c r="TRE239" s="243"/>
      <c r="TRF239" s="243"/>
      <c r="TRG239" s="243"/>
      <c r="TRH239" s="243"/>
      <c r="TRI239" s="243"/>
      <c r="TRJ239" s="243"/>
      <c r="TRK239" s="243"/>
      <c r="TRL239" s="243"/>
      <c r="TRM239" s="243"/>
      <c r="TRN239" s="243"/>
      <c r="TRO239" s="243"/>
      <c r="TRP239" s="243"/>
      <c r="TRQ239" s="243"/>
      <c r="TRR239" s="243"/>
      <c r="TRS239" s="243"/>
      <c r="TRT239" s="243"/>
      <c r="TRU239" s="243"/>
      <c r="TRV239" s="243"/>
      <c r="TRW239" s="243"/>
      <c r="TRX239" s="243"/>
      <c r="TRY239" s="243"/>
      <c r="TRZ239" s="243"/>
      <c r="TSA239" s="243"/>
      <c r="TSB239" s="243"/>
      <c r="TSC239" s="243"/>
      <c r="TSD239" s="243"/>
      <c r="TSE239" s="243"/>
      <c r="TSF239" s="243"/>
      <c r="TSG239" s="243"/>
      <c r="TSH239" s="243"/>
      <c r="TSI239" s="243"/>
      <c r="TSJ239" s="243"/>
      <c r="TSK239" s="243"/>
      <c r="TSL239" s="243"/>
      <c r="TSM239" s="243"/>
      <c r="TSN239" s="243"/>
      <c r="TSO239" s="243"/>
      <c r="TSP239" s="243"/>
      <c r="TSQ239" s="243"/>
      <c r="TSR239" s="243"/>
      <c r="TSS239" s="243"/>
      <c r="TST239" s="243"/>
      <c r="TSU239" s="243"/>
      <c r="TSV239" s="243"/>
      <c r="TSW239" s="243"/>
      <c r="TSX239" s="243"/>
      <c r="TSY239" s="243"/>
      <c r="TSZ239" s="243"/>
      <c r="TTA239" s="243"/>
      <c r="TTB239" s="243"/>
      <c r="TTC239" s="243"/>
      <c r="TTD239" s="243"/>
      <c r="TTE239" s="243"/>
      <c r="TTF239" s="243"/>
      <c r="TTG239" s="243"/>
      <c r="TTH239" s="243"/>
      <c r="TTI239" s="243"/>
      <c r="TTJ239" s="243"/>
      <c r="TTK239" s="243"/>
      <c r="TTL239" s="243"/>
      <c r="TTM239" s="243"/>
      <c r="TTN239" s="243"/>
      <c r="TTO239" s="243"/>
      <c r="TTP239" s="243"/>
      <c r="TTQ239" s="243"/>
      <c r="TTR239" s="243"/>
      <c r="TTS239" s="243"/>
      <c r="TTT239" s="243"/>
      <c r="TTU239" s="243"/>
      <c r="TTV239" s="243"/>
      <c r="TTW239" s="243"/>
      <c r="TTX239" s="243"/>
      <c r="TTY239" s="243"/>
      <c r="TTZ239" s="243"/>
      <c r="TUA239" s="243"/>
      <c r="TUB239" s="243"/>
      <c r="TUC239" s="243"/>
      <c r="TUD239" s="243"/>
      <c r="TUE239" s="243"/>
      <c r="TUF239" s="243"/>
      <c r="TUG239" s="243"/>
      <c r="TUH239" s="243"/>
      <c r="TUI239" s="243"/>
      <c r="TUJ239" s="243"/>
      <c r="TUK239" s="243"/>
      <c r="TUL239" s="243"/>
      <c r="TUM239" s="243"/>
      <c r="TUN239" s="243"/>
      <c r="TUO239" s="243"/>
      <c r="TUP239" s="243"/>
      <c r="TUQ239" s="243"/>
      <c r="TUR239" s="243"/>
      <c r="TUS239" s="243"/>
      <c r="TUT239" s="243"/>
      <c r="TUU239" s="243"/>
      <c r="TUV239" s="243"/>
      <c r="TUW239" s="243"/>
      <c r="TUX239" s="243"/>
      <c r="TUY239" s="243"/>
      <c r="TUZ239" s="243"/>
      <c r="TVA239" s="243"/>
      <c r="TVB239" s="243"/>
      <c r="TVC239" s="243"/>
      <c r="TVD239" s="243"/>
      <c r="TVE239" s="243"/>
      <c r="TVF239" s="243"/>
      <c r="TVG239" s="243"/>
      <c r="TVH239" s="243"/>
      <c r="TVI239" s="243"/>
      <c r="TVJ239" s="243"/>
      <c r="TVK239" s="243"/>
      <c r="TVL239" s="243"/>
      <c r="TVM239" s="243"/>
      <c r="TVN239" s="243"/>
      <c r="TVO239" s="243"/>
      <c r="TVP239" s="243"/>
      <c r="TVQ239" s="243"/>
      <c r="TVR239" s="243"/>
      <c r="TVS239" s="243"/>
      <c r="TVT239" s="243"/>
      <c r="TVU239" s="243"/>
      <c r="TVV239" s="243"/>
      <c r="TVW239" s="243"/>
      <c r="TVX239" s="243"/>
      <c r="TVY239" s="243"/>
      <c r="TVZ239" s="243"/>
      <c r="TWA239" s="243"/>
      <c r="TWB239" s="243"/>
      <c r="TWC239" s="243"/>
      <c r="TWD239" s="243"/>
      <c r="TWE239" s="243"/>
      <c r="TWF239" s="243"/>
      <c r="TWG239" s="243"/>
      <c r="TWH239" s="243"/>
      <c r="TWI239" s="243"/>
      <c r="TWJ239" s="243"/>
      <c r="TWK239" s="243"/>
      <c r="TWL239" s="243"/>
      <c r="TWM239" s="243"/>
      <c r="TWN239" s="243"/>
      <c r="TWO239" s="243"/>
      <c r="TWP239" s="243"/>
      <c r="TWQ239" s="243"/>
      <c r="TWR239" s="243"/>
      <c r="TWS239" s="243"/>
      <c r="TWT239" s="243"/>
      <c r="TWU239" s="243"/>
      <c r="TWV239" s="243"/>
      <c r="TWW239" s="243"/>
      <c r="TWX239" s="243"/>
      <c r="TWY239" s="243"/>
      <c r="TWZ239" s="243"/>
      <c r="TXA239" s="243"/>
      <c r="TXB239" s="243"/>
      <c r="TXC239" s="243"/>
      <c r="TXD239" s="243"/>
      <c r="TXE239" s="243"/>
      <c r="TXF239" s="243"/>
      <c r="TXG239" s="243"/>
      <c r="TXH239" s="243"/>
      <c r="TXI239" s="243"/>
      <c r="TXJ239" s="243"/>
      <c r="TXK239" s="243"/>
      <c r="TXL239" s="243"/>
      <c r="TXM239" s="243"/>
      <c r="TXN239" s="243"/>
      <c r="TXO239" s="243"/>
      <c r="TXP239" s="243"/>
      <c r="TXQ239" s="243"/>
      <c r="TXR239" s="243"/>
      <c r="TXS239" s="243"/>
      <c r="TXT239" s="243"/>
      <c r="TXU239" s="243"/>
      <c r="TXV239" s="243"/>
      <c r="TXW239" s="243"/>
      <c r="TXX239" s="243"/>
      <c r="TXY239" s="243"/>
      <c r="TXZ239" s="243"/>
      <c r="TYA239" s="243"/>
      <c r="TYB239" s="243"/>
      <c r="TYC239" s="243"/>
      <c r="TYD239" s="243"/>
      <c r="TYE239" s="243"/>
      <c r="TYF239" s="243"/>
      <c r="TYG239" s="243"/>
      <c r="TYH239" s="243"/>
      <c r="TYI239" s="243"/>
      <c r="TYJ239" s="243"/>
      <c r="TYK239" s="243"/>
      <c r="TYL239" s="243"/>
      <c r="TYM239" s="243"/>
      <c r="TYN239" s="243"/>
      <c r="TYO239" s="243"/>
      <c r="TYP239" s="243"/>
      <c r="TYQ239" s="243"/>
      <c r="TYR239" s="243"/>
      <c r="TYS239" s="243"/>
      <c r="TYT239" s="243"/>
      <c r="TYU239" s="243"/>
      <c r="TYV239" s="243"/>
      <c r="TYW239" s="243"/>
      <c r="TYX239" s="243"/>
      <c r="TYY239" s="243"/>
      <c r="TYZ239" s="243"/>
      <c r="TZA239" s="243"/>
      <c r="TZB239" s="243"/>
      <c r="TZC239" s="243"/>
      <c r="TZD239" s="243"/>
      <c r="TZE239" s="243"/>
      <c r="TZF239" s="243"/>
      <c r="TZG239" s="243"/>
      <c r="TZH239" s="243"/>
      <c r="TZI239" s="243"/>
      <c r="TZJ239" s="243"/>
      <c r="TZK239" s="243"/>
      <c r="TZL239" s="243"/>
      <c r="TZM239" s="243"/>
      <c r="TZN239" s="243"/>
      <c r="TZO239" s="243"/>
      <c r="TZP239" s="243"/>
      <c r="TZQ239" s="243"/>
      <c r="TZR239" s="243"/>
      <c r="TZS239" s="243"/>
      <c r="TZT239" s="243"/>
      <c r="TZU239" s="243"/>
      <c r="TZV239" s="243"/>
      <c r="TZW239" s="243"/>
      <c r="TZX239" s="243"/>
      <c r="TZY239" s="243"/>
      <c r="TZZ239" s="243"/>
      <c r="UAA239" s="243"/>
      <c r="UAB239" s="243"/>
      <c r="UAC239" s="243"/>
      <c r="UAD239" s="243"/>
      <c r="UAE239" s="243"/>
      <c r="UAF239" s="243"/>
      <c r="UAG239" s="243"/>
      <c r="UAH239" s="243"/>
      <c r="UAI239" s="243"/>
      <c r="UAJ239" s="243"/>
      <c r="UAK239" s="243"/>
      <c r="UAL239" s="243"/>
      <c r="UAM239" s="243"/>
      <c r="UAN239" s="243"/>
      <c r="UAO239" s="243"/>
      <c r="UAP239" s="243"/>
      <c r="UAQ239" s="243"/>
      <c r="UAR239" s="243"/>
      <c r="UAS239" s="243"/>
      <c r="UAT239" s="243"/>
      <c r="UAU239" s="243"/>
      <c r="UAV239" s="243"/>
      <c r="UAW239" s="243"/>
      <c r="UAX239" s="243"/>
      <c r="UAY239" s="243"/>
      <c r="UAZ239" s="243"/>
      <c r="UBA239" s="243"/>
      <c r="UBB239" s="243"/>
      <c r="UBC239" s="243"/>
      <c r="UBD239" s="243"/>
      <c r="UBE239" s="243"/>
      <c r="UBF239" s="243"/>
      <c r="UBG239" s="243"/>
      <c r="UBH239" s="243"/>
      <c r="UBI239" s="243"/>
      <c r="UBJ239" s="243"/>
      <c r="UBK239" s="243"/>
      <c r="UBL239" s="243"/>
      <c r="UBM239" s="243"/>
      <c r="UBN239" s="243"/>
      <c r="UBO239" s="243"/>
      <c r="UBP239" s="243"/>
      <c r="UBQ239" s="243"/>
      <c r="UBR239" s="243"/>
      <c r="UBS239" s="243"/>
      <c r="UBT239" s="243"/>
      <c r="UBU239" s="243"/>
      <c r="UBV239" s="243"/>
      <c r="UBW239" s="243"/>
      <c r="UBX239" s="243"/>
      <c r="UBY239" s="243"/>
      <c r="UBZ239" s="243"/>
      <c r="UCA239" s="243"/>
      <c r="UCB239" s="243"/>
      <c r="UCC239" s="243"/>
      <c r="UCD239" s="243"/>
      <c r="UCE239" s="243"/>
      <c r="UCF239" s="243"/>
      <c r="UCG239" s="243"/>
      <c r="UCH239" s="243"/>
      <c r="UCI239" s="243"/>
      <c r="UCJ239" s="243"/>
      <c r="UCK239" s="243"/>
      <c r="UCL239" s="243"/>
      <c r="UCM239" s="243"/>
      <c r="UCN239" s="243"/>
      <c r="UCO239" s="243"/>
      <c r="UCP239" s="243"/>
      <c r="UCQ239" s="243"/>
      <c r="UCR239" s="243"/>
      <c r="UCS239" s="243"/>
      <c r="UCT239" s="243"/>
      <c r="UCU239" s="243"/>
      <c r="UCV239" s="243"/>
      <c r="UCW239" s="243"/>
      <c r="UCX239" s="243"/>
      <c r="UCY239" s="243"/>
      <c r="UCZ239" s="243"/>
      <c r="UDA239" s="243"/>
      <c r="UDB239" s="243"/>
      <c r="UDC239" s="243"/>
      <c r="UDD239" s="243"/>
      <c r="UDE239" s="243"/>
      <c r="UDF239" s="243"/>
      <c r="UDG239" s="243"/>
      <c r="UDH239" s="243"/>
      <c r="UDI239" s="243"/>
      <c r="UDJ239" s="243"/>
      <c r="UDK239" s="243"/>
      <c r="UDL239" s="243"/>
      <c r="UDM239" s="243"/>
      <c r="UDN239" s="243"/>
      <c r="UDO239" s="243"/>
      <c r="UDP239" s="243"/>
      <c r="UDQ239" s="243"/>
      <c r="UDR239" s="243"/>
      <c r="UDS239" s="243"/>
      <c r="UDT239" s="243"/>
      <c r="UDU239" s="243"/>
      <c r="UDV239" s="243"/>
      <c r="UDW239" s="243"/>
      <c r="UDX239" s="243"/>
      <c r="UDY239" s="243"/>
      <c r="UDZ239" s="243"/>
      <c r="UEA239" s="243"/>
      <c r="UEB239" s="243"/>
      <c r="UEC239" s="243"/>
      <c r="UED239" s="243"/>
      <c r="UEE239" s="243"/>
      <c r="UEF239" s="243"/>
      <c r="UEG239" s="243"/>
      <c r="UEH239" s="243"/>
      <c r="UEI239" s="243"/>
      <c r="UEJ239" s="243"/>
      <c r="UEK239" s="243"/>
      <c r="UEL239" s="243"/>
      <c r="UEM239" s="243"/>
      <c r="UEN239" s="243"/>
      <c r="UEO239" s="243"/>
      <c r="UEP239" s="243"/>
      <c r="UEQ239" s="243"/>
      <c r="UER239" s="243"/>
      <c r="UES239" s="243"/>
      <c r="UET239" s="243"/>
      <c r="UEU239" s="243"/>
      <c r="UEV239" s="243"/>
      <c r="UEW239" s="243"/>
      <c r="UEX239" s="243"/>
      <c r="UEY239" s="243"/>
      <c r="UEZ239" s="243"/>
      <c r="UFA239" s="243"/>
      <c r="UFB239" s="243"/>
      <c r="UFC239" s="243"/>
      <c r="UFD239" s="243"/>
      <c r="UFE239" s="243"/>
      <c r="UFF239" s="243"/>
      <c r="UFG239" s="243"/>
      <c r="UFH239" s="243"/>
      <c r="UFI239" s="243"/>
      <c r="UFJ239" s="243"/>
      <c r="UFK239" s="243"/>
      <c r="UFL239" s="243"/>
      <c r="UFM239" s="243"/>
      <c r="UFN239" s="243"/>
      <c r="UFO239" s="243"/>
      <c r="UFP239" s="243"/>
      <c r="UFQ239" s="243"/>
      <c r="UFR239" s="243"/>
      <c r="UFS239" s="243"/>
      <c r="UFT239" s="243"/>
      <c r="UFU239" s="243"/>
      <c r="UFV239" s="243"/>
      <c r="UFW239" s="243"/>
      <c r="UFX239" s="243"/>
      <c r="UFY239" s="243"/>
      <c r="UFZ239" s="243"/>
      <c r="UGA239" s="243"/>
      <c r="UGB239" s="243"/>
      <c r="UGC239" s="243"/>
      <c r="UGD239" s="243"/>
      <c r="UGE239" s="243"/>
      <c r="UGF239" s="243"/>
      <c r="UGG239" s="243"/>
      <c r="UGH239" s="243"/>
      <c r="UGI239" s="243"/>
      <c r="UGJ239" s="243"/>
      <c r="UGK239" s="243"/>
      <c r="UGL239" s="243"/>
      <c r="UGM239" s="243"/>
      <c r="UGN239" s="243"/>
      <c r="UGO239" s="243"/>
      <c r="UGP239" s="243"/>
      <c r="UGQ239" s="243"/>
      <c r="UGR239" s="243"/>
      <c r="UGS239" s="243"/>
      <c r="UGT239" s="243"/>
      <c r="UGU239" s="243"/>
      <c r="UGV239" s="243"/>
      <c r="UGW239" s="243"/>
      <c r="UGX239" s="243"/>
      <c r="UGY239" s="243"/>
      <c r="UGZ239" s="243"/>
      <c r="UHA239" s="243"/>
      <c r="UHB239" s="243"/>
      <c r="UHC239" s="243"/>
      <c r="UHD239" s="243"/>
      <c r="UHE239" s="243"/>
      <c r="UHF239" s="243"/>
      <c r="UHG239" s="243"/>
      <c r="UHH239" s="243"/>
      <c r="UHI239" s="243"/>
      <c r="UHJ239" s="243"/>
      <c r="UHK239" s="243"/>
      <c r="UHL239" s="243"/>
      <c r="UHM239" s="243"/>
      <c r="UHN239" s="243"/>
      <c r="UHO239" s="243"/>
      <c r="UHP239" s="243"/>
      <c r="UHQ239" s="243"/>
      <c r="UHR239" s="243"/>
      <c r="UHS239" s="243"/>
      <c r="UHT239" s="243"/>
      <c r="UHU239" s="243"/>
      <c r="UHV239" s="243"/>
      <c r="UHW239" s="243"/>
      <c r="UHX239" s="243"/>
      <c r="UHY239" s="243"/>
      <c r="UHZ239" s="243"/>
      <c r="UIA239" s="243"/>
      <c r="UIB239" s="243"/>
      <c r="UIC239" s="243"/>
      <c r="UID239" s="243"/>
      <c r="UIE239" s="243"/>
      <c r="UIF239" s="243"/>
      <c r="UIG239" s="243"/>
      <c r="UIH239" s="243"/>
      <c r="UII239" s="243"/>
      <c r="UIJ239" s="243"/>
      <c r="UIK239" s="243"/>
      <c r="UIL239" s="243"/>
      <c r="UIM239" s="243"/>
      <c r="UIN239" s="243"/>
      <c r="UIO239" s="243"/>
      <c r="UIP239" s="243"/>
      <c r="UIQ239" s="243"/>
      <c r="UIR239" s="243"/>
      <c r="UIS239" s="243"/>
      <c r="UIT239" s="243"/>
      <c r="UIU239" s="243"/>
      <c r="UIV239" s="243"/>
      <c r="UIW239" s="243"/>
      <c r="UIX239" s="243"/>
      <c r="UIY239" s="243"/>
      <c r="UIZ239" s="243"/>
      <c r="UJA239" s="243"/>
      <c r="UJB239" s="243"/>
      <c r="UJC239" s="243"/>
      <c r="UJD239" s="243"/>
      <c r="UJE239" s="243"/>
      <c r="UJF239" s="243"/>
      <c r="UJG239" s="243"/>
      <c r="UJH239" s="243"/>
      <c r="UJI239" s="243"/>
      <c r="UJJ239" s="243"/>
      <c r="UJK239" s="243"/>
      <c r="UJL239" s="243"/>
      <c r="UJM239" s="243"/>
      <c r="UJN239" s="243"/>
      <c r="UJO239" s="243"/>
      <c r="UJP239" s="243"/>
      <c r="UJQ239" s="243"/>
      <c r="UJR239" s="243"/>
      <c r="UJS239" s="243"/>
      <c r="UJT239" s="243"/>
      <c r="UJU239" s="243"/>
      <c r="UJV239" s="243"/>
      <c r="UJW239" s="243"/>
      <c r="UJX239" s="243"/>
      <c r="UJY239" s="243"/>
      <c r="UJZ239" s="243"/>
      <c r="UKA239" s="243"/>
      <c r="UKB239" s="243"/>
      <c r="UKC239" s="243"/>
      <c r="UKD239" s="243"/>
      <c r="UKE239" s="243"/>
      <c r="UKF239" s="243"/>
      <c r="UKG239" s="243"/>
      <c r="UKH239" s="243"/>
      <c r="UKI239" s="243"/>
      <c r="UKJ239" s="243"/>
      <c r="UKK239" s="243"/>
      <c r="UKL239" s="243"/>
      <c r="UKM239" s="243"/>
      <c r="UKN239" s="243"/>
      <c r="UKO239" s="243"/>
      <c r="UKP239" s="243"/>
      <c r="UKQ239" s="243"/>
      <c r="UKR239" s="243"/>
      <c r="UKS239" s="243"/>
      <c r="UKT239" s="243"/>
      <c r="UKU239" s="243"/>
      <c r="UKV239" s="243"/>
      <c r="UKW239" s="243"/>
      <c r="UKX239" s="243"/>
      <c r="UKY239" s="243"/>
      <c r="UKZ239" s="243"/>
      <c r="ULA239" s="243"/>
      <c r="ULB239" s="243"/>
      <c r="ULC239" s="243"/>
      <c r="ULD239" s="243"/>
      <c r="ULE239" s="243"/>
      <c r="ULF239" s="243"/>
      <c r="ULG239" s="243"/>
      <c r="ULH239" s="243"/>
      <c r="ULI239" s="243"/>
      <c r="ULJ239" s="243"/>
      <c r="ULK239" s="243"/>
      <c r="ULL239" s="243"/>
      <c r="ULM239" s="243"/>
      <c r="ULN239" s="243"/>
      <c r="ULO239" s="243"/>
      <c r="ULP239" s="243"/>
      <c r="ULQ239" s="243"/>
      <c r="ULR239" s="243"/>
      <c r="ULS239" s="243"/>
      <c r="ULT239" s="243"/>
      <c r="ULU239" s="243"/>
      <c r="ULV239" s="243"/>
      <c r="ULW239" s="243"/>
      <c r="ULX239" s="243"/>
      <c r="ULY239" s="243"/>
      <c r="ULZ239" s="243"/>
      <c r="UMA239" s="243"/>
      <c r="UMB239" s="243"/>
      <c r="UMC239" s="243"/>
      <c r="UMD239" s="243"/>
      <c r="UME239" s="243"/>
      <c r="UMF239" s="243"/>
      <c r="UMG239" s="243"/>
      <c r="UMH239" s="243"/>
      <c r="UMI239" s="243"/>
      <c r="UMJ239" s="243"/>
      <c r="UMK239" s="243"/>
      <c r="UML239" s="243"/>
      <c r="UMM239" s="243"/>
      <c r="UMN239" s="243"/>
      <c r="UMO239" s="243"/>
      <c r="UMP239" s="243"/>
      <c r="UMQ239" s="243"/>
      <c r="UMR239" s="243"/>
      <c r="UMS239" s="243"/>
      <c r="UMT239" s="243"/>
      <c r="UMU239" s="243"/>
      <c r="UMV239" s="243"/>
      <c r="UMW239" s="243"/>
      <c r="UMX239" s="243"/>
      <c r="UMY239" s="243"/>
      <c r="UMZ239" s="243"/>
      <c r="UNA239" s="243"/>
      <c r="UNB239" s="243"/>
      <c r="UNC239" s="243"/>
      <c r="UND239" s="243"/>
      <c r="UNE239" s="243"/>
      <c r="UNF239" s="243"/>
      <c r="UNG239" s="243"/>
      <c r="UNH239" s="243"/>
      <c r="UNI239" s="243"/>
      <c r="UNJ239" s="243"/>
      <c r="UNK239" s="243"/>
      <c r="UNL239" s="243"/>
      <c r="UNM239" s="243"/>
      <c r="UNN239" s="243"/>
      <c r="UNO239" s="243"/>
      <c r="UNP239" s="243"/>
      <c r="UNQ239" s="243"/>
      <c r="UNR239" s="243"/>
      <c r="UNS239" s="243"/>
      <c r="UNT239" s="243"/>
      <c r="UNU239" s="243"/>
      <c r="UNV239" s="243"/>
      <c r="UNW239" s="243"/>
      <c r="UNX239" s="243"/>
      <c r="UNY239" s="243"/>
      <c r="UNZ239" s="243"/>
      <c r="UOA239" s="243"/>
      <c r="UOB239" s="243"/>
      <c r="UOC239" s="243"/>
      <c r="UOD239" s="243"/>
      <c r="UOE239" s="243"/>
      <c r="UOF239" s="243"/>
      <c r="UOG239" s="243"/>
      <c r="UOH239" s="243"/>
      <c r="UOI239" s="243"/>
      <c r="UOJ239" s="243"/>
      <c r="UOK239" s="243"/>
      <c r="UOL239" s="243"/>
      <c r="UOM239" s="243"/>
      <c r="UON239" s="243"/>
      <c r="UOO239" s="243"/>
      <c r="UOP239" s="243"/>
      <c r="UOQ239" s="243"/>
      <c r="UOR239" s="243"/>
      <c r="UOS239" s="243"/>
      <c r="UOT239" s="243"/>
      <c r="UOU239" s="243"/>
      <c r="UOV239" s="243"/>
      <c r="UOW239" s="243"/>
      <c r="UOX239" s="243"/>
      <c r="UOY239" s="243"/>
      <c r="UOZ239" s="243"/>
      <c r="UPA239" s="243"/>
      <c r="UPB239" s="243"/>
      <c r="UPC239" s="243"/>
      <c r="UPD239" s="243"/>
      <c r="UPE239" s="243"/>
      <c r="UPF239" s="243"/>
      <c r="UPG239" s="243"/>
      <c r="UPH239" s="243"/>
      <c r="UPI239" s="243"/>
      <c r="UPJ239" s="243"/>
      <c r="UPK239" s="243"/>
      <c r="UPL239" s="243"/>
      <c r="UPM239" s="243"/>
      <c r="UPN239" s="243"/>
      <c r="UPO239" s="243"/>
      <c r="UPP239" s="243"/>
      <c r="UPQ239" s="243"/>
      <c r="UPR239" s="243"/>
      <c r="UPS239" s="243"/>
      <c r="UPT239" s="243"/>
      <c r="UPU239" s="243"/>
      <c r="UPV239" s="243"/>
      <c r="UPW239" s="243"/>
      <c r="UPX239" s="243"/>
      <c r="UPY239" s="243"/>
      <c r="UPZ239" s="243"/>
      <c r="UQA239" s="243"/>
      <c r="UQB239" s="243"/>
      <c r="UQC239" s="243"/>
      <c r="UQD239" s="243"/>
      <c r="UQE239" s="243"/>
      <c r="UQF239" s="243"/>
      <c r="UQG239" s="243"/>
      <c r="UQH239" s="243"/>
      <c r="UQI239" s="243"/>
      <c r="UQJ239" s="243"/>
      <c r="UQK239" s="243"/>
      <c r="UQL239" s="243"/>
      <c r="UQM239" s="243"/>
      <c r="UQN239" s="243"/>
      <c r="UQO239" s="243"/>
      <c r="UQP239" s="243"/>
      <c r="UQQ239" s="243"/>
      <c r="UQR239" s="243"/>
      <c r="UQS239" s="243"/>
      <c r="UQT239" s="243"/>
      <c r="UQU239" s="243"/>
      <c r="UQV239" s="243"/>
      <c r="UQW239" s="243"/>
      <c r="UQX239" s="243"/>
      <c r="UQY239" s="243"/>
      <c r="UQZ239" s="243"/>
      <c r="URA239" s="243"/>
      <c r="URB239" s="243"/>
      <c r="URC239" s="243"/>
      <c r="URD239" s="243"/>
      <c r="URE239" s="243"/>
      <c r="URF239" s="243"/>
      <c r="URG239" s="243"/>
      <c r="URH239" s="243"/>
      <c r="URI239" s="243"/>
      <c r="URJ239" s="243"/>
      <c r="URK239" s="243"/>
      <c r="URL239" s="243"/>
      <c r="URM239" s="243"/>
      <c r="URN239" s="243"/>
      <c r="URO239" s="243"/>
      <c r="URP239" s="243"/>
      <c r="URQ239" s="243"/>
      <c r="URR239" s="243"/>
      <c r="URS239" s="243"/>
      <c r="URT239" s="243"/>
      <c r="URU239" s="243"/>
      <c r="URV239" s="243"/>
      <c r="URW239" s="243"/>
      <c r="URX239" s="243"/>
      <c r="URY239" s="243"/>
      <c r="URZ239" s="243"/>
      <c r="USA239" s="243"/>
      <c r="USB239" s="243"/>
      <c r="USC239" s="243"/>
      <c r="USD239" s="243"/>
      <c r="USE239" s="243"/>
      <c r="USF239" s="243"/>
      <c r="USG239" s="243"/>
      <c r="USH239" s="243"/>
      <c r="USI239" s="243"/>
      <c r="USJ239" s="243"/>
      <c r="USK239" s="243"/>
      <c r="USL239" s="243"/>
      <c r="USM239" s="243"/>
      <c r="USN239" s="243"/>
      <c r="USO239" s="243"/>
      <c r="USP239" s="243"/>
      <c r="USQ239" s="243"/>
      <c r="USR239" s="243"/>
      <c r="USS239" s="243"/>
      <c r="UST239" s="243"/>
      <c r="USU239" s="243"/>
      <c r="USV239" s="243"/>
      <c r="USW239" s="243"/>
      <c r="USX239" s="243"/>
      <c r="USY239" s="243"/>
      <c r="USZ239" s="243"/>
      <c r="UTA239" s="243"/>
      <c r="UTB239" s="243"/>
      <c r="UTC239" s="243"/>
      <c r="UTD239" s="243"/>
      <c r="UTE239" s="243"/>
      <c r="UTF239" s="243"/>
      <c r="UTG239" s="243"/>
      <c r="UTH239" s="243"/>
      <c r="UTI239" s="243"/>
      <c r="UTJ239" s="243"/>
      <c r="UTK239" s="243"/>
      <c r="UTL239" s="243"/>
      <c r="UTM239" s="243"/>
      <c r="UTN239" s="243"/>
      <c r="UTO239" s="243"/>
      <c r="UTP239" s="243"/>
      <c r="UTQ239" s="243"/>
      <c r="UTR239" s="243"/>
      <c r="UTS239" s="243"/>
      <c r="UTT239" s="243"/>
      <c r="UTU239" s="243"/>
      <c r="UTV239" s="243"/>
      <c r="UTW239" s="243"/>
      <c r="UTX239" s="243"/>
      <c r="UTY239" s="243"/>
      <c r="UTZ239" s="243"/>
      <c r="UUA239" s="243"/>
      <c r="UUB239" s="243"/>
      <c r="UUC239" s="243"/>
      <c r="UUD239" s="243"/>
      <c r="UUE239" s="243"/>
      <c r="UUF239" s="243"/>
      <c r="UUG239" s="243"/>
      <c r="UUH239" s="243"/>
      <c r="UUI239" s="243"/>
      <c r="UUJ239" s="243"/>
      <c r="UUK239" s="243"/>
      <c r="UUL239" s="243"/>
      <c r="UUM239" s="243"/>
      <c r="UUN239" s="243"/>
      <c r="UUO239" s="243"/>
      <c r="UUP239" s="243"/>
      <c r="UUQ239" s="243"/>
      <c r="UUR239" s="243"/>
      <c r="UUS239" s="243"/>
      <c r="UUT239" s="243"/>
      <c r="UUU239" s="243"/>
      <c r="UUV239" s="243"/>
      <c r="UUW239" s="243"/>
      <c r="UUX239" s="243"/>
      <c r="UUY239" s="243"/>
      <c r="UUZ239" s="243"/>
      <c r="UVA239" s="243"/>
      <c r="UVB239" s="243"/>
      <c r="UVC239" s="243"/>
      <c r="UVD239" s="243"/>
      <c r="UVE239" s="243"/>
      <c r="UVF239" s="243"/>
      <c r="UVG239" s="243"/>
      <c r="UVH239" s="243"/>
      <c r="UVI239" s="243"/>
      <c r="UVJ239" s="243"/>
      <c r="UVK239" s="243"/>
      <c r="UVL239" s="243"/>
      <c r="UVM239" s="243"/>
      <c r="UVN239" s="243"/>
      <c r="UVO239" s="243"/>
      <c r="UVP239" s="243"/>
      <c r="UVQ239" s="243"/>
      <c r="UVR239" s="243"/>
      <c r="UVS239" s="243"/>
      <c r="UVT239" s="243"/>
      <c r="UVU239" s="243"/>
      <c r="UVV239" s="243"/>
      <c r="UVW239" s="243"/>
      <c r="UVX239" s="243"/>
      <c r="UVY239" s="243"/>
      <c r="UVZ239" s="243"/>
      <c r="UWA239" s="243"/>
      <c r="UWB239" s="243"/>
      <c r="UWC239" s="243"/>
      <c r="UWD239" s="243"/>
      <c r="UWE239" s="243"/>
      <c r="UWF239" s="243"/>
      <c r="UWG239" s="243"/>
      <c r="UWH239" s="243"/>
      <c r="UWI239" s="243"/>
      <c r="UWJ239" s="243"/>
      <c r="UWK239" s="243"/>
      <c r="UWL239" s="243"/>
      <c r="UWM239" s="243"/>
      <c r="UWN239" s="243"/>
      <c r="UWO239" s="243"/>
      <c r="UWP239" s="243"/>
      <c r="UWQ239" s="243"/>
      <c r="UWR239" s="243"/>
      <c r="UWS239" s="243"/>
      <c r="UWT239" s="243"/>
      <c r="UWU239" s="243"/>
      <c r="UWV239" s="243"/>
      <c r="UWW239" s="243"/>
      <c r="UWX239" s="243"/>
      <c r="UWY239" s="243"/>
      <c r="UWZ239" s="243"/>
      <c r="UXA239" s="243"/>
      <c r="UXB239" s="243"/>
      <c r="UXC239" s="243"/>
      <c r="UXD239" s="243"/>
      <c r="UXE239" s="243"/>
      <c r="UXF239" s="243"/>
      <c r="UXG239" s="243"/>
      <c r="UXH239" s="243"/>
      <c r="UXI239" s="243"/>
      <c r="UXJ239" s="243"/>
      <c r="UXK239" s="243"/>
      <c r="UXL239" s="243"/>
      <c r="UXM239" s="243"/>
      <c r="UXN239" s="243"/>
      <c r="UXO239" s="243"/>
      <c r="UXP239" s="243"/>
      <c r="UXQ239" s="243"/>
      <c r="UXR239" s="243"/>
      <c r="UXS239" s="243"/>
      <c r="UXT239" s="243"/>
      <c r="UXU239" s="243"/>
      <c r="UXV239" s="243"/>
      <c r="UXW239" s="243"/>
      <c r="UXX239" s="243"/>
      <c r="UXY239" s="243"/>
      <c r="UXZ239" s="243"/>
      <c r="UYA239" s="243"/>
      <c r="UYB239" s="243"/>
      <c r="UYC239" s="243"/>
      <c r="UYD239" s="243"/>
      <c r="UYE239" s="243"/>
      <c r="UYF239" s="243"/>
      <c r="UYG239" s="243"/>
      <c r="UYH239" s="243"/>
      <c r="UYI239" s="243"/>
      <c r="UYJ239" s="243"/>
      <c r="UYK239" s="243"/>
      <c r="UYL239" s="243"/>
      <c r="UYM239" s="243"/>
      <c r="UYN239" s="243"/>
      <c r="UYO239" s="243"/>
      <c r="UYP239" s="243"/>
      <c r="UYQ239" s="243"/>
      <c r="UYR239" s="243"/>
      <c r="UYS239" s="243"/>
      <c r="UYT239" s="243"/>
      <c r="UYU239" s="243"/>
      <c r="UYV239" s="243"/>
      <c r="UYW239" s="243"/>
      <c r="UYX239" s="243"/>
      <c r="UYY239" s="243"/>
      <c r="UYZ239" s="243"/>
      <c r="UZA239" s="243"/>
      <c r="UZB239" s="243"/>
      <c r="UZC239" s="243"/>
      <c r="UZD239" s="243"/>
      <c r="UZE239" s="243"/>
      <c r="UZF239" s="243"/>
      <c r="UZG239" s="243"/>
      <c r="UZH239" s="243"/>
      <c r="UZI239" s="243"/>
      <c r="UZJ239" s="243"/>
      <c r="UZK239" s="243"/>
      <c r="UZL239" s="243"/>
      <c r="UZM239" s="243"/>
      <c r="UZN239" s="243"/>
      <c r="UZO239" s="243"/>
      <c r="UZP239" s="243"/>
      <c r="UZQ239" s="243"/>
      <c r="UZR239" s="243"/>
      <c r="UZS239" s="243"/>
      <c r="UZT239" s="243"/>
      <c r="UZU239" s="243"/>
      <c r="UZV239" s="243"/>
      <c r="UZW239" s="243"/>
      <c r="UZX239" s="243"/>
      <c r="UZY239" s="243"/>
      <c r="UZZ239" s="243"/>
      <c r="VAA239" s="243"/>
      <c r="VAB239" s="243"/>
      <c r="VAC239" s="243"/>
      <c r="VAD239" s="243"/>
      <c r="VAE239" s="243"/>
      <c r="VAF239" s="243"/>
      <c r="VAG239" s="243"/>
      <c r="VAH239" s="243"/>
      <c r="VAI239" s="243"/>
      <c r="VAJ239" s="243"/>
      <c r="VAK239" s="243"/>
      <c r="VAL239" s="243"/>
      <c r="VAM239" s="243"/>
      <c r="VAN239" s="243"/>
      <c r="VAO239" s="243"/>
      <c r="VAP239" s="243"/>
      <c r="VAQ239" s="243"/>
      <c r="VAR239" s="243"/>
      <c r="VAS239" s="243"/>
      <c r="VAT239" s="243"/>
      <c r="VAU239" s="243"/>
      <c r="VAV239" s="243"/>
      <c r="VAW239" s="243"/>
      <c r="VAX239" s="243"/>
      <c r="VAY239" s="243"/>
      <c r="VAZ239" s="243"/>
      <c r="VBA239" s="243"/>
      <c r="VBB239" s="243"/>
      <c r="VBC239" s="243"/>
      <c r="VBD239" s="243"/>
      <c r="VBE239" s="243"/>
      <c r="VBF239" s="243"/>
      <c r="VBG239" s="243"/>
      <c r="VBH239" s="243"/>
      <c r="VBI239" s="243"/>
      <c r="VBJ239" s="243"/>
      <c r="VBK239" s="243"/>
      <c r="VBL239" s="243"/>
      <c r="VBM239" s="243"/>
      <c r="VBN239" s="243"/>
      <c r="VBO239" s="243"/>
      <c r="VBP239" s="243"/>
      <c r="VBQ239" s="243"/>
      <c r="VBR239" s="243"/>
      <c r="VBS239" s="243"/>
      <c r="VBT239" s="243"/>
      <c r="VBU239" s="243"/>
      <c r="VBV239" s="243"/>
      <c r="VBW239" s="243"/>
      <c r="VBX239" s="243"/>
      <c r="VBY239" s="243"/>
      <c r="VBZ239" s="243"/>
      <c r="VCA239" s="243"/>
      <c r="VCB239" s="243"/>
      <c r="VCC239" s="243"/>
      <c r="VCD239" s="243"/>
      <c r="VCE239" s="243"/>
      <c r="VCF239" s="243"/>
      <c r="VCG239" s="243"/>
      <c r="VCH239" s="243"/>
      <c r="VCI239" s="243"/>
      <c r="VCJ239" s="243"/>
      <c r="VCK239" s="243"/>
      <c r="VCL239" s="243"/>
      <c r="VCM239" s="243"/>
      <c r="VCN239" s="243"/>
      <c r="VCO239" s="243"/>
      <c r="VCP239" s="243"/>
      <c r="VCQ239" s="243"/>
      <c r="VCR239" s="243"/>
      <c r="VCS239" s="243"/>
      <c r="VCT239" s="243"/>
      <c r="VCU239" s="243"/>
      <c r="VCV239" s="243"/>
      <c r="VCW239" s="243"/>
      <c r="VCX239" s="243"/>
      <c r="VCY239" s="243"/>
      <c r="VCZ239" s="243"/>
      <c r="VDA239" s="243"/>
      <c r="VDB239" s="243"/>
      <c r="VDC239" s="243"/>
      <c r="VDD239" s="243"/>
      <c r="VDE239" s="243"/>
      <c r="VDF239" s="243"/>
      <c r="VDG239" s="243"/>
      <c r="VDH239" s="243"/>
      <c r="VDI239" s="243"/>
      <c r="VDJ239" s="243"/>
      <c r="VDK239" s="243"/>
      <c r="VDL239" s="243"/>
      <c r="VDM239" s="243"/>
      <c r="VDN239" s="243"/>
      <c r="VDO239" s="243"/>
      <c r="VDP239" s="243"/>
      <c r="VDQ239" s="243"/>
      <c r="VDR239" s="243"/>
      <c r="VDS239" s="243"/>
      <c r="VDT239" s="243"/>
      <c r="VDU239" s="243"/>
      <c r="VDV239" s="243"/>
      <c r="VDW239" s="243"/>
      <c r="VDX239" s="243"/>
      <c r="VDY239" s="243"/>
      <c r="VDZ239" s="243"/>
      <c r="VEA239" s="243"/>
      <c r="VEB239" s="243"/>
      <c r="VEC239" s="243"/>
      <c r="VED239" s="243"/>
      <c r="VEE239" s="243"/>
      <c r="VEF239" s="243"/>
      <c r="VEG239" s="243"/>
      <c r="VEH239" s="243"/>
      <c r="VEI239" s="243"/>
      <c r="VEJ239" s="243"/>
      <c r="VEK239" s="243"/>
      <c r="VEL239" s="243"/>
      <c r="VEM239" s="243"/>
      <c r="VEN239" s="243"/>
      <c r="VEO239" s="243"/>
      <c r="VEP239" s="243"/>
      <c r="VEQ239" s="243"/>
      <c r="VER239" s="243"/>
      <c r="VES239" s="243"/>
      <c r="VET239" s="243"/>
      <c r="VEU239" s="243"/>
      <c r="VEV239" s="243"/>
      <c r="VEW239" s="243"/>
      <c r="VEX239" s="243"/>
      <c r="VEY239" s="243"/>
      <c r="VEZ239" s="243"/>
      <c r="VFA239" s="243"/>
      <c r="VFB239" s="243"/>
      <c r="VFC239" s="243"/>
      <c r="VFD239" s="243"/>
      <c r="VFE239" s="243"/>
      <c r="VFF239" s="243"/>
      <c r="VFG239" s="243"/>
      <c r="VFH239" s="243"/>
      <c r="VFI239" s="243"/>
      <c r="VFJ239" s="243"/>
      <c r="VFK239" s="243"/>
      <c r="VFL239" s="243"/>
      <c r="VFM239" s="243"/>
      <c r="VFN239" s="243"/>
      <c r="VFO239" s="243"/>
      <c r="VFP239" s="243"/>
      <c r="VFQ239" s="243"/>
      <c r="VFR239" s="243"/>
      <c r="VFS239" s="243"/>
      <c r="VFT239" s="243"/>
      <c r="VFU239" s="243"/>
      <c r="VFV239" s="243"/>
      <c r="VFW239" s="243"/>
      <c r="VFX239" s="243"/>
      <c r="VFY239" s="243"/>
      <c r="VFZ239" s="243"/>
      <c r="VGA239" s="243"/>
      <c r="VGB239" s="243"/>
      <c r="VGC239" s="243"/>
      <c r="VGD239" s="243"/>
      <c r="VGE239" s="243"/>
      <c r="VGF239" s="243"/>
      <c r="VGG239" s="243"/>
      <c r="VGH239" s="243"/>
      <c r="VGI239" s="243"/>
      <c r="VGJ239" s="243"/>
      <c r="VGK239" s="243"/>
      <c r="VGL239" s="243"/>
      <c r="VGM239" s="243"/>
      <c r="VGN239" s="243"/>
      <c r="VGO239" s="243"/>
      <c r="VGP239" s="243"/>
      <c r="VGQ239" s="243"/>
      <c r="VGR239" s="243"/>
      <c r="VGS239" s="243"/>
      <c r="VGT239" s="243"/>
      <c r="VGU239" s="243"/>
      <c r="VGV239" s="243"/>
      <c r="VGW239" s="243"/>
      <c r="VGX239" s="243"/>
      <c r="VGY239" s="243"/>
      <c r="VGZ239" s="243"/>
      <c r="VHA239" s="243"/>
      <c r="VHB239" s="243"/>
      <c r="VHC239" s="243"/>
      <c r="VHD239" s="243"/>
      <c r="VHE239" s="243"/>
      <c r="VHF239" s="243"/>
      <c r="VHG239" s="243"/>
      <c r="VHH239" s="243"/>
      <c r="VHI239" s="243"/>
      <c r="VHJ239" s="243"/>
      <c r="VHK239" s="243"/>
      <c r="VHL239" s="243"/>
      <c r="VHM239" s="243"/>
      <c r="VHN239" s="243"/>
      <c r="VHO239" s="243"/>
      <c r="VHP239" s="243"/>
      <c r="VHQ239" s="243"/>
      <c r="VHR239" s="243"/>
      <c r="VHS239" s="243"/>
      <c r="VHT239" s="243"/>
      <c r="VHU239" s="243"/>
      <c r="VHV239" s="243"/>
      <c r="VHW239" s="243"/>
      <c r="VHX239" s="243"/>
      <c r="VHY239" s="243"/>
      <c r="VHZ239" s="243"/>
      <c r="VIA239" s="243"/>
      <c r="VIB239" s="243"/>
      <c r="VIC239" s="243"/>
      <c r="VID239" s="243"/>
      <c r="VIE239" s="243"/>
      <c r="VIF239" s="243"/>
      <c r="VIG239" s="243"/>
      <c r="VIH239" s="243"/>
      <c r="VII239" s="243"/>
      <c r="VIJ239" s="243"/>
      <c r="VIK239" s="243"/>
      <c r="VIL239" s="243"/>
      <c r="VIM239" s="243"/>
      <c r="VIN239" s="243"/>
      <c r="VIO239" s="243"/>
      <c r="VIP239" s="243"/>
      <c r="VIQ239" s="243"/>
      <c r="VIR239" s="243"/>
      <c r="VIS239" s="243"/>
      <c r="VIT239" s="243"/>
      <c r="VIU239" s="243"/>
      <c r="VIV239" s="243"/>
      <c r="VIW239" s="243"/>
      <c r="VIX239" s="243"/>
      <c r="VIY239" s="243"/>
      <c r="VIZ239" s="243"/>
      <c r="VJA239" s="243"/>
      <c r="VJB239" s="243"/>
      <c r="VJC239" s="243"/>
      <c r="VJD239" s="243"/>
      <c r="VJE239" s="243"/>
      <c r="VJF239" s="243"/>
      <c r="VJG239" s="243"/>
      <c r="VJH239" s="243"/>
      <c r="VJI239" s="243"/>
      <c r="VJJ239" s="243"/>
      <c r="VJK239" s="243"/>
      <c r="VJL239" s="243"/>
      <c r="VJM239" s="243"/>
      <c r="VJN239" s="243"/>
      <c r="VJO239" s="243"/>
      <c r="VJP239" s="243"/>
      <c r="VJQ239" s="243"/>
      <c r="VJR239" s="243"/>
      <c r="VJS239" s="243"/>
      <c r="VJT239" s="243"/>
      <c r="VJU239" s="243"/>
      <c r="VJV239" s="243"/>
      <c r="VJW239" s="243"/>
      <c r="VJX239" s="243"/>
      <c r="VJY239" s="243"/>
      <c r="VJZ239" s="243"/>
      <c r="VKA239" s="243"/>
      <c r="VKB239" s="243"/>
      <c r="VKC239" s="243"/>
      <c r="VKD239" s="243"/>
      <c r="VKE239" s="243"/>
      <c r="VKF239" s="243"/>
      <c r="VKG239" s="243"/>
      <c r="VKH239" s="243"/>
      <c r="VKI239" s="243"/>
      <c r="VKJ239" s="243"/>
      <c r="VKK239" s="243"/>
      <c r="VKL239" s="243"/>
      <c r="VKM239" s="243"/>
      <c r="VKN239" s="243"/>
      <c r="VKO239" s="243"/>
      <c r="VKP239" s="243"/>
      <c r="VKQ239" s="243"/>
      <c r="VKR239" s="243"/>
      <c r="VKS239" s="243"/>
      <c r="VKT239" s="243"/>
      <c r="VKU239" s="243"/>
      <c r="VKV239" s="243"/>
      <c r="VKW239" s="243"/>
      <c r="VKX239" s="243"/>
      <c r="VKY239" s="243"/>
      <c r="VKZ239" s="243"/>
      <c r="VLA239" s="243"/>
      <c r="VLB239" s="243"/>
      <c r="VLC239" s="243"/>
      <c r="VLD239" s="243"/>
      <c r="VLE239" s="243"/>
      <c r="VLF239" s="243"/>
      <c r="VLG239" s="243"/>
      <c r="VLH239" s="243"/>
      <c r="VLI239" s="243"/>
      <c r="VLJ239" s="243"/>
      <c r="VLK239" s="243"/>
      <c r="VLL239" s="243"/>
      <c r="VLM239" s="243"/>
      <c r="VLN239" s="243"/>
      <c r="VLO239" s="243"/>
      <c r="VLP239" s="243"/>
      <c r="VLQ239" s="243"/>
      <c r="VLR239" s="243"/>
      <c r="VLS239" s="243"/>
      <c r="VLT239" s="243"/>
      <c r="VLU239" s="243"/>
      <c r="VLV239" s="243"/>
      <c r="VLW239" s="243"/>
      <c r="VLX239" s="243"/>
      <c r="VLY239" s="243"/>
      <c r="VLZ239" s="243"/>
      <c r="VMA239" s="243"/>
      <c r="VMB239" s="243"/>
      <c r="VMC239" s="243"/>
      <c r="VMD239" s="243"/>
      <c r="VME239" s="243"/>
      <c r="VMF239" s="243"/>
      <c r="VMG239" s="243"/>
      <c r="VMH239" s="243"/>
      <c r="VMI239" s="243"/>
      <c r="VMJ239" s="243"/>
      <c r="VMK239" s="243"/>
      <c r="VML239" s="243"/>
      <c r="VMM239" s="243"/>
      <c r="VMN239" s="243"/>
      <c r="VMO239" s="243"/>
      <c r="VMP239" s="243"/>
      <c r="VMQ239" s="243"/>
      <c r="VMR239" s="243"/>
      <c r="VMS239" s="243"/>
      <c r="VMT239" s="243"/>
      <c r="VMU239" s="243"/>
      <c r="VMV239" s="243"/>
      <c r="VMW239" s="243"/>
      <c r="VMX239" s="243"/>
      <c r="VMY239" s="243"/>
      <c r="VMZ239" s="243"/>
      <c r="VNA239" s="243"/>
      <c r="VNB239" s="243"/>
      <c r="VNC239" s="243"/>
      <c r="VND239" s="243"/>
      <c r="VNE239" s="243"/>
      <c r="VNF239" s="243"/>
      <c r="VNG239" s="243"/>
      <c r="VNH239" s="243"/>
      <c r="VNI239" s="243"/>
      <c r="VNJ239" s="243"/>
      <c r="VNK239" s="243"/>
      <c r="VNL239" s="243"/>
      <c r="VNM239" s="243"/>
      <c r="VNN239" s="243"/>
      <c r="VNO239" s="243"/>
      <c r="VNP239" s="243"/>
      <c r="VNQ239" s="243"/>
      <c r="VNR239" s="243"/>
      <c r="VNS239" s="243"/>
      <c r="VNT239" s="243"/>
      <c r="VNU239" s="243"/>
      <c r="VNV239" s="243"/>
      <c r="VNW239" s="243"/>
      <c r="VNX239" s="243"/>
      <c r="VNY239" s="243"/>
      <c r="VNZ239" s="243"/>
      <c r="VOA239" s="243"/>
      <c r="VOB239" s="243"/>
      <c r="VOC239" s="243"/>
      <c r="VOD239" s="243"/>
      <c r="VOE239" s="243"/>
      <c r="VOF239" s="243"/>
      <c r="VOG239" s="243"/>
      <c r="VOH239" s="243"/>
      <c r="VOI239" s="243"/>
      <c r="VOJ239" s="243"/>
      <c r="VOK239" s="243"/>
      <c r="VOL239" s="243"/>
      <c r="VOM239" s="243"/>
      <c r="VON239" s="243"/>
      <c r="VOO239" s="243"/>
      <c r="VOP239" s="243"/>
      <c r="VOQ239" s="243"/>
      <c r="VOR239" s="243"/>
      <c r="VOS239" s="243"/>
      <c r="VOT239" s="243"/>
      <c r="VOU239" s="243"/>
      <c r="VOV239" s="243"/>
      <c r="VOW239" s="243"/>
      <c r="VOX239" s="243"/>
      <c r="VOY239" s="243"/>
      <c r="VOZ239" s="243"/>
      <c r="VPA239" s="243"/>
      <c r="VPB239" s="243"/>
      <c r="VPC239" s="243"/>
      <c r="VPD239" s="243"/>
      <c r="VPE239" s="243"/>
      <c r="VPF239" s="243"/>
      <c r="VPG239" s="243"/>
      <c r="VPH239" s="243"/>
      <c r="VPI239" s="243"/>
      <c r="VPJ239" s="243"/>
      <c r="VPK239" s="243"/>
      <c r="VPL239" s="243"/>
      <c r="VPM239" s="243"/>
      <c r="VPN239" s="243"/>
      <c r="VPO239" s="243"/>
      <c r="VPP239" s="243"/>
      <c r="VPQ239" s="243"/>
      <c r="VPR239" s="243"/>
      <c r="VPS239" s="243"/>
      <c r="VPT239" s="243"/>
      <c r="VPU239" s="243"/>
      <c r="VPV239" s="243"/>
      <c r="VPW239" s="243"/>
      <c r="VPX239" s="243"/>
      <c r="VPY239" s="243"/>
      <c r="VPZ239" s="243"/>
      <c r="VQA239" s="243"/>
      <c r="VQB239" s="243"/>
      <c r="VQC239" s="243"/>
      <c r="VQD239" s="243"/>
      <c r="VQE239" s="243"/>
      <c r="VQF239" s="243"/>
      <c r="VQG239" s="243"/>
      <c r="VQH239" s="243"/>
      <c r="VQI239" s="243"/>
      <c r="VQJ239" s="243"/>
      <c r="VQK239" s="243"/>
      <c r="VQL239" s="243"/>
      <c r="VQM239" s="243"/>
      <c r="VQN239" s="243"/>
      <c r="VQO239" s="243"/>
      <c r="VQP239" s="243"/>
      <c r="VQQ239" s="243"/>
      <c r="VQR239" s="243"/>
      <c r="VQS239" s="243"/>
      <c r="VQT239" s="243"/>
      <c r="VQU239" s="243"/>
      <c r="VQV239" s="243"/>
      <c r="VQW239" s="243"/>
      <c r="VQX239" s="243"/>
      <c r="VQY239" s="243"/>
      <c r="VQZ239" s="243"/>
      <c r="VRA239" s="243"/>
      <c r="VRB239" s="243"/>
      <c r="VRC239" s="243"/>
      <c r="VRD239" s="243"/>
      <c r="VRE239" s="243"/>
      <c r="VRF239" s="243"/>
      <c r="VRG239" s="243"/>
      <c r="VRH239" s="243"/>
      <c r="VRI239" s="243"/>
      <c r="VRJ239" s="243"/>
      <c r="VRK239" s="243"/>
      <c r="VRL239" s="243"/>
      <c r="VRM239" s="243"/>
      <c r="VRN239" s="243"/>
      <c r="VRO239" s="243"/>
      <c r="VRP239" s="243"/>
      <c r="VRQ239" s="243"/>
      <c r="VRR239" s="243"/>
      <c r="VRS239" s="243"/>
      <c r="VRT239" s="243"/>
      <c r="VRU239" s="243"/>
      <c r="VRV239" s="243"/>
      <c r="VRW239" s="243"/>
      <c r="VRX239" s="243"/>
      <c r="VRY239" s="243"/>
      <c r="VRZ239" s="243"/>
      <c r="VSA239" s="243"/>
      <c r="VSB239" s="243"/>
      <c r="VSC239" s="243"/>
      <c r="VSD239" s="243"/>
      <c r="VSE239" s="243"/>
      <c r="VSF239" s="243"/>
      <c r="VSG239" s="243"/>
      <c r="VSH239" s="243"/>
      <c r="VSI239" s="243"/>
      <c r="VSJ239" s="243"/>
      <c r="VSK239" s="243"/>
      <c r="VSL239" s="243"/>
      <c r="VSM239" s="243"/>
      <c r="VSN239" s="243"/>
      <c r="VSO239" s="243"/>
      <c r="VSP239" s="243"/>
      <c r="VSQ239" s="243"/>
      <c r="VSR239" s="243"/>
      <c r="VSS239" s="243"/>
      <c r="VST239" s="243"/>
      <c r="VSU239" s="243"/>
      <c r="VSV239" s="243"/>
      <c r="VSW239" s="243"/>
      <c r="VSX239" s="243"/>
      <c r="VSY239" s="243"/>
      <c r="VSZ239" s="243"/>
      <c r="VTA239" s="243"/>
      <c r="VTB239" s="243"/>
      <c r="VTC239" s="243"/>
      <c r="VTD239" s="243"/>
      <c r="VTE239" s="243"/>
      <c r="VTF239" s="243"/>
      <c r="VTG239" s="243"/>
      <c r="VTH239" s="243"/>
      <c r="VTI239" s="243"/>
      <c r="VTJ239" s="243"/>
      <c r="VTK239" s="243"/>
      <c r="VTL239" s="243"/>
      <c r="VTM239" s="243"/>
      <c r="VTN239" s="243"/>
      <c r="VTO239" s="243"/>
      <c r="VTP239" s="243"/>
      <c r="VTQ239" s="243"/>
      <c r="VTR239" s="243"/>
      <c r="VTS239" s="243"/>
      <c r="VTT239" s="243"/>
      <c r="VTU239" s="243"/>
      <c r="VTV239" s="243"/>
      <c r="VTW239" s="243"/>
      <c r="VTX239" s="243"/>
      <c r="VTY239" s="243"/>
      <c r="VTZ239" s="243"/>
      <c r="VUA239" s="243"/>
      <c r="VUB239" s="243"/>
      <c r="VUC239" s="243"/>
      <c r="VUD239" s="243"/>
      <c r="VUE239" s="243"/>
      <c r="VUF239" s="243"/>
      <c r="VUG239" s="243"/>
      <c r="VUH239" s="243"/>
      <c r="VUI239" s="243"/>
      <c r="VUJ239" s="243"/>
      <c r="VUK239" s="243"/>
      <c r="VUL239" s="243"/>
      <c r="VUM239" s="243"/>
      <c r="VUN239" s="243"/>
      <c r="VUO239" s="243"/>
      <c r="VUP239" s="243"/>
      <c r="VUQ239" s="243"/>
      <c r="VUR239" s="243"/>
      <c r="VUS239" s="243"/>
      <c r="VUT239" s="243"/>
      <c r="VUU239" s="243"/>
      <c r="VUV239" s="243"/>
      <c r="VUW239" s="243"/>
      <c r="VUX239" s="243"/>
      <c r="VUY239" s="243"/>
      <c r="VUZ239" s="243"/>
      <c r="VVA239" s="243"/>
      <c r="VVB239" s="243"/>
      <c r="VVC239" s="243"/>
      <c r="VVD239" s="243"/>
      <c r="VVE239" s="243"/>
      <c r="VVF239" s="243"/>
      <c r="VVG239" s="243"/>
      <c r="VVH239" s="243"/>
      <c r="VVI239" s="243"/>
      <c r="VVJ239" s="243"/>
      <c r="VVK239" s="243"/>
      <c r="VVL239" s="243"/>
      <c r="VVM239" s="243"/>
      <c r="VVN239" s="243"/>
      <c r="VVO239" s="243"/>
      <c r="VVP239" s="243"/>
      <c r="VVQ239" s="243"/>
      <c r="VVR239" s="243"/>
      <c r="VVS239" s="243"/>
      <c r="VVT239" s="243"/>
      <c r="VVU239" s="243"/>
      <c r="VVV239" s="243"/>
      <c r="VVW239" s="243"/>
      <c r="VVX239" s="243"/>
      <c r="VVY239" s="243"/>
      <c r="VVZ239" s="243"/>
      <c r="VWA239" s="243"/>
      <c r="VWB239" s="243"/>
      <c r="VWC239" s="243"/>
      <c r="VWD239" s="243"/>
      <c r="VWE239" s="243"/>
      <c r="VWF239" s="243"/>
      <c r="VWG239" s="243"/>
      <c r="VWH239" s="243"/>
      <c r="VWI239" s="243"/>
      <c r="VWJ239" s="243"/>
      <c r="VWK239" s="243"/>
      <c r="VWL239" s="243"/>
      <c r="VWM239" s="243"/>
      <c r="VWN239" s="243"/>
      <c r="VWO239" s="243"/>
      <c r="VWP239" s="243"/>
      <c r="VWQ239" s="243"/>
      <c r="VWR239" s="243"/>
      <c r="VWS239" s="243"/>
      <c r="VWT239" s="243"/>
      <c r="VWU239" s="243"/>
      <c r="VWV239" s="243"/>
      <c r="VWW239" s="243"/>
      <c r="VWX239" s="243"/>
      <c r="VWY239" s="243"/>
      <c r="VWZ239" s="243"/>
      <c r="VXA239" s="243"/>
      <c r="VXB239" s="243"/>
      <c r="VXC239" s="243"/>
      <c r="VXD239" s="243"/>
      <c r="VXE239" s="243"/>
      <c r="VXF239" s="243"/>
      <c r="VXG239" s="243"/>
      <c r="VXH239" s="243"/>
      <c r="VXI239" s="243"/>
      <c r="VXJ239" s="243"/>
      <c r="VXK239" s="243"/>
      <c r="VXL239" s="243"/>
      <c r="VXM239" s="243"/>
      <c r="VXN239" s="243"/>
      <c r="VXO239" s="243"/>
      <c r="VXP239" s="243"/>
      <c r="VXQ239" s="243"/>
      <c r="VXR239" s="243"/>
      <c r="VXS239" s="243"/>
      <c r="VXT239" s="243"/>
      <c r="VXU239" s="243"/>
      <c r="VXV239" s="243"/>
      <c r="VXW239" s="243"/>
      <c r="VXX239" s="243"/>
      <c r="VXY239" s="243"/>
      <c r="VXZ239" s="243"/>
      <c r="VYA239" s="243"/>
      <c r="VYB239" s="243"/>
      <c r="VYC239" s="243"/>
      <c r="VYD239" s="243"/>
      <c r="VYE239" s="243"/>
      <c r="VYF239" s="243"/>
      <c r="VYG239" s="243"/>
      <c r="VYH239" s="243"/>
      <c r="VYI239" s="243"/>
      <c r="VYJ239" s="243"/>
      <c r="VYK239" s="243"/>
      <c r="VYL239" s="243"/>
      <c r="VYM239" s="243"/>
      <c r="VYN239" s="243"/>
      <c r="VYO239" s="243"/>
      <c r="VYP239" s="243"/>
      <c r="VYQ239" s="243"/>
      <c r="VYR239" s="243"/>
      <c r="VYS239" s="243"/>
      <c r="VYT239" s="243"/>
      <c r="VYU239" s="243"/>
      <c r="VYV239" s="243"/>
      <c r="VYW239" s="243"/>
      <c r="VYX239" s="243"/>
      <c r="VYY239" s="243"/>
      <c r="VYZ239" s="243"/>
      <c r="VZA239" s="243"/>
      <c r="VZB239" s="243"/>
      <c r="VZC239" s="243"/>
      <c r="VZD239" s="243"/>
      <c r="VZE239" s="243"/>
      <c r="VZF239" s="243"/>
      <c r="VZG239" s="243"/>
      <c r="VZH239" s="243"/>
      <c r="VZI239" s="243"/>
      <c r="VZJ239" s="243"/>
      <c r="VZK239" s="243"/>
      <c r="VZL239" s="243"/>
      <c r="VZM239" s="243"/>
      <c r="VZN239" s="243"/>
      <c r="VZO239" s="243"/>
      <c r="VZP239" s="243"/>
      <c r="VZQ239" s="243"/>
      <c r="VZR239" s="243"/>
      <c r="VZS239" s="243"/>
      <c r="VZT239" s="243"/>
      <c r="VZU239" s="243"/>
      <c r="VZV239" s="243"/>
      <c r="VZW239" s="243"/>
      <c r="VZX239" s="243"/>
      <c r="VZY239" s="243"/>
      <c r="VZZ239" s="243"/>
      <c r="WAA239" s="243"/>
      <c r="WAB239" s="243"/>
      <c r="WAC239" s="243"/>
      <c r="WAD239" s="243"/>
      <c r="WAE239" s="243"/>
      <c r="WAF239" s="243"/>
      <c r="WAG239" s="243"/>
      <c r="WAH239" s="243"/>
      <c r="WAI239" s="243"/>
      <c r="WAJ239" s="243"/>
      <c r="WAK239" s="243"/>
      <c r="WAL239" s="243"/>
      <c r="WAM239" s="243"/>
      <c r="WAN239" s="243"/>
      <c r="WAO239" s="243"/>
      <c r="WAP239" s="243"/>
      <c r="WAQ239" s="243"/>
      <c r="WAR239" s="243"/>
      <c r="WAS239" s="243"/>
      <c r="WAT239" s="243"/>
      <c r="WAU239" s="243"/>
      <c r="WAV239" s="243"/>
      <c r="WAW239" s="243"/>
      <c r="WAX239" s="243"/>
      <c r="WAY239" s="243"/>
      <c r="WAZ239" s="243"/>
      <c r="WBA239" s="243"/>
      <c r="WBB239" s="243"/>
      <c r="WBC239" s="243"/>
      <c r="WBD239" s="243"/>
      <c r="WBE239" s="243"/>
      <c r="WBF239" s="243"/>
      <c r="WBG239" s="243"/>
      <c r="WBH239" s="243"/>
      <c r="WBI239" s="243"/>
      <c r="WBJ239" s="243"/>
      <c r="WBK239" s="243"/>
      <c r="WBL239" s="243"/>
      <c r="WBM239" s="243"/>
      <c r="WBN239" s="243"/>
      <c r="WBO239" s="243"/>
      <c r="WBP239" s="243"/>
      <c r="WBQ239" s="243"/>
      <c r="WBR239" s="243"/>
      <c r="WBS239" s="243"/>
      <c r="WBT239" s="243"/>
      <c r="WBU239" s="243"/>
      <c r="WBV239" s="243"/>
      <c r="WBW239" s="243"/>
      <c r="WBX239" s="243"/>
      <c r="WBY239" s="243"/>
      <c r="WBZ239" s="243"/>
      <c r="WCA239" s="243"/>
      <c r="WCB239" s="243"/>
      <c r="WCC239" s="243"/>
      <c r="WCD239" s="243"/>
      <c r="WCE239" s="243"/>
      <c r="WCF239" s="243"/>
      <c r="WCG239" s="243"/>
      <c r="WCH239" s="243"/>
      <c r="WCI239" s="243"/>
      <c r="WCJ239" s="243"/>
      <c r="WCK239" s="243"/>
      <c r="WCL239" s="243"/>
      <c r="WCM239" s="243"/>
      <c r="WCN239" s="243"/>
      <c r="WCO239" s="243"/>
      <c r="WCP239" s="243"/>
      <c r="WCQ239" s="243"/>
      <c r="WCR239" s="243"/>
      <c r="WCS239" s="243"/>
      <c r="WCT239" s="243"/>
      <c r="WCU239" s="243"/>
      <c r="WCV239" s="243"/>
      <c r="WCW239" s="243"/>
      <c r="WCX239" s="243"/>
      <c r="WCY239" s="243"/>
      <c r="WCZ239" s="243"/>
      <c r="WDA239" s="243"/>
      <c r="WDB239" s="243"/>
      <c r="WDC239" s="243"/>
      <c r="WDD239" s="243"/>
      <c r="WDE239" s="243"/>
      <c r="WDF239" s="243"/>
      <c r="WDG239" s="243"/>
      <c r="WDH239" s="243"/>
      <c r="WDI239" s="243"/>
      <c r="WDJ239" s="243"/>
      <c r="WDK239" s="243"/>
      <c r="WDL239" s="243"/>
      <c r="WDM239" s="243"/>
      <c r="WDN239" s="243"/>
      <c r="WDO239" s="243"/>
      <c r="WDP239" s="243"/>
      <c r="WDQ239" s="243"/>
      <c r="WDR239" s="243"/>
      <c r="WDS239" s="243"/>
      <c r="WDT239" s="243"/>
      <c r="WDU239" s="243"/>
      <c r="WDV239" s="243"/>
      <c r="WDW239" s="243"/>
      <c r="WDX239" s="243"/>
      <c r="WDY239" s="243"/>
      <c r="WDZ239" s="243"/>
      <c r="WEA239" s="243"/>
      <c r="WEB239" s="243"/>
      <c r="WEC239" s="243"/>
      <c r="WED239" s="243"/>
      <c r="WEE239" s="243"/>
      <c r="WEF239" s="243"/>
      <c r="WEG239" s="243"/>
      <c r="WEH239" s="243"/>
      <c r="WEI239" s="243"/>
      <c r="WEJ239" s="243"/>
      <c r="WEK239" s="243"/>
      <c r="WEL239" s="243"/>
      <c r="WEM239" s="243"/>
      <c r="WEN239" s="243"/>
      <c r="WEO239" s="243"/>
      <c r="WEP239" s="243"/>
      <c r="WEQ239" s="243"/>
      <c r="WER239" s="243"/>
      <c r="WES239" s="243"/>
      <c r="WET239" s="243"/>
      <c r="WEU239" s="243"/>
      <c r="WEV239" s="243"/>
      <c r="WEW239" s="243"/>
      <c r="WEX239" s="243"/>
      <c r="WEY239" s="243"/>
      <c r="WEZ239" s="243"/>
      <c r="WFA239" s="243"/>
      <c r="WFB239" s="243"/>
      <c r="WFC239" s="243"/>
      <c r="WFD239" s="243"/>
      <c r="WFE239" s="243"/>
      <c r="WFF239" s="243"/>
      <c r="WFG239" s="243"/>
      <c r="WFH239" s="243"/>
      <c r="WFI239" s="243"/>
      <c r="WFJ239" s="243"/>
      <c r="WFK239" s="243"/>
      <c r="WFL239" s="243"/>
      <c r="WFM239" s="243"/>
      <c r="WFN239" s="243"/>
      <c r="WFO239" s="243"/>
      <c r="WFP239" s="243"/>
      <c r="WFQ239" s="243"/>
      <c r="WFR239" s="243"/>
      <c r="WFS239" s="243"/>
      <c r="WFT239" s="243"/>
      <c r="WFU239" s="243"/>
      <c r="WFV239" s="243"/>
      <c r="WFW239" s="243"/>
      <c r="WFX239" s="243"/>
      <c r="WFY239" s="243"/>
      <c r="WFZ239" s="243"/>
      <c r="WGA239" s="243"/>
      <c r="WGB239" s="243"/>
      <c r="WGC239" s="243"/>
      <c r="WGD239" s="243"/>
      <c r="WGE239" s="243"/>
      <c r="WGF239" s="243"/>
      <c r="WGG239" s="243"/>
      <c r="WGH239" s="243"/>
      <c r="WGI239" s="243"/>
      <c r="WGJ239" s="243"/>
      <c r="WGK239" s="243"/>
      <c r="WGL239" s="243"/>
      <c r="WGM239" s="243"/>
      <c r="WGN239" s="243"/>
      <c r="WGO239" s="243"/>
      <c r="WGP239" s="243"/>
      <c r="WGQ239" s="243"/>
      <c r="WGR239" s="243"/>
      <c r="WGS239" s="243"/>
      <c r="WGT239" s="243"/>
      <c r="WGU239" s="243"/>
      <c r="WGV239" s="243"/>
      <c r="WGW239" s="243"/>
      <c r="WGX239" s="243"/>
      <c r="WGY239" s="243"/>
      <c r="WGZ239" s="243"/>
      <c r="WHA239" s="243"/>
      <c r="WHB239" s="243"/>
      <c r="WHC239" s="243"/>
      <c r="WHD239" s="243"/>
      <c r="WHE239" s="243"/>
      <c r="WHF239" s="243"/>
      <c r="WHG239" s="243"/>
      <c r="WHH239" s="243"/>
      <c r="WHI239" s="243"/>
      <c r="WHJ239" s="243"/>
      <c r="WHK239" s="243"/>
      <c r="WHL239" s="243"/>
      <c r="WHM239" s="243"/>
      <c r="WHN239" s="243"/>
      <c r="WHO239" s="243"/>
      <c r="WHP239" s="243"/>
      <c r="WHQ239" s="243"/>
      <c r="WHR239" s="243"/>
      <c r="WHS239" s="243"/>
      <c r="WHT239" s="243"/>
      <c r="WHU239" s="243"/>
      <c r="WHV239" s="243"/>
      <c r="WHW239" s="243"/>
      <c r="WHX239" s="243"/>
      <c r="WHY239" s="243"/>
      <c r="WHZ239" s="243"/>
      <c r="WIA239" s="243"/>
      <c r="WIB239" s="243"/>
      <c r="WIC239" s="243"/>
      <c r="WID239" s="243"/>
      <c r="WIE239" s="243"/>
      <c r="WIF239" s="243"/>
      <c r="WIG239" s="243"/>
      <c r="WIH239" s="243"/>
      <c r="WII239" s="243"/>
      <c r="WIJ239" s="243"/>
      <c r="WIK239" s="243"/>
      <c r="WIL239" s="243"/>
      <c r="WIM239" s="243"/>
      <c r="WIN239" s="243"/>
      <c r="WIO239" s="243"/>
      <c r="WIP239" s="243"/>
      <c r="WIQ239" s="243"/>
      <c r="WIR239" s="243"/>
      <c r="WIS239" s="243"/>
      <c r="WIT239" s="243"/>
      <c r="WIU239" s="243"/>
      <c r="WIV239" s="243"/>
      <c r="WIW239" s="243"/>
      <c r="WIX239" s="243"/>
      <c r="WIY239" s="243"/>
      <c r="WIZ239" s="243"/>
      <c r="WJA239" s="243"/>
      <c r="WJB239" s="243"/>
      <c r="WJC239" s="243"/>
      <c r="WJD239" s="243"/>
      <c r="WJE239" s="243"/>
      <c r="WJF239" s="243"/>
      <c r="WJG239" s="243"/>
      <c r="WJH239" s="243"/>
      <c r="WJI239" s="243"/>
      <c r="WJJ239" s="243"/>
      <c r="WJK239" s="243"/>
      <c r="WJL239" s="243"/>
      <c r="WJM239" s="243"/>
      <c r="WJN239" s="243"/>
      <c r="WJO239" s="243"/>
      <c r="WJP239" s="243"/>
      <c r="WJQ239" s="243"/>
      <c r="WJR239" s="243"/>
      <c r="WJS239" s="243"/>
      <c r="WJT239" s="243"/>
      <c r="WJU239" s="243"/>
      <c r="WJV239" s="243"/>
      <c r="WJW239" s="243"/>
      <c r="WJX239" s="243"/>
      <c r="WJY239" s="243"/>
      <c r="WJZ239" s="243"/>
      <c r="WKA239" s="243"/>
      <c r="WKB239" s="243"/>
      <c r="WKC239" s="243"/>
      <c r="WKD239" s="243"/>
      <c r="WKE239" s="243"/>
      <c r="WKF239" s="243"/>
      <c r="WKG239" s="243"/>
      <c r="WKH239" s="243"/>
      <c r="WKI239" s="243"/>
      <c r="WKJ239" s="243"/>
      <c r="WKK239" s="243"/>
      <c r="WKL239" s="243"/>
      <c r="WKM239" s="243"/>
      <c r="WKN239" s="243"/>
      <c r="WKO239" s="243"/>
      <c r="WKP239" s="243"/>
      <c r="WKQ239" s="243"/>
      <c r="WKR239" s="243"/>
      <c r="WKS239" s="243"/>
      <c r="WKT239" s="243"/>
      <c r="WKU239" s="243"/>
      <c r="WKV239" s="243"/>
      <c r="WKW239" s="243"/>
      <c r="WKX239" s="243"/>
      <c r="WKY239" s="243"/>
      <c r="WKZ239" s="243"/>
      <c r="WLA239" s="243"/>
      <c r="WLB239" s="243"/>
      <c r="WLC239" s="243"/>
      <c r="WLD239" s="243"/>
      <c r="WLE239" s="243"/>
      <c r="WLF239" s="243"/>
      <c r="WLG239" s="243"/>
      <c r="WLH239" s="243"/>
      <c r="WLI239" s="243"/>
      <c r="WLJ239" s="243"/>
      <c r="WLK239" s="243"/>
      <c r="WLL239" s="243"/>
      <c r="WLM239" s="243"/>
      <c r="WLN239" s="243"/>
      <c r="WLO239" s="243"/>
      <c r="WLP239" s="243"/>
      <c r="WLQ239" s="243"/>
      <c r="WLR239" s="243"/>
      <c r="WLS239" s="243"/>
      <c r="WLT239" s="243"/>
      <c r="WLU239" s="243"/>
      <c r="WLV239" s="243"/>
      <c r="WLW239" s="243"/>
      <c r="WLX239" s="243"/>
      <c r="WLY239" s="243"/>
      <c r="WLZ239" s="243"/>
      <c r="WMA239" s="243"/>
      <c r="WMB239" s="243"/>
      <c r="WMC239" s="243"/>
      <c r="WMD239" s="243"/>
      <c r="WME239" s="243"/>
      <c r="WMF239" s="243"/>
      <c r="WMG239" s="243"/>
      <c r="WMH239" s="243"/>
      <c r="WMI239" s="243"/>
      <c r="WMJ239" s="243"/>
      <c r="WMK239" s="243"/>
      <c r="WML239" s="243"/>
      <c r="WMM239" s="243"/>
      <c r="WMN239" s="243"/>
      <c r="WMO239" s="243"/>
      <c r="WMP239" s="243"/>
      <c r="WMQ239" s="243"/>
      <c r="WMR239" s="243"/>
      <c r="WMS239" s="243"/>
      <c r="WMT239" s="243"/>
      <c r="WMU239" s="243"/>
      <c r="WMV239" s="243"/>
      <c r="WMW239" s="243"/>
      <c r="WMX239" s="243"/>
      <c r="WMY239" s="243"/>
      <c r="WMZ239" s="243"/>
      <c r="WNA239" s="243"/>
      <c r="WNB239" s="243"/>
      <c r="WNC239" s="243"/>
      <c r="WND239" s="243"/>
      <c r="WNE239" s="243"/>
      <c r="WNF239" s="243"/>
      <c r="WNG239" s="243"/>
      <c r="WNH239" s="243"/>
      <c r="WNI239" s="243"/>
      <c r="WNJ239" s="243"/>
      <c r="WNK239" s="243"/>
      <c r="WNL239" s="243"/>
      <c r="WNM239" s="243"/>
      <c r="WNN239" s="243"/>
      <c r="WNO239" s="243"/>
      <c r="WNP239" s="243"/>
      <c r="WNQ239" s="243"/>
      <c r="WNR239" s="243"/>
      <c r="WNS239" s="243"/>
      <c r="WNT239" s="243"/>
      <c r="WNU239" s="243"/>
      <c r="WNV239" s="243"/>
      <c r="WNW239" s="243"/>
      <c r="WNX239" s="243"/>
      <c r="WNY239" s="243"/>
      <c r="WNZ239" s="243"/>
      <c r="WOA239" s="243"/>
      <c r="WOB239" s="243"/>
      <c r="WOC239" s="243"/>
      <c r="WOD239" s="243"/>
      <c r="WOE239" s="243"/>
      <c r="WOF239" s="243"/>
      <c r="WOG239" s="243"/>
      <c r="WOH239" s="243"/>
      <c r="WOI239" s="243"/>
      <c r="WOJ239" s="243"/>
      <c r="WOK239" s="243"/>
      <c r="WOL239" s="243"/>
      <c r="WOM239" s="243"/>
      <c r="WON239" s="243"/>
      <c r="WOO239" s="243"/>
      <c r="WOP239" s="243"/>
      <c r="WOQ239" s="243"/>
      <c r="WOR239" s="243"/>
      <c r="WOS239" s="243"/>
      <c r="WOT239" s="243"/>
      <c r="WOU239" s="243"/>
      <c r="WOV239" s="243"/>
      <c r="WOW239" s="243"/>
      <c r="WOX239" s="243"/>
      <c r="WOY239" s="243"/>
      <c r="WOZ239" s="243"/>
      <c r="WPA239" s="243"/>
      <c r="WPB239" s="243"/>
      <c r="WPC239" s="243"/>
      <c r="WPD239" s="243"/>
      <c r="WPE239" s="243"/>
      <c r="WPF239" s="243"/>
      <c r="WPG239" s="243"/>
      <c r="WPH239" s="243"/>
      <c r="WPI239" s="243"/>
      <c r="WPJ239" s="243"/>
      <c r="WPK239" s="243"/>
      <c r="WPL239" s="243"/>
      <c r="WPM239" s="243"/>
      <c r="WPN239" s="243"/>
      <c r="WPO239" s="243"/>
      <c r="WPP239" s="243"/>
      <c r="WPQ239" s="243"/>
      <c r="WPR239" s="243"/>
      <c r="WPS239" s="243"/>
      <c r="WPT239" s="243"/>
      <c r="WPU239" s="243"/>
      <c r="WPV239" s="243"/>
      <c r="WPW239" s="243"/>
      <c r="WPX239" s="243"/>
      <c r="WPY239" s="243"/>
      <c r="WPZ239" s="243"/>
      <c r="WQA239" s="243"/>
      <c r="WQB239" s="243"/>
      <c r="WQC239" s="243"/>
      <c r="WQD239" s="243"/>
      <c r="WQE239" s="243"/>
      <c r="WQF239" s="243"/>
      <c r="WQG239" s="243"/>
      <c r="WQH239" s="243"/>
      <c r="WQI239" s="243"/>
      <c r="WQJ239" s="243"/>
      <c r="WQK239" s="243"/>
      <c r="WQL239" s="243"/>
      <c r="WQM239" s="243"/>
      <c r="WQN239" s="243"/>
      <c r="WQO239" s="243"/>
      <c r="WQP239" s="243"/>
      <c r="WQQ239" s="243"/>
      <c r="WQR239" s="243"/>
      <c r="WQS239" s="243"/>
      <c r="WQT239" s="243"/>
      <c r="WQU239" s="243"/>
      <c r="WQV239" s="243"/>
      <c r="WQW239" s="243"/>
      <c r="WQX239" s="243"/>
      <c r="WQY239" s="243"/>
      <c r="WQZ239" s="243"/>
      <c r="WRA239" s="243"/>
      <c r="WRB239" s="243"/>
      <c r="WRC239" s="243"/>
      <c r="WRD239" s="243"/>
      <c r="WRE239" s="243"/>
      <c r="WRF239" s="243"/>
      <c r="WRG239" s="243"/>
      <c r="WRH239" s="243"/>
      <c r="WRI239" s="243"/>
      <c r="WRJ239" s="243"/>
      <c r="WRK239" s="243"/>
      <c r="WRL239" s="243"/>
      <c r="WRM239" s="243"/>
      <c r="WRN239" s="243"/>
      <c r="WRO239" s="243"/>
      <c r="WRP239" s="243"/>
      <c r="WRQ239" s="243"/>
      <c r="WRR239" s="243"/>
      <c r="WRS239" s="243"/>
      <c r="WRT239" s="243"/>
      <c r="WRU239" s="243"/>
      <c r="WRV239" s="243"/>
      <c r="WRW239" s="243"/>
      <c r="WRX239" s="243"/>
      <c r="WRY239" s="243"/>
      <c r="WRZ239" s="243"/>
      <c r="WSA239" s="243"/>
      <c r="WSB239" s="243"/>
      <c r="WSC239" s="243"/>
      <c r="WSD239" s="243"/>
      <c r="WSE239" s="243"/>
      <c r="WSF239" s="243"/>
      <c r="WSG239" s="243"/>
      <c r="WSH239" s="243"/>
      <c r="WSI239" s="243"/>
      <c r="WSJ239" s="243"/>
      <c r="WSK239" s="243"/>
      <c r="WSL239" s="243"/>
      <c r="WSM239" s="243"/>
      <c r="WSN239" s="243"/>
      <c r="WSO239" s="243"/>
      <c r="WSP239" s="243"/>
      <c r="WSQ239" s="243"/>
      <c r="WSR239" s="243"/>
      <c r="WSS239" s="243"/>
      <c r="WST239" s="243"/>
      <c r="WSU239" s="243"/>
      <c r="WSV239" s="243"/>
      <c r="WSW239" s="243"/>
      <c r="WSX239" s="243"/>
      <c r="WSY239" s="243"/>
      <c r="WSZ239" s="243"/>
      <c r="WTA239" s="243"/>
      <c r="WTB239" s="243"/>
      <c r="WTC239" s="243"/>
      <c r="WTD239" s="243"/>
      <c r="WTE239" s="243"/>
      <c r="WTF239" s="243"/>
      <c r="WTG239" s="243"/>
      <c r="WTH239" s="243"/>
      <c r="WTI239" s="243"/>
      <c r="WTJ239" s="243"/>
      <c r="WTK239" s="243"/>
      <c r="WTL239" s="243"/>
      <c r="WTM239" s="243"/>
      <c r="WTN239" s="243"/>
      <c r="WTO239" s="243"/>
      <c r="WTP239" s="243"/>
      <c r="WTQ239" s="243"/>
      <c r="WTR239" s="243"/>
      <c r="WTS239" s="243"/>
      <c r="WTT239" s="243"/>
      <c r="WTU239" s="243"/>
      <c r="WTV239" s="243"/>
      <c r="WTW239" s="243"/>
      <c r="WTX239" s="243"/>
      <c r="WTY239" s="243"/>
      <c r="WTZ239" s="243"/>
      <c r="WUA239" s="243"/>
      <c r="WUB239" s="243"/>
      <c r="WUC239" s="243"/>
      <c r="WUD239" s="243"/>
      <c r="WUE239" s="243"/>
      <c r="WUF239" s="243"/>
      <c r="WUG239" s="243"/>
      <c r="WUH239" s="243"/>
      <c r="WUI239" s="243"/>
      <c r="WUJ239" s="243"/>
      <c r="WUK239" s="243"/>
      <c r="WUL239" s="243"/>
      <c r="WUM239" s="243"/>
      <c r="WUN239" s="243"/>
      <c r="WUO239" s="243"/>
      <c r="WUP239" s="243"/>
      <c r="WUQ239" s="243"/>
      <c r="WUR239" s="243"/>
      <c r="WUS239" s="243"/>
      <c r="WUT239" s="243"/>
      <c r="WUU239" s="243"/>
      <c r="WUV239" s="243"/>
      <c r="WUW239" s="243"/>
      <c r="WUX239" s="243"/>
      <c r="WUY239" s="243"/>
      <c r="WUZ239" s="243"/>
      <c r="WVA239" s="243"/>
      <c r="WVB239" s="243"/>
      <c r="WVC239" s="243"/>
      <c r="WVD239" s="243"/>
      <c r="WVE239" s="243"/>
      <c r="WVF239" s="243"/>
      <c r="WVG239" s="243"/>
      <c r="WVH239" s="243"/>
      <c r="WVI239" s="243"/>
      <c r="WVJ239" s="243"/>
      <c r="WVK239" s="243"/>
      <c r="WVL239" s="243"/>
      <c r="WVM239" s="243"/>
      <c r="WVN239" s="243"/>
      <c r="WVO239" s="243"/>
      <c r="WVP239" s="243"/>
      <c r="WVQ239" s="243"/>
      <c r="WVR239" s="243"/>
      <c r="WVS239" s="243"/>
      <c r="WVT239" s="243"/>
      <c r="WVU239" s="243"/>
      <c r="WVV239" s="243"/>
      <c r="WVW239" s="243"/>
      <c r="WVX239" s="243"/>
      <c r="WVY239" s="243"/>
      <c r="WVZ239" s="243"/>
      <c r="WWA239" s="243"/>
      <c r="WWB239" s="243"/>
      <c r="WWC239" s="243"/>
      <c r="WWD239" s="243"/>
      <c r="WWE239" s="243"/>
      <c r="WWF239" s="243"/>
      <c r="WWG239" s="243"/>
      <c r="WWH239" s="243"/>
      <c r="WWI239" s="243"/>
      <c r="WWJ239" s="243"/>
      <c r="WWK239" s="243"/>
      <c r="WWL239" s="243"/>
      <c r="WWM239" s="243"/>
      <c r="WWN239" s="243"/>
      <c r="WWO239" s="243"/>
      <c r="WWP239" s="243"/>
      <c r="WWQ239" s="243"/>
      <c r="WWR239" s="243"/>
      <c r="WWS239" s="243"/>
      <c r="WWT239" s="243"/>
      <c r="WWU239" s="243"/>
      <c r="WWV239" s="243"/>
      <c r="WWW239" s="243"/>
      <c r="WWX239" s="243"/>
      <c r="WWY239" s="243"/>
      <c r="WWZ239" s="243"/>
      <c r="WXA239" s="243"/>
      <c r="WXB239" s="243"/>
      <c r="WXC239" s="243"/>
      <c r="WXD239" s="243"/>
      <c r="WXE239" s="243"/>
      <c r="WXF239" s="243"/>
      <c r="WXG239" s="243"/>
      <c r="WXH239" s="243"/>
      <c r="WXI239" s="243"/>
      <c r="WXJ239" s="243"/>
      <c r="WXK239" s="243"/>
      <c r="WXL239" s="243"/>
      <c r="WXM239" s="243"/>
      <c r="WXN239" s="243"/>
      <c r="WXO239" s="243"/>
      <c r="WXP239" s="243"/>
      <c r="WXQ239" s="243"/>
      <c r="WXR239" s="243"/>
      <c r="WXS239" s="243"/>
      <c r="WXT239" s="243"/>
      <c r="WXU239" s="243"/>
      <c r="WXV239" s="243"/>
      <c r="WXW239" s="243"/>
      <c r="WXX239" s="243"/>
      <c r="WXY239" s="243"/>
      <c r="WXZ239" s="243"/>
      <c r="WYA239" s="243"/>
      <c r="WYB239" s="243"/>
      <c r="WYC239" s="243"/>
      <c r="WYD239" s="243"/>
      <c r="WYE239" s="243"/>
      <c r="WYF239" s="243"/>
      <c r="WYG239" s="243"/>
      <c r="WYH239" s="243"/>
      <c r="WYI239" s="243"/>
      <c r="WYJ239" s="243"/>
      <c r="WYK239" s="243"/>
      <c r="WYL239" s="243"/>
      <c r="WYM239" s="243"/>
      <c r="WYN239" s="243"/>
      <c r="WYO239" s="243"/>
      <c r="WYP239" s="243"/>
      <c r="WYQ239" s="243"/>
      <c r="WYR239" s="243"/>
      <c r="WYS239" s="243"/>
      <c r="WYT239" s="243"/>
      <c r="WYU239" s="243"/>
      <c r="WYV239" s="243"/>
      <c r="WYW239" s="243"/>
      <c r="WYX239" s="243"/>
      <c r="WYY239" s="243"/>
      <c r="WYZ239" s="243"/>
      <c r="WZA239" s="243"/>
      <c r="WZB239" s="243"/>
      <c r="WZC239" s="243"/>
      <c r="WZD239" s="243"/>
      <c r="WZE239" s="243"/>
      <c r="WZF239" s="243"/>
      <c r="WZG239" s="243"/>
      <c r="WZH239" s="243"/>
      <c r="WZI239" s="243"/>
      <c r="WZJ239" s="243"/>
      <c r="WZK239" s="243"/>
      <c r="WZL239" s="243"/>
      <c r="WZM239" s="243"/>
      <c r="WZN239" s="243"/>
      <c r="WZO239" s="243"/>
      <c r="WZP239" s="243"/>
      <c r="WZQ239" s="243"/>
      <c r="WZR239" s="243"/>
      <c r="WZS239" s="243"/>
      <c r="WZT239" s="243"/>
      <c r="WZU239" s="243"/>
      <c r="WZV239" s="243"/>
      <c r="WZW239" s="243"/>
      <c r="WZX239" s="243"/>
      <c r="WZY239" s="243"/>
      <c r="WZZ239" s="243"/>
      <c r="XAA239" s="243"/>
      <c r="XAB239" s="243"/>
      <c r="XAC239" s="243"/>
      <c r="XAD239" s="243"/>
      <c r="XAE239" s="243"/>
      <c r="XAF239" s="243"/>
      <c r="XAG239" s="243"/>
      <c r="XAH239" s="243"/>
      <c r="XAI239" s="243"/>
      <c r="XAJ239" s="243"/>
      <c r="XAK239" s="243"/>
      <c r="XAL239" s="243"/>
      <c r="XAM239" s="243"/>
      <c r="XAN239" s="243"/>
      <c r="XAO239" s="243"/>
      <c r="XAP239" s="243"/>
      <c r="XAQ239" s="243"/>
      <c r="XAR239" s="243"/>
      <c r="XAS239" s="243"/>
      <c r="XAT239" s="243"/>
      <c r="XAU239" s="243"/>
      <c r="XAV239" s="243"/>
      <c r="XAW239" s="243"/>
      <c r="XAX239" s="243"/>
      <c r="XAY239" s="243"/>
      <c r="XAZ239" s="243"/>
      <c r="XBA239" s="243"/>
      <c r="XBB239" s="243"/>
      <c r="XBC239" s="243"/>
      <c r="XBD239" s="243"/>
      <c r="XBE239" s="243"/>
      <c r="XBF239" s="243"/>
      <c r="XBG239" s="243"/>
      <c r="XBH239" s="243"/>
      <c r="XBI239" s="243"/>
      <c r="XBJ239" s="243"/>
      <c r="XBK239" s="243"/>
      <c r="XBL239" s="243"/>
      <c r="XBM239" s="243"/>
      <c r="XBN239" s="243"/>
      <c r="XBO239" s="243"/>
      <c r="XBP239" s="243"/>
      <c r="XBQ239" s="243"/>
      <c r="XBR239" s="243"/>
      <c r="XBS239" s="243"/>
      <c r="XBT239" s="243"/>
      <c r="XBU239" s="243"/>
      <c r="XBV239" s="243"/>
      <c r="XBW239" s="243"/>
      <c r="XBX239" s="243"/>
      <c r="XBY239" s="243"/>
      <c r="XBZ239" s="243"/>
      <c r="XCA239" s="243"/>
      <c r="XCB239" s="243"/>
      <c r="XCC239" s="243"/>
      <c r="XCD239" s="243"/>
      <c r="XCE239" s="243"/>
      <c r="XCF239" s="243"/>
      <c r="XCG239" s="243"/>
      <c r="XCH239" s="243"/>
      <c r="XCI239" s="243"/>
      <c r="XCJ239" s="243"/>
      <c r="XCK239" s="243"/>
      <c r="XCL239" s="243"/>
      <c r="XCM239" s="243"/>
      <c r="XCN239" s="243"/>
      <c r="XCO239" s="243"/>
      <c r="XCP239" s="243"/>
      <c r="XCQ239" s="243"/>
      <c r="XCR239" s="243"/>
      <c r="XCS239" s="243"/>
      <c r="XCT239" s="243"/>
      <c r="XCU239" s="243"/>
      <c r="XCV239" s="243"/>
      <c r="XCW239" s="243"/>
      <c r="XCX239" s="243"/>
      <c r="XCY239" s="243"/>
      <c r="XCZ239" s="243"/>
      <c r="XDA239" s="243"/>
      <c r="XDB239" s="243"/>
      <c r="XDC239" s="243"/>
      <c r="XDD239" s="243"/>
      <c r="XDE239" s="243"/>
      <c r="XDF239" s="243"/>
      <c r="XDG239" s="243"/>
      <c r="XDH239" s="243"/>
      <c r="XDI239" s="243"/>
      <c r="XDJ239" s="243"/>
      <c r="XDK239" s="243"/>
      <c r="XDL239" s="243"/>
      <c r="XDM239" s="243"/>
      <c r="XDN239" s="243"/>
      <c r="XDO239" s="243"/>
      <c r="XDP239" s="243"/>
      <c r="XDQ239" s="243"/>
      <c r="XDR239" s="243"/>
      <c r="XDS239" s="243"/>
      <c r="XDT239" s="243"/>
      <c r="XDU239" s="243"/>
      <c r="XDV239" s="243"/>
      <c r="XDW239" s="243"/>
      <c r="XDX239" s="243"/>
      <c r="XDY239" s="243"/>
      <c r="XDZ239" s="243"/>
      <c r="XEA239" s="243"/>
      <c r="XEB239" s="243"/>
      <c r="XEC239" s="243"/>
      <c r="XED239" s="243"/>
      <c r="XEE239" s="243"/>
      <c r="XEF239" s="243"/>
      <c r="XEG239" s="243"/>
      <c r="XEH239" s="243"/>
      <c r="XEI239" s="243"/>
      <c r="XEJ239" s="243"/>
      <c r="XEK239" s="243"/>
      <c r="XEL239" s="243"/>
      <c r="XEM239" s="243"/>
      <c r="XEN239" s="243"/>
      <c r="XEO239" s="243"/>
      <c r="XEP239" s="243"/>
      <c r="XEQ239" s="243"/>
      <c r="XER239" s="243"/>
      <c r="XES239" s="243"/>
      <c r="XET239" s="243"/>
      <c r="XEU239" s="243"/>
      <c r="XEV239" s="243"/>
      <c r="XEW239" s="243"/>
      <c r="XEX239" s="243"/>
      <c r="XEY239" s="243"/>
      <c r="XEZ239" s="243"/>
      <c r="XFA239" s="243"/>
      <c r="XFB239" s="243"/>
      <c r="XFC239" s="243"/>
    </row>
    <row r="240" spans="1:16383" s="249" customFormat="1" hidden="1">
      <c r="A240" s="591">
        <f>A238+1</f>
        <v>187</v>
      </c>
      <c r="B240" s="592" t="s">
        <v>633</v>
      </c>
      <c r="C240" s="602" t="s">
        <v>271</v>
      </c>
      <c r="D240" s="603">
        <v>3422</v>
      </c>
      <c r="E240" s="594">
        <v>677.95</v>
      </c>
      <c r="F240" s="608" t="s">
        <v>222</v>
      </c>
      <c r="G240" s="603">
        <v>663.9</v>
      </c>
      <c r="H240" s="609">
        <v>2</v>
      </c>
      <c r="I240" s="609">
        <v>2</v>
      </c>
      <c r="J240" s="609">
        <v>12</v>
      </c>
      <c r="K240" s="590" t="s">
        <v>224</v>
      </c>
      <c r="L240" s="595">
        <f>M240+N240+O240+P240+Q240</f>
        <v>226773</v>
      </c>
      <c r="M240" s="585">
        <v>191808</v>
      </c>
      <c r="N240" s="586">
        <v>34965</v>
      </c>
      <c r="O240" s="587"/>
      <c r="P240" s="586"/>
      <c r="Q240" s="586"/>
      <c r="R240" s="582">
        <f>M240/J240</f>
        <v>15984</v>
      </c>
      <c r="S240" s="586">
        <f t="shared" si="28"/>
        <v>0</v>
      </c>
      <c r="T240" s="645"/>
      <c r="U240" s="597">
        <f t="shared" si="26"/>
        <v>226773</v>
      </c>
      <c r="V240" s="589"/>
      <c r="W240" s="600"/>
      <c r="X240" s="590"/>
      <c r="Y240" s="590"/>
      <c r="Z240" s="590"/>
    </row>
    <row r="241" spans="1:33" s="249" customFormat="1" hidden="1">
      <c r="A241" s="591">
        <f t="shared" si="25"/>
        <v>188</v>
      </c>
      <c r="B241" s="592" t="s">
        <v>634</v>
      </c>
      <c r="C241" s="602" t="s">
        <v>271</v>
      </c>
      <c r="D241" s="603">
        <v>4036</v>
      </c>
      <c r="E241" s="594">
        <v>677.95</v>
      </c>
      <c r="F241" s="615" t="s">
        <v>371</v>
      </c>
      <c r="G241" s="603">
        <v>650</v>
      </c>
      <c r="H241" s="609">
        <v>2</v>
      </c>
      <c r="I241" s="609">
        <v>2</v>
      </c>
      <c r="J241" s="609">
        <v>14</v>
      </c>
      <c r="K241" s="590" t="s">
        <v>224</v>
      </c>
      <c r="L241" s="595">
        <f>M241+N241+O241+P241+Q241</f>
        <v>258741</v>
      </c>
      <c r="M241" s="585">
        <v>223776</v>
      </c>
      <c r="N241" s="586">
        <v>34965</v>
      </c>
      <c r="O241" s="587"/>
      <c r="P241" s="586"/>
      <c r="Q241" s="586"/>
      <c r="R241" s="582">
        <f>M241/J241</f>
        <v>15984</v>
      </c>
      <c r="S241" s="586">
        <f t="shared" si="28"/>
        <v>0</v>
      </c>
      <c r="T241" s="645"/>
      <c r="U241" s="597">
        <f t="shared" si="26"/>
        <v>258741</v>
      </c>
      <c r="V241" s="589"/>
      <c r="W241" s="600"/>
      <c r="X241" s="590"/>
      <c r="Y241" s="590"/>
      <c r="Z241" s="590"/>
    </row>
    <row r="242" spans="1:33" s="249" customFormat="1" hidden="1">
      <c r="A242" s="591">
        <f t="shared" si="25"/>
        <v>189</v>
      </c>
      <c r="B242" s="592" t="s">
        <v>635</v>
      </c>
      <c r="C242" s="602" t="s">
        <v>271</v>
      </c>
      <c r="D242" s="603">
        <v>3493</v>
      </c>
      <c r="E242" s="594">
        <v>677.95</v>
      </c>
      <c r="F242" s="608" t="s">
        <v>222</v>
      </c>
      <c r="G242" s="603">
        <v>668.7</v>
      </c>
      <c r="H242" s="609">
        <v>2</v>
      </c>
      <c r="I242" s="609">
        <v>2</v>
      </c>
      <c r="J242" s="609">
        <v>12</v>
      </c>
      <c r="K242" s="590" t="s">
        <v>224</v>
      </c>
      <c r="L242" s="595">
        <f>M242+N242+O242+P242+Q242</f>
        <v>225045</v>
      </c>
      <c r="M242" s="585">
        <v>190080</v>
      </c>
      <c r="N242" s="586">
        <v>34965</v>
      </c>
      <c r="O242" s="587"/>
      <c r="P242" s="586"/>
      <c r="Q242" s="586"/>
      <c r="R242" s="582">
        <f>M242/J242</f>
        <v>15840</v>
      </c>
      <c r="S242" s="586">
        <f t="shared" si="28"/>
        <v>0</v>
      </c>
      <c r="T242" s="645"/>
      <c r="U242" s="597">
        <f t="shared" si="26"/>
        <v>225045</v>
      </c>
      <c r="V242" s="589"/>
      <c r="W242" s="600"/>
      <c r="X242" s="590"/>
      <c r="Y242" s="590"/>
      <c r="Z242" s="590"/>
    </row>
    <row r="243" spans="1:33" s="519" customFormat="1" hidden="1">
      <c r="A243" s="1349">
        <v>190</v>
      </c>
      <c r="B243" s="592" t="s">
        <v>636</v>
      </c>
      <c r="C243" s="602" t="s">
        <v>271</v>
      </c>
      <c r="D243" s="603">
        <v>3396</v>
      </c>
      <c r="E243" s="594">
        <v>677.95</v>
      </c>
      <c r="F243" s="608" t="s">
        <v>222</v>
      </c>
      <c r="G243" s="603">
        <v>668</v>
      </c>
      <c r="H243" s="609">
        <v>2</v>
      </c>
      <c r="I243" s="609">
        <v>2</v>
      </c>
      <c r="J243" s="609">
        <v>12</v>
      </c>
      <c r="K243" s="590" t="s">
        <v>33</v>
      </c>
      <c r="L243" s="1357">
        <f>M243+N243+O243+P243+Q243+M244+N244+O244+P244+Q244</f>
        <v>1839125.8900000001</v>
      </c>
      <c r="M243" s="623">
        <v>1536894.37</v>
      </c>
      <c r="N243" s="630"/>
      <c r="O243" s="587">
        <v>5583.14</v>
      </c>
      <c r="P243" s="586"/>
      <c r="Q243" s="586"/>
      <c r="R243" s="582">
        <f>M243/G243</f>
        <v>2300.7400748502996</v>
      </c>
      <c r="S243" s="586">
        <f t="shared" si="28"/>
        <v>296648.38</v>
      </c>
      <c r="T243" s="605"/>
      <c r="U243" s="597">
        <f t="shared" si="26"/>
        <v>1542477.51</v>
      </c>
      <c r="V243" s="589"/>
      <c r="W243" s="600"/>
      <c r="X243" s="659"/>
      <c r="Y243" s="659"/>
      <c r="Z243" s="659"/>
    </row>
    <row r="244" spans="1:33" s="519" customFormat="1" hidden="1">
      <c r="A244" s="1349"/>
      <c r="B244" s="592"/>
      <c r="C244" s="593"/>
      <c r="D244" s="603"/>
      <c r="E244" s="594"/>
      <c r="F244" s="608"/>
      <c r="G244" s="603"/>
      <c r="H244" s="609"/>
      <c r="I244" s="609"/>
      <c r="J244" s="609"/>
      <c r="K244" s="590" t="s">
        <v>224</v>
      </c>
      <c r="L244" s="1357"/>
      <c r="M244" s="623">
        <v>261683.38</v>
      </c>
      <c r="N244" s="586">
        <v>34965</v>
      </c>
      <c r="O244" s="587"/>
      <c r="P244" s="586"/>
      <c r="Q244" s="586"/>
      <c r="R244" s="599">
        <f>M244/J243</f>
        <v>21806.948333333334</v>
      </c>
      <c r="S244" s="586">
        <f t="shared" si="28"/>
        <v>-296648.38</v>
      </c>
      <c r="T244" s="605"/>
      <c r="U244" s="597">
        <f t="shared" si="26"/>
        <v>296648.38</v>
      </c>
      <c r="V244" s="589"/>
      <c r="W244" s="600"/>
      <c r="X244" s="659"/>
      <c r="Y244" s="659"/>
      <c r="Z244" s="659"/>
    </row>
    <row r="245" spans="1:33" s="249" customFormat="1" ht="37.5" hidden="1">
      <c r="A245" s="591">
        <v>191</v>
      </c>
      <c r="B245" s="592" t="s">
        <v>637</v>
      </c>
      <c r="C245" s="617" t="s">
        <v>271</v>
      </c>
      <c r="D245" s="603">
        <v>15806</v>
      </c>
      <c r="E245" s="619">
        <v>2970</v>
      </c>
      <c r="F245" s="689" t="s">
        <v>233</v>
      </c>
      <c r="G245" s="603">
        <v>689.9</v>
      </c>
      <c r="H245" s="582">
        <v>9</v>
      </c>
      <c r="I245" s="582">
        <v>2</v>
      </c>
      <c r="J245" s="676">
        <v>72</v>
      </c>
      <c r="K245" s="606" t="s">
        <v>366</v>
      </c>
      <c r="L245" s="595">
        <f t="shared" ref="L245:L258" si="29">M245+N245+O245+P245+Q245</f>
        <v>4085718.75</v>
      </c>
      <c r="M245" s="585">
        <v>3980000</v>
      </c>
      <c r="N245" s="586">
        <v>105718.75</v>
      </c>
      <c r="O245" s="565"/>
      <c r="P245" s="564"/>
      <c r="Q245" s="586"/>
      <c r="R245" s="582">
        <v>2000000</v>
      </c>
      <c r="S245" s="586">
        <f t="shared" si="28"/>
        <v>0</v>
      </c>
      <c r="T245" s="645"/>
      <c r="U245" s="597">
        <f t="shared" si="26"/>
        <v>4085718.75</v>
      </c>
      <c r="V245" s="589"/>
      <c r="W245" s="600"/>
      <c r="X245" s="590"/>
      <c r="Y245" s="590"/>
      <c r="Z245" s="590"/>
    </row>
    <row r="246" spans="1:33" s="249" customFormat="1" hidden="1">
      <c r="A246" s="591">
        <f t="shared" si="25"/>
        <v>192</v>
      </c>
      <c r="B246" s="592" t="s">
        <v>638</v>
      </c>
      <c r="C246" s="593" t="s">
        <v>271</v>
      </c>
      <c r="D246" s="603">
        <v>2513</v>
      </c>
      <c r="E246" s="603">
        <v>217</v>
      </c>
      <c r="F246" s="608" t="s">
        <v>222</v>
      </c>
      <c r="G246" s="603">
        <v>519</v>
      </c>
      <c r="H246" s="609">
        <v>2</v>
      </c>
      <c r="I246" s="609">
        <v>2</v>
      </c>
      <c r="J246" s="609">
        <v>9</v>
      </c>
      <c r="K246" s="679" t="s">
        <v>33</v>
      </c>
      <c r="L246" s="595">
        <f t="shared" si="29"/>
        <v>1456084.6</v>
      </c>
      <c r="M246" s="585">
        <v>1451746.8</v>
      </c>
      <c r="N246" s="586"/>
      <c r="O246" s="587">
        <v>4337.8</v>
      </c>
      <c r="P246" s="586"/>
      <c r="Q246" s="586"/>
      <c r="R246" s="582">
        <f>M246/G246</f>
        <v>2797.2000000000003</v>
      </c>
      <c r="S246" s="586">
        <f t="shared" si="28"/>
        <v>4.638422979041934E-11</v>
      </c>
      <c r="T246" s="645"/>
      <c r="U246" s="597">
        <f t="shared" si="26"/>
        <v>1456084.6</v>
      </c>
      <c r="V246" s="589"/>
      <c r="W246" s="600"/>
      <c r="X246" s="590"/>
      <c r="Y246" s="590"/>
      <c r="Z246" s="590"/>
    </row>
    <row r="247" spans="1:33" s="249" customFormat="1" hidden="1">
      <c r="A247" s="591">
        <f t="shared" si="25"/>
        <v>193</v>
      </c>
      <c r="B247" s="592" t="s">
        <v>639</v>
      </c>
      <c r="C247" s="602" t="s">
        <v>271</v>
      </c>
      <c r="D247" s="603">
        <v>2942</v>
      </c>
      <c r="E247" s="603">
        <v>218</v>
      </c>
      <c r="F247" s="615" t="s">
        <v>371</v>
      </c>
      <c r="G247" s="603">
        <v>497</v>
      </c>
      <c r="H247" s="609">
        <v>2</v>
      </c>
      <c r="I247" s="609">
        <v>8</v>
      </c>
      <c r="J247" s="609">
        <v>16</v>
      </c>
      <c r="K247" s="590" t="s">
        <v>33</v>
      </c>
      <c r="L247" s="595">
        <f t="shared" si="29"/>
        <v>1388795.93</v>
      </c>
      <c r="M247" s="585">
        <v>1384642</v>
      </c>
      <c r="N247" s="630"/>
      <c r="O247" s="587">
        <v>4153.93</v>
      </c>
      <c r="P247" s="586"/>
      <c r="Q247" s="586"/>
      <c r="R247" s="582">
        <f>M247/G247</f>
        <v>2786</v>
      </c>
      <c r="S247" s="586">
        <f t="shared" si="28"/>
        <v>-6.5483618527650833E-11</v>
      </c>
      <c r="T247" s="645"/>
      <c r="U247" s="597">
        <f t="shared" si="26"/>
        <v>1388795.93</v>
      </c>
      <c r="V247" s="589"/>
      <c r="W247" s="600"/>
      <c r="X247" s="590"/>
      <c r="Y247" s="590"/>
      <c r="Z247" s="590"/>
    </row>
    <row r="248" spans="1:33" s="249" customFormat="1" hidden="1">
      <c r="A248" s="591">
        <f t="shared" si="25"/>
        <v>194</v>
      </c>
      <c r="B248" s="592" t="s">
        <v>640</v>
      </c>
      <c r="C248" s="602" t="s">
        <v>271</v>
      </c>
      <c r="D248" s="603">
        <v>2624</v>
      </c>
      <c r="E248" s="603">
        <v>207</v>
      </c>
      <c r="F248" s="608" t="s">
        <v>222</v>
      </c>
      <c r="G248" s="603">
        <v>569</v>
      </c>
      <c r="H248" s="609">
        <v>2</v>
      </c>
      <c r="I248" s="609">
        <v>2</v>
      </c>
      <c r="J248" s="609">
        <v>16</v>
      </c>
      <c r="K248" s="610" t="s">
        <v>33</v>
      </c>
      <c r="L248" s="595">
        <f t="shared" si="29"/>
        <v>1652035.26</v>
      </c>
      <c r="M248" s="623">
        <f>1577268+70011.56</f>
        <v>1647279.56</v>
      </c>
      <c r="N248" s="630"/>
      <c r="O248" s="587">
        <v>4755.7</v>
      </c>
      <c r="P248" s="586"/>
      <c r="Q248" s="586"/>
      <c r="R248" s="582">
        <f>M248/G248</f>
        <v>2895.04316344464</v>
      </c>
      <c r="S248" s="586">
        <f t="shared" si="28"/>
        <v>-4.638422979041934E-11</v>
      </c>
      <c r="T248" s="645"/>
      <c r="U248" s="597">
        <f t="shared" si="26"/>
        <v>1652035.26</v>
      </c>
      <c r="V248" s="589"/>
      <c r="W248" s="600"/>
      <c r="X248" s="590"/>
      <c r="Y248" s="590"/>
      <c r="Z248" s="590"/>
    </row>
    <row r="249" spans="1:33" s="246" customFormat="1" hidden="1">
      <c r="A249" s="591">
        <f t="shared" si="25"/>
        <v>195</v>
      </c>
      <c r="B249" s="592" t="s">
        <v>641</v>
      </c>
      <c r="C249" s="602" t="s">
        <v>217</v>
      </c>
      <c r="D249" s="582">
        <v>43910</v>
      </c>
      <c r="E249" s="646">
        <v>7148</v>
      </c>
      <c r="F249" s="582" t="s">
        <v>233</v>
      </c>
      <c r="G249" s="582">
        <v>1879</v>
      </c>
      <c r="H249" s="582">
        <v>9</v>
      </c>
      <c r="I249" s="582">
        <v>4</v>
      </c>
      <c r="J249" s="582">
        <v>216</v>
      </c>
      <c r="K249" s="610" t="s">
        <v>224</v>
      </c>
      <c r="L249" s="595">
        <f t="shared" si="29"/>
        <v>4360635</v>
      </c>
      <c r="M249" s="585">
        <v>4315680</v>
      </c>
      <c r="N249" s="586">
        <v>44955</v>
      </c>
      <c r="O249" s="587"/>
      <c r="P249" s="586"/>
      <c r="Q249" s="586"/>
      <c r="R249" s="582">
        <f>M249/J249</f>
        <v>19980</v>
      </c>
      <c r="S249" s="586">
        <f t="shared" si="28"/>
        <v>0</v>
      </c>
      <c r="T249" s="645"/>
      <c r="U249" s="597">
        <f t="shared" si="26"/>
        <v>4360635</v>
      </c>
      <c r="V249" s="589"/>
      <c r="W249" s="600"/>
      <c r="X249" s="589"/>
      <c r="Y249" s="589"/>
      <c r="Z249" s="589"/>
      <c r="AB249" s="36"/>
      <c r="AC249" s="14"/>
      <c r="AE249" s="72"/>
    </row>
    <row r="250" spans="1:33" s="249" customFormat="1" ht="37.5" hidden="1">
      <c r="A250" s="591">
        <f t="shared" si="25"/>
        <v>196</v>
      </c>
      <c r="B250" s="592" t="s">
        <v>642</v>
      </c>
      <c r="C250" s="617" t="s">
        <v>271</v>
      </c>
      <c r="D250" s="561">
        <v>60188</v>
      </c>
      <c r="E250" s="561">
        <v>6911</v>
      </c>
      <c r="F250" s="561" t="s">
        <v>233</v>
      </c>
      <c r="G250" s="561">
        <v>2250</v>
      </c>
      <c r="H250" s="625">
        <v>9</v>
      </c>
      <c r="I250" s="625">
        <v>6</v>
      </c>
      <c r="J250" s="561">
        <v>192</v>
      </c>
      <c r="K250" s="606" t="s">
        <v>366</v>
      </c>
      <c r="L250" s="595">
        <f t="shared" si="29"/>
        <v>10275313.52</v>
      </c>
      <c r="M250" s="585">
        <f>9950000+156163.52</f>
        <v>10106163.52</v>
      </c>
      <c r="N250" s="586">
        <v>169150</v>
      </c>
      <c r="O250" s="565"/>
      <c r="P250" s="564"/>
      <c r="Q250" s="586"/>
      <c r="R250" s="582">
        <v>2000000</v>
      </c>
      <c r="S250" s="586">
        <f t="shared" si="28"/>
        <v>0</v>
      </c>
      <c r="T250" s="645"/>
      <c r="U250" s="597">
        <f t="shared" si="26"/>
        <v>10275313.52</v>
      </c>
      <c r="V250" s="589"/>
      <c r="W250" s="600"/>
      <c r="X250" s="590"/>
      <c r="Y250" s="590"/>
      <c r="Z250" s="590"/>
    </row>
    <row r="251" spans="1:33" s="249" customFormat="1" ht="37.5" hidden="1">
      <c r="A251" s="591">
        <f t="shared" si="25"/>
        <v>197</v>
      </c>
      <c r="B251" s="592" t="s">
        <v>643</v>
      </c>
      <c r="C251" s="593" t="s">
        <v>217</v>
      </c>
      <c r="D251" s="603">
        <v>43154</v>
      </c>
      <c r="E251" s="594">
        <v>7025</v>
      </c>
      <c r="F251" s="643" t="s">
        <v>233</v>
      </c>
      <c r="G251" s="603">
        <v>1785</v>
      </c>
      <c r="H251" s="609">
        <v>9</v>
      </c>
      <c r="I251" s="609">
        <v>4</v>
      </c>
      <c r="J251" s="609">
        <v>216</v>
      </c>
      <c r="K251" s="590" t="s">
        <v>366</v>
      </c>
      <c r="L251" s="595">
        <f t="shared" si="29"/>
        <v>4085718.75</v>
      </c>
      <c r="M251" s="611">
        <v>3980000</v>
      </c>
      <c r="N251" s="612">
        <v>105718.75</v>
      </c>
      <c r="O251" s="613"/>
      <c r="P251" s="586"/>
      <c r="Q251" s="614"/>
      <c r="R251" s="582">
        <v>2000000</v>
      </c>
      <c r="S251" s="586">
        <f t="shared" si="28"/>
        <v>0</v>
      </c>
      <c r="T251" s="645"/>
      <c r="U251" s="597">
        <f t="shared" si="26"/>
        <v>4085718.75</v>
      </c>
      <c r="V251" s="589"/>
      <c r="W251" s="600"/>
      <c r="X251" s="590"/>
      <c r="Y251" s="590"/>
      <c r="Z251" s="590"/>
    </row>
    <row r="252" spans="1:33" s="249" customFormat="1" hidden="1">
      <c r="A252" s="591">
        <f t="shared" si="25"/>
        <v>198</v>
      </c>
      <c r="B252" s="592" t="s">
        <v>644</v>
      </c>
      <c r="C252" s="593" t="s">
        <v>271</v>
      </c>
      <c r="D252" s="618">
        <v>12528</v>
      </c>
      <c r="E252" s="618">
        <v>1940</v>
      </c>
      <c r="F252" s="593" t="s">
        <v>222</v>
      </c>
      <c r="G252" s="618">
        <v>1131</v>
      </c>
      <c r="H252" s="650">
        <v>5</v>
      </c>
      <c r="I252" s="650">
        <v>4</v>
      </c>
      <c r="J252" s="650">
        <v>72</v>
      </c>
      <c r="K252" s="590" t="s">
        <v>224</v>
      </c>
      <c r="L252" s="595">
        <f t="shared" si="29"/>
        <v>1185813</v>
      </c>
      <c r="M252" s="585">
        <v>1150848</v>
      </c>
      <c r="N252" s="586">
        <v>34965</v>
      </c>
      <c r="O252" s="587"/>
      <c r="P252" s="586"/>
      <c r="Q252" s="586"/>
      <c r="R252" s="582">
        <f t="shared" ref="R252:R258" si="30">M252/J252</f>
        <v>15984</v>
      </c>
      <c r="S252" s="586">
        <f t="shared" si="28"/>
        <v>0</v>
      </c>
      <c r="T252" s="645"/>
      <c r="U252" s="597">
        <f t="shared" si="26"/>
        <v>1185813</v>
      </c>
      <c r="V252" s="589"/>
      <c r="W252" s="600"/>
      <c r="X252" s="590"/>
      <c r="Y252" s="590"/>
      <c r="Z252" s="590"/>
    </row>
    <row r="253" spans="1:33" s="249" customFormat="1" ht="37.5" hidden="1">
      <c r="A253" s="591">
        <f t="shared" si="25"/>
        <v>199</v>
      </c>
      <c r="B253" s="592" t="s">
        <v>645</v>
      </c>
      <c r="C253" s="602" t="s">
        <v>271</v>
      </c>
      <c r="D253" s="603">
        <v>13439</v>
      </c>
      <c r="E253" s="594">
        <v>865</v>
      </c>
      <c r="F253" s="608" t="s">
        <v>222</v>
      </c>
      <c r="G253" s="603">
        <v>1125</v>
      </c>
      <c r="H253" s="609">
        <v>5</v>
      </c>
      <c r="I253" s="609">
        <v>4</v>
      </c>
      <c r="J253" s="609">
        <v>73</v>
      </c>
      <c r="K253" s="606" t="s">
        <v>30</v>
      </c>
      <c r="L253" s="595">
        <f t="shared" si="29"/>
        <v>1957173.44</v>
      </c>
      <c r="M253" s="585">
        <v>1951290</v>
      </c>
      <c r="N253" s="586"/>
      <c r="O253" s="587">
        <v>5883.44</v>
      </c>
      <c r="P253" s="586"/>
      <c r="Q253" s="586"/>
      <c r="R253" s="582">
        <f t="shared" si="30"/>
        <v>26730</v>
      </c>
      <c r="S253" s="586">
        <f t="shared" si="28"/>
        <v>-5.5479176808148623E-11</v>
      </c>
      <c r="T253" s="645"/>
      <c r="U253" s="597">
        <f t="shared" si="26"/>
        <v>1957173.44</v>
      </c>
      <c r="V253" s="589"/>
      <c r="W253" s="600"/>
      <c r="X253" s="590"/>
      <c r="Y253" s="590"/>
      <c r="Z253" s="590"/>
    </row>
    <row r="254" spans="1:33" s="246" customFormat="1" ht="37.5" hidden="1">
      <c r="A254" s="591">
        <f t="shared" si="25"/>
        <v>200</v>
      </c>
      <c r="B254" s="592" t="s">
        <v>646</v>
      </c>
      <c r="C254" s="593" t="s">
        <v>271</v>
      </c>
      <c r="D254" s="618">
        <v>23567</v>
      </c>
      <c r="E254" s="594">
        <v>4002.1</v>
      </c>
      <c r="F254" s="593" t="s">
        <v>233</v>
      </c>
      <c r="G254" s="618">
        <v>859</v>
      </c>
      <c r="H254" s="650">
        <v>10</v>
      </c>
      <c r="I254" s="650">
        <v>2</v>
      </c>
      <c r="J254" s="650">
        <v>74</v>
      </c>
      <c r="K254" s="606" t="s">
        <v>30</v>
      </c>
      <c r="L254" s="595">
        <f t="shared" si="29"/>
        <v>2375303.4</v>
      </c>
      <c r="M254" s="585">
        <v>2365632</v>
      </c>
      <c r="N254" s="586"/>
      <c r="O254" s="587">
        <v>9671.4</v>
      </c>
      <c r="P254" s="586"/>
      <c r="Q254" s="586"/>
      <c r="R254" s="582">
        <f t="shared" si="30"/>
        <v>31968</v>
      </c>
      <c r="S254" s="586">
        <f t="shared" si="28"/>
        <v>-9.276845958083868E-11</v>
      </c>
      <c r="T254" s="645"/>
      <c r="U254" s="597">
        <f t="shared" si="26"/>
        <v>2375303.4</v>
      </c>
      <c r="V254" s="589"/>
      <c r="W254" s="600"/>
      <c r="X254" s="589"/>
      <c r="Y254" s="589"/>
      <c r="Z254" s="589"/>
      <c r="AB254" s="36"/>
      <c r="AC254" s="72"/>
      <c r="AE254" s="72"/>
    </row>
    <row r="255" spans="1:33" s="246" customFormat="1" hidden="1">
      <c r="A255" s="591">
        <f t="shared" si="25"/>
        <v>201</v>
      </c>
      <c r="B255" s="592" t="s">
        <v>647</v>
      </c>
      <c r="C255" s="617" t="s">
        <v>271</v>
      </c>
      <c r="D255" s="618">
        <v>13341</v>
      </c>
      <c r="E255" s="619">
        <v>2150</v>
      </c>
      <c r="F255" s="620" t="s">
        <v>222</v>
      </c>
      <c r="G255" s="620">
        <v>1111</v>
      </c>
      <c r="H255" s="651">
        <v>4</v>
      </c>
      <c r="I255" s="620">
        <v>3</v>
      </c>
      <c r="J255" s="620">
        <v>106</v>
      </c>
      <c r="K255" s="590" t="s">
        <v>224</v>
      </c>
      <c r="L255" s="595">
        <f t="shared" si="29"/>
        <v>1729269</v>
      </c>
      <c r="M255" s="596">
        <v>1694304</v>
      </c>
      <c r="N255" s="597">
        <v>34965</v>
      </c>
      <c r="O255" s="598"/>
      <c r="P255" s="597">
        <v>0</v>
      </c>
      <c r="Q255" s="597"/>
      <c r="R255" s="582">
        <f t="shared" si="30"/>
        <v>15984</v>
      </c>
      <c r="S255" s="586">
        <f t="shared" si="28"/>
        <v>0</v>
      </c>
      <c r="T255" s="589"/>
      <c r="U255" s="597">
        <f t="shared" si="26"/>
        <v>1729269</v>
      </c>
      <c r="V255" s="589"/>
      <c r="W255" s="600"/>
      <c r="X255" s="589"/>
      <c r="Y255" s="591"/>
      <c r="Z255" s="589"/>
      <c r="AA255" s="72"/>
      <c r="AB255" s="72"/>
      <c r="AE255" s="72"/>
      <c r="AG255" s="72"/>
    </row>
    <row r="256" spans="1:33" s="249" customFormat="1" hidden="1">
      <c r="A256" s="591">
        <f t="shared" si="25"/>
        <v>202</v>
      </c>
      <c r="B256" s="592" t="s">
        <v>648</v>
      </c>
      <c r="C256" s="593" t="s">
        <v>271</v>
      </c>
      <c r="D256" s="594">
        <v>11280</v>
      </c>
      <c r="E256" s="594">
        <v>2200</v>
      </c>
      <c r="F256" s="594" t="s">
        <v>222</v>
      </c>
      <c r="G256" s="594">
        <v>1152</v>
      </c>
      <c r="H256" s="594">
        <v>4</v>
      </c>
      <c r="I256" s="594">
        <v>4</v>
      </c>
      <c r="J256" s="594">
        <v>40</v>
      </c>
      <c r="K256" s="590" t="s">
        <v>224</v>
      </c>
      <c r="L256" s="595">
        <f t="shared" si="29"/>
        <v>1224765.69</v>
      </c>
      <c r="M256" s="623">
        <f>639359.64+63886.05+486555</f>
        <v>1189800.69</v>
      </c>
      <c r="N256" s="597">
        <v>34965</v>
      </c>
      <c r="O256" s="598"/>
      <c r="P256" s="597"/>
      <c r="Q256" s="586"/>
      <c r="R256" s="599">
        <f t="shared" si="30"/>
        <v>29745.017249999997</v>
      </c>
      <c r="S256" s="586">
        <f t="shared" si="28"/>
        <v>0</v>
      </c>
      <c r="T256" s="645"/>
      <c r="U256" s="597">
        <f t="shared" si="26"/>
        <v>1224765.69</v>
      </c>
      <c r="V256" s="589"/>
      <c r="W256" s="600"/>
      <c r="X256" s="590"/>
      <c r="Y256" s="590"/>
      <c r="Z256" s="590"/>
    </row>
    <row r="257" spans="1:32" s="249" customFormat="1" ht="37.5" hidden="1">
      <c r="A257" s="591">
        <f t="shared" si="25"/>
        <v>203</v>
      </c>
      <c r="B257" s="592" t="s">
        <v>649</v>
      </c>
      <c r="C257" s="617" t="s">
        <v>271</v>
      </c>
      <c r="D257" s="618">
        <v>48080</v>
      </c>
      <c r="E257" s="619">
        <v>7521</v>
      </c>
      <c r="F257" s="604" t="s">
        <v>233</v>
      </c>
      <c r="G257" s="633">
        <v>932</v>
      </c>
      <c r="H257" s="640">
        <v>10</v>
      </c>
      <c r="I257" s="633">
        <v>4</v>
      </c>
      <c r="J257" s="633">
        <v>153</v>
      </c>
      <c r="K257" s="606" t="s">
        <v>30</v>
      </c>
      <c r="L257" s="595">
        <f t="shared" si="29"/>
        <v>4905718.5599999996</v>
      </c>
      <c r="M257" s="635">
        <v>4891104</v>
      </c>
      <c r="N257" s="636"/>
      <c r="O257" s="641">
        <v>14614.56</v>
      </c>
      <c r="P257" s="636"/>
      <c r="Q257" s="638"/>
      <c r="R257" s="582">
        <f t="shared" si="30"/>
        <v>31968</v>
      </c>
      <c r="S257" s="586">
        <f t="shared" si="28"/>
        <v>-4.0927261579781771E-10</v>
      </c>
      <c r="T257" s="645"/>
      <c r="U257" s="597">
        <f t="shared" si="26"/>
        <v>4905718.5599999996</v>
      </c>
      <c r="V257" s="589"/>
      <c r="W257" s="600"/>
      <c r="X257" s="590"/>
      <c r="Y257" s="590"/>
      <c r="Z257" s="590"/>
    </row>
    <row r="258" spans="1:32" s="246" customFormat="1" ht="337.5" hidden="1">
      <c r="A258" s="591">
        <f t="shared" si="25"/>
        <v>204</v>
      </c>
      <c r="B258" s="616" t="s">
        <v>650</v>
      </c>
      <c r="C258" s="617" t="s">
        <v>221</v>
      </c>
      <c r="D258" s="618">
        <v>16139</v>
      </c>
      <c r="E258" s="619">
        <v>650</v>
      </c>
      <c r="F258" s="653" t="s">
        <v>222</v>
      </c>
      <c r="G258" s="633">
        <v>1160.3</v>
      </c>
      <c r="H258" s="640">
        <v>5</v>
      </c>
      <c r="I258" s="633">
        <v>2</v>
      </c>
      <c r="J258" s="633">
        <v>75</v>
      </c>
      <c r="K258" s="606" t="s">
        <v>30</v>
      </c>
      <c r="L258" s="595">
        <f t="shared" si="29"/>
        <v>3010872.1799999997</v>
      </c>
      <c r="M258" s="654">
        <v>3004827.55</v>
      </c>
      <c r="N258" s="636"/>
      <c r="O258" s="641">
        <v>6044.63</v>
      </c>
      <c r="P258" s="636"/>
      <c r="Q258" s="638"/>
      <c r="R258" s="582">
        <f t="shared" si="30"/>
        <v>40064.367333333328</v>
      </c>
      <c r="S258" s="586">
        <f t="shared" si="28"/>
        <v>-1.1186784831807017E-10</v>
      </c>
      <c r="T258" s="645" t="s">
        <v>3696</v>
      </c>
      <c r="U258" s="597">
        <f t="shared" si="26"/>
        <v>3010872.1799999997</v>
      </c>
      <c r="V258" s="589"/>
      <c r="W258" s="600"/>
      <c r="X258" s="591"/>
      <c r="Y258" s="589"/>
      <c r="Z258" s="589"/>
      <c r="AA258" s="72"/>
      <c r="AC258" s="36"/>
      <c r="AD258" s="72"/>
      <c r="AF258" s="72"/>
    </row>
    <row r="259" spans="1:32" s="249" customFormat="1" hidden="1">
      <c r="A259" s="591">
        <f t="shared" si="25"/>
        <v>205</v>
      </c>
      <c r="B259" s="592" t="s">
        <v>651</v>
      </c>
      <c r="C259" s="593" t="s">
        <v>217</v>
      </c>
      <c r="D259" s="618">
        <v>16328</v>
      </c>
      <c r="E259" s="619">
        <v>3079</v>
      </c>
      <c r="F259" s="620" t="s">
        <v>233</v>
      </c>
      <c r="G259" s="620">
        <v>697</v>
      </c>
      <c r="H259" s="651">
        <v>9</v>
      </c>
      <c r="I259" s="620">
        <v>2</v>
      </c>
      <c r="J259" s="620">
        <v>72</v>
      </c>
      <c r="K259" s="679" t="s">
        <v>33</v>
      </c>
      <c r="L259" s="595">
        <f>SUM(M259:Q259)</f>
        <v>1201668.69</v>
      </c>
      <c r="M259" s="596">
        <v>1197299.55</v>
      </c>
      <c r="N259" s="586"/>
      <c r="O259" s="598">
        <v>4369.1400000000003</v>
      </c>
      <c r="P259" s="597"/>
      <c r="Q259" s="597"/>
      <c r="R259" s="582">
        <f>M259/G259</f>
        <v>1717.7898852223816</v>
      </c>
      <c r="S259" s="586">
        <f t="shared" si="28"/>
        <v>-1.0277290130034089E-10</v>
      </c>
      <c r="T259" s="645"/>
      <c r="U259" s="597">
        <f t="shared" si="26"/>
        <v>1201668.69</v>
      </c>
      <c r="V259" s="589"/>
      <c r="W259" s="600"/>
      <c r="X259" s="590"/>
      <c r="Y259" s="590"/>
      <c r="Z259" s="590"/>
    </row>
    <row r="260" spans="1:32" s="439" customFormat="1" hidden="1">
      <c r="A260" s="591">
        <f t="shared" si="25"/>
        <v>206</v>
      </c>
      <c r="B260" s="592" t="s">
        <v>652</v>
      </c>
      <c r="C260" s="617" t="s">
        <v>217</v>
      </c>
      <c r="D260" s="582">
        <v>11657</v>
      </c>
      <c r="E260" s="582">
        <v>2668</v>
      </c>
      <c r="F260" s="604" t="s">
        <v>233</v>
      </c>
      <c r="G260" s="582">
        <v>470</v>
      </c>
      <c r="H260" s="602">
        <v>12</v>
      </c>
      <c r="I260" s="602">
        <v>1</v>
      </c>
      <c r="J260" s="582">
        <v>48</v>
      </c>
      <c r="K260" s="634" t="s">
        <v>33</v>
      </c>
      <c r="L260" s="584">
        <f>SUBTOTAL(9,M260:Q260)</f>
        <v>793548.54999999993</v>
      </c>
      <c r="M260" s="690">
        <v>790602.35</v>
      </c>
      <c r="N260" s="586"/>
      <c r="O260" s="587">
        <v>2946.2</v>
      </c>
      <c r="P260" s="586"/>
      <c r="Q260" s="586"/>
      <c r="R260" s="582">
        <f>M260/G260</f>
        <v>1682.1326595744681</v>
      </c>
      <c r="S260" s="586">
        <f t="shared" si="28"/>
        <v>-4.638422979041934E-11</v>
      </c>
      <c r="T260" s="605"/>
      <c r="U260" s="597">
        <f t="shared" si="26"/>
        <v>793548.54999999993</v>
      </c>
      <c r="V260" s="589"/>
      <c r="W260" s="600"/>
      <c r="X260" s="667"/>
      <c r="Y260" s="667"/>
      <c r="Z260" s="667"/>
    </row>
    <row r="261" spans="1:32" s="517" customFormat="1" hidden="1">
      <c r="A261" s="591">
        <f t="shared" si="25"/>
        <v>207</v>
      </c>
      <c r="B261" s="592" t="s">
        <v>653</v>
      </c>
      <c r="C261" s="602" t="s">
        <v>217</v>
      </c>
      <c r="D261" s="602">
        <v>9722</v>
      </c>
      <c r="E261" s="602">
        <v>2151</v>
      </c>
      <c r="F261" s="602" t="s">
        <v>233</v>
      </c>
      <c r="G261" s="602">
        <v>748</v>
      </c>
      <c r="H261" s="602">
        <v>5</v>
      </c>
      <c r="I261" s="602">
        <v>4</v>
      </c>
      <c r="J261" s="602">
        <v>60</v>
      </c>
      <c r="K261" s="606" t="s">
        <v>33</v>
      </c>
      <c r="L261" s="584">
        <f>SUBTOTAL(9,M261:Q261)</f>
        <v>1578900.5999999999</v>
      </c>
      <c r="M261" s="585">
        <v>1569229.2</v>
      </c>
      <c r="N261" s="586"/>
      <c r="O261" s="587">
        <v>9671.4</v>
      </c>
      <c r="P261" s="586"/>
      <c r="Q261" s="586"/>
      <c r="R261" s="582">
        <f>M261/G261</f>
        <v>2097.9</v>
      </c>
      <c r="S261" s="586">
        <f t="shared" si="28"/>
        <v>-9.276845958083868E-11</v>
      </c>
      <c r="T261" s="645"/>
      <c r="U261" s="597">
        <f t="shared" si="26"/>
        <v>1578900.5999999999</v>
      </c>
      <c r="V261" s="589"/>
      <c r="W261" s="600"/>
      <c r="X261" s="589"/>
      <c r="Y261" s="589"/>
      <c r="Z261" s="647"/>
      <c r="AB261" s="36"/>
      <c r="AC261" s="14"/>
      <c r="AD261" s="246"/>
      <c r="AE261" s="72"/>
    </row>
    <row r="262" spans="1:32" s="517" customFormat="1" hidden="1">
      <c r="A262" s="591">
        <f t="shared" si="25"/>
        <v>208</v>
      </c>
      <c r="B262" s="592" t="s">
        <v>654</v>
      </c>
      <c r="C262" s="593" t="s">
        <v>271</v>
      </c>
      <c r="D262" s="618">
        <v>11613</v>
      </c>
      <c r="E262" s="619">
        <v>2120</v>
      </c>
      <c r="F262" s="664" t="s">
        <v>233</v>
      </c>
      <c r="G262" s="619">
        <v>582.6</v>
      </c>
      <c r="H262" s="594">
        <v>5</v>
      </c>
      <c r="I262" s="594">
        <v>3</v>
      </c>
      <c r="J262" s="582">
        <v>54</v>
      </c>
      <c r="K262" s="590" t="s">
        <v>33</v>
      </c>
      <c r="L262" s="584">
        <f>SUM(M262:Q262)</f>
        <v>1226500.3</v>
      </c>
      <c r="M262" s="585">
        <v>1222848.27</v>
      </c>
      <c r="N262" s="586"/>
      <c r="O262" s="587">
        <v>3652.03</v>
      </c>
      <c r="P262" s="586"/>
      <c r="Q262" s="586"/>
      <c r="R262" s="582">
        <f>M262/G262</f>
        <v>2098.9499999999998</v>
      </c>
      <c r="S262" s="586">
        <f t="shared" si="28"/>
        <v>2.7739588404074311E-11</v>
      </c>
      <c r="T262" s="645"/>
      <c r="U262" s="597">
        <f t="shared" si="26"/>
        <v>1226500.3</v>
      </c>
      <c r="V262" s="589"/>
      <c r="W262" s="600"/>
      <c r="X262" s="589"/>
      <c r="Y262" s="589"/>
      <c r="Z262" s="647"/>
      <c r="AB262" s="36"/>
      <c r="AC262" s="14"/>
      <c r="AD262" s="246"/>
      <c r="AE262" s="72"/>
    </row>
    <row r="263" spans="1:32" s="517" customFormat="1" ht="37.5" hidden="1">
      <c r="A263" s="591">
        <f t="shared" si="25"/>
        <v>209</v>
      </c>
      <c r="B263" s="592" t="s">
        <v>655</v>
      </c>
      <c r="C263" s="593" t="s">
        <v>217</v>
      </c>
      <c r="D263" s="593">
        <v>17172</v>
      </c>
      <c r="E263" s="593">
        <v>2099.7600000000002</v>
      </c>
      <c r="F263" s="643" t="s">
        <v>233</v>
      </c>
      <c r="G263" s="593">
        <v>725.7</v>
      </c>
      <c r="H263" s="593">
        <v>9</v>
      </c>
      <c r="I263" s="593">
        <v>2</v>
      </c>
      <c r="J263" s="593">
        <v>70</v>
      </c>
      <c r="K263" s="606" t="s">
        <v>30</v>
      </c>
      <c r="L263" s="584">
        <f>SUM(M263:Q263)</f>
        <v>2244446.4</v>
      </c>
      <c r="M263" s="585">
        <v>2237760</v>
      </c>
      <c r="N263" s="586"/>
      <c r="O263" s="587">
        <v>6686.4</v>
      </c>
      <c r="P263" s="586"/>
      <c r="Q263" s="586"/>
      <c r="R263" s="582">
        <f>M263/J263</f>
        <v>31968</v>
      </c>
      <c r="S263" s="586">
        <f t="shared" si="28"/>
        <v>-9.276845958083868E-11</v>
      </c>
      <c r="T263" s="645"/>
      <c r="U263" s="597">
        <f t="shared" si="26"/>
        <v>2244446.4</v>
      </c>
      <c r="V263" s="589"/>
      <c r="W263" s="600"/>
      <c r="X263" s="589"/>
      <c r="Y263" s="589"/>
      <c r="Z263" s="647"/>
      <c r="AB263" s="36"/>
      <c r="AC263" s="14"/>
      <c r="AD263" s="246"/>
      <c r="AE263" s="72"/>
    </row>
    <row r="264" spans="1:32" s="517" customFormat="1" ht="37.5" hidden="1">
      <c r="A264" s="591">
        <f t="shared" si="25"/>
        <v>210</v>
      </c>
      <c r="B264" s="592" t="s">
        <v>656</v>
      </c>
      <c r="C264" s="602" t="s">
        <v>217</v>
      </c>
      <c r="D264" s="619">
        <v>23068</v>
      </c>
      <c r="E264" s="619">
        <v>4621.32</v>
      </c>
      <c r="F264" s="684" t="s">
        <v>233</v>
      </c>
      <c r="G264" s="619">
        <v>1103.9000000000001</v>
      </c>
      <c r="H264" s="593">
        <v>9</v>
      </c>
      <c r="I264" s="593">
        <v>3</v>
      </c>
      <c r="J264" s="594">
        <v>108</v>
      </c>
      <c r="K264" s="606" t="s">
        <v>30</v>
      </c>
      <c r="L264" s="1348">
        <f>M264+N264+O264+Q264+M265+N265+O265+Q265</f>
        <v>14398026.210000001</v>
      </c>
      <c r="M264" s="596">
        <v>3452544</v>
      </c>
      <c r="N264" s="597"/>
      <c r="O264" s="685">
        <v>10316.16</v>
      </c>
      <c r="P264" s="597"/>
      <c r="Q264" s="687"/>
      <c r="R264" s="582">
        <f>M264/J264</f>
        <v>31968</v>
      </c>
      <c r="S264" s="586">
        <f t="shared" si="28"/>
        <v>10935166.050000001</v>
      </c>
      <c r="T264" s="645"/>
      <c r="U264" s="597">
        <f t="shared" si="26"/>
        <v>3462860.16</v>
      </c>
      <c r="V264" s="589"/>
      <c r="W264" s="600"/>
      <c r="X264" s="589"/>
      <c r="Y264" s="589"/>
      <c r="Z264" s="647"/>
      <c r="AB264" s="36"/>
      <c r="AC264" s="14"/>
      <c r="AD264" s="246"/>
      <c r="AE264" s="72"/>
    </row>
    <row r="265" spans="1:32" s="517" customFormat="1" hidden="1">
      <c r="A265" s="591"/>
      <c r="B265" s="592"/>
      <c r="C265" s="602"/>
      <c r="D265" s="619"/>
      <c r="E265" s="619"/>
      <c r="F265" s="684"/>
      <c r="G265" s="619"/>
      <c r="H265" s="593"/>
      <c r="I265" s="593"/>
      <c r="J265" s="594"/>
      <c r="K265" s="606" t="s">
        <v>226</v>
      </c>
      <c r="L265" s="1348"/>
      <c r="M265" s="596">
        <v>10910606.470000001</v>
      </c>
      <c r="N265" s="597">
        <v>24559.58</v>
      </c>
      <c r="O265" s="685"/>
      <c r="P265" s="597"/>
      <c r="Q265" s="687"/>
      <c r="R265" s="616">
        <f>M265/E264</f>
        <v>2360.9285810114861</v>
      </c>
      <c r="S265" s="586">
        <f t="shared" si="28"/>
        <v>-10935166.050000001</v>
      </c>
      <c r="T265" s="645"/>
      <c r="U265" s="597">
        <f t="shared" si="26"/>
        <v>10935166.050000001</v>
      </c>
      <c r="V265" s="589"/>
      <c r="W265" s="600"/>
      <c r="X265" s="589"/>
      <c r="Y265" s="589"/>
      <c r="Z265" s="647"/>
      <c r="AB265" s="36"/>
      <c r="AC265" s="14"/>
      <c r="AD265" s="246"/>
      <c r="AE265" s="72"/>
    </row>
    <row r="266" spans="1:32" s="517" customFormat="1" hidden="1">
      <c r="A266" s="591">
        <f>A264+1</f>
        <v>211</v>
      </c>
      <c r="B266" s="592" t="s">
        <v>657</v>
      </c>
      <c r="C266" s="602" t="s">
        <v>217</v>
      </c>
      <c r="D266" s="619">
        <v>24116</v>
      </c>
      <c r="E266" s="619">
        <v>4460.3999999999996</v>
      </c>
      <c r="F266" s="684" t="s">
        <v>233</v>
      </c>
      <c r="G266" s="619">
        <v>1030</v>
      </c>
      <c r="H266" s="593">
        <v>9</v>
      </c>
      <c r="I266" s="593">
        <v>3</v>
      </c>
      <c r="J266" s="594">
        <v>108</v>
      </c>
      <c r="K266" s="590" t="s">
        <v>33</v>
      </c>
      <c r="L266" s="595">
        <f>SUBTOTAL(9,M266:Q266)</f>
        <v>2147826.56</v>
      </c>
      <c r="M266" s="596">
        <v>2141370</v>
      </c>
      <c r="N266" s="597"/>
      <c r="O266" s="685">
        <v>6456.56</v>
      </c>
      <c r="P266" s="686"/>
      <c r="Q266" s="687"/>
      <c r="R266" s="582">
        <f>M266/G266</f>
        <v>2079</v>
      </c>
      <c r="S266" s="586">
        <f t="shared" si="28"/>
        <v>5.5479176808148623E-11</v>
      </c>
      <c r="T266" s="645"/>
      <c r="U266" s="597">
        <f t="shared" si="26"/>
        <v>2147826.56</v>
      </c>
      <c r="V266" s="589"/>
      <c r="W266" s="600"/>
      <c r="X266" s="589"/>
      <c r="Y266" s="589"/>
      <c r="Z266" s="647"/>
      <c r="AB266" s="36"/>
      <c r="AC266" s="14"/>
      <c r="AD266" s="246"/>
      <c r="AE266" s="72"/>
    </row>
    <row r="267" spans="1:32" s="517" customFormat="1" ht="37.5" hidden="1">
      <c r="A267" s="591">
        <f t="shared" ref="A267:A274" si="31">A266+1</f>
        <v>212</v>
      </c>
      <c r="B267" s="592" t="s">
        <v>658</v>
      </c>
      <c r="C267" s="593" t="s">
        <v>217</v>
      </c>
      <c r="D267" s="594">
        <v>22320</v>
      </c>
      <c r="E267" s="593">
        <v>2820</v>
      </c>
      <c r="F267" s="593" t="s">
        <v>233</v>
      </c>
      <c r="G267" s="593">
        <v>1018</v>
      </c>
      <c r="H267" s="608">
        <v>9</v>
      </c>
      <c r="I267" s="608">
        <v>2</v>
      </c>
      <c r="J267" s="608">
        <v>143</v>
      </c>
      <c r="K267" s="606" t="s">
        <v>30</v>
      </c>
      <c r="L267" s="1348">
        <f>M267+N267+O267+Q267+M268+N268+O268+Q268</f>
        <v>11563503.949999999</v>
      </c>
      <c r="M267" s="585">
        <v>3880500</v>
      </c>
      <c r="N267" s="586"/>
      <c r="O267" s="587">
        <v>9671.4</v>
      </c>
      <c r="P267" s="586"/>
      <c r="Q267" s="586"/>
      <c r="R267" s="582">
        <f>M267/J267</f>
        <v>27136.363636363636</v>
      </c>
      <c r="S267" s="586">
        <f t="shared" si="28"/>
        <v>7673332.5499999989</v>
      </c>
      <c r="T267" s="645"/>
      <c r="U267" s="597">
        <f t="shared" si="26"/>
        <v>3890171.4</v>
      </c>
      <c r="V267" s="589"/>
      <c r="W267" s="600"/>
      <c r="X267" s="589"/>
      <c r="Y267" s="589"/>
      <c r="Z267" s="647"/>
      <c r="AB267" s="36"/>
      <c r="AC267" s="14"/>
      <c r="AD267" s="246"/>
      <c r="AE267" s="72"/>
    </row>
    <row r="268" spans="1:32" s="517" customFormat="1" hidden="1">
      <c r="A268" s="591"/>
      <c r="B268" s="592"/>
      <c r="C268" s="593"/>
      <c r="D268" s="594"/>
      <c r="E268" s="593"/>
      <c r="F268" s="593"/>
      <c r="G268" s="593"/>
      <c r="H268" s="608"/>
      <c r="I268" s="608"/>
      <c r="J268" s="608"/>
      <c r="K268" s="606" t="s">
        <v>226</v>
      </c>
      <c r="L268" s="1348"/>
      <c r="M268" s="596">
        <v>7648960.0199999996</v>
      </c>
      <c r="N268" s="597">
        <v>24372.53</v>
      </c>
      <c r="O268" s="685"/>
      <c r="P268" s="597"/>
      <c r="Q268" s="687"/>
      <c r="R268" s="616">
        <f>M268/E267</f>
        <v>2712.397170212766</v>
      </c>
      <c r="S268" s="586">
        <f t="shared" si="28"/>
        <v>-7673332.5499999998</v>
      </c>
      <c r="T268" s="645"/>
      <c r="U268" s="597">
        <f t="shared" si="26"/>
        <v>7673332.5499999998</v>
      </c>
      <c r="V268" s="589"/>
      <c r="W268" s="600"/>
      <c r="X268" s="589"/>
      <c r="Y268" s="589"/>
      <c r="Z268" s="647"/>
      <c r="AB268" s="36"/>
      <c r="AC268" s="14"/>
      <c r="AD268" s="246"/>
      <c r="AE268" s="72"/>
    </row>
    <row r="269" spans="1:32" s="517" customFormat="1" ht="37.5" hidden="1">
      <c r="A269" s="591">
        <f>A267+1</f>
        <v>213</v>
      </c>
      <c r="B269" s="592" t="s">
        <v>659</v>
      </c>
      <c r="C269" s="593" t="s">
        <v>217</v>
      </c>
      <c r="D269" s="603">
        <v>7306</v>
      </c>
      <c r="E269" s="603">
        <v>2200</v>
      </c>
      <c r="F269" s="604" t="s">
        <v>233</v>
      </c>
      <c r="G269" s="603">
        <v>288</v>
      </c>
      <c r="H269" s="609">
        <v>9</v>
      </c>
      <c r="I269" s="609">
        <v>1</v>
      </c>
      <c r="J269" s="609">
        <v>63</v>
      </c>
      <c r="K269" s="606" t="s">
        <v>30</v>
      </c>
      <c r="L269" s="691">
        <f>SUBTOTAL(9,M269:Q269)</f>
        <v>2020001.76</v>
      </c>
      <c r="M269" s="585">
        <v>2013984</v>
      </c>
      <c r="N269" s="586"/>
      <c r="O269" s="613">
        <v>6017.76</v>
      </c>
      <c r="P269" s="586"/>
      <c r="Q269" s="614"/>
      <c r="R269" s="582">
        <f>M269/J269</f>
        <v>31968</v>
      </c>
      <c r="S269" s="586">
        <f t="shared" si="28"/>
        <v>9.0949470177292824E-12</v>
      </c>
      <c r="T269" s="645"/>
      <c r="U269" s="597">
        <f t="shared" si="26"/>
        <v>2020001.76</v>
      </c>
      <c r="V269" s="589"/>
      <c r="W269" s="600"/>
      <c r="X269" s="589"/>
      <c r="Y269" s="589"/>
      <c r="Z269" s="647"/>
      <c r="AB269" s="36"/>
      <c r="AC269" s="14"/>
      <c r="AD269" s="246"/>
      <c r="AE269" s="72"/>
    </row>
    <row r="270" spans="1:32" s="517" customFormat="1" hidden="1">
      <c r="A270" s="591">
        <f t="shared" si="31"/>
        <v>214</v>
      </c>
      <c r="B270" s="670" t="s">
        <v>660</v>
      </c>
      <c r="C270" s="593" t="s">
        <v>239</v>
      </c>
      <c r="D270" s="602">
        <v>1797</v>
      </c>
      <c r="E270" s="602">
        <v>430</v>
      </c>
      <c r="F270" s="604" t="s">
        <v>222</v>
      </c>
      <c r="G270" s="602">
        <v>354</v>
      </c>
      <c r="H270" s="602">
        <v>2</v>
      </c>
      <c r="I270" s="602">
        <v>1</v>
      </c>
      <c r="J270" s="602">
        <v>8</v>
      </c>
      <c r="K270" s="606" t="s">
        <v>33</v>
      </c>
      <c r="L270" s="595">
        <f>M270+N270+O270+P270+Q270</f>
        <v>953585.92999999993</v>
      </c>
      <c r="M270" s="585">
        <v>950627.2</v>
      </c>
      <c r="N270" s="586"/>
      <c r="O270" s="587">
        <v>2958.73</v>
      </c>
      <c r="P270" s="586"/>
      <c r="Q270" s="586"/>
      <c r="R270" s="582">
        <f>M270/G270</f>
        <v>2685.387570621469</v>
      </c>
      <c r="S270" s="586">
        <f t="shared" si="28"/>
        <v>-1.8644641386345029E-11</v>
      </c>
      <c r="T270" s="645"/>
      <c r="U270" s="597">
        <f t="shared" si="26"/>
        <v>953585.92999999993</v>
      </c>
      <c r="V270" s="589"/>
      <c r="W270" s="600"/>
      <c r="X270" s="589"/>
      <c r="Y270" s="589"/>
      <c r="Z270" s="647"/>
      <c r="AB270" s="36"/>
      <c r="AC270" s="14"/>
      <c r="AD270" s="246"/>
      <c r="AE270" s="72"/>
    </row>
    <row r="271" spans="1:32" s="517" customFormat="1" hidden="1">
      <c r="A271" s="591">
        <f t="shared" si="31"/>
        <v>215</v>
      </c>
      <c r="B271" s="670" t="s">
        <v>661</v>
      </c>
      <c r="C271" s="593" t="s">
        <v>239</v>
      </c>
      <c r="D271" s="602">
        <v>1989</v>
      </c>
      <c r="E271" s="602">
        <v>479</v>
      </c>
      <c r="F271" s="604" t="s">
        <v>222</v>
      </c>
      <c r="G271" s="602">
        <v>354</v>
      </c>
      <c r="H271" s="602">
        <v>2</v>
      </c>
      <c r="I271" s="602">
        <v>1</v>
      </c>
      <c r="J271" s="602">
        <v>8</v>
      </c>
      <c r="K271" s="606" t="s">
        <v>33</v>
      </c>
      <c r="L271" s="595">
        <f>M271+N271+O271+P271+Q271</f>
        <v>964410.59</v>
      </c>
      <c r="M271" s="623">
        <v>961451.86</v>
      </c>
      <c r="N271" s="586"/>
      <c r="O271" s="587">
        <v>2958.73</v>
      </c>
      <c r="P271" s="586"/>
      <c r="Q271" s="586"/>
      <c r="R271" s="582">
        <f>M271/G271</f>
        <v>2715.9657062146894</v>
      </c>
      <c r="S271" s="586">
        <f t="shared" si="28"/>
        <v>-1.8644641386345029E-11</v>
      </c>
      <c r="T271" s="645"/>
      <c r="U271" s="597">
        <f t="shared" ref="U271:U334" si="32">M271+N271+O271+P271+Q271</f>
        <v>964410.59</v>
      </c>
      <c r="V271" s="589"/>
      <c r="W271" s="600"/>
      <c r="X271" s="589"/>
      <c r="Y271" s="589"/>
      <c r="Z271" s="647"/>
      <c r="AB271" s="36"/>
      <c r="AC271" s="14"/>
      <c r="AD271" s="246"/>
      <c r="AE271" s="72"/>
    </row>
    <row r="272" spans="1:32" s="75" customFormat="1" ht="37.5" hidden="1">
      <c r="A272" s="591">
        <f>A271+1</f>
        <v>216</v>
      </c>
      <c r="B272" s="692" t="s">
        <v>663</v>
      </c>
      <c r="C272" s="602" t="s">
        <v>217</v>
      </c>
      <c r="D272" s="644">
        <v>31254</v>
      </c>
      <c r="E272" s="693">
        <v>3714.7</v>
      </c>
      <c r="F272" s="561" t="s">
        <v>233</v>
      </c>
      <c r="G272" s="694">
        <v>1200</v>
      </c>
      <c r="H272" s="694">
        <v>9</v>
      </c>
      <c r="I272" s="694">
        <v>4</v>
      </c>
      <c r="J272" s="694">
        <v>144</v>
      </c>
      <c r="K272" s="606" t="s">
        <v>366</v>
      </c>
      <c r="L272" s="595">
        <f>M272+N272+O272+P272+Q272</f>
        <v>8108006.25</v>
      </c>
      <c r="M272" s="585">
        <v>7960000</v>
      </c>
      <c r="N272" s="586">
        <v>148006.25</v>
      </c>
      <c r="O272" s="565"/>
      <c r="P272" s="564"/>
      <c r="Q272" s="586"/>
      <c r="R272" s="582">
        <v>2000000</v>
      </c>
      <c r="S272" s="586">
        <f t="shared" si="28"/>
        <v>0</v>
      </c>
      <c r="T272" s="645"/>
      <c r="U272" s="597">
        <f t="shared" si="32"/>
        <v>8108006.25</v>
      </c>
      <c r="V272" s="589"/>
      <c r="W272" s="600"/>
      <c r="X272" s="601"/>
      <c r="Y272" s="601"/>
      <c r="Z272" s="601"/>
    </row>
    <row r="273" spans="1:33" ht="37.5" hidden="1">
      <c r="A273" s="591">
        <f t="shared" si="31"/>
        <v>217</v>
      </c>
      <c r="B273" s="592" t="s">
        <v>664</v>
      </c>
      <c r="C273" s="593" t="s">
        <v>271</v>
      </c>
      <c r="D273" s="618">
        <v>20229</v>
      </c>
      <c r="E273" s="594">
        <v>3618</v>
      </c>
      <c r="F273" s="593" t="s">
        <v>233</v>
      </c>
      <c r="G273" s="618">
        <v>782.8</v>
      </c>
      <c r="H273" s="650">
        <v>10</v>
      </c>
      <c r="I273" s="650">
        <v>2</v>
      </c>
      <c r="J273" s="650">
        <v>80</v>
      </c>
      <c r="K273" s="610" t="s">
        <v>30</v>
      </c>
      <c r="L273" s="584">
        <f>SUBTOTAL(9,M273:Q273)</f>
        <v>2565081.6</v>
      </c>
      <c r="M273" s="585">
        <v>2557440</v>
      </c>
      <c r="N273" s="586"/>
      <c r="O273" s="587">
        <v>7641.6</v>
      </c>
      <c r="P273" s="586"/>
      <c r="Q273" s="586"/>
      <c r="R273" s="582">
        <f>M273/J273</f>
        <v>31968</v>
      </c>
      <c r="S273" s="586">
        <f t="shared" si="28"/>
        <v>9.276845958083868E-11</v>
      </c>
      <c r="T273" s="605"/>
      <c r="U273" s="597">
        <f t="shared" si="32"/>
        <v>2565081.6</v>
      </c>
      <c r="V273" s="589"/>
      <c r="W273" s="600"/>
    </row>
    <row r="274" spans="1:33" s="75" customFormat="1" ht="37.5" hidden="1">
      <c r="A274" s="591">
        <f t="shared" si="31"/>
        <v>218</v>
      </c>
      <c r="B274" s="592" t="s">
        <v>665</v>
      </c>
      <c r="C274" s="602" t="s">
        <v>271</v>
      </c>
      <c r="D274" s="603">
        <v>15091</v>
      </c>
      <c r="E274" s="594">
        <v>2113</v>
      </c>
      <c r="F274" s="604" t="s">
        <v>233</v>
      </c>
      <c r="G274" s="603">
        <v>1399</v>
      </c>
      <c r="H274" s="609">
        <v>5</v>
      </c>
      <c r="I274" s="609">
        <v>4</v>
      </c>
      <c r="J274" s="609">
        <v>53</v>
      </c>
      <c r="K274" s="606" t="s">
        <v>30</v>
      </c>
      <c r="L274" s="595">
        <f>M274+N274+O274+P274+Q274</f>
        <v>1433840.54</v>
      </c>
      <c r="M274" s="585">
        <v>1429569</v>
      </c>
      <c r="N274" s="586"/>
      <c r="O274" s="587">
        <v>4271.54</v>
      </c>
      <c r="P274" s="586"/>
      <c r="Q274" s="586"/>
      <c r="R274" s="582">
        <f>M274/J274</f>
        <v>26973</v>
      </c>
      <c r="S274" s="586">
        <f t="shared" si="28"/>
        <v>3.7289282772690058E-11</v>
      </c>
      <c r="T274" s="588"/>
      <c r="U274" s="597">
        <f t="shared" si="32"/>
        <v>1433840.54</v>
      </c>
      <c r="V274" s="589"/>
      <c r="W274" s="600"/>
      <c r="X274" s="601"/>
      <c r="Y274" s="601"/>
      <c r="Z274" s="601"/>
    </row>
    <row r="275" spans="1:33" s="249" customFormat="1" hidden="1">
      <c r="A275" s="1383">
        <f>A274+1</f>
        <v>219</v>
      </c>
      <c r="B275" s="592" t="s">
        <v>666</v>
      </c>
      <c r="C275" s="602" t="s">
        <v>271</v>
      </c>
      <c r="D275" s="644">
        <v>1894</v>
      </c>
      <c r="E275" s="593">
        <v>487</v>
      </c>
      <c r="F275" s="593" t="s">
        <v>222</v>
      </c>
      <c r="G275" s="593">
        <v>358</v>
      </c>
      <c r="H275" s="660">
        <v>2</v>
      </c>
      <c r="I275" s="660">
        <v>1</v>
      </c>
      <c r="J275" s="660">
        <v>6</v>
      </c>
      <c r="K275" s="590" t="s">
        <v>38</v>
      </c>
      <c r="L275" s="1357">
        <f>M275+N275+O275+P275+Q275+M276+N276+O276+P276+Q276</f>
        <v>2019268.7</v>
      </c>
      <c r="M275" s="627">
        <v>894910.5</v>
      </c>
      <c r="N275" s="586"/>
      <c r="O275" s="587">
        <v>2671.58</v>
      </c>
      <c r="P275" s="586"/>
      <c r="Q275" s="586"/>
      <c r="R275" s="599">
        <f>M275/E275</f>
        <v>1837.5985626283368</v>
      </c>
      <c r="S275" s="586">
        <f t="shared" si="28"/>
        <v>1121686.6199999999</v>
      </c>
      <c r="T275" s="588"/>
      <c r="U275" s="597">
        <f t="shared" si="32"/>
        <v>897582.07999999996</v>
      </c>
      <c r="V275" s="589"/>
      <c r="W275" s="600"/>
      <c r="X275" s="590"/>
      <c r="Y275" s="590"/>
      <c r="Z275" s="590"/>
    </row>
    <row r="276" spans="1:33" s="249" customFormat="1" hidden="1">
      <c r="A276" s="1383"/>
      <c r="B276" s="592"/>
      <c r="C276" s="602"/>
      <c r="D276" s="644"/>
      <c r="E276" s="593"/>
      <c r="F276" s="593"/>
      <c r="G276" s="593"/>
      <c r="H276" s="660"/>
      <c r="I276" s="660"/>
      <c r="J276" s="660"/>
      <c r="K276" s="590" t="s">
        <v>33</v>
      </c>
      <c r="L276" s="1357"/>
      <c r="M276" s="585">
        <v>1118694.46</v>
      </c>
      <c r="N276" s="586"/>
      <c r="O276" s="587">
        <v>2992.16</v>
      </c>
      <c r="P276" s="586"/>
      <c r="Q276" s="586"/>
      <c r="R276" s="582">
        <f>M276/G275</f>
        <v>3124.8448603351953</v>
      </c>
      <c r="S276" s="586">
        <f t="shared" si="28"/>
        <v>-1121686.6199999999</v>
      </c>
      <c r="T276" s="605" t="s">
        <v>3696</v>
      </c>
      <c r="U276" s="597">
        <f t="shared" si="32"/>
        <v>1121686.6199999999</v>
      </c>
      <c r="V276" s="589"/>
      <c r="W276" s="600"/>
      <c r="X276" s="590"/>
      <c r="Y276" s="590"/>
      <c r="Z276" s="590"/>
    </row>
    <row r="277" spans="1:33" s="75" customFormat="1" hidden="1">
      <c r="A277" s="655">
        <f>A275+1</f>
        <v>220</v>
      </c>
      <c r="B277" s="592" t="s">
        <v>667</v>
      </c>
      <c r="C277" s="602" t="s">
        <v>271</v>
      </c>
      <c r="D277" s="644">
        <v>26347</v>
      </c>
      <c r="E277" s="593">
        <v>4088</v>
      </c>
      <c r="F277" s="608" t="s">
        <v>222</v>
      </c>
      <c r="G277" s="593">
        <v>1483.2</v>
      </c>
      <c r="H277" s="660">
        <v>5</v>
      </c>
      <c r="I277" s="660">
        <v>4</v>
      </c>
      <c r="J277" s="660">
        <v>68</v>
      </c>
      <c r="K277" s="590" t="s">
        <v>33</v>
      </c>
      <c r="L277" s="1357">
        <f>M277+N277+O277+P277+Q277+M278+N278+O278+P278+Q278</f>
        <v>8248930.9700000007</v>
      </c>
      <c r="M277" s="585">
        <v>5752300.9400000004</v>
      </c>
      <c r="N277" s="586"/>
      <c r="O277" s="587">
        <v>14167.53</v>
      </c>
      <c r="P277" s="586"/>
      <c r="Q277" s="586"/>
      <c r="R277" s="582">
        <f>M277/G277</f>
        <v>3878.3043015102485</v>
      </c>
      <c r="S277" s="586">
        <f t="shared" si="28"/>
        <v>2482462.5000000005</v>
      </c>
      <c r="T277" s="605"/>
      <c r="U277" s="597">
        <f t="shared" si="32"/>
        <v>5766468.4700000007</v>
      </c>
      <c r="V277" s="589"/>
      <c r="W277" s="600"/>
      <c r="X277" s="601"/>
      <c r="Y277" s="601"/>
      <c r="Z277" s="601"/>
    </row>
    <row r="278" spans="1:33" s="75" customFormat="1" ht="375" hidden="1">
      <c r="A278" s="591"/>
      <c r="B278" s="592"/>
      <c r="C278" s="602"/>
      <c r="D278" s="644"/>
      <c r="E278" s="593"/>
      <c r="F278" s="608"/>
      <c r="G278" s="593"/>
      <c r="H278" s="660"/>
      <c r="I278" s="660"/>
      <c r="J278" s="660"/>
      <c r="K278" s="590" t="s">
        <v>30</v>
      </c>
      <c r="L278" s="1357"/>
      <c r="M278" s="585">
        <v>2475000</v>
      </c>
      <c r="N278" s="586"/>
      <c r="O278" s="587">
        <v>7462.5</v>
      </c>
      <c r="P278" s="586"/>
      <c r="Q278" s="586"/>
      <c r="R278" s="582">
        <f>M278/J277</f>
        <v>36397.058823529413</v>
      </c>
      <c r="S278" s="586">
        <f t="shared" si="28"/>
        <v>-2482462.5</v>
      </c>
      <c r="T278" s="588" t="s">
        <v>3701</v>
      </c>
      <c r="U278" s="597">
        <f t="shared" si="32"/>
        <v>2482462.5</v>
      </c>
      <c r="V278" s="589"/>
      <c r="W278" s="600"/>
      <c r="X278" s="601"/>
      <c r="Y278" s="601"/>
      <c r="Z278" s="601"/>
    </row>
    <row r="279" spans="1:33" s="75" customFormat="1" ht="37.5" hidden="1">
      <c r="A279" s="591">
        <f>A277+1</f>
        <v>221</v>
      </c>
      <c r="B279" s="592" t="s">
        <v>668</v>
      </c>
      <c r="C279" s="617" t="s">
        <v>271</v>
      </c>
      <c r="D279" s="618">
        <v>13248</v>
      </c>
      <c r="E279" s="619">
        <v>2705</v>
      </c>
      <c r="F279" s="620" t="s">
        <v>222</v>
      </c>
      <c r="G279" s="594">
        <v>1139</v>
      </c>
      <c r="H279" s="620">
        <v>5</v>
      </c>
      <c r="I279" s="620">
        <v>4</v>
      </c>
      <c r="J279" s="620">
        <v>80</v>
      </c>
      <c r="K279" s="610" t="s">
        <v>30</v>
      </c>
      <c r="L279" s="595">
        <f t="shared" ref="L279:L284" si="33">M279+N279+O279+P279+Q279</f>
        <v>1826043.3</v>
      </c>
      <c r="M279" s="596">
        <v>1819595.7</v>
      </c>
      <c r="N279" s="586"/>
      <c r="O279" s="598">
        <v>6447.6</v>
      </c>
      <c r="P279" s="597">
        <v>0</v>
      </c>
      <c r="Q279" s="586"/>
      <c r="R279" s="582">
        <f>M279/J279</f>
        <v>22744.946250000001</v>
      </c>
      <c r="S279" s="586">
        <f t="shared" si="28"/>
        <v>9.276845958083868E-11</v>
      </c>
      <c r="T279" s="588"/>
      <c r="U279" s="597">
        <f t="shared" si="32"/>
        <v>1826043.3</v>
      </c>
      <c r="V279" s="589"/>
      <c r="W279" s="600"/>
      <c r="X279" s="601"/>
      <c r="Y279" s="601"/>
      <c r="Z279" s="601"/>
    </row>
    <row r="280" spans="1:33" s="517" customFormat="1" hidden="1">
      <c r="A280" s="591">
        <f>A279+1</f>
        <v>222</v>
      </c>
      <c r="B280" s="592" t="s">
        <v>669</v>
      </c>
      <c r="C280" s="617" t="s">
        <v>271</v>
      </c>
      <c r="D280" s="594">
        <v>16248</v>
      </c>
      <c r="E280" s="593">
        <v>2604</v>
      </c>
      <c r="F280" s="593" t="s">
        <v>222</v>
      </c>
      <c r="G280" s="593">
        <v>1151</v>
      </c>
      <c r="H280" s="608">
        <v>5</v>
      </c>
      <c r="I280" s="608">
        <v>4</v>
      </c>
      <c r="J280" s="608">
        <v>78</v>
      </c>
      <c r="K280" s="590" t="s">
        <v>224</v>
      </c>
      <c r="L280" s="595">
        <f t="shared" si="33"/>
        <v>1281717</v>
      </c>
      <c r="M280" s="585">
        <v>1246752</v>
      </c>
      <c r="N280" s="586">
        <v>34965</v>
      </c>
      <c r="O280" s="587"/>
      <c r="P280" s="586"/>
      <c r="Q280" s="586"/>
      <c r="R280" s="582">
        <f>M280/J280</f>
        <v>15984</v>
      </c>
      <c r="S280" s="586">
        <f t="shared" si="28"/>
        <v>0</v>
      </c>
      <c r="T280" s="645"/>
      <c r="U280" s="597">
        <f t="shared" si="32"/>
        <v>1281717</v>
      </c>
      <c r="V280" s="589"/>
      <c r="W280" s="600"/>
      <c r="X280" s="589"/>
      <c r="Y280" s="589"/>
      <c r="Z280" s="647"/>
      <c r="AB280" s="36"/>
      <c r="AC280" s="14"/>
      <c r="AD280" s="246"/>
      <c r="AE280" s="72"/>
    </row>
    <row r="281" spans="1:33" s="517" customFormat="1" hidden="1">
      <c r="A281" s="591">
        <f t="shared" ref="A281:A306" si="34">A280+1</f>
        <v>223</v>
      </c>
      <c r="B281" s="592" t="s">
        <v>670</v>
      </c>
      <c r="C281" s="593" t="s">
        <v>217</v>
      </c>
      <c r="D281" s="594">
        <v>13350</v>
      </c>
      <c r="E281" s="593">
        <v>3240</v>
      </c>
      <c r="F281" s="593" t="s">
        <v>233</v>
      </c>
      <c r="G281" s="622">
        <v>515.20000000000005</v>
      </c>
      <c r="H281" s="593">
        <v>9</v>
      </c>
      <c r="I281" s="593">
        <v>1</v>
      </c>
      <c r="J281" s="593">
        <v>48</v>
      </c>
      <c r="K281" s="590" t="s">
        <v>224</v>
      </c>
      <c r="L281" s="595">
        <f t="shared" si="33"/>
        <v>985365</v>
      </c>
      <c r="M281" s="585">
        <v>950400</v>
      </c>
      <c r="N281" s="586">
        <v>34965</v>
      </c>
      <c r="O281" s="587"/>
      <c r="P281" s="586"/>
      <c r="Q281" s="586"/>
      <c r="R281" s="582">
        <f>M281/J281</f>
        <v>19800</v>
      </c>
      <c r="S281" s="586">
        <f t="shared" si="28"/>
        <v>0</v>
      </c>
      <c r="T281" s="645"/>
      <c r="U281" s="597">
        <f t="shared" si="32"/>
        <v>985365</v>
      </c>
      <c r="V281" s="589"/>
      <c r="W281" s="600"/>
      <c r="X281" s="589"/>
      <c r="Y281" s="589"/>
      <c r="Z281" s="647"/>
      <c r="AB281" s="36"/>
      <c r="AC281" s="14"/>
      <c r="AD281" s="246"/>
      <c r="AE281" s="72"/>
    </row>
    <row r="282" spans="1:33" s="246" customFormat="1" ht="37.5" hidden="1">
      <c r="A282" s="591">
        <f t="shared" si="34"/>
        <v>224</v>
      </c>
      <c r="B282" s="677" t="s">
        <v>671</v>
      </c>
      <c r="C282" s="602" t="s">
        <v>271</v>
      </c>
      <c r="D282" s="644">
        <v>13203</v>
      </c>
      <c r="E282" s="593">
        <v>2430</v>
      </c>
      <c r="F282" s="593" t="s">
        <v>222</v>
      </c>
      <c r="G282" s="672">
        <v>1144</v>
      </c>
      <c r="H282" s="593">
        <v>5</v>
      </c>
      <c r="I282" s="593">
        <v>4</v>
      </c>
      <c r="J282" s="593">
        <v>80</v>
      </c>
      <c r="K282" s="606" t="s">
        <v>30</v>
      </c>
      <c r="L282" s="595">
        <f t="shared" si="33"/>
        <v>1581048.4000000001</v>
      </c>
      <c r="M282" s="585">
        <v>1578472.34</v>
      </c>
      <c r="N282" s="586"/>
      <c r="O282" s="587">
        <v>2576.06</v>
      </c>
      <c r="P282" s="586"/>
      <c r="Q282" s="586"/>
      <c r="R282" s="582">
        <f>M282/J282</f>
        <v>19730.90425</v>
      </c>
      <c r="S282" s="586">
        <f t="shared" si="28"/>
        <v>5.5933924159035087E-11</v>
      </c>
      <c r="T282" s="645"/>
      <c r="U282" s="597">
        <f t="shared" si="32"/>
        <v>1581048.4000000001</v>
      </c>
      <c r="V282" s="589"/>
      <c r="W282" s="600"/>
      <c r="X282" s="589"/>
      <c r="Y282" s="591"/>
      <c r="Z282" s="589"/>
      <c r="AA282" s="72"/>
      <c r="AB282" s="72"/>
      <c r="AD282" s="36"/>
      <c r="AE282" s="14"/>
      <c r="AG282" s="72"/>
    </row>
    <row r="283" spans="1:33" s="517" customFormat="1" hidden="1">
      <c r="A283" s="591">
        <f t="shared" si="34"/>
        <v>225</v>
      </c>
      <c r="B283" s="677" t="s">
        <v>672</v>
      </c>
      <c r="C283" s="602" t="s">
        <v>271</v>
      </c>
      <c r="D283" s="644">
        <v>11783</v>
      </c>
      <c r="E283" s="593">
        <v>2350</v>
      </c>
      <c r="F283" s="608" t="s">
        <v>222</v>
      </c>
      <c r="G283" s="672">
        <v>902</v>
      </c>
      <c r="H283" s="593">
        <v>5</v>
      </c>
      <c r="I283" s="593">
        <v>3</v>
      </c>
      <c r="J283" s="593">
        <v>78</v>
      </c>
      <c r="K283" s="590" t="s">
        <v>33</v>
      </c>
      <c r="L283" s="595">
        <f t="shared" si="33"/>
        <v>3189707.31</v>
      </c>
      <c r="M283" s="627">
        <f>3153843+26440.66</f>
        <v>3180283.66</v>
      </c>
      <c r="N283" s="586"/>
      <c r="O283" s="587">
        <v>9423.65</v>
      </c>
      <c r="P283" s="586"/>
      <c r="Q283" s="586"/>
      <c r="R283" s="582">
        <f>M283/G283</f>
        <v>3525.8133702882483</v>
      </c>
      <c r="S283" s="586">
        <f t="shared" si="28"/>
        <v>-9.276845958083868E-11</v>
      </c>
      <c r="T283" s="645"/>
      <c r="U283" s="597">
        <f t="shared" si="32"/>
        <v>3189707.31</v>
      </c>
      <c r="V283" s="589"/>
      <c r="W283" s="600"/>
      <c r="X283" s="589"/>
      <c r="Y283" s="591"/>
      <c r="Z283" s="589"/>
      <c r="AA283" s="72"/>
      <c r="AB283" s="516"/>
      <c r="AD283" s="36"/>
      <c r="AE283" s="14"/>
      <c r="AF283" s="246"/>
      <c r="AG283" s="72"/>
    </row>
    <row r="284" spans="1:33" s="517" customFormat="1" ht="37.5" hidden="1">
      <c r="A284" s="591">
        <f t="shared" si="34"/>
        <v>226</v>
      </c>
      <c r="B284" s="592" t="s">
        <v>673</v>
      </c>
      <c r="C284" s="602" t="s">
        <v>271</v>
      </c>
      <c r="D284" s="644">
        <v>12603</v>
      </c>
      <c r="E284" s="593">
        <v>2200</v>
      </c>
      <c r="F284" s="608" t="s">
        <v>222</v>
      </c>
      <c r="G284" s="593">
        <v>1154</v>
      </c>
      <c r="H284" s="593">
        <v>5</v>
      </c>
      <c r="I284" s="593">
        <v>4</v>
      </c>
      <c r="J284" s="593">
        <v>76</v>
      </c>
      <c r="K284" s="606" t="s">
        <v>30</v>
      </c>
      <c r="L284" s="595">
        <f t="shared" si="33"/>
        <v>2053552.48</v>
      </c>
      <c r="M284" s="585">
        <v>2048454.1</v>
      </c>
      <c r="N284" s="586"/>
      <c r="O284" s="587">
        <v>5098.38</v>
      </c>
      <c r="P284" s="586"/>
      <c r="Q284" s="586"/>
      <c r="R284" s="582">
        <f>M284/J284</f>
        <v>26953.343421052632</v>
      </c>
      <c r="S284" s="586">
        <f t="shared" si="28"/>
        <v>-1.1186784831807017E-10</v>
      </c>
      <c r="T284" s="645"/>
      <c r="U284" s="597">
        <f t="shared" si="32"/>
        <v>2053552.48</v>
      </c>
      <c r="V284" s="589"/>
      <c r="W284" s="600"/>
      <c r="X284" s="589"/>
      <c r="Y284" s="589"/>
      <c r="Z284" s="647"/>
      <c r="AB284" s="36"/>
      <c r="AC284" s="14"/>
      <c r="AD284" s="246"/>
      <c r="AE284" s="72"/>
    </row>
    <row r="285" spans="1:33" s="75" customFormat="1" ht="37.5" hidden="1">
      <c r="A285" s="591">
        <f t="shared" si="34"/>
        <v>227</v>
      </c>
      <c r="B285" s="677" t="s">
        <v>674</v>
      </c>
      <c r="C285" s="602" t="s">
        <v>271</v>
      </c>
      <c r="D285" s="644">
        <v>12138</v>
      </c>
      <c r="E285" s="593">
        <v>2320</v>
      </c>
      <c r="F285" s="593" t="s">
        <v>222</v>
      </c>
      <c r="G285" s="593">
        <v>1144</v>
      </c>
      <c r="H285" s="593">
        <v>5</v>
      </c>
      <c r="I285" s="593">
        <v>4</v>
      </c>
      <c r="J285" s="593">
        <v>80</v>
      </c>
      <c r="K285" s="606" t="s">
        <v>30</v>
      </c>
      <c r="L285" s="1357">
        <f>M285+N285+O285+P285+Q285+M286+N286+O286+P286+Q286</f>
        <v>5496465.1300000008</v>
      </c>
      <c r="M285" s="623">
        <v>1520355.08</v>
      </c>
      <c r="N285" s="586"/>
      <c r="O285" s="587">
        <v>6447.6</v>
      </c>
      <c r="P285" s="586"/>
      <c r="Q285" s="586"/>
      <c r="R285" s="582">
        <f>M285/J285</f>
        <v>19004.4385</v>
      </c>
      <c r="S285" s="586">
        <f t="shared" si="28"/>
        <v>3969662.4500000007</v>
      </c>
      <c r="T285" s="605"/>
      <c r="U285" s="597">
        <f t="shared" si="32"/>
        <v>1526802.6800000002</v>
      </c>
      <c r="V285" s="589"/>
      <c r="W285" s="600"/>
      <c r="X285" s="601"/>
      <c r="Y285" s="601"/>
      <c r="Z285" s="601"/>
    </row>
    <row r="286" spans="1:33" s="75" customFormat="1" ht="375" hidden="1">
      <c r="A286" s="591"/>
      <c r="B286" s="677"/>
      <c r="C286" s="602"/>
      <c r="D286" s="644"/>
      <c r="E286" s="593"/>
      <c r="F286" s="593"/>
      <c r="G286" s="593"/>
      <c r="H286" s="593"/>
      <c r="I286" s="593"/>
      <c r="J286" s="593"/>
      <c r="K286" s="606" t="s">
        <v>33</v>
      </c>
      <c r="L286" s="1357"/>
      <c r="M286" s="585">
        <f>3624188.29+334546.67</f>
        <v>3958734.96</v>
      </c>
      <c r="N286" s="586"/>
      <c r="O286" s="587">
        <v>10927.49</v>
      </c>
      <c r="P286" s="586"/>
      <c r="Q286" s="586"/>
      <c r="R286" s="582">
        <f>M286/G285</f>
        <v>3460.4326573426574</v>
      </c>
      <c r="S286" s="586">
        <f t="shared" si="28"/>
        <v>-3969662.45</v>
      </c>
      <c r="T286" s="588" t="s">
        <v>3702</v>
      </c>
      <c r="U286" s="597">
        <f t="shared" si="32"/>
        <v>3969662.45</v>
      </c>
      <c r="V286" s="589"/>
      <c r="W286" s="600"/>
      <c r="X286" s="601"/>
      <c r="Y286" s="601"/>
      <c r="Z286" s="601"/>
    </row>
    <row r="287" spans="1:33" s="75" customFormat="1" hidden="1">
      <c r="A287" s="591">
        <f>A285+1</f>
        <v>228</v>
      </c>
      <c r="B287" s="592" t="s">
        <v>675</v>
      </c>
      <c r="C287" s="593" t="s">
        <v>271</v>
      </c>
      <c r="D287" s="594">
        <v>6497</v>
      </c>
      <c r="E287" s="593">
        <v>1250</v>
      </c>
      <c r="F287" s="593" t="s">
        <v>222</v>
      </c>
      <c r="G287" s="593">
        <v>600</v>
      </c>
      <c r="H287" s="593">
        <v>5</v>
      </c>
      <c r="I287" s="593">
        <v>2</v>
      </c>
      <c r="J287" s="593">
        <v>40</v>
      </c>
      <c r="K287" s="590" t="s">
        <v>224</v>
      </c>
      <c r="L287" s="595">
        <f t="shared" ref="L287:L296" si="35">M287+N287+O287+P287+Q287</f>
        <v>594104.48</v>
      </c>
      <c r="M287" s="585">
        <v>559139.48</v>
      </c>
      <c r="N287" s="586">
        <v>34965</v>
      </c>
      <c r="O287" s="587"/>
      <c r="P287" s="586"/>
      <c r="Q287" s="586"/>
      <c r="R287" s="582">
        <f>M287/J287</f>
        <v>13978.486999999999</v>
      </c>
      <c r="S287" s="586">
        <f t="shared" si="28"/>
        <v>0</v>
      </c>
      <c r="T287" s="588"/>
      <c r="U287" s="597">
        <f t="shared" si="32"/>
        <v>594104.48</v>
      </c>
      <c r="V287" s="589"/>
      <c r="W287" s="600"/>
      <c r="X287" s="601"/>
      <c r="Y287" s="601"/>
      <c r="Z287" s="601"/>
    </row>
    <row r="288" spans="1:33" hidden="1">
      <c r="A288" s="591">
        <f t="shared" si="34"/>
        <v>229</v>
      </c>
      <c r="B288" s="592" t="s">
        <v>676</v>
      </c>
      <c r="C288" s="602" t="s">
        <v>271</v>
      </c>
      <c r="D288" s="644">
        <v>15140</v>
      </c>
      <c r="E288" s="593">
        <v>952</v>
      </c>
      <c r="F288" s="608" t="s">
        <v>222</v>
      </c>
      <c r="G288" s="672">
        <v>1128</v>
      </c>
      <c r="H288" s="593">
        <v>5</v>
      </c>
      <c r="I288" s="593">
        <v>4</v>
      </c>
      <c r="J288" s="593">
        <v>80</v>
      </c>
      <c r="K288" s="590" t="s">
        <v>33</v>
      </c>
      <c r="L288" s="595">
        <f t="shared" si="35"/>
        <v>4020681.1999999997</v>
      </c>
      <c r="M288" s="695">
        <f>3944051.98+64844.44</f>
        <v>4008896.42</v>
      </c>
      <c r="N288" s="586"/>
      <c r="O288" s="587">
        <v>11784.78</v>
      </c>
      <c r="P288" s="586"/>
      <c r="Q288" s="586"/>
      <c r="R288" s="582">
        <f>M288/G288</f>
        <v>3553.9861879432624</v>
      </c>
      <c r="S288" s="586">
        <f t="shared" si="28"/>
        <v>-2.0554580260068178E-10</v>
      </c>
      <c r="T288" s="588"/>
      <c r="U288" s="597">
        <f t="shared" si="32"/>
        <v>4020681.1999999997</v>
      </c>
      <c r="V288" s="589"/>
      <c r="W288" s="600"/>
    </row>
    <row r="289" spans="1:32" hidden="1">
      <c r="A289" s="591">
        <f t="shared" si="34"/>
        <v>230</v>
      </c>
      <c r="B289" s="592" t="s">
        <v>677</v>
      </c>
      <c r="C289" s="617" t="s">
        <v>271</v>
      </c>
      <c r="D289" s="594">
        <v>9151</v>
      </c>
      <c r="E289" s="593">
        <v>2500</v>
      </c>
      <c r="F289" s="593" t="s">
        <v>233</v>
      </c>
      <c r="G289" s="622">
        <v>509</v>
      </c>
      <c r="H289" s="593">
        <v>9</v>
      </c>
      <c r="I289" s="593">
        <v>1</v>
      </c>
      <c r="J289" s="593">
        <v>50</v>
      </c>
      <c r="K289" s="590" t="s">
        <v>224</v>
      </c>
      <c r="L289" s="595">
        <f t="shared" si="35"/>
        <v>948723.46</v>
      </c>
      <c r="M289" s="585">
        <v>913758.46</v>
      </c>
      <c r="N289" s="586">
        <v>34965</v>
      </c>
      <c r="O289" s="587"/>
      <c r="P289" s="586"/>
      <c r="Q289" s="586"/>
      <c r="R289" s="582">
        <f>M289/J289</f>
        <v>18275.1692</v>
      </c>
      <c r="S289" s="586">
        <f t="shared" si="28"/>
        <v>0</v>
      </c>
      <c r="T289" s="588"/>
      <c r="U289" s="597">
        <f t="shared" si="32"/>
        <v>948723.46</v>
      </c>
      <c r="V289" s="589"/>
      <c r="W289" s="600"/>
    </row>
    <row r="290" spans="1:32" ht="37.5" hidden="1">
      <c r="A290" s="591">
        <f t="shared" si="34"/>
        <v>231</v>
      </c>
      <c r="B290" s="592" t="s">
        <v>678</v>
      </c>
      <c r="C290" s="593" t="s">
        <v>271</v>
      </c>
      <c r="D290" s="594">
        <v>9521</v>
      </c>
      <c r="E290" s="593">
        <v>2124</v>
      </c>
      <c r="F290" s="593" t="s">
        <v>233</v>
      </c>
      <c r="G290" s="622">
        <v>510</v>
      </c>
      <c r="H290" s="608">
        <v>9</v>
      </c>
      <c r="I290" s="593">
        <v>1</v>
      </c>
      <c r="J290" s="593">
        <v>52</v>
      </c>
      <c r="K290" s="606" t="s">
        <v>30</v>
      </c>
      <c r="L290" s="595">
        <f t="shared" si="35"/>
        <v>1176689.53</v>
      </c>
      <c r="M290" s="585">
        <v>1171722.49</v>
      </c>
      <c r="O290" s="587">
        <v>4967.04</v>
      </c>
      <c r="P290" s="586"/>
      <c r="Q290" s="586"/>
      <c r="R290" s="582">
        <f>M290/J290</f>
        <v>22533.124807692308</v>
      </c>
      <c r="S290" s="586">
        <f t="shared" si="28"/>
        <v>3.7289282772690058E-11</v>
      </c>
      <c r="T290" s="586"/>
      <c r="U290" s="597">
        <f t="shared" si="32"/>
        <v>1176689.53</v>
      </c>
      <c r="V290" s="589"/>
      <c r="W290" s="600"/>
    </row>
    <row r="291" spans="1:32" ht="37.5" hidden="1">
      <c r="A291" s="591">
        <f t="shared" si="34"/>
        <v>232</v>
      </c>
      <c r="B291" s="696" t="s">
        <v>679</v>
      </c>
      <c r="C291" s="593" t="s">
        <v>369</v>
      </c>
      <c r="D291" s="644">
        <v>2444</v>
      </c>
      <c r="E291" s="593">
        <v>344</v>
      </c>
      <c r="F291" s="593" t="s">
        <v>222</v>
      </c>
      <c r="G291" s="672">
        <v>467</v>
      </c>
      <c r="H291" s="660">
        <v>2</v>
      </c>
      <c r="I291" s="660">
        <v>1</v>
      </c>
      <c r="J291" s="660">
        <v>12</v>
      </c>
      <c r="K291" s="606" t="s">
        <v>30</v>
      </c>
      <c r="L291" s="595">
        <f t="shared" si="35"/>
        <v>193883.30000000002</v>
      </c>
      <c r="M291" s="623">
        <v>192916.16</v>
      </c>
      <c r="N291" s="586"/>
      <c r="O291" s="587">
        <v>967.14</v>
      </c>
      <c r="P291" s="586"/>
      <c r="Q291" s="586"/>
      <c r="R291" s="582">
        <f>M291/J291</f>
        <v>16076.346666666666</v>
      </c>
      <c r="S291" s="586">
        <f t="shared" si="28"/>
        <v>1.3983481039758772E-11</v>
      </c>
      <c r="T291" s="588"/>
      <c r="U291" s="597">
        <f t="shared" si="32"/>
        <v>193883.30000000002</v>
      </c>
      <c r="V291" s="589"/>
      <c r="W291" s="600"/>
    </row>
    <row r="292" spans="1:32" hidden="1">
      <c r="A292" s="591">
        <f>A291+1</f>
        <v>233</v>
      </c>
      <c r="B292" s="696" t="s">
        <v>680</v>
      </c>
      <c r="C292" s="593" t="s">
        <v>239</v>
      </c>
      <c r="D292" s="644">
        <v>4356</v>
      </c>
      <c r="E292" s="593">
        <v>497</v>
      </c>
      <c r="F292" s="608" t="s">
        <v>222</v>
      </c>
      <c r="G292" s="672">
        <v>530</v>
      </c>
      <c r="H292" s="660">
        <v>2</v>
      </c>
      <c r="I292" s="660">
        <v>2</v>
      </c>
      <c r="J292" s="660">
        <v>17</v>
      </c>
      <c r="K292" s="697" t="s">
        <v>33</v>
      </c>
      <c r="L292" s="595">
        <f t="shared" si="35"/>
        <v>2355509.7400000002</v>
      </c>
      <c r="M292" s="695">
        <f>1476580+874500</f>
        <v>2351080</v>
      </c>
      <c r="N292" s="586"/>
      <c r="O292" s="587">
        <v>4429.74</v>
      </c>
      <c r="P292" s="586"/>
      <c r="Q292" s="586"/>
      <c r="R292" s="582">
        <f>M292/G292</f>
        <v>4436</v>
      </c>
      <c r="S292" s="586">
        <f t="shared" si="28"/>
        <v>2.2373569663614035E-10</v>
      </c>
      <c r="T292" s="588"/>
      <c r="U292" s="597">
        <f t="shared" si="32"/>
        <v>2355509.7400000002</v>
      </c>
      <c r="V292" s="589"/>
      <c r="W292" s="600"/>
    </row>
    <row r="293" spans="1:32" hidden="1">
      <c r="A293" s="591">
        <f t="shared" si="34"/>
        <v>234</v>
      </c>
      <c r="B293" s="696" t="s">
        <v>681</v>
      </c>
      <c r="C293" s="593" t="s">
        <v>239</v>
      </c>
      <c r="D293" s="644">
        <v>3842</v>
      </c>
      <c r="E293" s="593">
        <v>934</v>
      </c>
      <c r="F293" s="608" t="s">
        <v>222</v>
      </c>
      <c r="G293" s="672">
        <v>740.5</v>
      </c>
      <c r="H293" s="660">
        <v>2</v>
      </c>
      <c r="I293" s="660">
        <v>4</v>
      </c>
      <c r="J293" s="660">
        <v>16</v>
      </c>
      <c r="K293" s="697" t="s">
        <v>33</v>
      </c>
      <c r="L293" s="595">
        <f t="shared" si="35"/>
        <v>2063921.1500000001</v>
      </c>
      <c r="M293" s="695">
        <v>2057732.05</v>
      </c>
      <c r="N293" s="586"/>
      <c r="O293" s="587">
        <v>6189.1</v>
      </c>
      <c r="P293" s="586"/>
      <c r="Q293" s="586"/>
      <c r="R293" s="582">
        <f>M293/G293</f>
        <v>2778.8413909520596</v>
      </c>
      <c r="S293" s="586">
        <f t="shared" si="28"/>
        <v>9.276845958083868E-11</v>
      </c>
      <c r="T293" s="588"/>
      <c r="U293" s="597">
        <f t="shared" si="32"/>
        <v>2063921.1500000001</v>
      </c>
      <c r="V293" s="589"/>
      <c r="W293" s="600"/>
    </row>
    <row r="294" spans="1:32" ht="37.5" hidden="1">
      <c r="A294" s="591">
        <f t="shared" si="34"/>
        <v>235</v>
      </c>
      <c r="B294" s="592" t="s">
        <v>682</v>
      </c>
      <c r="C294" s="602" t="s">
        <v>271</v>
      </c>
      <c r="D294" s="603">
        <v>10698</v>
      </c>
      <c r="E294" s="594">
        <v>1988</v>
      </c>
      <c r="F294" s="608" t="s">
        <v>222</v>
      </c>
      <c r="G294" s="603">
        <v>979</v>
      </c>
      <c r="H294" s="609">
        <v>5</v>
      </c>
      <c r="I294" s="609">
        <v>3</v>
      </c>
      <c r="J294" s="609">
        <v>53</v>
      </c>
      <c r="K294" s="606" t="s">
        <v>30</v>
      </c>
      <c r="L294" s="595">
        <f t="shared" si="35"/>
        <v>1433840.54</v>
      </c>
      <c r="M294" s="585">
        <v>1429569</v>
      </c>
      <c r="N294" s="586"/>
      <c r="O294" s="587">
        <v>4271.54</v>
      </c>
      <c r="P294" s="586"/>
      <c r="Q294" s="586"/>
      <c r="R294" s="582">
        <f>M294/J294</f>
        <v>26973</v>
      </c>
      <c r="S294" s="586">
        <f t="shared" si="28"/>
        <v>3.7289282772690058E-11</v>
      </c>
      <c r="T294" s="588"/>
      <c r="U294" s="597">
        <f t="shared" si="32"/>
        <v>1433840.54</v>
      </c>
      <c r="V294" s="589"/>
      <c r="W294" s="600"/>
    </row>
    <row r="295" spans="1:32" hidden="1">
      <c r="A295" s="591">
        <f t="shared" si="34"/>
        <v>236</v>
      </c>
      <c r="B295" s="592" t="s">
        <v>683</v>
      </c>
      <c r="C295" s="602" t="s">
        <v>271</v>
      </c>
      <c r="D295" s="618">
        <v>3663</v>
      </c>
      <c r="E295" s="619">
        <v>794</v>
      </c>
      <c r="F295" s="608" t="s">
        <v>222</v>
      </c>
      <c r="G295" s="633">
        <v>804</v>
      </c>
      <c r="H295" s="640">
        <v>2</v>
      </c>
      <c r="I295" s="633">
        <v>3</v>
      </c>
      <c r="J295" s="633">
        <v>18</v>
      </c>
      <c r="K295" s="669" t="s">
        <v>33</v>
      </c>
      <c r="L295" s="595">
        <f t="shared" si="35"/>
        <v>2031745.33</v>
      </c>
      <c r="M295" s="654">
        <v>2025025.5</v>
      </c>
      <c r="N295" s="636"/>
      <c r="O295" s="641">
        <v>6719.83</v>
      </c>
      <c r="P295" s="636"/>
      <c r="Q295" s="638"/>
      <c r="R295" s="582">
        <f>M295/G295</f>
        <v>2518.688432835821</v>
      </c>
      <c r="S295" s="586">
        <f t="shared" si="28"/>
        <v>7.4578565545380116E-11</v>
      </c>
      <c r="T295" s="586"/>
      <c r="U295" s="597">
        <f t="shared" si="32"/>
        <v>2031745.33</v>
      </c>
      <c r="V295" s="589"/>
      <c r="W295" s="600"/>
    </row>
    <row r="296" spans="1:32" hidden="1">
      <c r="A296" s="591">
        <f t="shared" si="34"/>
        <v>237</v>
      </c>
      <c r="B296" s="592" t="s">
        <v>684</v>
      </c>
      <c r="C296" s="602" t="s">
        <v>271</v>
      </c>
      <c r="D296" s="618">
        <v>5379</v>
      </c>
      <c r="E296" s="619">
        <v>818.4</v>
      </c>
      <c r="F296" s="608" t="s">
        <v>222</v>
      </c>
      <c r="G296" s="633">
        <v>850</v>
      </c>
      <c r="H296" s="640">
        <v>2</v>
      </c>
      <c r="I296" s="633">
        <v>3</v>
      </c>
      <c r="J296" s="633">
        <v>18</v>
      </c>
      <c r="K296" s="669" t="s">
        <v>33</v>
      </c>
      <c r="L296" s="595">
        <f t="shared" si="35"/>
        <v>2363304.2999999998</v>
      </c>
      <c r="M296" s="635">
        <v>2356200</v>
      </c>
      <c r="N296" s="636"/>
      <c r="O296" s="587">
        <v>7104.3</v>
      </c>
      <c r="P296" s="636"/>
      <c r="Q296" s="638"/>
      <c r="R296" s="582">
        <f>M296/G296</f>
        <v>2772</v>
      </c>
      <c r="S296" s="586">
        <f t="shared" si="28"/>
        <v>-1.8644641386345029E-10</v>
      </c>
      <c r="T296" s="645"/>
      <c r="U296" s="597">
        <f t="shared" si="32"/>
        <v>2363304.2999999998</v>
      </c>
      <c r="V296" s="589"/>
      <c r="W296" s="600"/>
    </row>
    <row r="297" spans="1:32" s="75" customFormat="1" hidden="1">
      <c r="A297" s="591">
        <f>A296+1</f>
        <v>238</v>
      </c>
      <c r="B297" s="592" t="s">
        <v>685</v>
      </c>
      <c r="C297" s="593" t="s">
        <v>271</v>
      </c>
      <c r="D297" s="618">
        <v>10263</v>
      </c>
      <c r="E297" s="619">
        <v>2112</v>
      </c>
      <c r="F297" s="608" t="s">
        <v>222</v>
      </c>
      <c r="G297" s="633">
        <v>1310</v>
      </c>
      <c r="H297" s="640">
        <v>4</v>
      </c>
      <c r="I297" s="633">
        <v>3</v>
      </c>
      <c r="J297" s="633">
        <v>31</v>
      </c>
      <c r="K297" s="590" t="s">
        <v>33</v>
      </c>
      <c r="L297" s="1357">
        <f>M297+N297+O297+P297+Q297+M298+O298+N298+Q298</f>
        <v>9244096.4800000004</v>
      </c>
      <c r="M297" s="635">
        <v>4575830</v>
      </c>
      <c r="N297" s="636"/>
      <c r="O297" s="641">
        <v>13686.23</v>
      </c>
      <c r="P297" s="636"/>
      <c r="Q297" s="638"/>
      <c r="R297" s="582">
        <f>M297/G297</f>
        <v>3493</v>
      </c>
      <c r="S297" s="586">
        <f t="shared" si="28"/>
        <v>4654580.25</v>
      </c>
      <c r="T297" s="605"/>
      <c r="U297" s="597">
        <f t="shared" si="32"/>
        <v>4589516.2300000004</v>
      </c>
      <c r="V297" s="589"/>
      <c r="W297" s="600"/>
      <c r="X297" s="601"/>
      <c r="Y297" s="601"/>
      <c r="Z297" s="601"/>
    </row>
    <row r="298" spans="1:32" s="75" customFormat="1" hidden="1">
      <c r="A298" s="591"/>
      <c r="B298" s="592"/>
      <c r="C298" s="593"/>
      <c r="D298" s="618"/>
      <c r="E298" s="619"/>
      <c r="F298" s="608"/>
      <c r="G298" s="633"/>
      <c r="H298" s="640"/>
      <c r="I298" s="633"/>
      <c r="J298" s="633"/>
      <c r="K298" s="632" t="s">
        <v>38</v>
      </c>
      <c r="L298" s="1357"/>
      <c r="M298" s="654">
        <v>4640700</v>
      </c>
      <c r="N298" s="597"/>
      <c r="O298" s="698">
        <v>13880.25</v>
      </c>
      <c r="P298" s="636"/>
      <c r="Q298" s="638"/>
      <c r="R298" s="582">
        <f>M298/E297</f>
        <v>2197.3011363636365</v>
      </c>
      <c r="S298" s="586">
        <f t="shared" si="28"/>
        <v>-4654580.25</v>
      </c>
      <c r="T298" s="605"/>
      <c r="U298" s="597">
        <f t="shared" si="32"/>
        <v>4654580.25</v>
      </c>
      <c r="V298" s="589"/>
      <c r="W298" s="600"/>
      <c r="X298" s="601"/>
      <c r="Y298" s="601"/>
      <c r="Z298" s="601"/>
    </row>
    <row r="299" spans="1:32" hidden="1">
      <c r="A299" s="591">
        <f>A297+1</f>
        <v>239</v>
      </c>
      <c r="B299" s="592" t="s">
        <v>686</v>
      </c>
      <c r="C299" s="593" t="s">
        <v>217</v>
      </c>
      <c r="D299" s="594">
        <v>9139</v>
      </c>
      <c r="E299" s="593">
        <v>1710</v>
      </c>
      <c r="F299" s="593" t="s">
        <v>222</v>
      </c>
      <c r="G299" s="593">
        <v>768</v>
      </c>
      <c r="H299" s="608">
        <v>5</v>
      </c>
      <c r="I299" s="608">
        <v>3</v>
      </c>
      <c r="J299" s="608">
        <v>60</v>
      </c>
      <c r="K299" s="590" t="s">
        <v>224</v>
      </c>
      <c r="L299" s="595">
        <f t="shared" ref="L299:L306" si="36">M299+N299+O299+P299+Q299</f>
        <v>775276.85</v>
      </c>
      <c r="M299" s="585">
        <v>740311.85</v>
      </c>
      <c r="N299" s="586">
        <v>34965</v>
      </c>
      <c r="O299" s="587"/>
      <c r="P299" s="586"/>
      <c r="Q299" s="586"/>
      <c r="R299" s="582">
        <f>M299/J299</f>
        <v>12338.530833333332</v>
      </c>
      <c r="S299" s="586">
        <f t="shared" ref="S299:S313" si="37">L299-M299-N299-O299-P299-Q299</f>
        <v>0</v>
      </c>
      <c r="T299" s="645"/>
      <c r="U299" s="597">
        <f t="shared" si="32"/>
        <v>775276.85</v>
      </c>
      <c r="V299" s="589"/>
      <c r="W299" s="600"/>
    </row>
    <row r="300" spans="1:32" hidden="1">
      <c r="A300" s="591">
        <f t="shared" si="34"/>
        <v>240</v>
      </c>
      <c r="B300" s="592" t="s">
        <v>687</v>
      </c>
      <c r="C300" s="593" t="s">
        <v>217</v>
      </c>
      <c r="D300" s="602">
        <v>9591</v>
      </c>
      <c r="E300" s="602">
        <v>2122</v>
      </c>
      <c r="F300" s="602" t="s">
        <v>233</v>
      </c>
      <c r="G300" s="602">
        <v>744</v>
      </c>
      <c r="H300" s="602">
        <v>5</v>
      </c>
      <c r="I300" s="602">
        <v>4</v>
      </c>
      <c r="J300" s="602">
        <v>60</v>
      </c>
      <c r="K300" s="610" t="s">
        <v>224</v>
      </c>
      <c r="L300" s="595">
        <f t="shared" si="36"/>
        <v>987811.2</v>
      </c>
      <c r="M300" s="585">
        <v>959040</v>
      </c>
      <c r="N300" s="586">
        <v>28771.200000000001</v>
      </c>
      <c r="O300" s="587"/>
      <c r="P300" s="586"/>
      <c r="Q300" s="586"/>
      <c r="R300" s="582">
        <f>M300/J300</f>
        <v>15984</v>
      </c>
      <c r="S300" s="586">
        <f t="shared" si="37"/>
        <v>-4.7293724492192268E-11</v>
      </c>
      <c r="T300" s="588"/>
      <c r="U300" s="597">
        <f t="shared" si="32"/>
        <v>987811.2</v>
      </c>
      <c r="V300" s="589"/>
      <c r="W300" s="600"/>
    </row>
    <row r="301" spans="1:32" ht="37.5" hidden="1">
      <c r="A301" s="591">
        <f t="shared" si="34"/>
        <v>241</v>
      </c>
      <c r="B301" s="592" t="s">
        <v>688</v>
      </c>
      <c r="C301" s="593" t="s">
        <v>271</v>
      </c>
      <c r="D301" s="603">
        <v>34642</v>
      </c>
      <c r="E301" s="594">
        <v>4536</v>
      </c>
      <c r="F301" s="689" t="s">
        <v>233</v>
      </c>
      <c r="G301" s="603">
        <v>1231</v>
      </c>
      <c r="H301" s="609">
        <v>9</v>
      </c>
      <c r="I301" s="609">
        <v>3</v>
      </c>
      <c r="J301" s="609">
        <v>144</v>
      </c>
      <c r="K301" s="590" t="s">
        <v>366</v>
      </c>
      <c r="L301" s="595">
        <f t="shared" si="36"/>
        <v>6096862.5</v>
      </c>
      <c r="M301" s="611">
        <v>5970000</v>
      </c>
      <c r="N301" s="612">
        <v>126862.5</v>
      </c>
      <c r="O301" s="613"/>
      <c r="P301" s="586"/>
      <c r="Q301" s="614"/>
      <c r="R301" s="582">
        <v>2000000</v>
      </c>
      <c r="S301" s="586">
        <f t="shared" si="37"/>
        <v>0</v>
      </c>
      <c r="T301" s="586"/>
      <c r="U301" s="597">
        <f t="shared" si="32"/>
        <v>6096862.5</v>
      </c>
      <c r="V301" s="589"/>
      <c r="W301" s="600"/>
    </row>
    <row r="302" spans="1:32" ht="37.5" hidden="1">
      <c r="A302" s="591">
        <f t="shared" si="34"/>
        <v>242</v>
      </c>
      <c r="B302" s="592" t="s">
        <v>689</v>
      </c>
      <c r="C302" s="593" t="s">
        <v>217</v>
      </c>
      <c r="D302" s="603">
        <v>30845</v>
      </c>
      <c r="E302" s="594">
        <v>5832</v>
      </c>
      <c r="F302" s="643" t="s">
        <v>233</v>
      </c>
      <c r="G302" s="603">
        <v>1346</v>
      </c>
      <c r="H302" s="609">
        <v>9</v>
      </c>
      <c r="I302" s="609">
        <v>4</v>
      </c>
      <c r="J302" s="609">
        <v>144</v>
      </c>
      <c r="K302" s="590" t="s">
        <v>366</v>
      </c>
      <c r="L302" s="595">
        <f t="shared" si="36"/>
        <v>7188006.25</v>
      </c>
      <c r="M302" s="611">
        <v>7040000</v>
      </c>
      <c r="N302" s="612">
        <v>148006.25</v>
      </c>
      <c r="O302" s="613"/>
      <c r="P302" s="586"/>
      <c r="Q302" s="614"/>
      <c r="R302" s="582">
        <v>2000000</v>
      </c>
      <c r="S302" s="586">
        <f t="shared" si="37"/>
        <v>0</v>
      </c>
      <c r="T302" s="588"/>
      <c r="U302" s="597">
        <f t="shared" si="32"/>
        <v>7188006.25</v>
      </c>
      <c r="V302" s="589"/>
      <c r="W302" s="600"/>
    </row>
    <row r="303" spans="1:32" s="246" customFormat="1" hidden="1">
      <c r="A303" s="591">
        <f t="shared" si="34"/>
        <v>243</v>
      </c>
      <c r="B303" s="592" t="s">
        <v>690</v>
      </c>
      <c r="C303" s="602" t="s">
        <v>217</v>
      </c>
      <c r="D303" s="582">
        <v>25735</v>
      </c>
      <c r="E303" s="582">
        <v>4266</v>
      </c>
      <c r="F303" s="582" t="s">
        <v>233</v>
      </c>
      <c r="G303" s="582">
        <v>1011</v>
      </c>
      <c r="H303" s="699">
        <v>9</v>
      </c>
      <c r="I303" s="593">
        <v>3</v>
      </c>
      <c r="J303" s="582">
        <v>107</v>
      </c>
      <c r="K303" s="610" t="s">
        <v>224</v>
      </c>
      <c r="L303" s="595">
        <f t="shared" si="36"/>
        <v>2153565</v>
      </c>
      <c r="M303" s="611">
        <v>2118600</v>
      </c>
      <c r="N303" s="586">
        <v>34965</v>
      </c>
      <c r="O303" s="587"/>
      <c r="P303" s="586"/>
      <c r="Q303" s="586"/>
      <c r="R303" s="599">
        <f>M303/J303</f>
        <v>19800</v>
      </c>
      <c r="S303" s="586">
        <f t="shared" si="37"/>
        <v>0</v>
      </c>
      <c r="T303" s="605" t="s">
        <v>3703</v>
      </c>
      <c r="U303" s="597">
        <f t="shared" si="32"/>
        <v>2153565</v>
      </c>
      <c r="V303" s="589"/>
      <c r="W303" s="600"/>
      <c r="X303" s="591"/>
      <c r="Y303" s="589"/>
      <c r="Z303" s="589"/>
      <c r="AA303" s="72"/>
      <c r="AC303" s="36"/>
      <c r="AD303" s="14"/>
      <c r="AF303" s="72"/>
    </row>
    <row r="304" spans="1:32" hidden="1">
      <c r="A304" s="591">
        <f t="shared" si="34"/>
        <v>244</v>
      </c>
      <c r="B304" s="592" t="s">
        <v>691</v>
      </c>
      <c r="C304" s="602" t="s">
        <v>271</v>
      </c>
      <c r="D304" s="603">
        <v>17083</v>
      </c>
      <c r="E304" s="658">
        <v>2435</v>
      </c>
      <c r="F304" s="604" t="s">
        <v>233</v>
      </c>
      <c r="G304" s="603">
        <v>1218</v>
      </c>
      <c r="H304" s="609">
        <v>5</v>
      </c>
      <c r="I304" s="609">
        <v>4</v>
      </c>
      <c r="J304" s="609">
        <v>48</v>
      </c>
      <c r="K304" s="590" t="s">
        <v>252</v>
      </c>
      <c r="L304" s="595">
        <f t="shared" si="36"/>
        <v>3657420</v>
      </c>
      <c r="M304" s="611">
        <v>3617460</v>
      </c>
      <c r="N304" s="612">
        <v>39960</v>
      </c>
      <c r="O304" s="613"/>
      <c r="P304" s="586"/>
      <c r="Q304" s="614"/>
      <c r="R304" s="582">
        <f>M304/G304</f>
        <v>2970</v>
      </c>
      <c r="S304" s="586">
        <f t="shared" si="37"/>
        <v>0</v>
      </c>
      <c r="T304" s="586"/>
      <c r="U304" s="597">
        <f t="shared" si="32"/>
        <v>3657420</v>
      </c>
      <c r="V304" s="589"/>
      <c r="W304" s="600"/>
    </row>
    <row r="305" spans="1:31" hidden="1">
      <c r="A305" s="591">
        <f t="shared" si="34"/>
        <v>245</v>
      </c>
      <c r="B305" s="592" t="s">
        <v>692</v>
      </c>
      <c r="C305" s="593" t="s">
        <v>217</v>
      </c>
      <c r="D305" s="603">
        <v>15806</v>
      </c>
      <c r="E305" s="658">
        <v>3014.98</v>
      </c>
      <c r="F305" s="604" t="s">
        <v>233</v>
      </c>
      <c r="G305" s="603">
        <v>621</v>
      </c>
      <c r="H305" s="609">
        <v>9</v>
      </c>
      <c r="I305" s="609">
        <v>2</v>
      </c>
      <c r="J305" s="609">
        <v>70</v>
      </c>
      <c r="K305" s="590" t="s">
        <v>33</v>
      </c>
      <c r="L305" s="595">
        <f t="shared" si="36"/>
        <v>1301472.24</v>
      </c>
      <c r="M305" s="611">
        <v>1297579.5</v>
      </c>
      <c r="N305" s="612"/>
      <c r="O305" s="613">
        <v>3892.74</v>
      </c>
      <c r="P305" s="586"/>
      <c r="Q305" s="614"/>
      <c r="R305" s="582">
        <f>M305/G305</f>
        <v>2089.5</v>
      </c>
      <c r="S305" s="586">
        <f t="shared" si="37"/>
        <v>-9.0949470177292824E-12</v>
      </c>
      <c r="T305" s="588"/>
      <c r="U305" s="597">
        <f t="shared" si="32"/>
        <v>1301472.24</v>
      </c>
      <c r="V305" s="589"/>
      <c r="W305" s="600"/>
    </row>
    <row r="306" spans="1:31" hidden="1">
      <c r="A306" s="591">
        <f t="shared" si="34"/>
        <v>246</v>
      </c>
      <c r="B306" s="592" t="s">
        <v>693</v>
      </c>
      <c r="C306" s="593" t="s">
        <v>271</v>
      </c>
      <c r="D306" s="618">
        <v>12781</v>
      </c>
      <c r="E306" s="594">
        <v>2113</v>
      </c>
      <c r="F306" s="593" t="s">
        <v>222</v>
      </c>
      <c r="G306" s="618">
        <v>983</v>
      </c>
      <c r="H306" s="650">
        <v>5</v>
      </c>
      <c r="I306" s="650">
        <v>4</v>
      </c>
      <c r="J306" s="650">
        <v>66</v>
      </c>
      <c r="K306" s="590" t="s">
        <v>224</v>
      </c>
      <c r="L306" s="595">
        <f t="shared" si="36"/>
        <v>1089909</v>
      </c>
      <c r="M306" s="585">
        <v>1054944</v>
      </c>
      <c r="N306" s="586">
        <v>34965</v>
      </c>
      <c r="O306" s="587"/>
      <c r="P306" s="586"/>
      <c r="Q306" s="586"/>
      <c r="R306" s="582">
        <f>M306/J306</f>
        <v>15984</v>
      </c>
      <c r="S306" s="586">
        <f t="shared" si="37"/>
        <v>0</v>
      </c>
      <c r="T306" s="588"/>
      <c r="U306" s="597">
        <f t="shared" si="32"/>
        <v>1089909</v>
      </c>
      <c r="V306" s="589"/>
      <c r="W306" s="600"/>
    </row>
    <row r="307" spans="1:31" s="249" customFormat="1" ht="37.5" hidden="1">
      <c r="A307" s="1349">
        <f>A306+1</f>
        <v>247</v>
      </c>
      <c r="B307" s="592" t="s">
        <v>694</v>
      </c>
      <c r="C307" s="602" t="s">
        <v>217</v>
      </c>
      <c r="D307" s="603">
        <v>7512</v>
      </c>
      <c r="E307" s="619">
        <v>917</v>
      </c>
      <c r="F307" s="561" t="s">
        <v>233</v>
      </c>
      <c r="G307" s="603">
        <v>575</v>
      </c>
      <c r="H307" s="582">
        <v>6</v>
      </c>
      <c r="I307" s="582">
        <v>1</v>
      </c>
      <c r="J307" s="602">
        <v>12</v>
      </c>
      <c r="K307" s="606" t="s">
        <v>366</v>
      </c>
      <c r="L307" s="1357">
        <f>M307+N307+O307+P307+Q307+M308+N308+O308+P308+Q308</f>
        <v>2299349.6</v>
      </c>
      <c r="M307" s="585">
        <v>1990000</v>
      </c>
      <c r="N307" s="586">
        <v>84575</v>
      </c>
      <c r="O307" s="565"/>
      <c r="P307" s="564"/>
      <c r="Q307" s="586"/>
      <c r="R307" s="582">
        <v>2000000</v>
      </c>
      <c r="S307" s="586">
        <f t="shared" si="37"/>
        <v>224774.60000000009</v>
      </c>
      <c r="T307" s="645"/>
      <c r="U307" s="597">
        <f t="shared" si="32"/>
        <v>2074575</v>
      </c>
      <c r="V307" s="589"/>
      <c r="W307" s="600"/>
      <c r="X307" s="590"/>
      <c r="Y307" s="590"/>
      <c r="Z307" s="590"/>
    </row>
    <row r="308" spans="1:31" s="75" customFormat="1" hidden="1">
      <c r="A308" s="1349"/>
      <c r="B308" s="592"/>
      <c r="C308" s="593"/>
      <c r="D308" s="603"/>
      <c r="E308" s="594"/>
      <c r="F308" s="604"/>
      <c r="G308" s="603"/>
      <c r="H308" s="609"/>
      <c r="I308" s="609"/>
      <c r="J308" s="609"/>
      <c r="K308" s="610" t="s">
        <v>224</v>
      </c>
      <c r="L308" s="1357"/>
      <c r="M308" s="623">
        <v>212786.6</v>
      </c>
      <c r="N308" s="586">
        <v>11988</v>
      </c>
      <c r="O308" s="613"/>
      <c r="P308" s="586"/>
      <c r="Q308" s="614"/>
      <c r="R308" s="582">
        <f>M308/J307</f>
        <v>17732.216666666667</v>
      </c>
      <c r="S308" s="586">
        <f t="shared" si="37"/>
        <v>-224774.6</v>
      </c>
      <c r="T308" s="588"/>
      <c r="U308" s="597">
        <f t="shared" si="32"/>
        <v>224774.6</v>
      </c>
      <c r="V308" s="589"/>
      <c r="W308" s="600"/>
      <c r="X308" s="601"/>
      <c r="Y308" s="601"/>
      <c r="Z308" s="601"/>
    </row>
    <row r="309" spans="1:31" s="517" customFormat="1" ht="409.5" hidden="1">
      <c r="A309" s="590">
        <f>A307+1</f>
        <v>248</v>
      </c>
      <c r="B309" s="592" t="s">
        <v>695</v>
      </c>
      <c r="C309" s="617" t="s">
        <v>271</v>
      </c>
      <c r="D309" s="582">
        <v>27781</v>
      </c>
      <c r="E309" s="646">
        <v>7104</v>
      </c>
      <c r="F309" s="582" t="s">
        <v>233</v>
      </c>
      <c r="G309" s="582">
        <v>2079.1</v>
      </c>
      <c r="H309" s="582">
        <v>9</v>
      </c>
      <c r="I309" s="582">
        <v>2</v>
      </c>
      <c r="J309" s="582">
        <v>226</v>
      </c>
      <c r="K309" s="606" t="s">
        <v>33</v>
      </c>
      <c r="L309" s="595">
        <f>M309+N309+O309+P309+Q309</f>
        <v>4335555.6899999995</v>
      </c>
      <c r="M309" s="585">
        <f>1460769.45+2861753.4</f>
        <v>4322522.8499999996</v>
      </c>
      <c r="N309" s="586"/>
      <c r="O309" s="631">
        <f>4382.31+8650.53</f>
        <v>13032.84</v>
      </c>
      <c r="P309" s="586"/>
      <c r="Q309" s="586"/>
      <c r="R309" s="582">
        <f>M309/G309</f>
        <v>2079.035568274734</v>
      </c>
      <c r="S309" s="586">
        <f t="shared" si="37"/>
        <v>-1.4915713109076023E-10</v>
      </c>
      <c r="T309" s="645" t="s">
        <v>3704</v>
      </c>
      <c r="U309" s="597">
        <f t="shared" si="32"/>
        <v>4335555.6899999995</v>
      </c>
      <c r="V309" s="589"/>
      <c r="W309" s="600"/>
      <c r="X309" s="589"/>
      <c r="Y309" s="589"/>
      <c r="Z309" s="647"/>
      <c r="AB309" s="36"/>
      <c r="AC309" s="14"/>
      <c r="AD309" s="246"/>
      <c r="AE309" s="72"/>
    </row>
    <row r="310" spans="1:31" ht="37.5" hidden="1">
      <c r="A310" s="591">
        <f>A309+1</f>
        <v>249</v>
      </c>
      <c r="B310" s="592" t="s">
        <v>696</v>
      </c>
      <c r="C310" s="602" t="s">
        <v>271</v>
      </c>
      <c r="D310" s="603">
        <v>13745</v>
      </c>
      <c r="E310" s="594">
        <v>2752</v>
      </c>
      <c r="F310" s="608" t="s">
        <v>222</v>
      </c>
      <c r="G310" s="603">
        <v>1254.0999999999999</v>
      </c>
      <c r="H310" s="609">
        <v>5</v>
      </c>
      <c r="I310" s="609">
        <v>4</v>
      </c>
      <c r="J310" s="609">
        <v>64</v>
      </c>
      <c r="K310" s="606" t="s">
        <v>30</v>
      </c>
      <c r="L310" s="595">
        <f>M310+N310+O310+P310+Q310</f>
        <v>1731430.08</v>
      </c>
      <c r="M310" s="585">
        <v>1726272</v>
      </c>
      <c r="N310" s="586"/>
      <c r="O310" s="587">
        <v>5158.08</v>
      </c>
      <c r="P310" s="586"/>
      <c r="Q310" s="586"/>
      <c r="R310" s="582">
        <f>M310/J310</f>
        <v>26973</v>
      </c>
      <c r="S310" s="586">
        <f t="shared" si="37"/>
        <v>7.4578565545380116E-11</v>
      </c>
      <c r="T310" s="586"/>
      <c r="U310" s="597">
        <f t="shared" si="32"/>
        <v>1731430.08</v>
      </c>
      <c r="V310" s="589"/>
      <c r="W310" s="600"/>
    </row>
    <row r="311" spans="1:31" ht="56.25" hidden="1">
      <c r="A311" s="591">
        <f>A310+1</f>
        <v>250</v>
      </c>
      <c r="B311" s="592" t="s">
        <v>697</v>
      </c>
      <c r="C311" s="602" t="s">
        <v>271</v>
      </c>
      <c r="D311" s="603">
        <v>16252</v>
      </c>
      <c r="E311" s="594">
        <v>3381</v>
      </c>
      <c r="F311" s="604" t="s">
        <v>233</v>
      </c>
      <c r="G311" s="603">
        <v>1478</v>
      </c>
      <c r="H311" s="609">
        <v>5</v>
      </c>
      <c r="I311" s="609">
        <v>5</v>
      </c>
      <c r="J311" s="609">
        <v>90</v>
      </c>
      <c r="K311" s="590" t="s">
        <v>3878</v>
      </c>
      <c r="L311" s="595">
        <f>M311+N311+O311+P311+Q311</f>
        <v>4408734</v>
      </c>
      <c r="M311" s="585">
        <v>4395600</v>
      </c>
      <c r="N311" s="586"/>
      <c r="O311" s="587">
        <v>13134</v>
      </c>
      <c r="P311" s="630"/>
      <c r="Q311" s="586"/>
      <c r="R311" s="599">
        <f>M311/E311</f>
        <v>1300.0887311446318</v>
      </c>
      <c r="S311" s="586">
        <f t="shared" si="37"/>
        <v>0</v>
      </c>
      <c r="T311" s="588"/>
      <c r="U311" s="597">
        <f t="shared" si="32"/>
        <v>4408734</v>
      </c>
      <c r="V311" s="589"/>
      <c r="W311" s="600"/>
    </row>
    <row r="312" spans="1:31" s="75" customFormat="1" hidden="1">
      <c r="A312" s="591">
        <f t="shared" ref="A312:A400" si="38">A311+1</f>
        <v>251</v>
      </c>
      <c r="B312" s="581" t="s">
        <v>698</v>
      </c>
      <c r="C312" s="593" t="s">
        <v>217</v>
      </c>
      <c r="D312" s="603">
        <v>12137</v>
      </c>
      <c r="E312" s="599">
        <v>2703</v>
      </c>
      <c r="F312" s="608" t="s">
        <v>222</v>
      </c>
      <c r="G312" s="594">
        <v>1487</v>
      </c>
      <c r="H312" s="594">
        <v>5</v>
      </c>
      <c r="I312" s="594">
        <v>4</v>
      </c>
      <c r="J312" s="594">
        <v>79</v>
      </c>
      <c r="K312" s="590" t="s">
        <v>284</v>
      </c>
      <c r="L312" s="1382">
        <f>M312+N312+O312+P312+Q312+M313+N313+O313+P313+Q313+M314+N314+O314+Q314</f>
        <v>7640043.5</v>
      </c>
      <c r="M312" s="585">
        <v>5000000</v>
      </c>
      <c r="N312" s="586">
        <v>44955</v>
      </c>
      <c r="O312" s="587"/>
      <c r="P312" s="586"/>
      <c r="Q312" s="586"/>
      <c r="R312" s="599">
        <f>M312/E312</f>
        <v>1849.7965223825379</v>
      </c>
      <c r="S312" s="586">
        <f t="shared" si="37"/>
        <v>2595088.5</v>
      </c>
      <c r="T312" s="588"/>
      <c r="U312" s="597">
        <f t="shared" si="32"/>
        <v>5044955</v>
      </c>
      <c r="V312" s="589"/>
      <c r="W312" s="600"/>
      <c r="X312" s="601"/>
      <c r="Y312" s="601"/>
      <c r="Z312" s="601"/>
    </row>
    <row r="313" spans="1:31" s="75" customFormat="1" ht="375" hidden="1">
      <c r="A313" s="591"/>
      <c r="B313" s="581"/>
      <c r="C313" s="593"/>
      <c r="D313" s="603"/>
      <c r="E313" s="599"/>
      <c r="F313" s="608"/>
      <c r="G313" s="594"/>
      <c r="H313" s="594"/>
      <c r="I313" s="594"/>
      <c r="J313" s="594"/>
      <c r="K313" s="590" t="s">
        <v>30</v>
      </c>
      <c r="L313" s="1382"/>
      <c r="M313" s="585">
        <v>2000000</v>
      </c>
      <c r="N313" s="630"/>
      <c r="O313" s="631">
        <v>4864</v>
      </c>
      <c r="P313" s="630"/>
      <c r="Q313" s="630">
        <v>34491</v>
      </c>
      <c r="R313" s="582">
        <f>M313/J312</f>
        <v>25316.455696202531</v>
      </c>
      <c r="S313" s="586">
        <f t="shared" si="37"/>
        <v>-2039355</v>
      </c>
      <c r="T313" s="588" t="s">
        <v>3701</v>
      </c>
      <c r="U313" s="597">
        <f t="shared" si="32"/>
        <v>2039355</v>
      </c>
      <c r="V313" s="589"/>
      <c r="W313" s="600"/>
      <c r="X313" s="601"/>
      <c r="Y313" s="601"/>
      <c r="Z313" s="601"/>
    </row>
    <row r="314" spans="1:31" s="75" customFormat="1" hidden="1">
      <c r="A314" s="591"/>
      <c r="B314" s="581"/>
      <c r="C314" s="593"/>
      <c r="D314" s="603"/>
      <c r="E314" s="599"/>
      <c r="F314" s="608"/>
      <c r="G314" s="594"/>
      <c r="H314" s="594"/>
      <c r="I314" s="594"/>
      <c r="J314" s="594"/>
      <c r="K314" s="590" t="s">
        <v>224</v>
      </c>
      <c r="L314" s="1382"/>
      <c r="M314" s="585">
        <v>529233.5</v>
      </c>
      <c r="N314" s="630">
        <v>26500</v>
      </c>
      <c r="O314" s="631"/>
      <c r="P314" s="630"/>
      <c r="Q314" s="630"/>
      <c r="R314" s="582">
        <f>M314/J312</f>
        <v>6699.158227848101</v>
      </c>
      <c r="S314" s="586"/>
      <c r="T314" s="588"/>
      <c r="U314" s="597">
        <f t="shared" si="32"/>
        <v>555733.5</v>
      </c>
      <c r="V314" s="589"/>
      <c r="W314" s="600"/>
      <c r="X314" s="601"/>
      <c r="Y314" s="601"/>
      <c r="Z314" s="601"/>
    </row>
    <row r="315" spans="1:31" hidden="1">
      <c r="A315" s="591">
        <f>A312+1</f>
        <v>252</v>
      </c>
      <c r="B315" s="592" t="s">
        <v>699</v>
      </c>
      <c r="C315" s="593" t="s">
        <v>217</v>
      </c>
      <c r="D315" s="603">
        <v>12458</v>
      </c>
      <c r="E315" s="594">
        <v>2703</v>
      </c>
      <c r="F315" s="608" t="s">
        <v>222</v>
      </c>
      <c r="G315" s="603">
        <v>1148</v>
      </c>
      <c r="H315" s="609">
        <v>5</v>
      </c>
      <c r="I315" s="609">
        <v>4</v>
      </c>
      <c r="J315" s="609">
        <v>71</v>
      </c>
      <c r="K315" s="590" t="s">
        <v>33</v>
      </c>
      <c r="L315" s="595">
        <f>M315+N315+O315+P315+Q315</f>
        <v>4025975.73</v>
      </c>
      <c r="M315" s="585">
        <v>4013982</v>
      </c>
      <c r="N315" s="586"/>
      <c r="O315" s="587">
        <v>11993.73</v>
      </c>
      <c r="P315" s="586"/>
      <c r="Q315" s="586"/>
      <c r="R315" s="582">
        <f>M315/G315</f>
        <v>3496.5</v>
      </c>
      <c r="S315" s="586">
        <f>L315-M315-N315-O315-P315-Q315</f>
        <v>-1.8189894035458565E-11</v>
      </c>
      <c r="T315" s="586"/>
      <c r="U315" s="597">
        <f t="shared" si="32"/>
        <v>4025975.73</v>
      </c>
      <c r="V315" s="589"/>
      <c r="W315" s="600"/>
    </row>
    <row r="316" spans="1:31" ht="37.5" hidden="1">
      <c r="A316" s="591">
        <f t="shared" si="38"/>
        <v>253</v>
      </c>
      <c r="B316" s="592" t="s">
        <v>700</v>
      </c>
      <c r="C316" s="617" t="s">
        <v>271</v>
      </c>
      <c r="D316" s="561">
        <v>46027</v>
      </c>
      <c r="E316" s="561">
        <v>7230</v>
      </c>
      <c r="F316" s="561" t="s">
        <v>233</v>
      </c>
      <c r="G316" s="561">
        <v>1343.7</v>
      </c>
      <c r="H316" s="625">
        <v>9</v>
      </c>
      <c r="I316" s="582">
        <v>4</v>
      </c>
      <c r="J316" s="561">
        <v>128</v>
      </c>
      <c r="K316" s="606" t="s">
        <v>366</v>
      </c>
      <c r="L316" s="595">
        <f>M316+N316+O316+P316+Q316</f>
        <v>8351035.5599999996</v>
      </c>
      <c r="M316" s="585">
        <f>7960000+243029.31</f>
        <v>8203029.3099999996</v>
      </c>
      <c r="N316" s="586">
        <v>148006.25</v>
      </c>
      <c r="Q316" s="586"/>
      <c r="R316" s="582">
        <v>2000000</v>
      </c>
      <c r="S316" s="586">
        <f>L316-M316-N316-O316-P316-Q316</f>
        <v>0</v>
      </c>
      <c r="T316" s="586"/>
      <c r="U316" s="597">
        <f t="shared" si="32"/>
        <v>8351035.5599999996</v>
      </c>
      <c r="V316" s="589"/>
      <c r="W316" s="600"/>
    </row>
    <row r="317" spans="1:31" ht="281.25" hidden="1">
      <c r="A317" s="591">
        <f t="shared" si="38"/>
        <v>254</v>
      </c>
      <c r="B317" s="592" t="s">
        <v>701</v>
      </c>
      <c r="C317" s="617" t="s">
        <v>271</v>
      </c>
      <c r="D317" s="561">
        <v>14763</v>
      </c>
      <c r="E317" s="561">
        <v>2754</v>
      </c>
      <c r="F317" s="561" t="s">
        <v>233</v>
      </c>
      <c r="G317" s="561">
        <v>437</v>
      </c>
      <c r="H317" s="625">
        <v>12</v>
      </c>
      <c r="I317" s="582">
        <v>1</v>
      </c>
      <c r="J317" s="561">
        <v>47</v>
      </c>
      <c r="K317" s="606" t="s">
        <v>366</v>
      </c>
      <c r="L317" s="595">
        <f>M317+N317+O317+P317+Q317</f>
        <v>4682718.75</v>
      </c>
      <c r="M317" s="585">
        <v>4577000</v>
      </c>
      <c r="N317" s="586">
        <v>105718.75</v>
      </c>
      <c r="Q317" s="586"/>
      <c r="R317" s="582">
        <v>2200000</v>
      </c>
      <c r="S317" s="586">
        <f>L317-M317-N317-O317-P317-Q317</f>
        <v>0</v>
      </c>
      <c r="T317" s="588" t="s">
        <v>3700</v>
      </c>
      <c r="U317" s="597">
        <f t="shared" si="32"/>
        <v>4682718.75</v>
      </c>
      <c r="V317" s="589"/>
      <c r="W317" s="600"/>
    </row>
    <row r="318" spans="1:31" hidden="1">
      <c r="A318" s="591">
        <f t="shared" si="38"/>
        <v>255</v>
      </c>
      <c r="B318" s="592" t="s">
        <v>702</v>
      </c>
      <c r="C318" s="593" t="s">
        <v>217</v>
      </c>
      <c r="D318" s="582">
        <v>16860</v>
      </c>
      <c r="E318" s="582">
        <v>2125</v>
      </c>
      <c r="F318" s="643" t="s">
        <v>222</v>
      </c>
      <c r="G318" s="582">
        <v>1124</v>
      </c>
      <c r="H318" s="582">
        <v>5</v>
      </c>
      <c r="I318" s="582">
        <v>4</v>
      </c>
      <c r="J318" s="582">
        <v>79</v>
      </c>
      <c r="K318" s="606" t="s">
        <v>33</v>
      </c>
      <c r="L318" s="595">
        <f>M318+N318+O318+P318+Q318</f>
        <v>3607146</v>
      </c>
      <c r="M318" s="585">
        <v>3596400</v>
      </c>
      <c r="N318" s="586"/>
      <c r="O318" s="587">
        <v>10746</v>
      </c>
      <c r="P318" s="586"/>
      <c r="Q318" s="586"/>
      <c r="R318" s="582">
        <f>M318/G318</f>
        <v>3199.6441281138791</v>
      </c>
      <c r="S318" s="586">
        <f>L318-M318-N318-O318-P318-Q318</f>
        <v>0</v>
      </c>
      <c r="T318" s="588"/>
      <c r="U318" s="597">
        <f t="shared" si="32"/>
        <v>3607146</v>
      </c>
      <c r="V318" s="589"/>
      <c r="W318" s="600"/>
    </row>
    <row r="319" spans="1:31" ht="37.5" hidden="1">
      <c r="A319" s="591">
        <f t="shared" si="38"/>
        <v>256</v>
      </c>
      <c r="B319" s="592" t="s">
        <v>703</v>
      </c>
      <c r="C319" s="593" t="s">
        <v>217</v>
      </c>
      <c r="D319" s="603">
        <v>12067</v>
      </c>
      <c r="E319" s="594">
        <v>2125</v>
      </c>
      <c r="F319" s="608" t="s">
        <v>222</v>
      </c>
      <c r="G319" s="603">
        <v>1139</v>
      </c>
      <c r="H319" s="609">
        <v>5</v>
      </c>
      <c r="I319" s="609">
        <v>4</v>
      </c>
      <c r="J319" s="609">
        <v>80</v>
      </c>
      <c r="K319" s="606" t="s">
        <v>30</v>
      </c>
      <c r="L319" s="1357">
        <f>M319+N319+O319+P319+Q319+M320+N320+O320+Q320</f>
        <v>2165367.6</v>
      </c>
      <c r="M319" s="585">
        <v>1680000</v>
      </c>
      <c r="N319" s="586"/>
      <c r="O319" s="587">
        <v>6447.6</v>
      </c>
      <c r="P319" s="586"/>
      <c r="Q319" s="586"/>
      <c r="R319" s="582">
        <f>M319/J319</f>
        <v>21000</v>
      </c>
      <c r="S319" s="586">
        <f>L319-M319-N319-O319-P319-Q319</f>
        <v>478920.00000000012</v>
      </c>
      <c r="T319" s="588"/>
      <c r="U319" s="597">
        <f t="shared" si="32"/>
        <v>1686447.6</v>
      </c>
      <c r="V319" s="589"/>
      <c r="W319" s="600"/>
    </row>
    <row r="320" spans="1:31" ht="393.75" hidden="1">
      <c r="A320" s="591"/>
      <c r="B320" s="592"/>
      <c r="C320" s="593"/>
      <c r="D320" s="603"/>
      <c r="E320" s="594"/>
      <c r="F320" s="608"/>
      <c r="G320" s="603"/>
      <c r="H320" s="609"/>
      <c r="I320" s="609"/>
      <c r="J320" s="609"/>
      <c r="K320" s="606" t="s">
        <v>224</v>
      </c>
      <c r="L320" s="1357"/>
      <c r="M320" s="623">
        <v>478920</v>
      </c>
      <c r="N320" s="586"/>
      <c r="O320" s="587"/>
      <c r="P320" s="586"/>
      <c r="Q320" s="586"/>
      <c r="R320" s="582">
        <f>M320/J319</f>
        <v>5986.5</v>
      </c>
      <c r="S320" s="586"/>
      <c r="T320" s="588" t="s">
        <v>4325</v>
      </c>
      <c r="U320" s="597">
        <f t="shared" si="32"/>
        <v>478920</v>
      </c>
      <c r="V320" s="589"/>
      <c r="W320" s="600"/>
    </row>
    <row r="321" spans="1:37" ht="37.5" hidden="1">
      <c r="A321" s="591">
        <f>A319+1</f>
        <v>257</v>
      </c>
      <c r="B321" s="592" t="s">
        <v>704</v>
      </c>
      <c r="C321" s="617" t="s">
        <v>271</v>
      </c>
      <c r="D321" s="561">
        <v>69340</v>
      </c>
      <c r="E321" s="561">
        <v>9800</v>
      </c>
      <c r="F321" s="561" t="s">
        <v>233</v>
      </c>
      <c r="G321" s="561">
        <v>3767.2</v>
      </c>
      <c r="H321" s="625">
        <v>9</v>
      </c>
      <c r="I321" s="582">
        <v>8</v>
      </c>
      <c r="J321" s="561">
        <v>272</v>
      </c>
      <c r="K321" s="606" t="s">
        <v>366</v>
      </c>
      <c r="L321" s="595">
        <f t="shared" ref="L321:L326" si="39">M321+N321+O321+P321+Q321</f>
        <v>14505981.460000001</v>
      </c>
      <c r="M321" s="585">
        <f>13930000+364543.96</f>
        <v>14294543.960000001</v>
      </c>
      <c r="N321" s="564">
        <v>211437.5</v>
      </c>
      <c r="Q321" s="586"/>
      <c r="R321" s="582">
        <v>2000000</v>
      </c>
      <c r="S321" s="586">
        <f t="shared" ref="S321:S357" si="40">L321-M321-N321-O321-P321-Q321</f>
        <v>0</v>
      </c>
      <c r="T321" s="588"/>
      <c r="U321" s="597">
        <f t="shared" si="32"/>
        <v>14505981.460000001</v>
      </c>
      <c r="V321" s="589"/>
      <c r="W321" s="600"/>
    </row>
    <row r="322" spans="1:37" s="75" customFormat="1" ht="37.5" hidden="1">
      <c r="A322" s="591">
        <f t="shared" si="38"/>
        <v>258</v>
      </c>
      <c r="B322" s="592" t="s">
        <v>705</v>
      </c>
      <c r="C322" s="617" t="s">
        <v>271</v>
      </c>
      <c r="D322" s="561">
        <v>33239</v>
      </c>
      <c r="E322" s="561">
        <v>4500</v>
      </c>
      <c r="F322" s="561" t="s">
        <v>233</v>
      </c>
      <c r="G322" s="561">
        <v>1090</v>
      </c>
      <c r="H322" s="625">
        <v>9</v>
      </c>
      <c r="I322" s="582">
        <v>3</v>
      </c>
      <c r="J322" s="561">
        <v>88</v>
      </c>
      <c r="K322" s="606" t="s">
        <v>366</v>
      </c>
      <c r="L322" s="595">
        <f t="shared" si="39"/>
        <v>6096862.5</v>
      </c>
      <c r="M322" s="585">
        <v>5970000</v>
      </c>
      <c r="N322" s="586">
        <v>126862.5</v>
      </c>
      <c r="O322" s="565"/>
      <c r="P322" s="564"/>
      <c r="Q322" s="586"/>
      <c r="R322" s="582">
        <v>2000000</v>
      </c>
      <c r="S322" s="586">
        <f t="shared" si="40"/>
        <v>0</v>
      </c>
      <c r="T322" s="588"/>
      <c r="U322" s="597">
        <f t="shared" si="32"/>
        <v>6096862.5</v>
      </c>
      <c r="V322" s="589"/>
      <c r="W322" s="600"/>
      <c r="X322" s="601"/>
      <c r="Y322" s="601"/>
      <c r="Z322" s="601"/>
    </row>
    <row r="323" spans="1:37" s="517" customFormat="1" ht="37.5" hidden="1">
      <c r="A323" s="591">
        <f t="shared" si="38"/>
        <v>259</v>
      </c>
      <c r="B323" s="592" t="s">
        <v>706</v>
      </c>
      <c r="C323" s="602" t="s">
        <v>217</v>
      </c>
      <c r="D323" s="561">
        <v>16502</v>
      </c>
      <c r="E323" s="561">
        <v>2950</v>
      </c>
      <c r="F323" s="561" t="s">
        <v>233</v>
      </c>
      <c r="G323" s="561">
        <v>709.1</v>
      </c>
      <c r="H323" s="625">
        <v>9</v>
      </c>
      <c r="I323" s="582">
        <v>2</v>
      </c>
      <c r="J323" s="561">
        <v>71</v>
      </c>
      <c r="K323" s="606" t="s">
        <v>366</v>
      </c>
      <c r="L323" s="595">
        <f t="shared" si="39"/>
        <v>4085718.75</v>
      </c>
      <c r="M323" s="585">
        <v>3980000</v>
      </c>
      <c r="N323" s="586">
        <v>105718.75</v>
      </c>
      <c r="O323" s="565"/>
      <c r="P323" s="564"/>
      <c r="Q323" s="586"/>
      <c r="R323" s="582">
        <v>2000000</v>
      </c>
      <c r="S323" s="586">
        <f t="shared" si="40"/>
        <v>0</v>
      </c>
      <c r="T323" s="589"/>
      <c r="U323" s="597">
        <f t="shared" si="32"/>
        <v>4085718.75</v>
      </c>
      <c r="V323" s="589"/>
      <c r="W323" s="600"/>
      <c r="X323" s="601"/>
      <c r="Y323" s="600"/>
      <c r="Z323" s="589"/>
      <c r="AA323" s="246"/>
      <c r="AB323" s="72"/>
      <c r="AC323" s="246"/>
      <c r="AD323" s="72"/>
      <c r="AE323" s="72"/>
      <c r="AF323" s="516"/>
      <c r="AH323" s="36"/>
      <c r="AI323" s="72"/>
      <c r="AJ323" s="246"/>
      <c r="AK323" s="72"/>
    </row>
    <row r="324" spans="1:37" ht="37.5" hidden="1">
      <c r="A324" s="591">
        <f t="shared" si="38"/>
        <v>260</v>
      </c>
      <c r="B324" s="592" t="s">
        <v>707</v>
      </c>
      <c r="C324" s="602" t="s">
        <v>217</v>
      </c>
      <c r="D324" s="561">
        <v>16083</v>
      </c>
      <c r="E324" s="561">
        <v>2994</v>
      </c>
      <c r="F324" s="561" t="s">
        <v>233</v>
      </c>
      <c r="G324" s="561">
        <v>702</v>
      </c>
      <c r="H324" s="625">
        <v>9</v>
      </c>
      <c r="I324" s="582">
        <v>2</v>
      </c>
      <c r="J324" s="561">
        <v>72</v>
      </c>
      <c r="K324" s="606" t="s">
        <v>366</v>
      </c>
      <c r="L324" s="595">
        <f t="shared" si="39"/>
        <v>4085718.75</v>
      </c>
      <c r="M324" s="585">
        <v>3980000</v>
      </c>
      <c r="N324" s="586">
        <v>105718.75</v>
      </c>
      <c r="Q324" s="586"/>
      <c r="R324" s="582">
        <v>2000000</v>
      </c>
      <c r="S324" s="586">
        <f t="shared" si="40"/>
        <v>0</v>
      </c>
      <c r="T324" s="588"/>
      <c r="U324" s="597">
        <f t="shared" si="32"/>
        <v>4085718.75</v>
      </c>
      <c r="V324" s="589"/>
      <c r="W324" s="600"/>
    </row>
    <row r="325" spans="1:37" ht="37.5" hidden="1">
      <c r="A325" s="591">
        <f t="shared" si="38"/>
        <v>261</v>
      </c>
      <c r="B325" s="592" t="s">
        <v>708</v>
      </c>
      <c r="C325" s="700" t="s">
        <v>217</v>
      </c>
      <c r="D325" s="582">
        <v>65044</v>
      </c>
      <c r="E325" s="626">
        <v>6500</v>
      </c>
      <c r="F325" s="643" t="s">
        <v>233</v>
      </c>
      <c r="G325" s="625">
        <v>3225</v>
      </c>
      <c r="H325" s="625">
        <v>9</v>
      </c>
      <c r="I325" s="582">
        <v>6</v>
      </c>
      <c r="J325" s="582">
        <v>322</v>
      </c>
      <c r="K325" s="606" t="s">
        <v>219</v>
      </c>
      <c r="L325" s="595">
        <f t="shared" si="39"/>
        <v>8108006.25</v>
      </c>
      <c r="M325" s="585">
        <v>7960000</v>
      </c>
      <c r="N325" s="586">
        <v>148006.25</v>
      </c>
      <c r="Q325" s="586"/>
      <c r="R325" s="582">
        <v>2000000</v>
      </c>
      <c r="S325" s="586">
        <f t="shared" si="40"/>
        <v>0</v>
      </c>
      <c r="T325" s="588"/>
      <c r="U325" s="597">
        <f t="shared" si="32"/>
        <v>8108006.25</v>
      </c>
      <c r="V325" s="589"/>
      <c r="W325" s="600"/>
    </row>
    <row r="326" spans="1:37" ht="37.5" hidden="1">
      <c r="A326" s="591">
        <f t="shared" si="38"/>
        <v>262</v>
      </c>
      <c r="B326" s="592" t="s">
        <v>709</v>
      </c>
      <c r="C326" s="602" t="s">
        <v>217</v>
      </c>
      <c r="D326" s="561">
        <v>30446</v>
      </c>
      <c r="E326" s="561">
        <v>2577</v>
      </c>
      <c r="F326" s="561" t="s">
        <v>233</v>
      </c>
      <c r="G326" s="561">
        <v>1330</v>
      </c>
      <c r="H326" s="602">
        <v>9</v>
      </c>
      <c r="I326" s="602">
        <v>4</v>
      </c>
      <c r="J326" s="561">
        <v>143</v>
      </c>
      <c r="K326" s="606" t="s">
        <v>366</v>
      </c>
      <c r="L326" s="595">
        <f t="shared" si="39"/>
        <v>8108006.25</v>
      </c>
      <c r="M326" s="585">
        <v>7960000</v>
      </c>
      <c r="N326" s="586">
        <v>148006.25</v>
      </c>
      <c r="Q326" s="586"/>
      <c r="R326" s="582">
        <v>2000000</v>
      </c>
      <c r="S326" s="586">
        <f t="shared" si="40"/>
        <v>0</v>
      </c>
      <c r="T326" s="588"/>
      <c r="U326" s="597">
        <f t="shared" si="32"/>
        <v>8108006.25</v>
      </c>
      <c r="V326" s="589"/>
      <c r="W326" s="600"/>
    </row>
    <row r="327" spans="1:37" s="480" customFormat="1" hidden="1">
      <c r="A327" s="1349">
        <f>A326+1</f>
        <v>263</v>
      </c>
      <c r="B327" s="592" t="s">
        <v>710</v>
      </c>
      <c r="C327" s="1386" t="s">
        <v>271</v>
      </c>
      <c r="D327" s="1375">
        <v>22941</v>
      </c>
      <c r="E327" s="1385">
        <v>3812</v>
      </c>
      <c r="F327" s="1375" t="s">
        <v>233</v>
      </c>
      <c r="G327" s="1375">
        <v>943</v>
      </c>
      <c r="H327" s="1375">
        <v>9</v>
      </c>
      <c r="I327" s="1375">
        <v>2</v>
      </c>
      <c r="J327" s="1375">
        <v>112</v>
      </c>
      <c r="K327" s="606" t="s">
        <v>33</v>
      </c>
      <c r="L327" s="1357">
        <f>M327+N327+O327+P327+Q327+M328+N328+O328+P328+Q328</f>
        <v>5575345.1400000006</v>
      </c>
      <c r="M327" s="585">
        <v>1978319.7</v>
      </c>
      <c r="N327" s="586"/>
      <c r="O327" s="587">
        <v>5911.2</v>
      </c>
      <c r="P327" s="586"/>
      <c r="Q327" s="586"/>
      <c r="R327" s="582">
        <f>M327/G327</f>
        <v>2097.9</v>
      </c>
      <c r="S327" s="586">
        <f t="shared" si="40"/>
        <v>3591114.24</v>
      </c>
      <c r="T327" s="605"/>
      <c r="U327" s="597">
        <f t="shared" si="32"/>
        <v>1984230.9</v>
      </c>
      <c r="V327" s="589"/>
      <c r="W327" s="600"/>
      <c r="X327" s="589"/>
      <c r="Y327" s="701"/>
      <c r="Z327" s="702"/>
      <c r="AA327" s="36"/>
      <c r="AB327" s="72"/>
      <c r="AC327" s="246"/>
      <c r="AD327" s="72"/>
    </row>
    <row r="328" spans="1:37" s="480" customFormat="1" ht="37.5" hidden="1">
      <c r="A328" s="1349"/>
      <c r="B328" s="592"/>
      <c r="C328" s="1386"/>
      <c r="D328" s="1375"/>
      <c r="E328" s="1385"/>
      <c r="F328" s="1375"/>
      <c r="G328" s="1375"/>
      <c r="H328" s="1375"/>
      <c r="I328" s="1375"/>
      <c r="J328" s="1375"/>
      <c r="K328" s="606" t="s">
        <v>30</v>
      </c>
      <c r="L328" s="1357"/>
      <c r="M328" s="585">
        <v>3580416</v>
      </c>
      <c r="N328" s="586"/>
      <c r="O328" s="587">
        <v>10698.24</v>
      </c>
      <c r="P328" s="586"/>
      <c r="Q328" s="586"/>
      <c r="R328" s="582">
        <f>M328/J327</f>
        <v>31968</v>
      </c>
      <c r="S328" s="586">
        <f t="shared" si="40"/>
        <v>-3591114.24</v>
      </c>
      <c r="T328" s="588"/>
      <c r="U328" s="597">
        <f t="shared" si="32"/>
        <v>3591114.24</v>
      </c>
      <c r="V328" s="589"/>
      <c r="W328" s="600"/>
      <c r="X328" s="589"/>
      <c r="Y328" s="701"/>
      <c r="Z328" s="702"/>
      <c r="AA328" s="36"/>
      <c r="AB328" s="72"/>
      <c r="AC328" s="246"/>
      <c r="AD328" s="72"/>
    </row>
    <row r="329" spans="1:37" hidden="1">
      <c r="A329" s="591">
        <f>A327+1</f>
        <v>264</v>
      </c>
      <c r="B329" s="592" t="s">
        <v>711</v>
      </c>
      <c r="C329" s="593" t="s">
        <v>271</v>
      </c>
      <c r="D329" s="593">
        <v>23599</v>
      </c>
      <c r="E329" s="646">
        <v>3450</v>
      </c>
      <c r="F329" s="602" t="s">
        <v>233</v>
      </c>
      <c r="G329" s="593">
        <v>996</v>
      </c>
      <c r="H329" s="593">
        <v>10</v>
      </c>
      <c r="I329" s="593">
        <v>1</v>
      </c>
      <c r="J329" s="593">
        <v>160</v>
      </c>
      <c r="K329" s="610" t="s">
        <v>224</v>
      </c>
      <c r="L329" s="1357">
        <f>M329+N329+O329+P329+Q329+M330+N330+O330+P330+Q330</f>
        <v>8889472.2300000004</v>
      </c>
      <c r="M329" s="585">
        <v>3196800</v>
      </c>
      <c r="N329" s="586">
        <v>44955</v>
      </c>
      <c r="O329" s="587"/>
      <c r="P329" s="586"/>
      <c r="Q329" s="586"/>
      <c r="R329" s="582">
        <f>M329/J329</f>
        <v>19980</v>
      </c>
      <c r="S329" s="586">
        <f t="shared" si="40"/>
        <v>5647717.2300000004</v>
      </c>
      <c r="T329" s="588"/>
      <c r="U329" s="597">
        <f t="shared" si="32"/>
        <v>3241755</v>
      </c>
      <c r="V329" s="589"/>
      <c r="W329" s="600"/>
    </row>
    <row r="330" spans="1:37" ht="37.5" hidden="1">
      <c r="A330" s="591"/>
      <c r="B330" s="592"/>
      <c r="C330" s="593"/>
      <c r="D330" s="593"/>
      <c r="E330" s="646"/>
      <c r="F330" s="602"/>
      <c r="G330" s="593"/>
      <c r="H330" s="593"/>
      <c r="I330" s="593"/>
      <c r="J330" s="593"/>
      <c r="K330" s="610" t="s">
        <v>30</v>
      </c>
      <c r="L330" s="1357"/>
      <c r="M330" s="585">
        <v>5637428.9299999997</v>
      </c>
      <c r="N330" s="586"/>
      <c r="O330" s="587">
        <v>10288.299999999999</v>
      </c>
      <c r="P330" s="586"/>
      <c r="Q330" s="586"/>
      <c r="R330" s="616">
        <f>M330/J329</f>
        <v>35233.930812499995</v>
      </c>
      <c r="S330" s="586">
        <f t="shared" si="40"/>
        <v>-5647717.2299999995</v>
      </c>
      <c r="T330" s="588"/>
      <c r="U330" s="597">
        <f t="shared" si="32"/>
        <v>5647717.2299999995</v>
      </c>
      <c r="V330" s="589"/>
      <c r="W330" s="600"/>
    </row>
    <row r="331" spans="1:37" ht="37.5" hidden="1">
      <c r="A331" s="591">
        <f>A329+1</f>
        <v>265</v>
      </c>
      <c r="B331" s="592" t="s">
        <v>712</v>
      </c>
      <c r="C331" s="703" t="s">
        <v>271</v>
      </c>
      <c r="D331" s="618">
        <v>21274</v>
      </c>
      <c r="E331" s="619">
        <v>3171.6</v>
      </c>
      <c r="F331" s="653" t="s">
        <v>233</v>
      </c>
      <c r="G331" s="633">
        <v>815.9</v>
      </c>
      <c r="H331" s="640">
        <v>9</v>
      </c>
      <c r="I331" s="633">
        <v>1</v>
      </c>
      <c r="J331" s="633">
        <v>114</v>
      </c>
      <c r="K331" s="606" t="s">
        <v>30</v>
      </c>
      <c r="L331" s="595">
        <f>M331+N331+O331+P331+Q331</f>
        <v>3655241.28</v>
      </c>
      <c r="M331" s="635">
        <v>3644352</v>
      </c>
      <c r="N331" s="636"/>
      <c r="O331" s="641">
        <v>10889.28</v>
      </c>
      <c r="P331" s="636"/>
      <c r="Q331" s="638"/>
      <c r="R331" s="582">
        <f>M331/J331</f>
        <v>31968</v>
      </c>
      <c r="S331" s="586">
        <f t="shared" si="40"/>
        <v>-2.0554580260068178E-10</v>
      </c>
      <c r="T331" s="588"/>
      <c r="U331" s="597">
        <f t="shared" si="32"/>
        <v>3655241.28</v>
      </c>
      <c r="V331" s="589"/>
      <c r="W331" s="600"/>
    </row>
    <row r="332" spans="1:37" ht="37.5" hidden="1">
      <c r="A332" s="591">
        <f t="shared" si="38"/>
        <v>266</v>
      </c>
      <c r="B332" s="592" t="s">
        <v>713</v>
      </c>
      <c r="C332" s="602" t="s">
        <v>217</v>
      </c>
      <c r="D332" s="561">
        <v>31946</v>
      </c>
      <c r="E332" s="561">
        <v>5421.3</v>
      </c>
      <c r="F332" s="561" t="s">
        <v>233</v>
      </c>
      <c r="G332" s="561">
        <v>1378</v>
      </c>
      <c r="H332" s="625">
        <v>9</v>
      </c>
      <c r="I332" s="582">
        <v>4</v>
      </c>
      <c r="J332" s="561">
        <v>144</v>
      </c>
      <c r="K332" s="606" t="s">
        <v>366</v>
      </c>
      <c r="L332" s="595">
        <f>M332+N332+O332+P332+Q332</f>
        <v>8108006.25</v>
      </c>
      <c r="M332" s="585">
        <v>7960000</v>
      </c>
      <c r="N332" s="586">
        <v>148006.25</v>
      </c>
      <c r="Q332" s="586"/>
      <c r="R332" s="582">
        <v>2000000</v>
      </c>
      <c r="S332" s="586">
        <f t="shared" si="40"/>
        <v>0</v>
      </c>
      <c r="T332" s="588"/>
      <c r="U332" s="597">
        <f t="shared" si="32"/>
        <v>8108006.25</v>
      </c>
      <c r="V332" s="589"/>
      <c r="W332" s="600"/>
    </row>
    <row r="333" spans="1:37" ht="37.5" hidden="1">
      <c r="A333" s="591">
        <f t="shared" si="38"/>
        <v>267</v>
      </c>
      <c r="B333" s="592" t="s">
        <v>714</v>
      </c>
      <c r="C333" s="602" t="s">
        <v>217</v>
      </c>
      <c r="D333" s="561">
        <v>15558</v>
      </c>
      <c r="E333" s="561">
        <v>2985.2</v>
      </c>
      <c r="F333" s="561" t="s">
        <v>233</v>
      </c>
      <c r="G333" s="561">
        <v>679</v>
      </c>
      <c r="H333" s="625">
        <v>9</v>
      </c>
      <c r="I333" s="582">
        <v>2</v>
      </c>
      <c r="J333" s="561">
        <v>72</v>
      </c>
      <c r="K333" s="606" t="s">
        <v>366</v>
      </c>
      <c r="L333" s="595">
        <f>M333+N333+O333+P333+Q333</f>
        <v>4085718.75</v>
      </c>
      <c r="M333" s="585">
        <v>3980000</v>
      </c>
      <c r="N333" s="586">
        <v>105718.75</v>
      </c>
      <c r="Q333" s="586"/>
      <c r="R333" s="582">
        <v>2000000</v>
      </c>
      <c r="S333" s="586">
        <f t="shared" si="40"/>
        <v>0</v>
      </c>
      <c r="T333" s="588"/>
      <c r="U333" s="597">
        <f t="shared" si="32"/>
        <v>4085718.75</v>
      </c>
      <c r="V333" s="589"/>
      <c r="W333" s="600"/>
    </row>
    <row r="334" spans="1:37" s="246" customFormat="1" hidden="1">
      <c r="A334" s="1383">
        <f>A333+1</f>
        <v>268</v>
      </c>
      <c r="B334" s="592" t="s">
        <v>715</v>
      </c>
      <c r="C334" s="602"/>
      <c r="D334" s="582">
        <v>14810</v>
      </c>
      <c r="E334" s="626">
        <v>2560.3000000000002</v>
      </c>
      <c r="F334" s="582" t="s">
        <v>233</v>
      </c>
      <c r="G334" s="625">
        <v>578</v>
      </c>
      <c r="H334" s="625">
        <v>9</v>
      </c>
      <c r="I334" s="582">
        <v>1</v>
      </c>
      <c r="J334" s="582">
        <v>54</v>
      </c>
      <c r="K334" s="669" t="s">
        <v>33</v>
      </c>
      <c r="L334" s="1357">
        <f>M334+N334+O334+P334+Q334+M335+N335+O335+P335+Q335</f>
        <v>2256610.5699999998</v>
      </c>
      <c r="M334" s="690">
        <v>861352.62</v>
      </c>
      <c r="N334" s="649"/>
      <c r="O334" s="587">
        <v>3623.19</v>
      </c>
      <c r="P334" s="586"/>
      <c r="Q334" s="586"/>
      <c r="R334" s="582">
        <f>M334/G334</f>
        <v>1490.229446366782</v>
      </c>
      <c r="S334" s="586">
        <f t="shared" si="40"/>
        <v>1391634.7599999998</v>
      </c>
      <c r="T334" s="605"/>
      <c r="U334" s="597">
        <f t="shared" si="32"/>
        <v>864975.80999999994</v>
      </c>
      <c r="V334" s="589"/>
      <c r="W334" s="600"/>
      <c r="X334" s="589"/>
      <c r="Y334" s="589"/>
      <c r="Z334" s="591"/>
      <c r="AA334" s="36"/>
      <c r="AB334" s="72"/>
      <c r="AD334" s="72"/>
    </row>
    <row r="335" spans="1:37" s="246" customFormat="1" ht="37.5" hidden="1">
      <c r="A335" s="1383"/>
      <c r="B335" s="592"/>
      <c r="C335" s="602"/>
      <c r="D335" s="582"/>
      <c r="E335" s="626"/>
      <c r="F335" s="582"/>
      <c r="G335" s="625"/>
      <c r="H335" s="625"/>
      <c r="I335" s="582"/>
      <c r="J335" s="582"/>
      <c r="K335" s="606" t="s">
        <v>30</v>
      </c>
      <c r="L335" s="1357"/>
      <c r="M335" s="695">
        <v>1386476.68</v>
      </c>
      <c r="N335" s="586"/>
      <c r="O335" s="587">
        <v>5158.08</v>
      </c>
      <c r="P335" s="612"/>
      <c r="Q335" s="586"/>
      <c r="R335" s="582">
        <f>M335/J334</f>
        <v>25675.494074074071</v>
      </c>
      <c r="S335" s="586">
        <f t="shared" si="40"/>
        <v>-1391634.76</v>
      </c>
      <c r="T335" s="588"/>
      <c r="U335" s="597">
        <f t="shared" ref="U335:U398" si="41">M335+N335+O335+P335+Q335</f>
        <v>1391634.76</v>
      </c>
      <c r="V335" s="589"/>
      <c r="W335" s="600"/>
      <c r="X335" s="589"/>
      <c r="Y335" s="589"/>
      <c r="Z335" s="591"/>
      <c r="AA335" s="36"/>
      <c r="AB335" s="72"/>
      <c r="AD335" s="72"/>
    </row>
    <row r="336" spans="1:37" ht="37.5" hidden="1">
      <c r="A336" s="655">
        <f>A334+1</f>
        <v>269</v>
      </c>
      <c r="B336" s="592" t="s">
        <v>716</v>
      </c>
      <c r="C336" s="602" t="s">
        <v>217</v>
      </c>
      <c r="D336" s="602">
        <v>23915</v>
      </c>
      <c r="E336" s="646">
        <v>4232.3</v>
      </c>
      <c r="F336" s="643" t="s">
        <v>233</v>
      </c>
      <c r="G336" s="602">
        <v>979</v>
      </c>
      <c r="H336" s="602">
        <v>9</v>
      </c>
      <c r="I336" s="602">
        <v>3</v>
      </c>
      <c r="J336" s="602">
        <v>108</v>
      </c>
      <c r="K336" s="606" t="s">
        <v>366</v>
      </c>
      <c r="L336" s="595">
        <f>M336+N336+O336+P336+Q336</f>
        <v>6096862.5</v>
      </c>
      <c r="M336" s="585">
        <v>5970000</v>
      </c>
      <c r="N336" s="586">
        <v>126862.5</v>
      </c>
      <c r="Q336" s="586"/>
      <c r="R336" s="582">
        <v>2000000</v>
      </c>
      <c r="S336" s="586">
        <f t="shared" si="40"/>
        <v>0</v>
      </c>
      <c r="T336" s="588"/>
      <c r="U336" s="597">
        <f t="shared" si="41"/>
        <v>6096862.5</v>
      </c>
      <c r="V336" s="589"/>
      <c r="W336" s="600"/>
    </row>
    <row r="337" spans="1:30" hidden="1">
      <c r="A337" s="591">
        <f t="shared" si="38"/>
        <v>270</v>
      </c>
      <c r="B337" s="592" t="s">
        <v>717</v>
      </c>
      <c r="C337" s="593" t="s">
        <v>271</v>
      </c>
      <c r="D337" s="618">
        <v>9953</v>
      </c>
      <c r="E337" s="619">
        <v>1054</v>
      </c>
      <c r="F337" s="620" t="s">
        <v>233</v>
      </c>
      <c r="G337" s="620">
        <v>420</v>
      </c>
      <c r="H337" s="651">
        <v>9</v>
      </c>
      <c r="I337" s="620">
        <v>1</v>
      </c>
      <c r="J337" s="620">
        <v>48</v>
      </c>
      <c r="K337" s="590" t="s">
        <v>33</v>
      </c>
      <c r="L337" s="595">
        <f>M337+N337+O337+P337+Q337</f>
        <v>704453.19000000006</v>
      </c>
      <c r="M337" s="596">
        <v>701820.42</v>
      </c>
      <c r="N337" s="586"/>
      <c r="O337" s="598">
        <v>2632.77</v>
      </c>
      <c r="P337" s="597"/>
      <c r="Q337" s="597"/>
      <c r="R337" s="582">
        <f>M337/G337</f>
        <v>1671.0010000000002</v>
      </c>
      <c r="S337" s="586">
        <f t="shared" si="40"/>
        <v>1.8644641386345029E-11</v>
      </c>
      <c r="T337" s="588"/>
      <c r="U337" s="597">
        <f t="shared" si="41"/>
        <v>704453.19000000006</v>
      </c>
      <c r="V337" s="589"/>
      <c r="W337" s="600"/>
    </row>
    <row r="338" spans="1:30" hidden="1">
      <c r="A338" s="591">
        <f t="shared" si="38"/>
        <v>271</v>
      </c>
      <c r="B338" s="592" t="s">
        <v>718</v>
      </c>
      <c r="C338" s="593" t="s">
        <v>271</v>
      </c>
      <c r="D338" s="582">
        <v>9872</v>
      </c>
      <c r="E338" s="646">
        <v>1859.2</v>
      </c>
      <c r="F338" s="582" t="s">
        <v>222</v>
      </c>
      <c r="G338" s="582">
        <v>904</v>
      </c>
      <c r="H338" s="582">
        <v>5</v>
      </c>
      <c r="I338" s="582">
        <v>3</v>
      </c>
      <c r="J338" s="582">
        <v>60</v>
      </c>
      <c r="K338" s="610" t="s">
        <v>224</v>
      </c>
      <c r="L338" s="595">
        <f>M338+N338+O338+P338+Q338</f>
        <v>994005</v>
      </c>
      <c r="M338" s="585">
        <v>959040</v>
      </c>
      <c r="N338" s="586">
        <v>34965</v>
      </c>
      <c r="O338" s="587"/>
      <c r="P338" s="586"/>
      <c r="Q338" s="586"/>
      <c r="R338" s="582">
        <f>M338/J338</f>
        <v>15984</v>
      </c>
      <c r="S338" s="586">
        <f t="shared" si="40"/>
        <v>0</v>
      </c>
      <c r="T338" s="588"/>
      <c r="U338" s="597">
        <f t="shared" si="41"/>
        <v>994005</v>
      </c>
      <c r="V338" s="589"/>
      <c r="W338" s="600"/>
    </row>
    <row r="339" spans="1:30" hidden="1">
      <c r="A339" s="591">
        <f t="shared" si="38"/>
        <v>272</v>
      </c>
      <c r="B339" s="592" t="s">
        <v>719</v>
      </c>
      <c r="C339" s="593" t="s">
        <v>271</v>
      </c>
      <c r="D339" s="582">
        <v>11477</v>
      </c>
      <c r="E339" s="646">
        <v>2445</v>
      </c>
      <c r="F339" s="582" t="s">
        <v>222</v>
      </c>
      <c r="G339" s="582">
        <v>1058</v>
      </c>
      <c r="H339" s="582">
        <v>5</v>
      </c>
      <c r="I339" s="582">
        <v>4</v>
      </c>
      <c r="J339" s="582">
        <v>79</v>
      </c>
      <c r="K339" s="610" t="s">
        <v>224</v>
      </c>
      <c r="L339" s="595">
        <f>M339+N339+O339+P339+Q339</f>
        <v>1297701</v>
      </c>
      <c r="M339" s="585">
        <v>1262736</v>
      </c>
      <c r="N339" s="586">
        <v>34965</v>
      </c>
      <c r="O339" s="587"/>
      <c r="P339" s="586"/>
      <c r="Q339" s="586"/>
      <c r="R339" s="582">
        <f>M339/J339</f>
        <v>15984</v>
      </c>
      <c r="S339" s="586">
        <f t="shared" si="40"/>
        <v>0</v>
      </c>
      <c r="T339" s="588"/>
      <c r="U339" s="597">
        <f t="shared" si="41"/>
        <v>1297701</v>
      </c>
      <c r="V339" s="589"/>
      <c r="W339" s="600"/>
    </row>
    <row r="340" spans="1:30" s="517" customFormat="1" hidden="1">
      <c r="A340" s="1349">
        <f>A339+1</f>
        <v>273</v>
      </c>
      <c r="B340" s="592" t="s">
        <v>720</v>
      </c>
      <c r="C340" s="1387" t="s">
        <v>271</v>
      </c>
      <c r="D340" s="1375">
        <v>35399</v>
      </c>
      <c r="E340" s="1385">
        <v>4470</v>
      </c>
      <c r="F340" s="1375" t="s">
        <v>233</v>
      </c>
      <c r="G340" s="1375">
        <v>1228</v>
      </c>
      <c r="H340" s="1375">
        <v>5</v>
      </c>
      <c r="I340" s="1375">
        <v>10</v>
      </c>
      <c r="J340" s="1375">
        <v>144</v>
      </c>
      <c r="K340" s="669" t="s">
        <v>33</v>
      </c>
      <c r="L340" s="1357">
        <f>M340+N340+O340+P340+Q340+M341+N341+O341+P341+Q341</f>
        <v>12465078.84</v>
      </c>
      <c r="M340" s="627">
        <v>6066587.3399999999</v>
      </c>
      <c r="N340" s="586"/>
      <c r="O340" s="587">
        <v>7697.72</v>
      </c>
      <c r="P340" s="586"/>
      <c r="Q340" s="586"/>
      <c r="R340" s="582">
        <f>M340/G340</f>
        <v>4940.2177035830618</v>
      </c>
      <c r="S340" s="586">
        <f t="shared" si="40"/>
        <v>6390793.7800000003</v>
      </c>
      <c r="T340" s="1381" t="s">
        <v>3700</v>
      </c>
      <c r="U340" s="597">
        <f t="shared" si="41"/>
        <v>6074285.0599999996</v>
      </c>
      <c r="V340" s="589"/>
      <c r="W340" s="600"/>
      <c r="X340" s="589"/>
      <c r="Y340" s="647"/>
      <c r="Z340" s="648"/>
      <c r="AA340" s="36"/>
      <c r="AB340" s="14"/>
      <c r="AC340" s="246"/>
      <c r="AD340" s="72"/>
    </row>
    <row r="341" spans="1:30" s="517" customFormat="1" ht="37.5" hidden="1">
      <c r="A341" s="1349"/>
      <c r="B341" s="592"/>
      <c r="C341" s="1387"/>
      <c r="D341" s="1375"/>
      <c r="E341" s="1385"/>
      <c r="F341" s="1375"/>
      <c r="G341" s="1375"/>
      <c r="H341" s="1375"/>
      <c r="I341" s="1375"/>
      <c r="J341" s="1375"/>
      <c r="K341" s="606" t="s">
        <v>30</v>
      </c>
      <c r="L341" s="1357"/>
      <c r="M341" s="627">
        <v>6374674.7800000003</v>
      </c>
      <c r="N341" s="586"/>
      <c r="O341" s="587">
        <v>16119</v>
      </c>
      <c r="P341" s="586"/>
      <c r="Q341" s="586"/>
      <c r="R341" s="582">
        <f>M341/J340</f>
        <v>44268.574861111112</v>
      </c>
      <c r="S341" s="586">
        <f t="shared" si="40"/>
        <v>-6390793.7800000003</v>
      </c>
      <c r="T341" s="1381"/>
      <c r="U341" s="597">
        <f t="shared" si="41"/>
        <v>6390793.7800000003</v>
      </c>
      <c r="V341" s="589"/>
      <c r="W341" s="600"/>
      <c r="X341" s="589"/>
      <c r="Y341" s="647"/>
      <c r="Z341" s="648"/>
      <c r="AA341" s="36"/>
      <c r="AB341" s="14"/>
      <c r="AC341" s="246"/>
      <c r="AD341" s="72"/>
    </row>
    <row r="342" spans="1:30" ht="37.5" hidden="1">
      <c r="A342" s="591">
        <f>A340+1</f>
        <v>274</v>
      </c>
      <c r="B342" s="592" t="s">
        <v>721</v>
      </c>
      <c r="C342" s="593" t="s">
        <v>217</v>
      </c>
      <c r="D342" s="594">
        <v>16646</v>
      </c>
      <c r="E342" s="594">
        <v>3340</v>
      </c>
      <c r="F342" s="594" t="s">
        <v>233</v>
      </c>
      <c r="G342" s="594">
        <v>710</v>
      </c>
      <c r="H342" s="594">
        <v>9</v>
      </c>
      <c r="I342" s="594">
        <v>2</v>
      </c>
      <c r="J342" s="594">
        <v>72</v>
      </c>
      <c r="K342" s="590" t="s">
        <v>30</v>
      </c>
      <c r="L342" s="1357">
        <f>M342+N342+O342+P342+Q342+M343+N343+O343+Q343</f>
        <v>8831374.2300000004</v>
      </c>
      <c r="M342" s="596">
        <v>2292480</v>
      </c>
      <c r="N342" s="597"/>
      <c r="O342" s="587">
        <v>6877.44</v>
      </c>
      <c r="P342" s="594"/>
      <c r="Q342" s="597"/>
      <c r="R342" s="599">
        <f>M342/J342</f>
        <v>31840</v>
      </c>
      <c r="S342" s="586">
        <f t="shared" si="40"/>
        <v>6532016.79</v>
      </c>
      <c r="T342" s="588"/>
      <c r="U342" s="597">
        <f t="shared" si="41"/>
        <v>2299357.44</v>
      </c>
      <c r="V342" s="589"/>
      <c r="W342" s="600"/>
    </row>
    <row r="343" spans="1:30" hidden="1">
      <c r="A343" s="591"/>
      <c r="B343" s="592"/>
      <c r="C343" s="593"/>
      <c r="D343" s="594"/>
      <c r="E343" s="594"/>
      <c r="F343" s="594"/>
      <c r="G343" s="594"/>
      <c r="H343" s="594"/>
      <c r="I343" s="594"/>
      <c r="J343" s="594"/>
      <c r="K343" s="590" t="s">
        <v>226</v>
      </c>
      <c r="L343" s="1357"/>
      <c r="M343" s="596">
        <v>6509065.1299999999</v>
      </c>
      <c r="N343" s="597">
        <v>22951.66</v>
      </c>
      <c r="O343" s="587"/>
      <c r="P343" s="594"/>
      <c r="Q343" s="597"/>
      <c r="R343" s="608">
        <f>M343/E342</f>
        <v>1948.8218952095808</v>
      </c>
      <c r="S343" s="586">
        <f t="shared" si="40"/>
        <v>-6532016.79</v>
      </c>
      <c r="T343" s="588"/>
      <c r="U343" s="597">
        <f t="shared" si="41"/>
        <v>6532016.79</v>
      </c>
      <c r="V343" s="589"/>
      <c r="W343" s="600"/>
    </row>
    <row r="344" spans="1:30" hidden="1">
      <c r="A344" s="591">
        <f>A342+1</f>
        <v>275</v>
      </c>
      <c r="B344" s="670" t="s">
        <v>722</v>
      </c>
      <c r="C344" s="593" t="s">
        <v>221</v>
      </c>
      <c r="D344" s="602">
        <v>2535</v>
      </c>
      <c r="E344" s="602">
        <v>602.78</v>
      </c>
      <c r="F344" s="604" t="s">
        <v>222</v>
      </c>
      <c r="G344" s="602">
        <v>413</v>
      </c>
      <c r="H344" s="602">
        <v>2</v>
      </c>
      <c r="I344" s="602">
        <v>2</v>
      </c>
      <c r="J344" s="602">
        <v>8</v>
      </c>
      <c r="K344" s="606" t="s">
        <v>33</v>
      </c>
      <c r="L344" s="595">
        <f t="shared" ref="L344:L350" si="42">M344+N344+O344+P344+Q344</f>
        <v>1570663.07</v>
      </c>
      <c r="M344" s="623">
        <v>1567211.22</v>
      </c>
      <c r="N344" s="586"/>
      <c r="O344" s="587">
        <v>3451.85</v>
      </c>
      <c r="P344" s="586"/>
      <c r="Q344" s="586"/>
      <c r="R344" s="582">
        <f>M344/G344</f>
        <v>3794.7002905569007</v>
      </c>
      <c r="S344" s="586">
        <f t="shared" si="40"/>
        <v>9.3223206931725144E-11</v>
      </c>
      <c r="T344" s="588"/>
      <c r="U344" s="597">
        <f t="shared" si="41"/>
        <v>1570663.07</v>
      </c>
      <c r="V344" s="589"/>
      <c r="W344" s="600"/>
    </row>
    <row r="345" spans="1:30" ht="37.5" hidden="1">
      <c r="A345" s="591">
        <f t="shared" si="38"/>
        <v>276</v>
      </c>
      <c r="B345" s="670" t="s">
        <v>723</v>
      </c>
      <c r="C345" s="602" t="s">
        <v>271</v>
      </c>
      <c r="D345" s="602">
        <v>2524</v>
      </c>
      <c r="E345" s="602">
        <v>615</v>
      </c>
      <c r="F345" s="604" t="s">
        <v>230</v>
      </c>
      <c r="G345" s="602">
        <v>398</v>
      </c>
      <c r="H345" s="602">
        <v>2</v>
      </c>
      <c r="I345" s="602">
        <v>2</v>
      </c>
      <c r="J345" s="602">
        <v>8</v>
      </c>
      <c r="K345" s="606" t="s">
        <v>30</v>
      </c>
      <c r="L345" s="595">
        <f t="shared" si="42"/>
        <v>143999.32999999999</v>
      </c>
      <c r="M345" s="623">
        <v>143402.32999999999</v>
      </c>
      <c r="N345" s="586"/>
      <c r="O345" s="587">
        <v>597</v>
      </c>
      <c r="P345" s="586"/>
      <c r="Q345" s="586"/>
      <c r="R345" s="582">
        <f t="shared" ref="R345:R350" si="43">M345/J345</f>
        <v>17925.291249999998</v>
      </c>
      <c r="S345" s="586">
        <f t="shared" si="40"/>
        <v>0</v>
      </c>
      <c r="T345" s="588"/>
      <c r="U345" s="597">
        <f t="shared" si="41"/>
        <v>143999.32999999999</v>
      </c>
      <c r="V345" s="589"/>
      <c r="W345" s="600"/>
    </row>
    <row r="346" spans="1:30" ht="37.5" hidden="1">
      <c r="A346" s="591">
        <f t="shared" si="38"/>
        <v>277</v>
      </c>
      <c r="B346" s="670" t="s">
        <v>724</v>
      </c>
      <c r="C346" s="602" t="s">
        <v>271</v>
      </c>
      <c r="D346" s="602">
        <v>2466</v>
      </c>
      <c r="E346" s="602">
        <v>596</v>
      </c>
      <c r="F346" s="604" t="s">
        <v>230</v>
      </c>
      <c r="G346" s="602">
        <v>402</v>
      </c>
      <c r="H346" s="602">
        <v>2</v>
      </c>
      <c r="I346" s="602">
        <v>2</v>
      </c>
      <c r="J346" s="602">
        <v>8</v>
      </c>
      <c r="K346" s="606" t="s">
        <v>30</v>
      </c>
      <c r="L346" s="595">
        <f t="shared" si="42"/>
        <v>128662.39999999999</v>
      </c>
      <c r="M346" s="623">
        <v>128065.4</v>
      </c>
      <c r="N346" s="586"/>
      <c r="O346" s="587">
        <v>597</v>
      </c>
      <c r="P346" s="586"/>
      <c r="Q346" s="586"/>
      <c r="R346" s="582">
        <f t="shared" si="43"/>
        <v>16008.174999999999</v>
      </c>
      <c r="S346" s="586">
        <f t="shared" si="40"/>
        <v>0</v>
      </c>
      <c r="T346" s="588"/>
      <c r="U346" s="597">
        <f t="shared" si="41"/>
        <v>128662.39999999999</v>
      </c>
      <c r="V346" s="589"/>
      <c r="W346" s="600"/>
    </row>
    <row r="347" spans="1:30" ht="37.5" hidden="1">
      <c r="A347" s="591">
        <f t="shared" si="38"/>
        <v>278</v>
      </c>
      <c r="B347" s="670" t="s">
        <v>725</v>
      </c>
      <c r="C347" s="593" t="s">
        <v>221</v>
      </c>
      <c r="D347" s="602">
        <v>2544</v>
      </c>
      <c r="E347" s="602">
        <v>604</v>
      </c>
      <c r="F347" s="604" t="s">
        <v>222</v>
      </c>
      <c r="G347" s="602">
        <v>413.9</v>
      </c>
      <c r="H347" s="602">
        <v>2</v>
      </c>
      <c r="I347" s="602">
        <v>2</v>
      </c>
      <c r="J347" s="602">
        <v>8</v>
      </c>
      <c r="K347" s="606" t="s">
        <v>30</v>
      </c>
      <c r="L347" s="595">
        <f t="shared" si="42"/>
        <v>200397</v>
      </c>
      <c r="M347" s="585">
        <v>199800</v>
      </c>
      <c r="N347" s="586"/>
      <c r="O347" s="587">
        <v>597</v>
      </c>
      <c r="P347" s="586"/>
      <c r="Q347" s="586"/>
      <c r="R347" s="582">
        <f t="shared" si="43"/>
        <v>24975</v>
      </c>
      <c r="S347" s="586">
        <f t="shared" si="40"/>
        <v>0</v>
      </c>
      <c r="T347" s="588"/>
      <c r="U347" s="597">
        <f t="shared" si="41"/>
        <v>200397</v>
      </c>
      <c r="V347" s="589"/>
      <c r="W347" s="600"/>
    </row>
    <row r="348" spans="1:30" ht="37.5" hidden="1">
      <c r="A348" s="591">
        <f t="shared" si="38"/>
        <v>279</v>
      </c>
      <c r="B348" s="670" t="s">
        <v>726</v>
      </c>
      <c r="C348" s="602" t="s">
        <v>239</v>
      </c>
      <c r="D348" s="602">
        <v>3414</v>
      </c>
      <c r="E348" s="602">
        <v>681</v>
      </c>
      <c r="F348" s="604" t="s">
        <v>233</v>
      </c>
      <c r="G348" s="602">
        <v>632</v>
      </c>
      <c r="H348" s="602">
        <v>2</v>
      </c>
      <c r="I348" s="602">
        <v>1</v>
      </c>
      <c r="J348" s="602">
        <v>28</v>
      </c>
      <c r="K348" s="606" t="s">
        <v>30</v>
      </c>
      <c r="L348" s="595">
        <f t="shared" si="42"/>
        <v>336673.06999999995</v>
      </c>
      <c r="M348" s="623">
        <v>334416.40999999997</v>
      </c>
      <c r="N348" s="586"/>
      <c r="O348" s="587">
        <v>2256.66</v>
      </c>
      <c r="P348" s="586"/>
      <c r="Q348" s="586"/>
      <c r="R348" s="582">
        <f t="shared" si="43"/>
        <v>11943.443214285713</v>
      </c>
      <c r="S348" s="586">
        <f t="shared" si="40"/>
        <v>-2.5465851649641991E-11</v>
      </c>
      <c r="T348" s="588"/>
      <c r="U348" s="597">
        <f t="shared" si="41"/>
        <v>336673.06999999995</v>
      </c>
      <c r="V348" s="589"/>
      <c r="W348" s="600"/>
    </row>
    <row r="349" spans="1:30" ht="37.5" hidden="1">
      <c r="A349" s="591">
        <f t="shared" si="38"/>
        <v>280</v>
      </c>
      <c r="B349" s="670" t="s">
        <v>727</v>
      </c>
      <c r="C349" s="602" t="s">
        <v>271</v>
      </c>
      <c r="D349" s="602">
        <v>2450</v>
      </c>
      <c r="E349" s="602">
        <v>597</v>
      </c>
      <c r="F349" s="604" t="s">
        <v>230</v>
      </c>
      <c r="G349" s="602">
        <v>399.9</v>
      </c>
      <c r="H349" s="602">
        <v>2</v>
      </c>
      <c r="I349" s="602">
        <v>2</v>
      </c>
      <c r="J349" s="602">
        <v>8</v>
      </c>
      <c r="K349" s="606" t="s">
        <v>30</v>
      </c>
      <c r="L349" s="595">
        <f t="shared" si="42"/>
        <v>199597</v>
      </c>
      <c r="M349" s="585">
        <v>199000</v>
      </c>
      <c r="N349" s="586"/>
      <c r="O349" s="587">
        <v>597</v>
      </c>
      <c r="P349" s="586"/>
      <c r="Q349" s="586"/>
      <c r="R349" s="582">
        <f t="shared" si="43"/>
        <v>24875</v>
      </c>
      <c r="S349" s="586">
        <f t="shared" si="40"/>
        <v>0</v>
      </c>
      <c r="T349" s="588"/>
      <c r="U349" s="597">
        <f t="shared" si="41"/>
        <v>199597</v>
      </c>
      <c r="V349" s="589"/>
      <c r="W349" s="600"/>
    </row>
    <row r="350" spans="1:30" ht="37.5" hidden="1">
      <c r="A350" s="591">
        <f t="shared" si="38"/>
        <v>281</v>
      </c>
      <c r="B350" s="592" t="s">
        <v>728</v>
      </c>
      <c r="C350" s="602" t="s">
        <v>271</v>
      </c>
      <c r="D350" s="582">
        <v>2995</v>
      </c>
      <c r="E350" s="626">
        <v>595</v>
      </c>
      <c r="F350" s="608" t="s">
        <v>222</v>
      </c>
      <c r="G350" s="625">
        <v>295.89999999999998</v>
      </c>
      <c r="H350" s="625">
        <v>3</v>
      </c>
      <c r="I350" s="582">
        <v>1</v>
      </c>
      <c r="J350" s="582">
        <v>33</v>
      </c>
      <c r="K350" s="606" t="s">
        <v>30</v>
      </c>
      <c r="L350" s="595">
        <f t="shared" si="42"/>
        <v>1439809.0699999998</v>
      </c>
      <c r="M350" s="623">
        <v>1436656.91</v>
      </c>
      <c r="N350" s="586"/>
      <c r="O350" s="587">
        <v>3152.16</v>
      </c>
      <c r="P350" s="586"/>
      <c r="Q350" s="586"/>
      <c r="R350" s="582">
        <f t="shared" si="43"/>
        <v>43535.057878787877</v>
      </c>
      <c r="S350" s="586">
        <f t="shared" si="40"/>
        <v>-8.3673512563109398E-11</v>
      </c>
      <c r="T350" s="588"/>
      <c r="U350" s="597">
        <f t="shared" si="41"/>
        <v>1439809.0699999998</v>
      </c>
      <c r="V350" s="589"/>
      <c r="W350" s="600"/>
    </row>
    <row r="351" spans="1:30" s="246" customFormat="1" hidden="1">
      <c r="A351" s="1383">
        <f>A350+1</f>
        <v>282</v>
      </c>
      <c r="B351" s="592" t="s">
        <v>729</v>
      </c>
      <c r="C351" s="602" t="s">
        <v>217</v>
      </c>
      <c r="D351" s="582">
        <v>13214</v>
      </c>
      <c r="E351" s="626">
        <v>2768.4</v>
      </c>
      <c r="F351" s="643" t="s">
        <v>233</v>
      </c>
      <c r="G351" s="625">
        <v>426</v>
      </c>
      <c r="H351" s="625">
        <v>12</v>
      </c>
      <c r="I351" s="582">
        <v>1</v>
      </c>
      <c r="J351" s="582">
        <v>48</v>
      </c>
      <c r="K351" s="606" t="s">
        <v>33</v>
      </c>
      <c r="L351" s="1357">
        <f>M351+N351+O351+P351+Q351+M352+N352+O352+P352+Q352</f>
        <v>1890380.78</v>
      </c>
      <c r="M351" s="585">
        <v>893705.4</v>
      </c>
      <c r="N351" s="586"/>
      <c r="O351" s="587">
        <v>2670.38</v>
      </c>
      <c r="P351" s="586"/>
      <c r="Q351" s="586"/>
      <c r="R351" s="582">
        <f>M351/G351</f>
        <v>2097.9</v>
      </c>
      <c r="S351" s="586">
        <f t="shared" si="40"/>
        <v>994005</v>
      </c>
      <c r="T351" s="605"/>
      <c r="U351" s="597">
        <f t="shared" si="41"/>
        <v>896375.78</v>
      </c>
      <c r="V351" s="589"/>
      <c r="W351" s="600"/>
      <c r="X351" s="589"/>
      <c r="Y351" s="589"/>
      <c r="Z351" s="591"/>
      <c r="AA351" s="36"/>
      <c r="AB351" s="14"/>
      <c r="AD351" s="72"/>
    </row>
    <row r="352" spans="1:30" s="246" customFormat="1" hidden="1">
      <c r="A352" s="1383"/>
      <c r="B352" s="592"/>
      <c r="C352" s="602"/>
      <c r="D352" s="582"/>
      <c r="E352" s="626"/>
      <c r="F352" s="643"/>
      <c r="G352" s="625"/>
      <c r="H352" s="625"/>
      <c r="I352" s="582"/>
      <c r="J352" s="582"/>
      <c r="K352" s="610" t="s">
        <v>224</v>
      </c>
      <c r="L352" s="1357"/>
      <c r="M352" s="585">
        <v>959040</v>
      </c>
      <c r="N352" s="586">
        <v>34965</v>
      </c>
      <c r="O352" s="587"/>
      <c r="P352" s="586"/>
      <c r="Q352" s="586"/>
      <c r="R352" s="582">
        <f>M352/J351</f>
        <v>19980</v>
      </c>
      <c r="S352" s="586">
        <f t="shared" si="40"/>
        <v>-994005</v>
      </c>
      <c r="T352" s="588"/>
      <c r="U352" s="597">
        <f t="shared" si="41"/>
        <v>994005</v>
      </c>
      <c r="V352" s="589"/>
      <c r="W352" s="600"/>
      <c r="X352" s="589"/>
      <c r="Y352" s="589"/>
      <c r="Z352" s="591"/>
      <c r="AA352" s="36"/>
      <c r="AB352" s="14"/>
      <c r="AD352" s="72"/>
    </row>
    <row r="353" spans="1:26" ht="37.5" hidden="1">
      <c r="A353" s="655">
        <f>A351+1</f>
        <v>283</v>
      </c>
      <c r="B353" s="592" t="s">
        <v>730</v>
      </c>
      <c r="C353" s="593" t="s">
        <v>217</v>
      </c>
      <c r="D353" s="593">
        <v>43766</v>
      </c>
      <c r="E353" s="582">
        <v>7046</v>
      </c>
      <c r="F353" s="602" t="s">
        <v>233</v>
      </c>
      <c r="G353" s="593">
        <v>1716</v>
      </c>
      <c r="H353" s="593">
        <v>9</v>
      </c>
      <c r="I353" s="593">
        <v>4</v>
      </c>
      <c r="J353" s="593">
        <v>216</v>
      </c>
      <c r="K353" s="590" t="s">
        <v>3815</v>
      </c>
      <c r="L353" s="595">
        <f>M353+N353+O353+P353+Q353</f>
        <v>14088911.09</v>
      </c>
      <c r="M353" s="585">
        <v>14046939</v>
      </c>
      <c r="O353" s="587">
        <v>41972.09</v>
      </c>
      <c r="P353" s="586"/>
      <c r="Q353" s="586"/>
      <c r="R353" s="599">
        <f>M353/E353</f>
        <v>1993.6047402781719</v>
      </c>
      <c r="S353" s="586">
        <f t="shared" si="40"/>
        <v>-1.4551915228366852E-10</v>
      </c>
      <c r="T353" s="588"/>
      <c r="U353" s="597">
        <f t="shared" si="41"/>
        <v>14088911.09</v>
      </c>
      <c r="V353" s="589"/>
      <c r="W353" s="600"/>
    </row>
    <row r="354" spans="1:26" ht="37.5" hidden="1">
      <c r="A354" s="591">
        <f t="shared" si="38"/>
        <v>284</v>
      </c>
      <c r="B354" s="592" t="s">
        <v>731</v>
      </c>
      <c r="C354" s="617" t="s">
        <v>217</v>
      </c>
      <c r="D354" s="582">
        <v>12352</v>
      </c>
      <c r="E354" s="582">
        <v>2397</v>
      </c>
      <c r="F354" s="582" t="s">
        <v>230</v>
      </c>
      <c r="G354" s="582">
        <v>953.6</v>
      </c>
      <c r="H354" s="602">
        <v>5</v>
      </c>
      <c r="I354" s="602">
        <v>4</v>
      </c>
      <c r="J354" s="582">
        <v>80</v>
      </c>
      <c r="K354" s="606" t="s">
        <v>30</v>
      </c>
      <c r="L354" s="595">
        <f>M354+N354+O354+P354+Q354</f>
        <v>2164287.6</v>
      </c>
      <c r="M354" s="585">
        <v>2157840</v>
      </c>
      <c r="N354" s="586"/>
      <c r="O354" s="587">
        <v>6447.6</v>
      </c>
      <c r="P354" s="586"/>
      <c r="Q354" s="586"/>
      <c r="R354" s="582">
        <f>M354/J354</f>
        <v>26973</v>
      </c>
      <c r="S354" s="586">
        <f t="shared" si="40"/>
        <v>9.276845958083868E-11</v>
      </c>
      <c r="T354" s="588"/>
      <c r="U354" s="597">
        <f t="shared" si="41"/>
        <v>2164287.6</v>
      </c>
      <c r="V354" s="589"/>
      <c r="W354" s="600"/>
    </row>
    <row r="355" spans="1:26" hidden="1">
      <c r="A355" s="591">
        <f t="shared" si="38"/>
        <v>285</v>
      </c>
      <c r="B355" s="592" t="s">
        <v>732</v>
      </c>
      <c r="C355" s="602" t="s">
        <v>271</v>
      </c>
      <c r="D355" s="644">
        <v>29391</v>
      </c>
      <c r="E355" s="593">
        <v>3750</v>
      </c>
      <c r="F355" s="593" t="s">
        <v>233</v>
      </c>
      <c r="G355" s="593">
        <v>1679</v>
      </c>
      <c r="H355" s="593">
        <v>5</v>
      </c>
      <c r="I355" s="593">
        <v>8</v>
      </c>
      <c r="J355" s="593">
        <v>130</v>
      </c>
      <c r="K355" s="590" t="s">
        <v>224</v>
      </c>
      <c r="L355" s="595">
        <f>M355+N355+O355+P355+Q355</f>
        <v>2235840.92</v>
      </c>
      <c r="M355" s="623">
        <f>2077920+122955.92</f>
        <v>2200875.92</v>
      </c>
      <c r="N355" s="586">
        <v>34965</v>
      </c>
      <c r="O355" s="587"/>
      <c r="P355" s="586"/>
      <c r="Q355" s="586"/>
      <c r="R355" s="582">
        <f>M355/J355</f>
        <v>16929.814769230768</v>
      </c>
      <c r="S355" s="586">
        <f t="shared" si="40"/>
        <v>0</v>
      </c>
      <c r="T355" s="588"/>
      <c r="U355" s="597">
        <f t="shared" si="41"/>
        <v>2235840.92</v>
      </c>
      <c r="V355" s="589"/>
      <c r="W355" s="600"/>
    </row>
    <row r="356" spans="1:26" hidden="1">
      <c r="A356" s="591">
        <f t="shared" si="38"/>
        <v>286</v>
      </c>
      <c r="B356" s="592" t="s">
        <v>733</v>
      </c>
      <c r="C356" s="666" t="s">
        <v>271</v>
      </c>
      <c r="D356" s="618">
        <v>8307</v>
      </c>
      <c r="E356" s="619">
        <v>1598</v>
      </c>
      <c r="F356" s="653" t="s">
        <v>222</v>
      </c>
      <c r="G356" s="633">
        <v>972</v>
      </c>
      <c r="H356" s="640">
        <v>3</v>
      </c>
      <c r="I356" s="633">
        <v>3</v>
      </c>
      <c r="J356" s="633">
        <v>24</v>
      </c>
      <c r="K356" s="590" t="s">
        <v>33</v>
      </c>
      <c r="L356" s="595">
        <f>M356+N356+O356+P356+Q356</f>
        <v>2729451.82</v>
      </c>
      <c r="M356" s="635">
        <v>2721327.84</v>
      </c>
      <c r="N356" s="636"/>
      <c r="O356" s="641">
        <v>8123.98</v>
      </c>
      <c r="P356" s="636"/>
      <c r="Q356" s="638"/>
      <c r="R356" s="582">
        <f>M356/G356</f>
        <v>2799.72</v>
      </c>
      <c r="S356" s="586">
        <f t="shared" si="40"/>
        <v>-1.8189894035458565E-11</v>
      </c>
      <c r="T356" s="588"/>
      <c r="U356" s="597">
        <f t="shared" si="41"/>
        <v>2729451.82</v>
      </c>
      <c r="V356" s="589"/>
      <c r="W356" s="600"/>
    </row>
    <row r="357" spans="1:26" s="249" customFormat="1" hidden="1">
      <c r="A357" s="655">
        <f>A356+1</f>
        <v>287</v>
      </c>
      <c r="B357" s="696" t="s">
        <v>734</v>
      </c>
      <c r="C357" s="593" t="s">
        <v>239</v>
      </c>
      <c r="D357" s="644">
        <v>8826</v>
      </c>
      <c r="E357" s="593">
        <v>1350</v>
      </c>
      <c r="F357" s="593" t="s">
        <v>222</v>
      </c>
      <c r="G357" s="672">
        <v>982.8</v>
      </c>
      <c r="H357" s="660">
        <v>3</v>
      </c>
      <c r="I357" s="660">
        <v>4</v>
      </c>
      <c r="J357" s="660">
        <v>24</v>
      </c>
      <c r="K357" s="697" t="s">
        <v>33</v>
      </c>
      <c r="L357" s="1357">
        <f>M357+N357+O357+P357+Q357+M358+N358+O358+Q358</f>
        <v>7498863.8399999999</v>
      </c>
      <c r="M357" s="627">
        <v>2724321.6</v>
      </c>
      <c r="N357" s="586"/>
      <c r="O357" s="587">
        <v>8214.24</v>
      </c>
      <c r="P357" s="586"/>
      <c r="Q357" s="586"/>
      <c r="R357" s="582">
        <f>M357/G357</f>
        <v>2772</v>
      </c>
      <c r="S357" s="586">
        <f t="shared" si="40"/>
        <v>4766328</v>
      </c>
      <c r="T357" s="605"/>
      <c r="U357" s="597">
        <f t="shared" si="41"/>
        <v>2732535.8400000003</v>
      </c>
      <c r="V357" s="589"/>
      <c r="W357" s="600"/>
      <c r="X357" s="590"/>
      <c r="Y357" s="590"/>
      <c r="Z357" s="590"/>
    </row>
    <row r="358" spans="1:26" s="249" customFormat="1" hidden="1">
      <c r="A358" s="655"/>
      <c r="B358" s="696"/>
      <c r="C358" s="593"/>
      <c r="D358" s="644"/>
      <c r="E358" s="593"/>
      <c r="F358" s="593"/>
      <c r="G358" s="672"/>
      <c r="H358" s="660"/>
      <c r="I358" s="660"/>
      <c r="J358" s="660"/>
      <c r="K358" s="704" t="s">
        <v>38</v>
      </c>
      <c r="L358" s="1357"/>
      <c r="M358" s="695">
        <v>4752000</v>
      </c>
      <c r="N358" s="586"/>
      <c r="O358" s="587">
        <v>14328</v>
      </c>
      <c r="P358" s="586"/>
      <c r="Q358" s="586"/>
      <c r="R358" s="582">
        <f>M358/E357</f>
        <v>3520</v>
      </c>
      <c r="S358" s="586"/>
      <c r="T358" s="605"/>
      <c r="U358" s="597">
        <f t="shared" si="41"/>
        <v>4766328</v>
      </c>
      <c r="V358" s="589"/>
      <c r="W358" s="600"/>
      <c r="X358" s="590"/>
      <c r="Y358" s="590"/>
      <c r="Z358" s="590"/>
    </row>
    <row r="359" spans="1:26" hidden="1">
      <c r="A359" s="655">
        <f>A357+1</f>
        <v>288</v>
      </c>
      <c r="B359" s="696" t="s">
        <v>735</v>
      </c>
      <c r="C359" s="593" t="s">
        <v>239</v>
      </c>
      <c r="D359" s="644">
        <v>3232</v>
      </c>
      <c r="E359" s="593">
        <v>940</v>
      </c>
      <c r="F359" s="593" t="s">
        <v>222</v>
      </c>
      <c r="G359" s="672">
        <v>753</v>
      </c>
      <c r="H359" s="660">
        <v>2</v>
      </c>
      <c r="I359" s="660">
        <v>4</v>
      </c>
      <c r="J359" s="660">
        <v>16</v>
      </c>
      <c r="K359" s="590" t="s">
        <v>224</v>
      </c>
      <c r="L359" s="595">
        <f>M359+N359+O359+P359+Q359</f>
        <v>394965</v>
      </c>
      <c r="M359" s="585">
        <v>360000</v>
      </c>
      <c r="N359" s="586">
        <v>34965</v>
      </c>
      <c r="O359" s="587"/>
      <c r="P359" s="586"/>
      <c r="Q359" s="586"/>
      <c r="R359" s="582">
        <f>M359/J359</f>
        <v>22500</v>
      </c>
      <c r="S359" s="586">
        <f t="shared" ref="S359:S364" si="44">L359-M359-N359-O359-P359-Q359</f>
        <v>0</v>
      </c>
      <c r="T359" s="588"/>
      <c r="U359" s="597">
        <f t="shared" si="41"/>
        <v>394965</v>
      </c>
      <c r="V359" s="589"/>
      <c r="W359" s="600"/>
    </row>
    <row r="360" spans="1:26" ht="409.5" hidden="1">
      <c r="A360" s="591">
        <f t="shared" si="38"/>
        <v>289</v>
      </c>
      <c r="B360" s="696" t="s">
        <v>736</v>
      </c>
      <c r="C360" s="593" t="s">
        <v>239</v>
      </c>
      <c r="D360" s="644">
        <v>4341</v>
      </c>
      <c r="E360" s="593">
        <v>498</v>
      </c>
      <c r="F360" s="593" t="s">
        <v>222</v>
      </c>
      <c r="G360" s="672">
        <v>842</v>
      </c>
      <c r="H360" s="660">
        <v>2</v>
      </c>
      <c r="I360" s="660">
        <v>2</v>
      </c>
      <c r="J360" s="660">
        <v>18</v>
      </c>
      <c r="K360" s="606" t="s">
        <v>33</v>
      </c>
      <c r="L360" s="595">
        <f>M360+N360+O360+P360+Q360</f>
        <v>2721044</v>
      </c>
      <c r="M360" s="585">
        <v>2697300</v>
      </c>
      <c r="N360" s="630"/>
      <c r="O360" s="631">
        <v>2487</v>
      </c>
      <c r="P360" s="586"/>
      <c r="Q360" s="630">
        <v>21257</v>
      </c>
      <c r="R360" s="582">
        <f>M360/J360</f>
        <v>149850</v>
      </c>
      <c r="S360" s="586">
        <f t="shared" si="44"/>
        <v>0</v>
      </c>
      <c r="T360" s="588" t="s">
        <v>3705</v>
      </c>
      <c r="U360" s="597">
        <f t="shared" si="41"/>
        <v>2721044</v>
      </c>
      <c r="V360" s="589"/>
      <c r="W360" s="600"/>
    </row>
    <row r="361" spans="1:26" hidden="1">
      <c r="A361" s="591">
        <f t="shared" si="38"/>
        <v>290</v>
      </c>
      <c r="B361" s="696" t="s">
        <v>737</v>
      </c>
      <c r="C361" s="593" t="s">
        <v>239</v>
      </c>
      <c r="D361" s="644">
        <v>3779</v>
      </c>
      <c r="E361" s="593">
        <v>720</v>
      </c>
      <c r="F361" s="593" t="s">
        <v>222</v>
      </c>
      <c r="G361" s="672">
        <v>738</v>
      </c>
      <c r="H361" s="660">
        <v>2</v>
      </c>
      <c r="I361" s="660">
        <v>3</v>
      </c>
      <c r="J361" s="660">
        <v>12</v>
      </c>
      <c r="K361" s="697" t="s">
        <v>33</v>
      </c>
      <c r="L361" s="595">
        <f>M361+N361+O361+P361+Q361</f>
        <v>2147699.4700000002</v>
      </c>
      <c r="M361" s="695">
        <f>2064333.6+77197.67</f>
        <v>2141531.27</v>
      </c>
      <c r="N361" s="586"/>
      <c r="O361" s="587">
        <v>6168.2</v>
      </c>
      <c r="P361" s="586"/>
      <c r="Q361" s="586"/>
      <c r="R361" s="582">
        <f>M361/G361</f>
        <v>2901.8038888888891</v>
      </c>
      <c r="S361" s="586">
        <f t="shared" si="44"/>
        <v>1.8644641386345029E-10</v>
      </c>
      <c r="T361" s="588"/>
      <c r="U361" s="597">
        <f t="shared" si="41"/>
        <v>2147699.4700000002</v>
      </c>
      <c r="V361" s="589"/>
      <c r="W361" s="600"/>
    </row>
    <row r="362" spans="1:26" s="249" customFormat="1" ht="37.5" hidden="1">
      <c r="A362" s="1347">
        <f>A361+1</f>
        <v>291</v>
      </c>
      <c r="B362" s="1347" t="s">
        <v>738</v>
      </c>
      <c r="C362" s="593" t="s">
        <v>217</v>
      </c>
      <c r="D362" s="644">
        <v>12430</v>
      </c>
      <c r="E362" s="693">
        <v>1700</v>
      </c>
      <c r="F362" s="608" t="s">
        <v>222</v>
      </c>
      <c r="G362" s="694">
        <v>1140</v>
      </c>
      <c r="H362" s="694">
        <v>5</v>
      </c>
      <c r="I362" s="694">
        <v>4</v>
      </c>
      <c r="J362" s="694">
        <v>80</v>
      </c>
      <c r="K362" s="606" t="s">
        <v>30</v>
      </c>
      <c r="L362" s="1354">
        <f>M362+N362+O362+Q362+M363+N363+O363+Q363+M364+N364+O364+Q364+M365+N365+O365+Q365</f>
        <v>7637024.3499999996</v>
      </c>
      <c r="M362" s="585">
        <v>1440000</v>
      </c>
      <c r="N362" s="586"/>
      <c r="O362" s="587">
        <v>6447.6</v>
      </c>
      <c r="P362" s="586"/>
      <c r="Q362" s="586"/>
      <c r="R362" s="582">
        <f>M362/J362</f>
        <v>18000</v>
      </c>
      <c r="S362" s="586">
        <f t="shared" si="44"/>
        <v>6190576.75</v>
      </c>
      <c r="T362" s="588"/>
      <c r="U362" s="597">
        <f t="shared" si="41"/>
        <v>1446447.6</v>
      </c>
      <c r="V362" s="589"/>
      <c r="W362" s="600"/>
      <c r="X362" s="590"/>
      <c r="Y362" s="590"/>
      <c r="Z362" s="590"/>
    </row>
    <row r="363" spans="1:26" s="113" customFormat="1" hidden="1">
      <c r="A363" s="1347"/>
      <c r="B363" s="1347"/>
      <c r="C363" s="593"/>
      <c r="D363" s="644"/>
      <c r="E363" s="693"/>
      <c r="F363" s="608"/>
      <c r="G363" s="694"/>
      <c r="H363" s="694"/>
      <c r="I363" s="694"/>
      <c r="J363" s="694"/>
      <c r="K363" s="590" t="s">
        <v>238</v>
      </c>
      <c r="L363" s="1354"/>
      <c r="M363" s="627">
        <v>1600000</v>
      </c>
      <c r="N363" s="586">
        <v>34965</v>
      </c>
      <c r="O363" s="587"/>
      <c r="P363" s="628"/>
      <c r="Q363" s="586"/>
      <c r="R363" s="582">
        <f>M363/J362</f>
        <v>20000</v>
      </c>
      <c r="S363" s="586">
        <f t="shared" si="44"/>
        <v>-1634965</v>
      </c>
      <c r="T363" s="588"/>
      <c r="U363" s="597">
        <f t="shared" si="41"/>
        <v>1634965</v>
      </c>
      <c r="V363" s="589"/>
      <c r="W363" s="600"/>
      <c r="X363" s="639"/>
      <c r="Y363" s="639"/>
      <c r="Z363" s="639"/>
    </row>
    <row r="364" spans="1:26" s="113" customFormat="1" hidden="1">
      <c r="A364" s="1347"/>
      <c r="B364" s="1347"/>
      <c r="C364" s="593"/>
      <c r="D364" s="644"/>
      <c r="E364" s="693"/>
      <c r="F364" s="608"/>
      <c r="G364" s="694"/>
      <c r="H364" s="694"/>
      <c r="I364" s="694"/>
      <c r="J364" s="694"/>
      <c r="K364" s="590" t="s">
        <v>38</v>
      </c>
      <c r="L364" s="1354"/>
      <c r="M364" s="585">
        <v>2040000</v>
      </c>
      <c r="N364" s="586"/>
      <c r="O364" s="587">
        <v>7611.75</v>
      </c>
      <c r="P364" s="586"/>
      <c r="Q364" s="586"/>
      <c r="R364" s="599">
        <f>M364/E362</f>
        <v>1200</v>
      </c>
      <c r="S364" s="586">
        <f t="shared" si="44"/>
        <v>-2047611.75</v>
      </c>
      <c r="T364" s="605"/>
      <c r="U364" s="597">
        <f t="shared" si="41"/>
        <v>2047611.75</v>
      </c>
      <c r="V364" s="589"/>
      <c r="W364" s="600"/>
      <c r="X364" s="639"/>
      <c r="Y364" s="639"/>
      <c r="Z364" s="639"/>
    </row>
    <row r="365" spans="1:26" s="113" customFormat="1" hidden="1">
      <c r="A365" s="1347"/>
      <c r="B365" s="1347"/>
      <c r="C365" s="593"/>
      <c r="D365" s="644"/>
      <c r="E365" s="693"/>
      <c r="F365" s="608"/>
      <c r="G365" s="694"/>
      <c r="H365" s="694"/>
      <c r="I365" s="694"/>
      <c r="J365" s="694"/>
      <c r="K365" s="632" t="s">
        <v>33</v>
      </c>
      <c r="L365" s="1354"/>
      <c r="M365" s="623">
        <v>2508000</v>
      </c>
      <c r="N365" s="586"/>
      <c r="O365" s="587"/>
      <c r="P365" s="586"/>
      <c r="Q365" s="586"/>
      <c r="R365" s="599">
        <f>M365/G362</f>
        <v>2200</v>
      </c>
      <c r="S365" s="586"/>
      <c r="T365" s="605"/>
      <c r="U365" s="597">
        <f t="shared" si="41"/>
        <v>2508000</v>
      </c>
      <c r="V365" s="589"/>
      <c r="W365" s="600"/>
      <c r="X365" s="639"/>
      <c r="Y365" s="639"/>
      <c r="Z365" s="639"/>
    </row>
    <row r="366" spans="1:26" s="113" customFormat="1" ht="37.5" hidden="1">
      <c r="A366" s="1347">
        <f>A362+1</f>
        <v>292</v>
      </c>
      <c r="B366" s="1347" t="s">
        <v>739</v>
      </c>
      <c r="C366" s="593" t="s">
        <v>217</v>
      </c>
      <c r="D366" s="644">
        <v>12403</v>
      </c>
      <c r="E366" s="693">
        <v>1670</v>
      </c>
      <c r="F366" s="608" t="s">
        <v>222</v>
      </c>
      <c r="G366" s="694">
        <v>1143</v>
      </c>
      <c r="H366" s="694">
        <v>5</v>
      </c>
      <c r="I366" s="694">
        <v>4</v>
      </c>
      <c r="J366" s="694">
        <v>80</v>
      </c>
      <c r="K366" s="606" t="s">
        <v>30</v>
      </c>
      <c r="L366" s="1354">
        <f>M366+N366+O366+Q366+M367+N367+O367+Q367+M368+N368+O368+Q368+M369+N369+O369+Q369</f>
        <v>7607490.0299999993</v>
      </c>
      <c r="M366" s="585">
        <v>1440000</v>
      </c>
      <c r="N366" s="586"/>
      <c r="O366" s="587">
        <v>6447.6</v>
      </c>
      <c r="P366" s="586"/>
      <c r="Q366" s="586"/>
      <c r="R366" s="582">
        <f>M366/J366</f>
        <v>18000</v>
      </c>
      <c r="S366" s="586">
        <f>L366-M366-N366-O366-P366-Q366</f>
        <v>6161042.4299999997</v>
      </c>
      <c r="T366" s="588"/>
      <c r="U366" s="597">
        <f t="shared" si="41"/>
        <v>1446447.6</v>
      </c>
      <c r="V366" s="589"/>
      <c r="W366" s="600"/>
      <c r="X366" s="639"/>
      <c r="Y366" s="639"/>
      <c r="Z366" s="639"/>
    </row>
    <row r="367" spans="1:26" s="113" customFormat="1" hidden="1">
      <c r="A367" s="1347"/>
      <c r="B367" s="1347"/>
      <c r="C367" s="593"/>
      <c r="D367" s="644"/>
      <c r="E367" s="693"/>
      <c r="F367" s="608"/>
      <c r="G367" s="694"/>
      <c r="H367" s="694"/>
      <c r="I367" s="694"/>
      <c r="J367" s="694"/>
      <c r="K367" s="590" t="s">
        <v>238</v>
      </c>
      <c r="L367" s="1354"/>
      <c r="M367" s="627">
        <v>1600000</v>
      </c>
      <c r="N367" s="586">
        <v>34965</v>
      </c>
      <c r="O367" s="587"/>
      <c r="P367" s="628"/>
      <c r="Q367" s="586"/>
      <c r="R367" s="582">
        <f>M367/J366</f>
        <v>20000</v>
      </c>
      <c r="S367" s="586">
        <f>L367-M367-N367-O367-P367-Q367</f>
        <v>-1634965</v>
      </c>
      <c r="T367" s="588"/>
      <c r="U367" s="597">
        <f t="shared" si="41"/>
        <v>1634965</v>
      </c>
      <c r="V367" s="589"/>
      <c r="W367" s="600"/>
      <c r="X367" s="639"/>
      <c r="Y367" s="639"/>
      <c r="Z367" s="639"/>
    </row>
    <row r="368" spans="1:26" s="249" customFormat="1" hidden="1">
      <c r="A368" s="1347"/>
      <c r="B368" s="1347"/>
      <c r="C368" s="593"/>
      <c r="D368" s="644"/>
      <c r="E368" s="693"/>
      <c r="F368" s="608"/>
      <c r="G368" s="694"/>
      <c r="H368" s="694"/>
      <c r="I368" s="694"/>
      <c r="J368" s="694"/>
      <c r="K368" s="590" t="s">
        <v>38</v>
      </c>
      <c r="L368" s="1354"/>
      <c r="M368" s="585">
        <v>2004000</v>
      </c>
      <c r="N368" s="586"/>
      <c r="O368" s="587">
        <v>7477.43</v>
      </c>
      <c r="P368" s="586"/>
      <c r="Q368" s="586"/>
      <c r="R368" s="599">
        <f>M368/E366</f>
        <v>1200</v>
      </c>
      <c r="S368" s="586">
        <f>L368-M368-N368-O368-P368-Q368</f>
        <v>-2011477.43</v>
      </c>
      <c r="T368" s="605"/>
      <c r="U368" s="597">
        <f t="shared" si="41"/>
        <v>2011477.43</v>
      </c>
      <c r="V368" s="589"/>
      <c r="W368" s="600"/>
      <c r="X368" s="590"/>
      <c r="Y368" s="590"/>
      <c r="Z368" s="590"/>
    </row>
    <row r="369" spans="1:26" s="249" customFormat="1" hidden="1">
      <c r="A369" s="1347"/>
      <c r="B369" s="1347"/>
      <c r="C369" s="593"/>
      <c r="D369" s="644"/>
      <c r="E369" s="693"/>
      <c r="F369" s="608"/>
      <c r="G369" s="694"/>
      <c r="H369" s="694"/>
      <c r="I369" s="694"/>
      <c r="J369" s="694"/>
      <c r="K369" s="632" t="s">
        <v>33</v>
      </c>
      <c r="L369" s="1354"/>
      <c r="M369" s="623">
        <v>2514600</v>
      </c>
      <c r="N369" s="586"/>
      <c r="O369" s="587"/>
      <c r="P369" s="586"/>
      <c r="Q369" s="586"/>
      <c r="R369" s="599">
        <f>M369/G366</f>
        <v>2200</v>
      </c>
      <c r="S369" s="586"/>
      <c r="T369" s="605"/>
      <c r="U369" s="597">
        <f t="shared" si="41"/>
        <v>2514600</v>
      </c>
      <c r="V369" s="589"/>
      <c r="W369" s="600"/>
      <c r="X369" s="590"/>
      <c r="Y369" s="590"/>
      <c r="Z369" s="590"/>
    </row>
    <row r="370" spans="1:26" hidden="1">
      <c r="A370" s="591">
        <f>A366+1</f>
        <v>293</v>
      </c>
      <c r="B370" s="592" t="s">
        <v>740</v>
      </c>
      <c r="C370" s="593" t="s">
        <v>271</v>
      </c>
      <c r="D370" s="582">
        <v>3324</v>
      </c>
      <c r="E370" s="582">
        <v>1728</v>
      </c>
      <c r="F370" s="582" t="s">
        <v>222</v>
      </c>
      <c r="G370" s="582">
        <v>447</v>
      </c>
      <c r="H370" s="582">
        <v>3</v>
      </c>
      <c r="I370" s="582">
        <v>2</v>
      </c>
      <c r="J370" s="582">
        <v>12</v>
      </c>
      <c r="K370" s="705" t="s">
        <v>33</v>
      </c>
      <c r="L370" s="595">
        <f>M370+N370+O370+P370+Q370</f>
        <v>1254084.43</v>
      </c>
      <c r="M370" s="627">
        <v>1250348.3999999999</v>
      </c>
      <c r="N370" s="586"/>
      <c r="O370" s="587">
        <v>3736.03</v>
      </c>
      <c r="P370" s="586"/>
      <c r="Q370" s="586"/>
      <c r="R370" s="582">
        <f>M370/G370</f>
        <v>2797.2</v>
      </c>
      <c r="S370" s="586">
        <f t="shared" ref="S370:S401" si="45">L370-M370-N370-O370-P370-Q370</f>
        <v>2.7739588404074311E-11</v>
      </c>
      <c r="T370" s="588"/>
      <c r="U370" s="597">
        <f t="shared" si="41"/>
        <v>1254084.43</v>
      </c>
      <c r="V370" s="589"/>
      <c r="W370" s="600"/>
    </row>
    <row r="371" spans="1:26" ht="37.5" hidden="1">
      <c r="A371" s="591">
        <f t="shared" si="38"/>
        <v>294</v>
      </c>
      <c r="B371" s="592" t="s">
        <v>741</v>
      </c>
      <c r="C371" s="602" t="s">
        <v>271</v>
      </c>
      <c r="D371" s="644">
        <v>3079</v>
      </c>
      <c r="E371" s="693">
        <v>460</v>
      </c>
      <c r="F371" s="608" t="s">
        <v>222</v>
      </c>
      <c r="G371" s="694">
        <v>607</v>
      </c>
      <c r="H371" s="694">
        <v>2</v>
      </c>
      <c r="I371" s="694">
        <v>2</v>
      </c>
      <c r="J371" s="694">
        <v>12</v>
      </c>
      <c r="K371" s="606" t="s">
        <v>30</v>
      </c>
      <c r="L371" s="595">
        <f>M371+N371+O371+P371+Q371</f>
        <v>354692.04000000004</v>
      </c>
      <c r="M371" s="623">
        <v>353724.9</v>
      </c>
      <c r="N371" s="586"/>
      <c r="O371" s="587">
        <v>967.14</v>
      </c>
      <c r="P371" s="586"/>
      <c r="Q371" s="586"/>
      <c r="R371" s="582">
        <f>M371/J371</f>
        <v>29477.075000000001</v>
      </c>
      <c r="S371" s="586">
        <f t="shared" si="45"/>
        <v>1.3983481039758772E-11</v>
      </c>
      <c r="T371" s="588"/>
      <c r="U371" s="597">
        <f t="shared" si="41"/>
        <v>354692.04000000004</v>
      </c>
      <c r="V371" s="589"/>
      <c r="W371" s="600"/>
    </row>
    <row r="372" spans="1:26" ht="37.5" hidden="1">
      <c r="A372" s="591">
        <f t="shared" si="38"/>
        <v>295</v>
      </c>
      <c r="B372" s="592" t="s">
        <v>742</v>
      </c>
      <c r="C372" s="602" t="s">
        <v>271</v>
      </c>
      <c r="D372" s="644">
        <v>3118</v>
      </c>
      <c r="E372" s="693">
        <v>460</v>
      </c>
      <c r="F372" s="608" t="s">
        <v>222</v>
      </c>
      <c r="G372" s="694">
        <v>674</v>
      </c>
      <c r="H372" s="694">
        <v>2</v>
      </c>
      <c r="I372" s="694">
        <v>2</v>
      </c>
      <c r="J372" s="694">
        <v>12</v>
      </c>
      <c r="K372" s="606" t="s">
        <v>30</v>
      </c>
      <c r="L372" s="1380">
        <f>M372+N372+O372+P372+Q372+M373+N373+O373+P373+Q373</f>
        <v>1587519.5</v>
      </c>
      <c r="M372" s="585">
        <v>299700</v>
      </c>
      <c r="N372" s="586"/>
      <c r="O372" s="587">
        <v>895.5</v>
      </c>
      <c r="P372" s="586"/>
      <c r="Q372" s="586"/>
      <c r="R372" s="582">
        <f>M372/J372</f>
        <v>24975</v>
      </c>
      <c r="S372" s="586">
        <f t="shared" si="45"/>
        <v>1286924</v>
      </c>
      <c r="T372" s="588"/>
      <c r="U372" s="597">
        <f t="shared" si="41"/>
        <v>300595.5</v>
      </c>
      <c r="V372" s="589"/>
      <c r="W372" s="600"/>
    </row>
    <row r="373" spans="1:26" ht="337.5" hidden="1">
      <c r="A373" s="591"/>
      <c r="B373" s="592"/>
      <c r="C373" s="602"/>
      <c r="D373" s="644"/>
      <c r="E373" s="693"/>
      <c r="F373" s="608"/>
      <c r="G373" s="694"/>
      <c r="H373" s="694"/>
      <c r="I373" s="694"/>
      <c r="J373" s="694"/>
      <c r="K373" s="629" t="s">
        <v>238</v>
      </c>
      <c r="L373" s="1380"/>
      <c r="M373" s="623">
        <v>1259739</v>
      </c>
      <c r="N373" s="586">
        <v>15455.34</v>
      </c>
      <c r="O373" s="631"/>
      <c r="P373" s="630"/>
      <c r="Q373" s="586">
        <v>11729.66</v>
      </c>
      <c r="R373" s="582">
        <f>M373/J372</f>
        <v>104978.25</v>
      </c>
      <c r="S373" s="586">
        <f t="shared" si="45"/>
        <v>-1286924</v>
      </c>
      <c r="T373" s="588" t="s">
        <v>3706</v>
      </c>
      <c r="U373" s="597">
        <f t="shared" si="41"/>
        <v>1286924</v>
      </c>
      <c r="V373" s="589"/>
      <c r="W373" s="600"/>
    </row>
    <row r="374" spans="1:26" ht="37.5" hidden="1">
      <c r="A374" s="591">
        <f>A372+1</f>
        <v>296</v>
      </c>
      <c r="B374" s="592" t="s">
        <v>743</v>
      </c>
      <c r="C374" s="593" t="s">
        <v>217</v>
      </c>
      <c r="D374" s="644">
        <v>3039</v>
      </c>
      <c r="E374" s="693">
        <v>460</v>
      </c>
      <c r="F374" s="608" t="s">
        <v>222</v>
      </c>
      <c r="G374" s="694">
        <v>613</v>
      </c>
      <c r="H374" s="694">
        <v>2</v>
      </c>
      <c r="I374" s="694">
        <v>3</v>
      </c>
      <c r="J374" s="694">
        <v>24</v>
      </c>
      <c r="K374" s="606" t="s">
        <v>30</v>
      </c>
      <c r="L374" s="595">
        <f t="shared" ref="L374:L380" si="46">M374+N374+O374+P374+Q374</f>
        <v>934171.11</v>
      </c>
      <c r="M374" s="585">
        <v>932236.83</v>
      </c>
      <c r="N374" s="586"/>
      <c r="O374" s="587">
        <v>1934.28</v>
      </c>
      <c r="P374" s="586"/>
      <c r="Q374" s="586"/>
      <c r="R374" s="582">
        <f>M374/J374</f>
        <v>38843.201249999998</v>
      </c>
      <c r="S374" s="586">
        <f t="shared" si="45"/>
        <v>2.7966962079517543E-11</v>
      </c>
      <c r="T374" s="588"/>
      <c r="U374" s="597">
        <f t="shared" si="41"/>
        <v>934171.11</v>
      </c>
      <c r="V374" s="589"/>
      <c r="W374" s="600"/>
    </row>
    <row r="375" spans="1:26" ht="37.5" hidden="1">
      <c r="A375" s="591">
        <f t="shared" si="38"/>
        <v>297</v>
      </c>
      <c r="B375" s="592" t="s">
        <v>744</v>
      </c>
      <c r="C375" s="593" t="s">
        <v>217</v>
      </c>
      <c r="D375" s="644">
        <v>3558</v>
      </c>
      <c r="E375" s="693">
        <v>470</v>
      </c>
      <c r="F375" s="604" t="s">
        <v>233</v>
      </c>
      <c r="G375" s="694">
        <v>681</v>
      </c>
      <c r="H375" s="694">
        <v>2</v>
      </c>
      <c r="I375" s="694">
        <v>2</v>
      </c>
      <c r="J375" s="694">
        <v>16</v>
      </c>
      <c r="K375" s="606" t="s">
        <v>30</v>
      </c>
      <c r="L375" s="595">
        <f t="shared" si="46"/>
        <v>516762.92</v>
      </c>
      <c r="M375" s="585">
        <v>515568.92</v>
      </c>
      <c r="N375" s="586"/>
      <c r="O375" s="587">
        <v>1194</v>
      </c>
      <c r="P375" s="586"/>
      <c r="Q375" s="586"/>
      <c r="R375" s="582">
        <f>M375/J375</f>
        <v>32223.057499999999</v>
      </c>
      <c r="S375" s="586">
        <f t="shared" si="45"/>
        <v>0</v>
      </c>
      <c r="T375" s="588"/>
      <c r="U375" s="597">
        <f t="shared" si="41"/>
        <v>516762.92</v>
      </c>
      <c r="V375" s="589"/>
      <c r="W375" s="600"/>
    </row>
    <row r="376" spans="1:26" ht="37.5" hidden="1">
      <c r="A376" s="591">
        <f t="shared" si="38"/>
        <v>298</v>
      </c>
      <c r="B376" s="592" t="s">
        <v>745</v>
      </c>
      <c r="C376" s="593" t="s">
        <v>217</v>
      </c>
      <c r="D376" s="644">
        <v>3564</v>
      </c>
      <c r="E376" s="693">
        <v>470</v>
      </c>
      <c r="F376" s="604" t="s">
        <v>233</v>
      </c>
      <c r="G376" s="694">
        <v>682</v>
      </c>
      <c r="H376" s="694">
        <v>2</v>
      </c>
      <c r="I376" s="694">
        <v>2</v>
      </c>
      <c r="J376" s="694">
        <v>16</v>
      </c>
      <c r="K376" s="606" t="s">
        <v>30</v>
      </c>
      <c r="L376" s="595">
        <f t="shared" si="46"/>
        <v>511226.46</v>
      </c>
      <c r="M376" s="585">
        <v>510032.46</v>
      </c>
      <c r="N376" s="586"/>
      <c r="O376" s="587">
        <v>1194</v>
      </c>
      <c r="P376" s="586"/>
      <c r="Q376" s="586"/>
      <c r="R376" s="582">
        <f>M376/J376</f>
        <v>31877.028750000001</v>
      </c>
      <c r="S376" s="586">
        <f t="shared" si="45"/>
        <v>0</v>
      </c>
      <c r="T376" s="588"/>
      <c r="U376" s="597">
        <f t="shared" si="41"/>
        <v>511226.46</v>
      </c>
      <c r="V376" s="589"/>
      <c r="W376" s="600"/>
    </row>
    <row r="377" spans="1:26" ht="37.5" hidden="1">
      <c r="A377" s="591">
        <f t="shared" si="38"/>
        <v>299</v>
      </c>
      <c r="B377" s="592" t="s">
        <v>746</v>
      </c>
      <c r="C377" s="593" t="s">
        <v>217</v>
      </c>
      <c r="D377" s="594">
        <v>12068</v>
      </c>
      <c r="E377" s="594">
        <v>2257.92</v>
      </c>
      <c r="F377" s="594" t="s">
        <v>233</v>
      </c>
      <c r="G377" s="594">
        <v>526.70000000000005</v>
      </c>
      <c r="H377" s="594">
        <v>9</v>
      </c>
      <c r="I377" s="594">
        <v>1</v>
      </c>
      <c r="J377" s="594">
        <v>72</v>
      </c>
      <c r="K377" s="590" t="s">
        <v>30</v>
      </c>
      <c r="L377" s="595">
        <f t="shared" si="46"/>
        <v>2308573.44</v>
      </c>
      <c r="M377" s="596">
        <v>2301696</v>
      </c>
      <c r="N377" s="597"/>
      <c r="O377" s="587">
        <v>6877.44</v>
      </c>
      <c r="P377" s="597"/>
      <c r="Q377" s="597"/>
      <c r="R377" s="599">
        <f>M377/J377</f>
        <v>31968</v>
      </c>
      <c r="S377" s="586">
        <f t="shared" si="45"/>
        <v>-5.5479176808148623E-11</v>
      </c>
      <c r="T377" s="588"/>
      <c r="U377" s="597">
        <f t="shared" si="41"/>
        <v>2308573.44</v>
      </c>
      <c r="V377" s="589"/>
      <c r="W377" s="600"/>
    </row>
    <row r="378" spans="1:26" ht="37.5" hidden="1">
      <c r="A378" s="591">
        <f t="shared" si="38"/>
        <v>300</v>
      </c>
      <c r="B378" s="592" t="s">
        <v>747</v>
      </c>
      <c r="C378" s="617" t="s">
        <v>271</v>
      </c>
      <c r="D378" s="603">
        <v>16180</v>
      </c>
      <c r="E378" s="619">
        <v>2970</v>
      </c>
      <c r="F378" s="689" t="s">
        <v>233</v>
      </c>
      <c r="G378" s="603">
        <v>625</v>
      </c>
      <c r="H378" s="582">
        <v>9</v>
      </c>
      <c r="I378" s="582">
        <v>2</v>
      </c>
      <c r="J378" s="602">
        <v>72</v>
      </c>
      <c r="K378" s="606" t="s">
        <v>366</v>
      </c>
      <c r="L378" s="595">
        <f t="shared" si="46"/>
        <v>3625718.75</v>
      </c>
      <c r="M378" s="585">
        <v>3520000</v>
      </c>
      <c r="N378" s="586">
        <v>105718.75</v>
      </c>
      <c r="Q378" s="586"/>
      <c r="R378" s="582">
        <v>2000000</v>
      </c>
      <c r="S378" s="586">
        <f t="shared" si="45"/>
        <v>0</v>
      </c>
      <c r="T378" s="588"/>
      <c r="U378" s="597">
        <f t="shared" si="41"/>
        <v>3625718.75</v>
      </c>
      <c r="V378" s="589"/>
      <c r="W378" s="600"/>
    </row>
    <row r="379" spans="1:26" ht="37.5" hidden="1">
      <c r="A379" s="591">
        <f t="shared" si="38"/>
        <v>301</v>
      </c>
      <c r="B379" s="592" t="s">
        <v>748</v>
      </c>
      <c r="C379" s="617" t="s">
        <v>271</v>
      </c>
      <c r="D379" s="603">
        <v>43798</v>
      </c>
      <c r="E379" s="619">
        <v>6980</v>
      </c>
      <c r="F379" s="689" t="s">
        <v>233</v>
      </c>
      <c r="G379" s="603">
        <v>1698</v>
      </c>
      <c r="H379" s="582">
        <v>9</v>
      </c>
      <c r="I379" s="582">
        <v>4</v>
      </c>
      <c r="J379" s="602">
        <v>216</v>
      </c>
      <c r="K379" s="606" t="s">
        <v>366</v>
      </c>
      <c r="L379" s="595">
        <f t="shared" si="46"/>
        <v>6096862.5</v>
      </c>
      <c r="M379" s="585">
        <v>5970000</v>
      </c>
      <c r="N379" s="586">
        <v>126862.5</v>
      </c>
      <c r="Q379" s="586"/>
      <c r="R379" s="582">
        <v>2000000</v>
      </c>
      <c r="S379" s="586">
        <f t="shared" si="45"/>
        <v>0</v>
      </c>
      <c r="T379" s="588"/>
      <c r="U379" s="597">
        <f t="shared" si="41"/>
        <v>6096862.5</v>
      </c>
      <c r="V379" s="589"/>
      <c r="W379" s="600"/>
    </row>
    <row r="380" spans="1:26" ht="37.5" hidden="1">
      <c r="A380" s="591">
        <f t="shared" si="38"/>
        <v>302</v>
      </c>
      <c r="B380" s="592" t="s">
        <v>749</v>
      </c>
      <c r="C380" s="602" t="s">
        <v>217</v>
      </c>
      <c r="D380" s="603">
        <v>42736</v>
      </c>
      <c r="E380" s="619">
        <v>6980</v>
      </c>
      <c r="F380" s="561" t="s">
        <v>233</v>
      </c>
      <c r="G380" s="594">
        <v>1716</v>
      </c>
      <c r="H380" s="594">
        <v>9</v>
      </c>
      <c r="I380" s="594">
        <v>4</v>
      </c>
      <c r="J380" s="594">
        <v>216</v>
      </c>
      <c r="K380" s="606" t="s">
        <v>366</v>
      </c>
      <c r="L380" s="595">
        <f t="shared" si="46"/>
        <v>7188006.25</v>
      </c>
      <c r="M380" s="585">
        <v>7040000</v>
      </c>
      <c r="N380" s="586">
        <v>148006.25</v>
      </c>
      <c r="Q380" s="586"/>
      <c r="R380" s="582">
        <v>2000000</v>
      </c>
      <c r="S380" s="586">
        <f t="shared" si="45"/>
        <v>0</v>
      </c>
      <c r="T380" s="588"/>
      <c r="U380" s="597">
        <f t="shared" si="41"/>
        <v>7188006.25</v>
      </c>
      <c r="V380" s="589"/>
      <c r="W380" s="600"/>
    </row>
    <row r="381" spans="1:26" hidden="1">
      <c r="A381" s="591">
        <f t="shared" si="38"/>
        <v>303</v>
      </c>
      <c r="B381" s="592" t="s">
        <v>750</v>
      </c>
      <c r="C381" s="593" t="s">
        <v>217</v>
      </c>
      <c r="D381" s="593">
        <v>12990</v>
      </c>
      <c r="E381" s="582">
        <v>2770</v>
      </c>
      <c r="F381" s="602" t="s">
        <v>233</v>
      </c>
      <c r="G381" s="593">
        <v>387</v>
      </c>
      <c r="H381" s="593">
        <v>12</v>
      </c>
      <c r="I381" s="593">
        <v>1</v>
      </c>
      <c r="J381" s="593">
        <v>46</v>
      </c>
      <c r="K381" s="590" t="s">
        <v>224</v>
      </c>
      <c r="L381" s="1357">
        <f>M381+N381+O381+P381+Q381+M382+N382+O382+Q382</f>
        <v>9392562.3499999996</v>
      </c>
      <c r="M381" s="585">
        <v>919080</v>
      </c>
      <c r="N381" s="586">
        <v>31968</v>
      </c>
      <c r="O381" s="587"/>
      <c r="P381" s="586"/>
      <c r="Q381" s="586"/>
      <c r="R381" s="582">
        <f>M381/J381</f>
        <v>19980</v>
      </c>
      <c r="S381" s="586">
        <f t="shared" si="45"/>
        <v>8441514.3499999996</v>
      </c>
      <c r="T381" s="588"/>
      <c r="U381" s="597">
        <f t="shared" si="41"/>
        <v>951048</v>
      </c>
      <c r="V381" s="589"/>
      <c r="W381" s="600"/>
    </row>
    <row r="382" spans="1:26" hidden="1">
      <c r="A382" s="591"/>
      <c r="B382" s="592"/>
      <c r="C382" s="593"/>
      <c r="D382" s="593"/>
      <c r="E382" s="582"/>
      <c r="F382" s="602"/>
      <c r="G382" s="593"/>
      <c r="H382" s="593"/>
      <c r="I382" s="593"/>
      <c r="J382" s="593"/>
      <c r="K382" s="590" t="s">
        <v>226</v>
      </c>
      <c r="L382" s="1357"/>
      <c r="M382" s="585">
        <v>8419478.0899999999</v>
      </c>
      <c r="N382" s="586">
        <v>22036.26</v>
      </c>
      <c r="O382" s="587"/>
      <c r="P382" s="586"/>
      <c r="Q382" s="586"/>
      <c r="R382" s="616">
        <f>M382/E381</f>
        <v>3039.5227761732854</v>
      </c>
      <c r="S382" s="586">
        <f t="shared" si="45"/>
        <v>-8441514.3499999996</v>
      </c>
      <c r="T382" s="588"/>
      <c r="U382" s="597">
        <f t="shared" si="41"/>
        <v>8441514.3499999996</v>
      </c>
      <c r="V382" s="589"/>
      <c r="W382" s="600"/>
    </row>
    <row r="383" spans="1:26" ht="37.5" hidden="1">
      <c r="A383" s="591">
        <f>A381+1</f>
        <v>304</v>
      </c>
      <c r="B383" s="592" t="s">
        <v>751</v>
      </c>
      <c r="C383" s="602" t="s">
        <v>217</v>
      </c>
      <c r="D383" s="594">
        <v>32501</v>
      </c>
      <c r="E383" s="593">
        <v>5832</v>
      </c>
      <c r="F383" s="561" t="s">
        <v>233</v>
      </c>
      <c r="G383" s="663">
        <v>1353</v>
      </c>
      <c r="H383" s="594">
        <v>9</v>
      </c>
      <c r="I383" s="594">
        <v>4</v>
      </c>
      <c r="J383" s="664">
        <v>148</v>
      </c>
      <c r="K383" s="606" t="s">
        <v>366</v>
      </c>
      <c r="L383" s="595">
        <f>M383+N383+O383+P383+Q383</f>
        <v>7188006.25</v>
      </c>
      <c r="M383" s="585">
        <v>7040000</v>
      </c>
      <c r="N383" s="586">
        <v>148006.25</v>
      </c>
      <c r="Q383" s="586"/>
      <c r="R383" s="582">
        <v>2000000</v>
      </c>
      <c r="S383" s="586">
        <f t="shared" si="45"/>
        <v>0</v>
      </c>
      <c r="T383" s="588"/>
      <c r="U383" s="597">
        <f t="shared" si="41"/>
        <v>7188006.25</v>
      </c>
      <c r="V383" s="589"/>
      <c r="W383" s="600"/>
    </row>
    <row r="384" spans="1:26" ht="37.5" hidden="1">
      <c r="A384" s="591">
        <f t="shared" si="38"/>
        <v>305</v>
      </c>
      <c r="B384" s="592" t="s">
        <v>752</v>
      </c>
      <c r="C384" s="593" t="s">
        <v>217</v>
      </c>
      <c r="D384" s="603">
        <v>17865</v>
      </c>
      <c r="E384" s="594">
        <v>3240</v>
      </c>
      <c r="F384" s="643" t="s">
        <v>233</v>
      </c>
      <c r="G384" s="603">
        <v>690</v>
      </c>
      <c r="H384" s="609">
        <v>9</v>
      </c>
      <c r="I384" s="609">
        <v>2</v>
      </c>
      <c r="J384" s="609">
        <v>80</v>
      </c>
      <c r="K384" s="590" t="s">
        <v>366</v>
      </c>
      <c r="L384" s="1357">
        <f>M384+N384+O384+P384+Q384+M385+N385+O385+P385+Q385</f>
        <v>5607784.54</v>
      </c>
      <c r="M384" s="611">
        <v>3520000</v>
      </c>
      <c r="N384" s="612">
        <v>105718.75</v>
      </c>
      <c r="O384" s="613"/>
      <c r="P384" s="586"/>
      <c r="Q384" s="614"/>
      <c r="R384" s="582">
        <v>2000000</v>
      </c>
      <c r="S384" s="586">
        <f t="shared" si="45"/>
        <v>1982065.79</v>
      </c>
      <c r="T384" s="588"/>
      <c r="U384" s="597">
        <f t="shared" si="41"/>
        <v>3625718.75</v>
      </c>
      <c r="V384" s="589"/>
      <c r="W384" s="600"/>
    </row>
    <row r="385" spans="1:26" ht="337.5" hidden="1">
      <c r="A385" s="591"/>
      <c r="B385" s="592"/>
      <c r="C385" s="593"/>
      <c r="D385" s="603"/>
      <c r="E385" s="594"/>
      <c r="F385" s="643"/>
      <c r="G385" s="603"/>
      <c r="H385" s="609"/>
      <c r="I385" s="609"/>
      <c r="J385" s="609"/>
      <c r="K385" s="590" t="s">
        <v>30</v>
      </c>
      <c r="L385" s="1357"/>
      <c r="M385" s="690">
        <v>1974842.09</v>
      </c>
      <c r="N385" s="661"/>
      <c r="O385" s="613">
        <v>7223.7</v>
      </c>
      <c r="P385" s="630"/>
      <c r="Q385" s="706"/>
      <c r="R385" s="582">
        <f>M385/J384</f>
        <v>24685.526125</v>
      </c>
      <c r="S385" s="586">
        <f t="shared" si="45"/>
        <v>-1982065.79</v>
      </c>
      <c r="T385" s="588" t="s">
        <v>3706</v>
      </c>
      <c r="U385" s="597">
        <f t="shared" si="41"/>
        <v>1982065.79</v>
      </c>
      <c r="V385" s="589"/>
      <c r="W385" s="600"/>
    </row>
    <row r="386" spans="1:26" s="75" customFormat="1" ht="37.5" hidden="1">
      <c r="A386" s="591">
        <f>A384+1</f>
        <v>306</v>
      </c>
      <c r="B386" s="592" t="s">
        <v>753</v>
      </c>
      <c r="C386" s="593" t="s">
        <v>217</v>
      </c>
      <c r="D386" s="594">
        <v>15533</v>
      </c>
      <c r="E386" s="594">
        <v>3130</v>
      </c>
      <c r="F386" s="594" t="s">
        <v>233</v>
      </c>
      <c r="G386" s="594">
        <v>608</v>
      </c>
      <c r="H386" s="594">
        <v>9</v>
      </c>
      <c r="I386" s="594">
        <v>2</v>
      </c>
      <c r="J386" s="594">
        <v>72</v>
      </c>
      <c r="K386" s="590" t="s">
        <v>30</v>
      </c>
      <c r="L386" s="595">
        <f t="shared" ref="L386:L402" si="47">M386+N386+O386+P386+Q386</f>
        <v>2299357.44</v>
      </c>
      <c r="M386" s="596">
        <v>2292480</v>
      </c>
      <c r="N386" s="597"/>
      <c r="O386" s="587">
        <v>6877.44</v>
      </c>
      <c r="P386" s="594"/>
      <c r="Q386" s="597"/>
      <c r="R386" s="599">
        <f>M386/G386</f>
        <v>3770.5263157894738</v>
      </c>
      <c r="S386" s="586">
        <f t="shared" si="45"/>
        <v>-5.5479176808148623E-11</v>
      </c>
      <c r="T386" s="588"/>
      <c r="U386" s="597">
        <f t="shared" si="41"/>
        <v>2299357.44</v>
      </c>
      <c r="V386" s="589"/>
      <c r="W386" s="600"/>
      <c r="X386" s="601"/>
      <c r="Y386" s="601"/>
      <c r="Z386" s="601"/>
    </row>
    <row r="387" spans="1:26" hidden="1">
      <c r="A387" s="591">
        <f t="shared" si="38"/>
        <v>307</v>
      </c>
      <c r="B387" s="592" t="s">
        <v>754</v>
      </c>
      <c r="C387" s="617" t="s">
        <v>271</v>
      </c>
      <c r="D387" s="582">
        <v>26694</v>
      </c>
      <c r="E387" s="582">
        <v>2100</v>
      </c>
      <c r="F387" s="582" t="s">
        <v>233</v>
      </c>
      <c r="G387" s="582">
        <v>1279</v>
      </c>
      <c r="H387" s="602">
        <v>14</v>
      </c>
      <c r="I387" s="602">
        <v>1</v>
      </c>
      <c r="J387" s="582">
        <v>79</v>
      </c>
      <c r="K387" s="610" t="s">
        <v>224</v>
      </c>
      <c r="L387" s="595">
        <f t="shared" si="47"/>
        <v>1613385</v>
      </c>
      <c r="M387" s="585">
        <v>1578420</v>
      </c>
      <c r="N387" s="586">
        <v>34965</v>
      </c>
      <c r="O387" s="587"/>
      <c r="P387" s="586"/>
      <c r="Q387" s="586"/>
      <c r="R387" s="582">
        <f>M387/J387</f>
        <v>19980</v>
      </c>
      <c r="S387" s="586">
        <f t="shared" si="45"/>
        <v>0</v>
      </c>
      <c r="T387" s="588"/>
      <c r="U387" s="597">
        <f t="shared" si="41"/>
        <v>1613385</v>
      </c>
      <c r="V387" s="589"/>
      <c r="W387" s="600"/>
    </row>
    <row r="388" spans="1:26" hidden="1">
      <c r="A388" s="591">
        <f t="shared" si="38"/>
        <v>308</v>
      </c>
      <c r="B388" s="592" t="s">
        <v>755</v>
      </c>
      <c r="C388" s="602" t="s">
        <v>217</v>
      </c>
      <c r="D388" s="582">
        <v>17617</v>
      </c>
      <c r="E388" s="582">
        <v>1975</v>
      </c>
      <c r="F388" s="707" t="s">
        <v>233</v>
      </c>
      <c r="G388" s="582">
        <v>697</v>
      </c>
      <c r="H388" s="582">
        <v>9</v>
      </c>
      <c r="I388" s="582">
        <v>2</v>
      </c>
      <c r="J388" s="582">
        <v>79</v>
      </c>
      <c r="K388" s="610" t="s">
        <v>226</v>
      </c>
      <c r="L388" s="595">
        <f t="shared" si="47"/>
        <v>7514174.25</v>
      </c>
      <c r="M388" s="585">
        <v>7468470</v>
      </c>
      <c r="N388" s="586">
        <v>45704.25</v>
      </c>
      <c r="O388" s="587"/>
      <c r="P388" s="586"/>
      <c r="Q388" s="586"/>
      <c r="R388" s="599">
        <f>M388/E388</f>
        <v>3781.5037974683546</v>
      </c>
      <c r="S388" s="586">
        <f t="shared" si="45"/>
        <v>0</v>
      </c>
      <c r="T388" s="588"/>
      <c r="U388" s="597">
        <f t="shared" si="41"/>
        <v>7514174.25</v>
      </c>
      <c r="V388" s="589"/>
      <c r="W388" s="600"/>
    </row>
    <row r="389" spans="1:26" ht="37.5" hidden="1">
      <c r="A389" s="591">
        <f t="shared" si="38"/>
        <v>309</v>
      </c>
      <c r="B389" s="592" t="s">
        <v>756</v>
      </c>
      <c r="C389" s="602" t="s">
        <v>271</v>
      </c>
      <c r="D389" s="603">
        <v>13674</v>
      </c>
      <c r="E389" s="594">
        <v>2483.3000000000002</v>
      </c>
      <c r="F389" s="604" t="s">
        <v>233</v>
      </c>
      <c r="G389" s="603">
        <v>1209</v>
      </c>
      <c r="H389" s="609">
        <v>5</v>
      </c>
      <c r="I389" s="609">
        <v>4</v>
      </c>
      <c r="J389" s="609">
        <v>69</v>
      </c>
      <c r="K389" s="606" t="s">
        <v>30</v>
      </c>
      <c r="L389" s="595">
        <f t="shared" si="47"/>
        <v>1866698.06</v>
      </c>
      <c r="M389" s="585">
        <v>1861137</v>
      </c>
      <c r="N389" s="586"/>
      <c r="O389" s="613">
        <v>5561.06</v>
      </c>
      <c r="P389" s="586"/>
      <c r="Q389" s="586"/>
      <c r="R389" s="582">
        <f>M389/J389</f>
        <v>26973</v>
      </c>
      <c r="S389" s="586">
        <f t="shared" si="45"/>
        <v>5.5479176808148623E-11</v>
      </c>
      <c r="T389" s="588"/>
      <c r="U389" s="597">
        <f t="shared" si="41"/>
        <v>1866698.06</v>
      </c>
      <c r="V389" s="589"/>
      <c r="W389" s="600"/>
    </row>
    <row r="390" spans="1:26" hidden="1">
      <c r="A390" s="591">
        <f t="shared" si="38"/>
        <v>310</v>
      </c>
      <c r="B390" s="592" t="s">
        <v>757</v>
      </c>
      <c r="C390" s="602" t="s">
        <v>271</v>
      </c>
      <c r="D390" s="603">
        <v>14002</v>
      </c>
      <c r="E390" s="603">
        <v>2520</v>
      </c>
      <c r="F390" s="608" t="s">
        <v>222</v>
      </c>
      <c r="G390" s="603">
        <v>1053</v>
      </c>
      <c r="H390" s="609">
        <v>5</v>
      </c>
      <c r="I390" s="609">
        <v>2</v>
      </c>
      <c r="J390" s="609">
        <v>173</v>
      </c>
      <c r="K390" s="590" t="s">
        <v>33</v>
      </c>
      <c r="L390" s="595">
        <f t="shared" si="47"/>
        <v>3692815.72</v>
      </c>
      <c r="M390" s="585">
        <v>3681814.5</v>
      </c>
      <c r="N390" s="586"/>
      <c r="O390" s="587">
        <v>11001.22</v>
      </c>
      <c r="P390" s="586"/>
      <c r="Q390" s="586"/>
      <c r="R390" s="582">
        <f>M390/G390</f>
        <v>3496.5</v>
      </c>
      <c r="S390" s="586">
        <f t="shared" si="45"/>
        <v>2.0554580260068178E-10</v>
      </c>
      <c r="T390" s="588"/>
      <c r="U390" s="597">
        <f t="shared" si="41"/>
        <v>3692815.72</v>
      </c>
      <c r="V390" s="589"/>
      <c r="W390" s="600"/>
    </row>
    <row r="391" spans="1:26" ht="37.5" hidden="1">
      <c r="A391" s="591">
        <f t="shared" si="38"/>
        <v>311</v>
      </c>
      <c r="B391" s="581" t="s">
        <v>758</v>
      </c>
      <c r="C391" s="593" t="s">
        <v>217</v>
      </c>
      <c r="D391" s="603">
        <v>24635</v>
      </c>
      <c r="E391" s="599">
        <v>4458.1000000000004</v>
      </c>
      <c r="F391" s="608" t="s">
        <v>222</v>
      </c>
      <c r="G391" s="593">
        <v>2262</v>
      </c>
      <c r="H391" s="593">
        <v>5</v>
      </c>
      <c r="I391" s="593">
        <v>8</v>
      </c>
      <c r="J391" s="593">
        <f>158-1-1-1</f>
        <v>155</v>
      </c>
      <c r="K391" s="606" t="s">
        <v>30</v>
      </c>
      <c r="L391" s="595">
        <f t="shared" si="47"/>
        <v>4193307.23</v>
      </c>
      <c r="M391" s="585">
        <v>4180815</v>
      </c>
      <c r="N391" s="586"/>
      <c r="O391" s="587">
        <v>12492.23</v>
      </c>
      <c r="P391" s="586"/>
      <c r="Q391" s="586"/>
      <c r="R391" s="582">
        <f>M391/J391</f>
        <v>26973</v>
      </c>
      <c r="S391" s="586">
        <f t="shared" si="45"/>
        <v>-1.8189894035458565E-11</v>
      </c>
      <c r="T391" s="588"/>
      <c r="U391" s="597">
        <f t="shared" si="41"/>
        <v>4193307.23</v>
      </c>
      <c r="V391" s="589"/>
      <c r="W391" s="600"/>
    </row>
    <row r="392" spans="1:26" hidden="1">
      <c r="A392" s="591">
        <f t="shared" si="38"/>
        <v>312</v>
      </c>
      <c r="B392" s="592" t="s">
        <v>759</v>
      </c>
      <c r="C392" s="593" t="s">
        <v>217</v>
      </c>
      <c r="D392" s="603">
        <v>9215</v>
      </c>
      <c r="E392" s="594">
        <v>1876.2</v>
      </c>
      <c r="F392" s="608" t="s">
        <v>222</v>
      </c>
      <c r="G392" s="603">
        <v>837</v>
      </c>
      <c r="H392" s="609">
        <v>5</v>
      </c>
      <c r="I392" s="609">
        <v>3</v>
      </c>
      <c r="J392" s="609">
        <v>56</v>
      </c>
      <c r="K392" s="590" t="s">
        <v>224</v>
      </c>
      <c r="L392" s="595">
        <f t="shared" si="47"/>
        <v>790171.94</v>
      </c>
      <c r="M392" s="585">
        <v>755206.94</v>
      </c>
      <c r="N392" s="586">
        <v>34965</v>
      </c>
      <c r="O392" s="587"/>
      <c r="P392" s="586"/>
      <c r="Q392" s="586"/>
      <c r="R392" s="582">
        <f>M392/J392</f>
        <v>13485.838214285714</v>
      </c>
      <c r="S392" s="586">
        <f t="shared" si="45"/>
        <v>0</v>
      </c>
      <c r="T392" s="588"/>
      <c r="U392" s="597">
        <f t="shared" si="41"/>
        <v>790171.94</v>
      </c>
      <c r="V392" s="589"/>
      <c r="W392" s="600"/>
    </row>
    <row r="393" spans="1:26" hidden="1">
      <c r="A393" s="591">
        <f t="shared" si="38"/>
        <v>313</v>
      </c>
      <c r="B393" s="592" t="s">
        <v>760</v>
      </c>
      <c r="C393" s="602" t="s">
        <v>271</v>
      </c>
      <c r="D393" s="603">
        <v>9982</v>
      </c>
      <c r="E393" s="594">
        <v>2038.1</v>
      </c>
      <c r="F393" s="604" t="s">
        <v>233</v>
      </c>
      <c r="G393" s="603">
        <v>437</v>
      </c>
      <c r="H393" s="609">
        <v>9</v>
      </c>
      <c r="I393" s="609">
        <v>1</v>
      </c>
      <c r="J393" s="609">
        <v>48</v>
      </c>
      <c r="K393" s="590" t="s">
        <v>33</v>
      </c>
      <c r="L393" s="595">
        <f t="shared" si="47"/>
        <v>915850.83</v>
      </c>
      <c r="M393" s="611">
        <v>913111.5</v>
      </c>
      <c r="N393" s="612"/>
      <c r="O393" s="613">
        <v>2739.33</v>
      </c>
      <c r="P393" s="586"/>
      <c r="Q393" s="614"/>
      <c r="R393" s="582">
        <f>M393/G393</f>
        <v>2089.5</v>
      </c>
      <c r="S393" s="586">
        <f t="shared" si="45"/>
        <v>-4.1836756281554699E-11</v>
      </c>
      <c r="T393" s="588"/>
      <c r="U393" s="597">
        <f t="shared" si="41"/>
        <v>915850.83</v>
      </c>
      <c r="V393" s="589"/>
      <c r="W393" s="600"/>
    </row>
    <row r="394" spans="1:26" hidden="1">
      <c r="A394" s="591">
        <f t="shared" si="38"/>
        <v>314</v>
      </c>
      <c r="B394" s="592" t="s">
        <v>761</v>
      </c>
      <c r="C394" s="593" t="s">
        <v>271</v>
      </c>
      <c r="D394" s="618">
        <v>10620</v>
      </c>
      <c r="E394" s="619">
        <v>1856</v>
      </c>
      <c r="F394" s="608" t="s">
        <v>222</v>
      </c>
      <c r="G394" s="619">
        <v>708</v>
      </c>
      <c r="H394" s="594">
        <v>5</v>
      </c>
      <c r="I394" s="594">
        <v>3</v>
      </c>
      <c r="J394" s="582">
        <v>58</v>
      </c>
      <c r="K394" s="590" t="s">
        <v>224</v>
      </c>
      <c r="L394" s="595">
        <f t="shared" si="47"/>
        <v>796449.92</v>
      </c>
      <c r="M394" s="623">
        <v>764481.92</v>
      </c>
      <c r="N394" s="586">
        <v>31968</v>
      </c>
      <c r="O394" s="587"/>
      <c r="P394" s="586"/>
      <c r="Q394" s="586"/>
      <c r="R394" s="582">
        <f>M394/J394</f>
        <v>13180.72275862069</v>
      </c>
      <c r="S394" s="586">
        <f t="shared" si="45"/>
        <v>0</v>
      </c>
      <c r="T394" s="588"/>
      <c r="U394" s="597">
        <f t="shared" si="41"/>
        <v>796449.92</v>
      </c>
      <c r="V394" s="589"/>
      <c r="W394" s="600"/>
    </row>
    <row r="395" spans="1:26" ht="37.5" hidden="1">
      <c r="A395" s="591">
        <f t="shared" si="38"/>
        <v>315</v>
      </c>
      <c r="B395" s="692" t="s">
        <v>762</v>
      </c>
      <c r="C395" s="602" t="s">
        <v>217</v>
      </c>
      <c r="D395" s="644">
        <v>31932</v>
      </c>
      <c r="E395" s="593">
        <v>4012</v>
      </c>
      <c r="F395" s="561" t="s">
        <v>233</v>
      </c>
      <c r="G395" s="672">
        <v>1341</v>
      </c>
      <c r="H395" s="660">
        <v>9</v>
      </c>
      <c r="I395" s="660">
        <v>4</v>
      </c>
      <c r="J395" s="660">
        <v>143</v>
      </c>
      <c r="K395" s="606" t="s">
        <v>366</v>
      </c>
      <c r="L395" s="595">
        <f t="shared" si="47"/>
        <v>8108006.25</v>
      </c>
      <c r="M395" s="585">
        <v>7960000</v>
      </c>
      <c r="N395" s="586">
        <v>148006.25</v>
      </c>
      <c r="Q395" s="586"/>
      <c r="R395" s="582">
        <v>2000000</v>
      </c>
      <c r="S395" s="586">
        <f t="shared" si="45"/>
        <v>0</v>
      </c>
      <c r="T395" s="588"/>
      <c r="U395" s="597">
        <f t="shared" si="41"/>
        <v>8108006.25</v>
      </c>
      <c r="V395" s="589"/>
      <c r="W395" s="600"/>
    </row>
    <row r="396" spans="1:26" hidden="1">
      <c r="A396" s="591">
        <f t="shared" si="38"/>
        <v>316</v>
      </c>
      <c r="B396" s="592" t="s">
        <v>763</v>
      </c>
      <c r="C396" s="617" t="s">
        <v>217</v>
      </c>
      <c r="D396" s="582">
        <v>9528</v>
      </c>
      <c r="E396" s="582">
        <v>1151</v>
      </c>
      <c r="F396" s="582" t="s">
        <v>233</v>
      </c>
      <c r="G396" s="582">
        <v>977</v>
      </c>
      <c r="H396" s="593">
        <v>5</v>
      </c>
      <c r="I396" s="593">
        <v>4</v>
      </c>
      <c r="J396" s="582">
        <v>60</v>
      </c>
      <c r="K396" s="679" t="s">
        <v>252</v>
      </c>
      <c r="L396" s="595">
        <f t="shared" si="47"/>
        <v>3255837.5300000003</v>
      </c>
      <c r="M396" s="585">
        <f>2928066+292806.53</f>
        <v>3220872.5300000003</v>
      </c>
      <c r="N396" s="586">
        <v>34965</v>
      </c>
      <c r="O396" s="613"/>
      <c r="P396" s="586"/>
      <c r="Q396" s="614"/>
      <c r="R396" s="582">
        <f>M396/G396</f>
        <v>3296.6965506653023</v>
      </c>
      <c r="S396" s="586">
        <f t="shared" si="45"/>
        <v>0</v>
      </c>
      <c r="T396" s="588"/>
      <c r="U396" s="597">
        <f t="shared" si="41"/>
        <v>3255837.5300000003</v>
      </c>
      <c r="V396" s="589"/>
      <c r="W396" s="600"/>
    </row>
    <row r="397" spans="1:26" hidden="1">
      <c r="A397" s="591">
        <f t="shared" si="38"/>
        <v>317</v>
      </c>
      <c r="B397" s="592" t="s">
        <v>764</v>
      </c>
      <c r="C397" s="593" t="s">
        <v>271</v>
      </c>
      <c r="D397" s="602">
        <v>4163</v>
      </c>
      <c r="E397" s="602">
        <v>941.5</v>
      </c>
      <c r="F397" s="602" t="s">
        <v>222</v>
      </c>
      <c r="G397" s="602">
        <v>585</v>
      </c>
      <c r="H397" s="602">
        <v>3</v>
      </c>
      <c r="I397" s="602">
        <v>2</v>
      </c>
      <c r="J397" s="602">
        <v>18</v>
      </c>
      <c r="K397" s="610" t="s">
        <v>224</v>
      </c>
      <c r="L397" s="595">
        <f t="shared" si="47"/>
        <v>679320.00000000012</v>
      </c>
      <c r="M397" s="585">
        <v>659340.00000000012</v>
      </c>
      <c r="N397" s="586">
        <v>19980</v>
      </c>
      <c r="O397" s="587"/>
      <c r="P397" s="586"/>
      <c r="Q397" s="586"/>
      <c r="R397" s="582">
        <f>M397/J397</f>
        <v>36630.000000000007</v>
      </c>
      <c r="S397" s="586">
        <f t="shared" si="45"/>
        <v>0</v>
      </c>
      <c r="T397" s="588"/>
      <c r="U397" s="597">
        <f t="shared" si="41"/>
        <v>679320.00000000012</v>
      </c>
      <c r="V397" s="589"/>
      <c r="W397" s="600"/>
    </row>
    <row r="398" spans="1:26" hidden="1">
      <c r="A398" s="591">
        <f t="shared" si="38"/>
        <v>318</v>
      </c>
      <c r="B398" s="696" t="s">
        <v>765</v>
      </c>
      <c r="C398" s="602" t="s">
        <v>271</v>
      </c>
      <c r="D398" s="644">
        <v>3043</v>
      </c>
      <c r="E398" s="593">
        <v>747</v>
      </c>
      <c r="F398" s="608" t="s">
        <v>222</v>
      </c>
      <c r="G398" s="593">
        <v>531.5</v>
      </c>
      <c r="H398" s="593">
        <v>2</v>
      </c>
      <c r="I398" s="593">
        <v>2</v>
      </c>
      <c r="J398" s="593">
        <v>16</v>
      </c>
      <c r="K398" s="697" t="s">
        <v>33</v>
      </c>
      <c r="L398" s="595">
        <f t="shared" si="47"/>
        <v>1402478.19</v>
      </c>
      <c r="M398" s="695">
        <v>1398035.91</v>
      </c>
      <c r="N398" s="586"/>
      <c r="O398" s="587">
        <v>4442.28</v>
      </c>
      <c r="P398" s="586"/>
      <c r="Q398" s="586"/>
      <c r="R398" s="582">
        <f>M398/G398</f>
        <v>2630.3591909689558</v>
      </c>
      <c r="S398" s="586">
        <f t="shared" si="45"/>
        <v>2.8194335754960775E-11</v>
      </c>
      <c r="T398" s="588"/>
      <c r="U398" s="597">
        <f t="shared" si="41"/>
        <v>1402478.19</v>
      </c>
      <c r="V398" s="589"/>
      <c r="W398" s="600"/>
    </row>
    <row r="399" spans="1:26" hidden="1">
      <c r="A399" s="591">
        <f t="shared" si="38"/>
        <v>319</v>
      </c>
      <c r="B399" s="696" t="s">
        <v>766</v>
      </c>
      <c r="C399" s="602" t="s">
        <v>271</v>
      </c>
      <c r="D399" s="644">
        <v>3102</v>
      </c>
      <c r="E399" s="593">
        <v>747</v>
      </c>
      <c r="F399" s="608" t="s">
        <v>222</v>
      </c>
      <c r="G399" s="593">
        <v>531.6</v>
      </c>
      <c r="H399" s="593">
        <v>2</v>
      </c>
      <c r="I399" s="593">
        <v>2</v>
      </c>
      <c r="J399" s="593">
        <v>16</v>
      </c>
      <c r="K399" s="697" t="s">
        <v>33</v>
      </c>
      <c r="L399" s="595">
        <f t="shared" si="47"/>
        <v>1569084.6700000002</v>
      </c>
      <c r="M399" s="695">
        <f>1486991.52+77650.04</f>
        <v>1564641.56</v>
      </c>
      <c r="N399" s="586"/>
      <c r="O399" s="587">
        <v>4443.1099999999997</v>
      </c>
      <c r="P399" s="586"/>
      <c r="Q399" s="586"/>
      <c r="R399" s="582">
        <f>M399/G399</f>
        <v>2943.2685477802861</v>
      </c>
      <c r="S399" s="586">
        <f t="shared" si="45"/>
        <v>1.0277290130034089E-10</v>
      </c>
      <c r="T399" s="588"/>
      <c r="U399" s="597">
        <f t="shared" ref="U399:U462" si="48">M399+N399+O399+P399+Q399</f>
        <v>1569084.6700000002</v>
      </c>
      <c r="V399" s="589"/>
      <c r="W399" s="600"/>
    </row>
    <row r="400" spans="1:26" hidden="1">
      <c r="A400" s="591">
        <f t="shared" si="38"/>
        <v>320</v>
      </c>
      <c r="B400" s="621" t="s">
        <v>767</v>
      </c>
      <c r="C400" s="617" t="s">
        <v>271</v>
      </c>
      <c r="D400" s="594">
        <v>4570</v>
      </c>
      <c r="E400" s="593">
        <v>735</v>
      </c>
      <c r="F400" s="593" t="s">
        <v>233</v>
      </c>
      <c r="G400" s="593">
        <v>545.5</v>
      </c>
      <c r="H400" s="593">
        <v>2</v>
      </c>
      <c r="I400" s="593">
        <v>2</v>
      </c>
      <c r="J400" s="593">
        <v>58</v>
      </c>
      <c r="K400" s="590" t="s">
        <v>238</v>
      </c>
      <c r="L400" s="595">
        <f t="shared" si="47"/>
        <v>1585305</v>
      </c>
      <c r="M400" s="585">
        <v>1550340</v>
      </c>
      <c r="N400" s="586">
        <v>34965</v>
      </c>
      <c r="O400" s="587"/>
      <c r="P400" s="586"/>
      <c r="Q400" s="586"/>
      <c r="R400" s="582">
        <f>M400/J400</f>
        <v>26730</v>
      </c>
      <c r="S400" s="586">
        <f t="shared" si="45"/>
        <v>0</v>
      </c>
      <c r="T400" s="588"/>
      <c r="U400" s="597">
        <f t="shared" si="48"/>
        <v>1585305</v>
      </c>
      <c r="V400" s="589"/>
      <c r="W400" s="600"/>
    </row>
    <row r="401" spans="1:37" ht="37.5" hidden="1">
      <c r="A401" s="591">
        <f>A400+1</f>
        <v>321</v>
      </c>
      <c r="B401" s="616" t="s">
        <v>768</v>
      </c>
      <c r="C401" s="602" t="s">
        <v>271</v>
      </c>
      <c r="D401" s="644">
        <v>15429</v>
      </c>
      <c r="E401" s="593">
        <v>2349</v>
      </c>
      <c r="F401" s="608" t="s">
        <v>222</v>
      </c>
      <c r="G401" s="593">
        <v>1151</v>
      </c>
      <c r="H401" s="660">
        <v>5</v>
      </c>
      <c r="I401" s="660">
        <v>4</v>
      </c>
      <c r="J401" s="660">
        <v>77</v>
      </c>
      <c r="K401" s="606" t="s">
        <v>30</v>
      </c>
      <c r="L401" s="595">
        <f t="shared" si="47"/>
        <v>2083126.82</v>
      </c>
      <c r="M401" s="585">
        <v>2076921</v>
      </c>
      <c r="N401" s="586"/>
      <c r="O401" s="587">
        <v>6205.82</v>
      </c>
      <c r="P401" s="586"/>
      <c r="Q401" s="586"/>
      <c r="R401" s="582">
        <f>M401/J401</f>
        <v>26973</v>
      </c>
      <c r="S401" s="586">
        <f t="shared" si="45"/>
        <v>6.5483618527650833E-11</v>
      </c>
      <c r="T401" s="588"/>
      <c r="U401" s="597">
        <f t="shared" si="48"/>
        <v>2083126.82</v>
      </c>
      <c r="V401" s="589"/>
      <c r="W401" s="600"/>
    </row>
    <row r="402" spans="1:37" ht="37.5" hidden="1">
      <c r="A402" s="591">
        <f>A401+1</f>
        <v>322</v>
      </c>
      <c r="B402" s="616" t="s">
        <v>769</v>
      </c>
      <c r="C402" s="593" t="s">
        <v>271</v>
      </c>
      <c r="D402" s="618">
        <v>12654</v>
      </c>
      <c r="E402" s="619">
        <v>2500</v>
      </c>
      <c r="F402" s="620" t="s">
        <v>222</v>
      </c>
      <c r="G402" s="620">
        <v>1217</v>
      </c>
      <c r="H402" s="651">
        <v>4</v>
      </c>
      <c r="I402" s="620">
        <v>3</v>
      </c>
      <c r="J402" s="620">
        <v>35</v>
      </c>
      <c r="K402" s="610" t="s">
        <v>30</v>
      </c>
      <c r="L402" s="595">
        <f t="shared" si="47"/>
        <v>943095.83</v>
      </c>
      <c r="M402" s="596">
        <v>940275</v>
      </c>
      <c r="N402" s="586"/>
      <c r="O402" s="598">
        <v>2820.83</v>
      </c>
      <c r="P402" s="597"/>
      <c r="Q402" s="597"/>
      <c r="R402" s="582">
        <f>M402/J402</f>
        <v>26865</v>
      </c>
      <c r="S402" s="586">
        <f t="shared" ref="S402:S425" si="49">L402-M402-N402-O402-P402-Q402</f>
        <v>-4.1836756281554699E-11</v>
      </c>
      <c r="T402" s="588"/>
      <c r="U402" s="597">
        <f t="shared" si="48"/>
        <v>943095.83</v>
      </c>
      <c r="V402" s="589"/>
      <c r="W402" s="600"/>
    </row>
    <row r="403" spans="1:37" s="75" customFormat="1" hidden="1">
      <c r="A403" s="1349">
        <f>A402+1</f>
        <v>323</v>
      </c>
      <c r="B403" s="592" t="s">
        <v>771</v>
      </c>
      <c r="C403" s="700" t="s">
        <v>271</v>
      </c>
      <c r="D403" s="708">
        <v>13304</v>
      </c>
      <c r="E403" s="708">
        <v>2474</v>
      </c>
      <c r="F403" s="643" t="s">
        <v>222</v>
      </c>
      <c r="G403" s="708">
        <v>1217</v>
      </c>
      <c r="H403" s="708">
        <v>4</v>
      </c>
      <c r="I403" s="708">
        <v>3</v>
      </c>
      <c r="J403" s="708">
        <v>35</v>
      </c>
      <c r="K403" s="634" t="s">
        <v>38</v>
      </c>
      <c r="L403" s="1357">
        <f>M403+N403+O403+P403+Q403+M404+N404+O404+P404+Q404</f>
        <v>8075498.1100000003</v>
      </c>
      <c r="M403" s="596">
        <v>3796200</v>
      </c>
      <c r="N403" s="597"/>
      <c r="O403" s="598">
        <v>11343</v>
      </c>
      <c r="P403" s="597"/>
      <c r="Q403" s="638"/>
      <c r="R403" s="599">
        <f>M403/E403</f>
        <v>1534.4381568310428</v>
      </c>
      <c r="S403" s="586">
        <f t="shared" si="49"/>
        <v>4267955.1100000003</v>
      </c>
      <c r="T403" s="605"/>
      <c r="U403" s="597">
        <f t="shared" si="48"/>
        <v>3807543</v>
      </c>
      <c r="V403" s="589"/>
      <c r="W403" s="600"/>
      <c r="X403" s="601"/>
      <c r="Y403" s="601"/>
      <c r="Z403" s="601"/>
    </row>
    <row r="404" spans="1:37" s="75" customFormat="1" hidden="1">
      <c r="A404" s="1349"/>
      <c r="B404" s="592"/>
      <c r="C404" s="700"/>
      <c r="D404" s="708"/>
      <c r="E404" s="708"/>
      <c r="F404" s="643"/>
      <c r="G404" s="708"/>
      <c r="H404" s="708"/>
      <c r="I404" s="708"/>
      <c r="J404" s="708"/>
      <c r="K404" s="590" t="s">
        <v>33</v>
      </c>
      <c r="L404" s="1357"/>
      <c r="M404" s="596">
        <v>4255240.5</v>
      </c>
      <c r="N404" s="597"/>
      <c r="O404" s="587">
        <v>12714.61</v>
      </c>
      <c r="P404" s="597"/>
      <c r="Q404" s="638"/>
      <c r="R404" s="582">
        <f>M404/G403</f>
        <v>3496.5</v>
      </c>
      <c r="S404" s="586">
        <f t="shared" si="49"/>
        <v>-4267955.1100000003</v>
      </c>
      <c r="T404" s="605"/>
      <c r="U404" s="597">
        <f t="shared" si="48"/>
        <v>4267955.1100000003</v>
      </c>
      <c r="V404" s="589"/>
      <c r="W404" s="600"/>
      <c r="X404" s="601"/>
      <c r="Y404" s="601"/>
      <c r="Z404" s="601"/>
    </row>
    <row r="405" spans="1:37" hidden="1">
      <c r="A405" s="591">
        <f>A403+1</f>
        <v>324</v>
      </c>
      <c r="B405" s="616" t="s">
        <v>772</v>
      </c>
      <c r="C405" s="593" t="s">
        <v>271</v>
      </c>
      <c r="D405" s="618">
        <v>23832</v>
      </c>
      <c r="E405" s="619">
        <v>4232.3</v>
      </c>
      <c r="F405" s="620" t="s">
        <v>222</v>
      </c>
      <c r="G405" s="594">
        <v>1824</v>
      </c>
      <c r="H405" s="651">
        <v>5</v>
      </c>
      <c r="I405" s="620">
        <v>4</v>
      </c>
      <c r="J405" s="620">
        <v>69</v>
      </c>
      <c r="K405" s="590" t="s">
        <v>224</v>
      </c>
      <c r="L405" s="595">
        <f t="shared" ref="L405:L412" si="50">M405+N405+O405+P405+Q405</f>
        <v>971489.5</v>
      </c>
      <c r="M405" s="596">
        <v>939521.5</v>
      </c>
      <c r="N405" s="597">
        <v>31968</v>
      </c>
      <c r="O405" s="598"/>
      <c r="P405" s="597"/>
      <c r="Q405" s="597"/>
      <c r="R405" s="582">
        <f>M405/J405</f>
        <v>13616.253623188406</v>
      </c>
      <c r="S405" s="586">
        <f t="shared" si="49"/>
        <v>0</v>
      </c>
      <c r="T405" s="588"/>
      <c r="U405" s="597">
        <f t="shared" si="48"/>
        <v>971489.5</v>
      </c>
      <c r="V405" s="589"/>
      <c r="W405" s="600"/>
    </row>
    <row r="406" spans="1:37" hidden="1">
      <c r="A406" s="591">
        <f>A405+1</f>
        <v>325</v>
      </c>
      <c r="B406" s="592" t="s">
        <v>773</v>
      </c>
      <c r="C406" s="593" t="s">
        <v>271</v>
      </c>
      <c r="D406" s="602">
        <v>33745</v>
      </c>
      <c r="E406" s="602">
        <v>5320</v>
      </c>
      <c r="F406" s="602" t="s">
        <v>233</v>
      </c>
      <c r="G406" s="602">
        <v>1345</v>
      </c>
      <c r="H406" s="602">
        <v>9</v>
      </c>
      <c r="I406" s="602">
        <v>4</v>
      </c>
      <c r="J406" s="602">
        <v>144</v>
      </c>
      <c r="K406" s="590" t="s">
        <v>224</v>
      </c>
      <c r="L406" s="595">
        <f t="shared" si="50"/>
        <v>4000995</v>
      </c>
      <c r="M406" s="585">
        <v>3956040</v>
      </c>
      <c r="N406" s="586">
        <v>44955</v>
      </c>
      <c r="O406" s="587"/>
      <c r="P406" s="586"/>
      <c r="Q406" s="586"/>
      <c r="R406" s="582">
        <f>M406/J406</f>
        <v>27472.5</v>
      </c>
      <c r="S406" s="586">
        <f t="shared" si="49"/>
        <v>0</v>
      </c>
      <c r="T406" s="588"/>
      <c r="U406" s="597">
        <f t="shared" si="48"/>
        <v>4000995</v>
      </c>
      <c r="V406" s="589"/>
      <c r="W406" s="600"/>
    </row>
    <row r="407" spans="1:37" s="75" customFormat="1" ht="37.5" hidden="1">
      <c r="A407" s="591">
        <f t="shared" ref="A407:A413" si="51">A406+1</f>
        <v>326</v>
      </c>
      <c r="B407" s="592" t="s">
        <v>774</v>
      </c>
      <c r="C407" s="593" t="s">
        <v>217</v>
      </c>
      <c r="D407" s="603">
        <v>29879</v>
      </c>
      <c r="E407" s="594">
        <v>2980</v>
      </c>
      <c r="F407" s="643" t="s">
        <v>233</v>
      </c>
      <c r="G407" s="603">
        <v>1205</v>
      </c>
      <c r="H407" s="609">
        <v>9</v>
      </c>
      <c r="I407" s="609">
        <v>2</v>
      </c>
      <c r="J407" s="609">
        <v>380</v>
      </c>
      <c r="K407" s="590" t="s">
        <v>366</v>
      </c>
      <c r="L407" s="595">
        <f t="shared" si="50"/>
        <v>4085718.75</v>
      </c>
      <c r="M407" s="611">
        <v>3980000</v>
      </c>
      <c r="N407" s="612">
        <v>105718.75</v>
      </c>
      <c r="O407" s="613"/>
      <c r="P407" s="586"/>
      <c r="Q407" s="614"/>
      <c r="R407" s="582">
        <v>2000000</v>
      </c>
      <c r="S407" s="586">
        <f t="shared" si="49"/>
        <v>0</v>
      </c>
      <c r="T407" s="588"/>
      <c r="U407" s="597">
        <f t="shared" si="48"/>
        <v>4085718.75</v>
      </c>
      <c r="V407" s="589"/>
      <c r="W407" s="600"/>
      <c r="X407" s="601"/>
      <c r="Y407" s="601"/>
      <c r="Z407" s="601"/>
    </row>
    <row r="408" spans="1:37" ht="37.5" hidden="1">
      <c r="A408" s="591">
        <f t="shared" si="51"/>
        <v>327</v>
      </c>
      <c r="B408" s="692" t="s">
        <v>775</v>
      </c>
      <c r="C408" s="602" t="s">
        <v>217</v>
      </c>
      <c r="D408" s="593">
        <v>30461</v>
      </c>
      <c r="E408" s="582">
        <v>2150</v>
      </c>
      <c r="F408" s="561" t="s">
        <v>233</v>
      </c>
      <c r="G408" s="593">
        <v>1245.3</v>
      </c>
      <c r="H408" s="593">
        <v>9</v>
      </c>
      <c r="I408" s="593">
        <v>2</v>
      </c>
      <c r="J408" s="593">
        <v>379</v>
      </c>
      <c r="K408" s="606" t="s">
        <v>366</v>
      </c>
      <c r="L408" s="595">
        <f t="shared" si="50"/>
        <v>4085718.75</v>
      </c>
      <c r="M408" s="585">
        <v>3980000</v>
      </c>
      <c r="N408" s="612">
        <v>105718.75</v>
      </c>
      <c r="Q408" s="586"/>
      <c r="R408" s="582">
        <v>2000000</v>
      </c>
      <c r="S408" s="586">
        <f t="shared" si="49"/>
        <v>0</v>
      </c>
      <c r="T408" s="588"/>
      <c r="U408" s="597">
        <f t="shared" si="48"/>
        <v>4085718.75</v>
      </c>
      <c r="V408" s="589"/>
      <c r="W408" s="600"/>
    </row>
    <row r="409" spans="1:37" ht="37.5" hidden="1">
      <c r="A409" s="591">
        <f t="shared" si="51"/>
        <v>328</v>
      </c>
      <c r="B409" s="692" t="s">
        <v>776</v>
      </c>
      <c r="C409" s="602" t="s">
        <v>217</v>
      </c>
      <c r="D409" s="644">
        <v>42196</v>
      </c>
      <c r="E409" s="593">
        <v>4104</v>
      </c>
      <c r="F409" s="561" t="s">
        <v>233</v>
      </c>
      <c r="G409" s="683">
        <v>1842</v>
      </c>
      <c r="H409" s="593">
        <v>9</v>
      </c>
      <c r="I409" s="593">
        <v>4</v>
      </c>
      <c r="J409" s="593">
        <v>200</v>
      </c>
      <c r="K409" s="606" t="s">
        <v>366</v>
      </c>
      <c r="L409" s="595">
        <f t="shared" si="50"/>
        <v>8108006.25</v>
      </c>
      <c r="M409" s="585">
        <v>7960000</v>
      </c>
      <c r="N409" s="586">
        <v>148006.25</v>
      </c>
      <c r="Q409" s="586"/>
      <c r="R409" s="582">
        <v>2000000</v>
      </c>
      <c r="S409" s="586">
        <f t="shared" si="49"/>
        <v>0</v>
      </c>
      <c r="T409" s="588"/>
      <c r="U409" s="597">
        <f t="shared" si="48"/>
        <v>8108006.25</v>
      </c>
      <c r="V409" s="589"/>
      <c r="W409" s="600"/>
    </row>
    <row r="410" spans="1:37" s="75" customFormat="1" hidden="1">
      <c r="A410" s="591">
        <f t="shared" si="51"/>
        <v>329</v>
      </c>
      <c r="B410" s="592" t="s">
        <v>777</v>
      </c>
      <c r="C410" s="593" t="s">
        <v>271</v>
      </c>
      <c r="D410" s="618">
        <v>11063</v>
      </c>
      <c r="E410" s="594">
        <v>1611.7</v>
      </c>
      <c r="F410" s="593" t="s">
        <v>222</v>
      </c>
      <c r="G410" s="618">
        <v>622</v>
      </c>
      <c r="H410" s="650">
        <v>3</v>
      </c>
      <c r="I410" s="650">
        <v>3</v>
      </c>
      <c r="J410" s="650">
        <v>26</v>
      </c>
      <c r="K410" s="590" t="s">
        <v>224</v>
      </c>
      <c r="L410" s="595">
        <f t="shared" si="50"/>
        <v>448885</v>
      </c>
      <c r="M410" s="585">
        <v>413920</v>
      </c>
      <c r="N410" s="586">
        <v>34965</v>
      </c>
      <c r="O410" s="587"/>
      <c r="P410" s="586"/>
      <c r="Q410" s="586"/>
      <c r="R410" s="582">
        <f>M410/J410</f>
        <v>15920</v>
      </c>
      <c r="S410" s="586">
        <f t="shared" si="49"/>
        <v>0</v>
      </c>
      <c r="T410" s="600"/>
      <c r="U410" s="597">
        <f t="shared" si="48"/>
        <v>448885</v>
      </c>
      <c r="V410" s="589"/>
      <c r="W410" s="600"/>
      <c r="X410" s="601"/>
      <c r="Y410" s="601"/>
      <c r="Z410" s="601"/>
    </row>
    <row r="411" spans="1:37" s="75" customFormat="1" hidden="1">
      <c r="A411" s="591">
        <f t="shared" si="51"/>
        <v>330</v>
      </c>
      <c r="B411" s="592" t="s">
        <v>778</v>
      </c>
      <c r="C411" s="593" t="s">
        <v>271</v>
      </c>
      <c r="D411" s="618">
        <v>4619</v>
      </c>
      <c r="E411" s="594">
        <v>501.5</v>
      </c>
      <c r="F411" s="593" t="s">
        <v>222</v>
      </c>
      <c r="G411" s="618">
        <v>651.9</v>
      </c>
      <c r="H411" s="650">
        <v>3</v>
      </c>
      <c r="I411" s="650">
        <v>2</v>
      </c>
      <c r="J411" s="650">
        <v>16</v>
      </c>
      <c r="K411" s="590" t="s">
        <v>33</v>
      </c>
      <c r="L411" s="595">
        <f t="shared" si="50"/>
        <v>1967049.6</v>
      </c>
      <c r="M411" s="585">
        <f>1823494.68+138106.3</f>
        <v>1961600.98</v>
      </c>
      <c r="N411" s="586"/>
      <c r="O411" s="587">
        <v>5448.62</v>
      </c>
      <c r="P411" s="586"/>
      <c r="Q411" s="586"/>
      <c r="R411" s="582">
        <f>M411/G411</f>
        <v>3009.051971161221</v>
      </c>
      <c r="S411" s="586">
        <f t="shared" si="49"/>
        <v>1.1186784831807017E-10</v>
      </c>
      <c r="T411" s="600"/>
      <c r="U411" s="597">
        <f t="shared" si="48"/>
        <v>1967049.6</v>
      </c>
      <c r="V411" s="589"/>
      <c r="W411" s="600"/>
      <c r="X411" s="601"/>
      <c r="Y411" s="601"/>
      <c r="Z411" s="601"/>
    </row>
    <row r="412" spans="1:37" s="75" customFormat="1" ht="37.5" hidden="1">
      <c r="A412" s="591">
        <f t="shared" si="51"/>
        <v>331</v>
      </c>
      <c r="B412" s="592" t="s">
        <v>779</v>
      </c>
      <c r="C412" s="602" t="s">
        <v>271</v>
      </c>
      <c r="D412" s="603">
        <v>12063</v>
      </c>
      <c r="E412" s="599">
        <v>552</v>
      </c>
      <c r="F412" s="593" t="s">
        <v>373</v>
      </c>
      <c r="G412" s="594">
        <v>973</v>
      </c>
      <c r="H412" s="582">
        <v>5</v>
      </c>
      <c r="I412" s="582">
        <v>4</v>
      </c>
      <c r="J412" s="594">
        <v>72</v>
      </c>
      <c r="K412" s="606" t="s">
        <v>30</v>
      </c>
      <c r="L412" s="595">
        <f t="shared" si="50"/>
        <v>926122.72</v>
      </c>
      <c r="M412" s="585">
        <v>920319.88</v>
      </c>
      <c r="N412" s="586"/>
      <c r="O412" s="587">
        <v>5802.84</v>
      </c>
      <c r="P412" s="586"/>
      <c r="Q412" s="586"/>
      <c r="R412" s="582">
        <f>M412/J412</f>
        <v>12782.220555555556</v>
      </c>
      <c r="S412" s="586">
        <f t="shared" si="49"/>
        <v>-3.2741809263825417E-11</v>
      </c>
      <c r="T412" s="600"/>
      <c r="U412" s="597">
        <f t="shared" si="48"/>
        <v>926122.72</v>
      </c>
      <c r="V412" s="589"/>
      <c r="W412" s="600"/>
      <c r="X412" s="601"/>
      <c r="Y412" s="601"/>
      <c r="Z412" s="601"/>
    </row>
    <row r="413" spans="1:37" s="78" customFormat="1" ht="37.5" hidden="1">
      <c r="A413" s="591">
        <f t="shared" si="51"/>
        <v>332</v>
      </c>
      <c r="B413" s="592" t="s">
        <v>780</v>
      </c>
      <c r="C413" s="617" t="s">
        <v>271</v>
      </c>
      <c r="D413" s="582">
        <v>13480</v>
      </c>
      <c r="E413" s="582">
        <v>960</v>
      </c>
      <c r="F413" s="582" t="s">
        <v>222</v>
      </c>
      <c r="G413" s="582">
        <v>1160</v>
      </c>
      <c r="H413" s="593">
        <v>5</v>
      </c>
      <c r="I413" s="593">
        <v>4</v>
      </c>
      <c r="J413" s="582">
        <v>42</v>
      </c>
      <c r="K413" s="590" t="s">
        <v>30</v>
      </c>
      <c r="L413" s="1357">
        <f>M413+N413+O413+P413+Q413+M414+N414+O414+P414+Q414</f>
        <v>4893777.38</v>
      </c>
      <c r="M413" s="585">
        <v>1132866</v>
      </c>
      <c r="N413" s="586"/>
      <c r="O413" s="598">
        <v>3384.99</v>
      </c>
      <c r="P413" s="586"/>
      <c r="Q413" s="586"/>
      <c r="R413" s="582">
        <f>M413/J413</f>
        <v>26973</v>
      </c>
      <c r="S413" s="586">
        <f t="shared" si="49"/>
        <v>3757526.3899999997</v>
      </c>
      <c r="T413" s="588"/>
      <c r="U413" s="597">
        <f t="shared" si="48"/>
        <v>1136250.99</v>
      </c>
      <c r="V413" s="589"/>
      <c r="W413" s="600"/>
      <c r="X413" s="709"/>
      <c r="Y413" s="709"/>
      <c r="Z413" s="709"/>
    </row>
    <row r="414" spans="1:37" s="78" customFormat="1" ht="337.5" hidden="1">
      <c r="A414" s="591"/>
      <c r="B414" s="592"/>
      <c r="C414" s="617"/>
      <c r="D414" s="582"/>
      <c r="E414" s="582"/>
      <c r="F414" s="582"/>
      <c r="G414" s="582"/>
      <c r="H414" s="593"/>
      <c r="I414" s="593"/>
      <c r="J414" s="582"/>
      <c r="K414" s="590" t="s">
        <v>33</v>
      </c>
      <c r="L414" s="1357"/>
      <c r="M414" s="585">
        <v>3710891.39</v>
      </c>
      <c r="N414" s="630"/>
      <c r="O414" s="598">
        <v>6635</v>
      </c>
      <c r="P414" s="630"/>
      <c r="Q414" s="586">
        <v>40000</v>
      </c>
      <c r="R414" s="582">
        <f>M414/G413</f>
        <v>3199.0443017241382</v>
      </c>
      <c r="S414" s="586">
        <f t="shared" si="49"/>
        <v>-3757526.39</v>
      </c>
      <c r="T414" s="588" t="s">
        <v>3707</v>
      </c>
      <c r="U414" s="597">
        <f t="shared" si="48"/>
        <v>3757526.39</v>
      </c>
      <c r="V414" s="589"/>
      <c r="W414" s="600"/>
      <c r="X414" s="709"/>
      <c r="Y414" s="709"/>
      <c r="Z414" s="709"/>
    </row>
    <row r="415" spans="1:37" s="517" customFormat="1" ht="37.5" hidden="1">
      <c r="A415" s="591">
        <f>A413+1</f>
        <v>333</v>
      </c>
      <c r="B415" s="670" t="s">
        <v>781</v>
      </c>
      <c r="C415" s="593" t="s">
        <v>239</v>
      </c>
      <c r="D415" s="602">
        <v>4176</v>
      </c>
      <c r="E415" s="602">
        <v>757</v>
      </c>
      <c r="F415" s="602" t="s">
        <v>222</v>
      </c>
      <c r="G415" s="602">
        <v>837</v>
      </c>
      <c r="H415" s="602">
        <v>2</v>
      </c>
      <c r="I415" s="602">
        <v>2</v>
      </c>
      <c r="J415" s="602">
        <v>12</v>
      </c>
      <c r="K415" s="606" t="s">
        <v>30</v>
      </c>
      <c r="L415" s="595">
        <f t="shared" ref="L415:L422" si="52">M415+N415+O415+P415+Q415</f>
        <v>201742.17</v>
      </c>
      <c r="M415" s="585">
        <v>200846.67</v>
      </c>
      <c r="N415" s="586"/>
      <c r="O415" s="641">
        <v>895.5</v>
      </c>
      <c r="P415" s="636"/>
      <c r="Q415" s="638"/>
      <c r="R415" s="582">
        <f>M415/J415</f>
        <v>16737.2225</v>
      </c>
      <c r="S415" s="586">
        <f t="shared" si="49"/>
        <v>0</v>
      </c>
      <c r="T415" s="588"/>
      <c r="U415" s="597">
        <f t="shared" si="48"/>
        <v>201742.17</v>
      </c>
      <c r="V415" s="589"/>
      <c r="W415" s="600"/>
      <c r="X415" s="591"/>
      <c r="Y415" s="589"/>
      <c r="Z415" s="589"/>
      <c r="AA415" s="246"/>
      <c r="AB415" s="72"/>
      <c r="AC415" s="246"/>
      <c r="AD415" s="72"/>
      <c r="AE415" s="72"/>
      <c r="AF415" s="516"/>
      <c r="AH415" s="36"/>
      <c r="AI415" s="72"/>
      <c r="AJ415" s="246"/>
      <c r="AK415" s="72"/>
    </row>
    <row r="416" spans="1:37" s="517" customFormat="1" hidden="1">
      <c r="A416" s="591">
        <f>A415+1</f>
        <v>334</v>
      </c>
      <c r="B416" s="592" t="s">
        <v>782</v>
      </c>
      <c r="C416" s="593" t="s">
        <v>217</v>
      </c>
      <c r="D416" s="603">
        <v>11458</v>
      </c>
      <c r="E416" s="594">
        <v>3010</v>
      </c>
      <c r="F416" s="615" t="s">
        <v>233</v>
      </c>
      <c r="G416" s="603">
        <v>1248.5</v>
      </c>
      <c r="H416" s="609">
        <v>12</v>
      </c>
      <c r="I416" s="609">
        <v>1</v>
      </c>
      <c r="J416" s="609">
        <v>65</v>
      </c>
      <c r="K416" s="590" t="s">
        <v>33</v>
      </c>
      <c r="L416" s="595">
        <f t="shared" si="52"/>
        <v>672048.46</v>
      </c>
      <c r="M416" s="611">
        <v>664222.24</v>
      </c>
      <c r="N416" s="612"/>
      <c r="O416" s="613">
        <v>7826.22</v>
      </c>
      <c r="P416" s="586"/>
      <c r="Q416" s="614"/>
      <c r="R416" s="582">
        <f>M416/G416</f>
        <v>532.01621145374452</v>
      </c>
      <c r="S416" s="586">
        <f t="shared" si="49"/>
        <v>-2.8194335754960775E-11</v>
      </c>
      <c r="T416" s="588"/>
      <c r="U416" s="597">
        <f t="shared" si="48"/>
        <v>672048.46</v>
      </c>
      <c r="V416" s="589"/>
      <c r="W416" s="600"/>
      <c r="X416" s="591"/>
      <c r="Y416" s="589"/>
      <c r="Z416" s="589"/>
      <c r="AA416" s="246"/>
      <c r="AB416" s="72"/>
      <c r="AC416" s="246"/>
      <c r="AD416" s="72"/>
      <c r="AE416" s="72"/>
      <c r="AF416" s="516"/>
      <c r="AH416" s="36"/>
      <c r="AI416" s="14"/>
      <c r="AJ416" s="246"/>
      <c r="AK416" s="72"/>
    </row>
    <row r="417" spans="1:32" s="75" customFormat="1" hidden="1">
      <c r="A417" s="591">
        <f t="shared" ref="A417:A422" si="53">A416+1</f>
        <v>335</v>
      </c>
      <c r="B417" s="592" t="s">
        <v>783</v>
      </c>
      <c r="C417" s="602" t="s">
        <v>271</v>
      </c>
      <c r="D417" s="708">
        <v>73370</v>
      </c>
      <c r="E417" s="708">
        <v>7128</v>
      </c>
      <c r="F417" s="604" t="s">
        <v>233</v>
      </c>
      <c r="G417" s="708">
        <v>2808</v>
      </c>
      <c r="H417" s="710">
        <v>9</v>
      </c>
      <c r="I417" s="602">
        <v>6</v>
      </c>
      <c r="J417" s="708">
        <v>285</v>
      </c>
      <c r="K417" s="610" t="s">
        <v>224</v>
      </c>
      <c r="L417" s="595">
        <f t="shared" si="52"/>
        <v>5729265</v>
      </c>
      <c r="M417" s="585">
        <v>5694300</v>
      </c>
      <c r="N417" s="586">
        <v>34965</v>
      </c>
      <c r="O417" s="587"/>
      <c r="P417" s="586"/>
      <c r="Q417" s="586"/>
      <c r="R417" s="582">
        <f>M417/J417</f>
        <v>19980</v>
      </c>
      <c r="S417" s="586">
        <f t="shared" si="49"/>
        <v>0</v>
      </c>
      <c r="T417" s="600"/>
      <c r="U417" s="597">
        <f t="shared" si="48"/>
        <v>5729265</v>
      </c>
      <c r="V417" s="589"/>
      <c r="W417" s="600"/>
      <c r="X417" s="601"/>
      <c r="Y417" s="601"/>
      <c r="Z417" s="601"/>
    </row>
    <row r="418" spans="1:32" ht="37.5" hidden="1">
      <c r="A418" s="591">
        <f t="shared" si="53"/>
        <v>336</v>
      </c>
      <c r="B418" s="592" t="s">
        <v>784</v>
      </c>
      <c r="C418" s="602" t="s">
        <v>271</v>
      </c>
      <c r="D418" s="644">
        <v>12483</v>
      </c>
      <c r="E418" s="593">
        <v>2200</v>
      </c>
      <c r="F418" s="593" t="s">
        <v>222</v>
      </c>
      <c r="G418" s="672">
        <f>1148-18</f>
        <v>1130</v>
      </c>
      <c r="H418" s="593">
        <v>5</v>
      </c>
      <c r="I418" s="593">
        <v>4</v>
      </c>
      <c r="J418" s="593">
        <v>80</v>
      </c>
      <c r="K418" s="606" t="s">
        <v>30</v>
      </c>
      <c r="L418" s="595">
        <f t="shared" si="52"/>
        <v>2166231.6</v>
      </c>
      <c r="M418" s="585">
        <v>2159784</v>
      </c>
      <c r="N418" s="586"/>
      <c r="O418" s="587">
        <v>6447.6</v>
      </c>
      <c r="P418" s="586"/>
      <c r="Q418" s="586"/>
      <c r="R418" s="582">
        <f>M418/J418</f>
        <v>26997.3</v>
      </c>
      <c r="S418" s="586">
        <f t="shared" si="49"/>
        <v>9.276845958083868E-11</v>
      </c>
      <c r="T418" s="588"/>
      <c r="U418" s="597">
        <f t="shared" si="48"/>
        <v>2166231.6</v>
      </c>
      <c r="V418" s="589"/>
      <c r="W418" s="600"/>
    </row>
    <row r="419" spans="1:32" s="75" customFormat="1" ht="37.5" hidden="1">
      <c r="A419" s="591">
        <f t="shared" si="53"/>
        <v>337</v>
      </c>
      <c r="B419" s="592" t="s">
        <v>785</v>
      </c>
      <c r="C419" s="593" t="s">
        <v>239</v>
      </c>
      <c r="D419" s="644">
        <v>3641</v>
      </c>
      <c r="E419" s="593">
        <v>890</v>
      </c>
      <c r="F419" s="593" t="s">
        <v>222</v>
      </c>
      <c r="G419" s="593">
        <v>585</v>
      </c>
      <c r="H419" s="593">
        <v>2</v>
      </c>
      <c r="I419" s="593">
        <v>4</v>
      </c>
      <c r="J419" s="593">
        <v>16</v>
      </c>
      <c r="K419" s="606" t="s">
        <v>30</v>
      </c>
      <c r="L419" s="595">
        <f t="shared" si="52"/>
        <v>399194</v>
      </c>
      <c r="M419" s="585">
        <v>398000</v>
      </c>
      <c r="N419" s="586"/>
      <c r="O419" s="587">
        <v>1194</v>
      </c>
      <c r="P419" s="586"/>
      <c r="Q419" s="586"/>
      <c r="R419" s="582">
        <f>M419/J419</f>
        <v>24875</v>
      </c>
      <c r="S419" s="586">
        <f t="shared" si="49"/>
        <v>0</v>
      </c>
      <c r="T419" s="600"/>
      <c r="U419" s="597">
        <f t="shared" si="48"/>
        <v>399194</v>
      </c>
      <c r="V419" s="589"/>
      <c r="W419" s="600"/>
      <c r="X419" s="601"/>
      <c r="Y419" s="601"/>
      <c r="Z419" s="601"/>
    </row>
    <row r="420" spans="1:32" s="75" customFormat="1" hidden="1">
      <c r="A420" s="591">
        <f>A419+1</f>
        <v>338</v>
      </c>
      <c r="B420" s="592" t="s">
        <v>786</v>
      </c>
      <c r="C420" s="593" t="s">
        <v>217</v>
      </c>
      <c r="D420" s="644">
        <v>14386</v>
      </c>
      <c r="E420" s="693">
        <v>1700</v>
      </c>
      <c r="F420" s="694" t="s">
        <v>222</v>
      </c>
      <c r="G420" s="694">
        <v>1140</v>
      </c>
      <c r="H420" s="694">
        <v>5</v>
      </c>
      <c r="I420" s="694">
        <v>4</v>
      </c>
      <c r="J420" s="694">
        <v>80</v>
      </c>
      <c r="K420" s="590" t="s">
        <v>33</v>
      </c>
      <c r="L420" s="595">
        <f t="shared" si="52"/>
        <v>3329216.2</v>
      </c>
      <c r="M420" s="627">
        <v>3317306.0500000003</v>
      </c>
      <c r="N420" s="586"/>
      <c r="O420" s="587">
        <v>11910.15</v>
      </c>
      <c r="P420" s="586"/>
      <c r="Q420" s="586"/>
      <c r="R420" s="582">
        <f>M420/G420</f>
        <v>2909.9175877192984</v>
      </c>
      <c r="S420" s="586">
        <f t="shared" si="49"/>
        <v>-9.276845958083868E-11</v>
      </c>
      <c r="T420" s="600"/>
      <c r="U420" s="597">
        <f t="shared" si="48"/>
        <v>3329216.2</v>
      </c>
      <c r="V420" s="589"/>
      <c r="W420" s="600"/>
      <c r="X420" s="601"/>
      <c r="Y420" s="601"/>
      <c r="Z420" s="601"/>
    </row>
    <row r="421" spans="1:32" s="75" customFormat="1" hidden="1">
      <c r="A421" s="591">
        <f t="shared" si="53"/>
        <v>339</v>
      </c>
      <c r="B421" s="616" t="s">
        <v>787</v>
      </c>
      <c r="C421" s="617" t="s">
        <v>271</v>
      </c>
      <c r="D421" s="594">
        <v>9853</v>
      </c>
      <c r="E421" s="593">
        <v>2018</v>
      </c>
      <c r="F421" s="593" t="s">
        <v>233</v>
      </c>
      <c r="G421" s="622">
        <v>508</v>
      </c>
      <c r="H421" s="608">
        <v>9</v>
      </c>
      <c r="I421" s="608">
        <v>1</v>
      </c>
      <c r="J421" s="608">
        <v>52</v>
      </c>
      <c r="K421" s="679" t="s">
        <v>33</v>
      </c>
      <c r="L421" s="595">
        <f t="shared" si="52"/>
        <v>1064650.3999999999</v>
      </c>
      <c r="M421" s="585">
        <v>1061466</v>
      </c>
      <c r="N421" s="586"/>
      <c r="O421" s="598">
        <v>3184.4</v>
      </c>
      <c r="P421" s="586"/>
      <c r="Q421" s="586"/>
      <c r="R421" s="582">
        <f>M421/G421</f>
        <v>2089.5</v>
      </c>
      <c r="S421" s="586">
        <f t="shared" si="49"/>
        <v>-9.3223206931725144E-11</v>
      </c>
      <c r="T421" s="600"/>
      <c r="U421" s="597">
        <f t="shared" si="48"/>
        <v>1064650.3999999999</v>
      </c>
      <c r="V421" s="589"/>
      <c r="W421" s="600"/>
      <c r="X421" s="601"/>
      <c r="Y421" s="601"/>
      <c r="Z421" s="601"/>
    </row>
    <row r="422" spans="1:32" s="75" customFormat="1" ht="37.5" hidden="1">
      <c r="A422" s="591">
        <f t="shared" si="53"/>
        <v>340</v>
      </c>
      <c r="B422" s="616" t="s">
        <v>788</v>
      </c>
      <c r="C422" s="617" t="s">
        <v>271</v>
      </c>
      <c r="D422" s="594">
        <v>9880</v>
      </c>
      <c r="E422" s="593">
        <v>2018</v>
      </c>
      <c r="F422" s="593" t="s">
        <v>233</v>
      </c>
      <c r="G422" s="622">
        <v>508</v>
      </c>
      <c r="H422" s="608">
        <v>9</v>
      </c>
      <c r="I422" s="608">
        <v>1</v>
      </c>
      <c r="J422" s="608">
        <v>52</v>
      </c>
      <c r="K422" s="610" t="s">
        <v>30</v>
      </c>
      <c r="L422" s="595">
        <f t="shared" si="52"/>
        <v>1148539.9300000002</v>
      </c>
      <c r="M422" s="585">
        <v>1143572.8900000001</v>
      </c>
      <c r="N422" s="586"/>
      <c r="O422" s="598">
        <v>4967.04</v>
      </c>
      <c r="P422" s="586"/>
      <c r="Q422" s="586"/>
      <c r="R422" s="582">
        <f>M422/J422</f>
        <v>21991.786346153847</v>
      </c>
      <c r="S422" s="586">
        <f t="shared" si="49"/>
        <v>3.7289282772690058E-11</v>
      </c>
      <c r="T422" s="600"/>
      <c r="U422" s="597">
        <f t="shared" si="48"/>
        <v>1148539.9300000002</v>
      </c>
      <c r="V422" s="589"/>
      <c r="W422" s="600"/>
      <c r="X422" s="601"/>
      <c r="Y422" s="601"/>
      <c r="Z422" s="601"/>
    </row>
    <row r="423" spans="1:32" s="246" customFormat="1" ht="37.5" hidden="1">
      <c r="A423" s="1349">
        <f>A422+1</f>
        <v>341</v>
      </c>
      <c r="B423" s="592" t="s">
        <v>789</v>
      </c>
      <c r="C423" s="602" t="s">
        <v>271</v>
      </c>
      <c r="D423" s="582">
        <v>4812</v>
      </c>
      <c r="E423" s="582">
        <v>432</v>
      </c>
      <c r="F423" s="643" t="s">
        <v>230</v>
      </c>
      <c r="G423" s="582">
        <v>579.29999999999995</v>
      </c>
      <c r="H423" s="710">
        <v>3</v>
      </c>
      <c r="I423" s="602">
        <v>2</v>
      </c>
      <c r="J423" s="582">
        <v>10</v>
      </c>
      <c r="K423" s="606" t="s">
        <v>30</v>
      </c>
      <c r="L423" s="1357">
        <f>M423+N423+O423+P423+Q423+M424+N424+O424+P424+Q424</f>
        <v>782349.3</v>
      </c>
      <c r="M423" s="585">
        <v>378100</v>
      </c>
      <c r="N423" s="586"/>
      <c r="O423" s="587">
        <v>1134.3</v>
      </c>
      <c r="P423" s="586"/>
      <c r="Q423" s="586"/>
      <c r="R423" s="582">
        <f>M423/J423</f>
        <v>37810</v>
      </c>
      <c r="S423" s="586">
        <f t="shared" si="49"/>
        <v>403115.00000000006</v>
      </c>
      <c r="T423" s="588"/>
      <c r="U423" s="597">
        <f t="shared" si="48"/>
        <v>379234.3</v>
      </c>
      <c r="V423" s="589"/>
      <c r="W423" s="600"/>
      <c r="X423" s="591"/>
      <c r="Y423" s="589"/>
      <c r="Z423" s="589"/>
      <c r="AA423" s="72"/>
      <c r="AC423" s="36"/>
      <c r="AD423" s="14"/>
      <c r="AF423" s="72"/>
    </row>
    <row r="424" spans="1:32" s="246" customFormat="1" hidden="1">
      <c r="A424" s="1349"/>
      <c r="B424" s="592"/>
      <c r="C424" s="602"/>
      <c r="D424" s="582"/>
      <c r="E424" s="582"/>
      <c r="F424" s="643"/>
      <c r="G424" s="582"/>
      <c r="H424" s="710"/>
      <c r="I424" s="602"/>
      <c r="J424" s="582"/>
      <c r="K424" s="610" t="s">
        <v>224</v>
      </c>
      <c r="L424" s="1357"/>
      <c r="M424" s="585">
        <v>368150</v>
      </c>
      <c r="N424" s="586">
        <v>34965</v>
      </c>
      <c r="O424" s="587"/>
      <c r="P424" s="586"/>
      <c r="Q424" s="586"/>
      <c r="R424" s="582">
        <f>M424/J423</f>
        <v>36815</v>
      </c>
      <c r="S424" s="586">
        <f t="shared" si="49"/>
        <v>-403115</v>
      </c>
      <c r="T424" s="588"/>
      <c r="U424" s="597">
        <f t="shared" si="48"/>
        <v>403115</v>
      </c>
      <c r="V424" s="589"/>
      <c r="W424" s="600"/>
      <c r="X424" s="591"/>
      <c r="Y424" s="589"/>
      <c r="Z424" s="589"/>
      <c r="AA424" s="72"/>
      <c r="AC424" s="36"/>
      <c r="AD424" s="14"/>
      <c r="AF424" s="72"/>
    </row>
    <row r="425" spans="1:32" s="78" customFormat="1" hidden="1">
      <c r="A425" s="591">
        <f>A423+1</f>
        <v>342</v>
      </c>
      <c r="B425" s="592" t="s">
        <v>790</v>
      </c>
      <c r="C425" s="593" t="s">
        <v>221</v>
      </c>
      <c r="D425" s="594">
        <v>15919</v>
      </c>
      <c r="E425" s="594">
        <v>2210</v>
      </c>
      <c r="F425" s="594" t="s">
        <v>230</v>
      </c>
      <c r="G425" s="594">
        <v>1667.6</v>
      </c>
      <c r="H425" s="594">
        <v>4</v>
      </c>
      <c r="I425" s="594">
        <v>5</v>
      </c>
      <c r="J425" s="594">
        <v>42</v>
      </c>
      <c r="K425" s="590" t="s">
        <v>33</v>
      </c>
      <c r="L425" s="595">
        <f>M425+N425+O425+P425+Q425+M426+N426+O426+P426+Q426</f>
        <v>13656514.85</v>
      </c>
      <c r="M425" s="596">
        <v>5330983.58</v>
      </c>
      <c r="N425" s="597"/>
      <c r="O425" s="587">
        <v>15928.92</v>
      </c>
      <c r="P425" s="597"/>
      <c r="Q425" s="597"/>
      <c r="R425" s="582">
        <f>M425/G425</f>
        <v>3196.7999400335816</v>
      </c>
      <c r="S425" s="586">
        <f t="shared" si="49"/>
        <v>8309602.3499999996</v>
      </c>
      <c r="T425" s="588"/>
      <c r="U425" s="597">
        <f t="shared" si="48"/>
        <v>5346912.5</v>
      </c>
      <c r="V425" s="589"/>
      <c r="W425" s="600"/>
      <c r="X425" s="709"/>
      <c r="Y425" s="709"/>
      <c r="Z425" s="709"/>
    </row>
    <row r="426" spans="1:32" s="78" customFormat="1" hidden="1">
      <c r="A426" s="591"/>
      <c r="B426" s="592"/>
      <c r="C426" s="593"/>
      <c r="D426" s="594"/>
      <c r="E426" s="594"/>
      <c r="F426" s="594"/>
      <c r="G426" s="594"/>
      <c r="H426" s="594"/>
      <c r="I426" s="594"/>
      <c r="J426" s="594"/>
      <c r="K426" s="590" t="s">
        <v>38</v>
      </c>
      <c r="L426" s="595"/>
      <c r="M426" s="596">
        <f>4194801.1+4114801.25</f>
        <v>8309602.3499999996</v>
      </c>
      <c r="N426" s="597"/>
      <c r="O426" s="587"/>
      <c r="P426" s="597"/>
      <c r="Q426" s="597"/>
      <c r="R426" s="582">
        <f>M426/E425</f>
        <v>3760.0010633484162</v>
      </c>
      <c r="S426" s="586"/>
      <c r="T426" s="588"/>
      <c r="U426" s="597">
        <f t="shared" si="48"/>
        <v>8309602.3499999996</v>
      </c>
      <c r="V426" s="589"/>
      <c r="W426" s="600"/>
      <c r="X426" s="709"/>
      <c r="Y426" s="709"/>
      <c r="Z426" s="709"/>
    </row>
    <row r="427" spans="1:32" s="75" customFormat="1" hidden="1">
      <c r="A427" s="591">
        <f>A425+1</f>
        <v>343</v>
      </c>
      <c r="B427" s="592" t="s">
        <v>791</v>
      </c>
      <c r="C427" s="593" t="s">
        <v>271</v>
      </c>
      <c r="D427" s="582">
        <v>20379</v>
      </c>
      <c r="E427" s="646">
        <v>2900</v>
      </c>
      <c r="F427" s="582" t="s">
        <v>233</v>
      </c>
      <c r="G427" s="582">
        <v>896</v>
      </c>
      <c r="H427" s="582">
        <v>9</v>
      </c>
      <c r="I427" s="582">
        <v>2</v>
      </c>
      <c r="J427" s="582">
        <v>108</v>
      </c>
      <c r="K427" s="606" t="s">
        <v>33</v>
      </c>
      <c r="L427" s="595">
        <f>M427+N427+O427+P427+Q427</f>
        <v>1663448.26</v>
      </c>
      <c r="M427" s="623">
        <v>1653776.86</v>
      </c>
      <c r="N427" s="586"/>
      <c r="O427" s="587">
        <v>9671.4</v>
      </c>
      <c r="P427" s="586"/>
      <c r="Q427" s="586"/>
      <c r="R427" s="582">
        <f>M427/G427</f>
        <v>1845.7331026785716</v>
      </c>
      <c r="S427" s="586">
        <f t="shared" ref="S427:S459" si="54">L427-M427-N427-O427-P427-Q427</f>
        <v>-9.276845958083868E-11</v>
      </c>
      <c r="T427" s="600"/>
      <c r="U427" s="597">
        <f t="shared" si="48"/>
        <v>1663448.26</v>
      </c>
      <c r="V427" s="589"/>
      <c r="W427" s="600"/>
      <c r="X427" s="601"/>
      <c r="Y427" s="601"/>
      <c r="Z427" s="601"/>
    </row>
    <row r="428" spans="1:32" s="75" customFormat="1" ht="37.5" hidden="1">
      <c r="A428" s="591">
        <f t="shared" ref="A428:A438" si="55">A427+1</f>
        <v>344</v>
      </c>
      <c r="B428" s="592" t="s">
        <v>792</v>
      </c>
      <c r="C428" s="602" t="s">
        <v>217</v>
      </c>
      <c r="D428" s="561">
        <v>31774</v>
      </c>
      <c r="E428" s="561">
        <v>5560</v>
      </c>
      <c r="F428" s="561" t="s">
        <v>233</v>
      </c>
      <c r="G428" s="561">
        <v>1381</v>
      </c>
      <c r="H428" s="582">
        <v>9</v>
      </c>
      <c r="I428" s="582">
        <v>4</v>
      </c>
      <c r="J428" s="561">
        <v>144</v>
      </c>
      <c r="K428" s="606" t="s">
        <v>366</v>
      </c>
      <c r="L428" s="595">
        <f>M428+N428+O428+P428+Q428</f>
        <v>4085718.75</v>
      </c>
      <c r="M428" s="585">
        <v>3980000</v>
      </c>
      <c r="N428" s="586">
        <v>105718.75</v>
      </c>
      <c r="O428" s="565"/>
      <c r="P428" s="564"/>
      <c r="Q428" s="586"/>
      <c r="R428" s="582">
        <v>2000000</v>
      </c>
      <c r="S428" s="586">
        <f t="shared" si="54"/>
        <v>0</v>
      </c>
      <c r="T428" s="600"/>
      <c r="U428" s="597">
        <f t="shared" si="48"/>
        <v>4085718.75</v>
      </c>
      <c r="V428" s="589"/>
      <c r="W428" s="600"/>
      <c r="X428" s="601"/>
      <c r="Y428" s="601"/>
      <c r="Z428" s="601"/>
    </row>
    <row r="429" spans="1:32" s="75" customFormat="1" ht="37.5" hidden="1">
      <c r="A429" s="591">
        <f t="shared" si="55"/>
        <v>345</v>
      </c>
      <c r="B429" s="592" t="s">
        <v>793</v>
      </c>
      <c r="C429" s="593" t="s">
        <v>217</v>
      </c>
      <c r="D429" s="603">
        <v>12593</v>
      </c>
      <c r="E429" s="594">
        <v>2547.6999999999998</v>
      </c>
      <c r="F429" s="643" t="s">
        <v>233</v>
      </c>
      <c r="G429" s="603">
        <v>412</v>
      </c>
      <c r="H429" s="609">
        <v>12</v>
      </c>
      <c r="I429" s="609">
        <v>1</v>
      </c>
      <c r="J429" s="609">
        <v>48</v>
      </c>
      <c r="K429" s="590" t="s">
        <v>366</v>
      </c>
      <c r="L429" s="595">
        <f>M429+N429+O429+P429+Q429</f>
        <v>4483718.75</v>
      </c>
      <c r="M429" s="611">
        <v>4378000</v>
      </c>
      <c r="N429" s="612">
        <v>105718.75</v>
      </c>
      <c r="O429" s="613"/>
      <c r="P429" s="586"/>
      <c r="Q429" s="614"/>
      <c r="R429" s="582">
        <v>2200000</v>
      </c>
      <c r="S429" s="586">
        <f t="shared" si="54"/>
        <v>0</v>
      </c>
      <c r="T429" s="600"/>
      <c r="U429" s="597">
        <f t="shared" si="48"/>
        <v>4483718.75</v>
      </c>
      <c r="V429" s="589"/>
      <c r="W429" s="600"/>
      <c r="X429" s="601"/>
      <c r="Y429" s="601"/>
      <c r="Z429" s="601"/>
    </row>
    <row r="430" spans="1:32" s="75" customFormat="1" hidden="1">
      <c r="A430" s="591">
        <f t="shared" si="55"/>
        <v>346</v>
      </c>
      <c r="B430" s="592" t="s">
        <v>794</v>
      </c>
      <c r="C430" s="617" t="s">
        <v>217</v>
      </c>
      <c r="D430" s="618">
        <v>16094</v>
      </c>
      <c r="E430" s="619">
        <v>3142</v>
      </c>
      <c r="F430" s="620" t="s">
        <v>233</v>
      </c>
      <c r="G430" s="620">
        <v>686</v>
      </c>
      <c r="H430" s="651">
        <v>9</v>
      </c>
      <c r="I430" s="620">
        <v>2</v>
      </c>
      <c r="J430" s="620">
        <v>72</v>
      </c>
      <c r="K430" s="590" t="s">
        <v>33</v>
      </c>
      <c r="L430" s="595">
        <f>M430+N430+O430+P430+Q430</f>
        <v>1173424.0299999998</v>
      </c>
      <c r="M430" s="596">
        <v>1169123.8399999999</v>
      </c>
      <c r="N430" s="586"/>
      <c r="O430" s="598">
        <v>4300.1899999999996</v>
      </c>
      <c r="P430" s="597"/>
      <c r="Q430" s="597"/>
      <c r="R430" s="582">
        <f>M430/G430</f>
        <v>1704.2621574344021</v>
      </c>
      <c r="S430" s="586">
        <f t="shared" si="54"/>
        <v>-5.5479176808148623E-11</v>
      </c>
      <c r="T430" s="600"/>
      <c r="U430" s="597">
        <f t="shared" si="48"/>
        <v>1173424.0299999998</v>
      </c>
      <c r="V430" s="589"/>
      <c r="W430" s="600"/>
      <c r="X430" s="601"/>
      <c r="Y430" s="601"/>
      <c r="Z430" s="601"/>
    </row>
    <row r="431" spans="1:32" s="517" customFormat="1" ht="37.5" hidden="1">
      <c r="A431" s="1347">
        <f t="shared" si="55"/>
        <v>347</v>
      </c>
      <c r="B431" s="581" t="s">
        <v>795</v>
      </c>
      <c r="C431" s="1387" t="s">
        <v>271</v>
      </c>
      <c r="D431" s="1375">
        <v>21022</v>
      </c>
      <c r="E431" s="1385">
        <v>2133</v>
      </c>
      <c r="F431" s="1375" t="s">
        <v>233</v>
      </c>
      <c r="G431" s="1375">
        <v>856.5</v>
      </c>
      <c r="H431" s="1375">
        <v>9</v>
      </c>
      <c r="I431" s="1375">
        <v>1</v>
      </c>
      <c r="J431" s="1375">
        <v>119</v>
      </c>
      <c r="K431" s="606" t="s">
        <v>30</v>
      </c>
      <c r="L431" s="1357">
        <f>M431+N431+O431+P431+Q431+M432+N432+O432+P432+Q432</f>
        <v>6238064.4299999997</v>
      </c>
      <c r="M431" s="627">
        <v>3704804.86</v>
      </c>
      <c r="N431" s="586"/>
      <c r="O431" s="587">
        <v>11366.88</v>
      </c>
      <c r="P431" s="586"/>
      <c r="Q431" s="586"/>
      <c r="R431" s="582">
        <f>M431/J431</f>
        <v>31132.813949579831</v>
      </c>
      <c r="S431" s="586">
        <f t="shared" si="54"/>
        <v>2521892.69</v>
      </c>
      <c r="T431" s="588"/>
      <c r="U431" s="597">
        <f t="shared" si="48"/>
        <v>3716171.7399999998</v>
      </c>
      <c r="V431" s="589"/>
      <c r="W431" s="600"/>
      <c r="X431" s="589"/>
      <c r="Y431" s="647"/>
      <c r="Z431" s="648"/>
      <c r="AA431" s="36"/>
      <c r="AB431" s="14"/>
      <c r="AC431" s="246"/>
      <c r="AD431" s="72"/>
    </row>
    <row r="432" spans="1:32" s="517" customFormat="1" hidden="1">
      <c r="A432" s="1347"/>
      <c r="B432" s="581"/>
      <c r="C432" s="1387"/>
      <c r="D432" s="1375"/>
      <c r="E432" s="1385"/>
      <c r="F432" s="1375"/>
      <c r="G432" s="1375"/>
      <c r="H432" s="1375"/>
      <c r="I432" s="1375"/>
      <c r="J432" s="1375"/>
      <c r="K432" s="610" t="s">
        <v>224</v>
      </c>
      <c r="L432" s="1357"/>
      <c r="M432" s="627">
        <v>2476937.69</v>
      </c>
      <c r="N432" s="586">
        <v>44955</v>
      </c>
      <c r="O432" s="587"/>
      <c r="P432" s="586"/>
      <c r="Q432" s="586"/>
      <c r="R432" s="582">
        <f>M432/J431</f>
        <v>20814.60243697479</v>
      </c>
      <c r="S432" s="586">
        <f t="shared" si="54"/>
        <v>-2521892.69</v>
      </c>
      <c r="T432" s="588"/>
      <c r="U432" s="597">
        <f t="shared" si="48"/>
        <v>2521892.69</v>
      </c>
      <c r="V432" s="589"/>
      <c r="W432" s="600"/>
      <c r="X432" s="589"/>
      <c r="Y432" s="647"/>
      <c r="Z432" s="648"/>
      <c r="AA432" s="36"/>
      <c r="AB432" s="14"/>
      <c r="AC432" s="246"/>
      <c r="AD432" s="72"/>
    </row>
    <row r="433" spans="1:26" hidden="1">
      <c r="A433" s="591">
        <f>A431+1</f>
        <v>348</v>
      </c>
      <c r="B433" s="581" t="s">
        <v>796</v>
      </c>
      <c r="C433" s="700" t="s">
        <v>271</v>
      </c>
      <c r="D433" s="582">
        <v>25160</v>
      </c>
      <c r="E433" s="646">
        <v>1835.6</v>
      </c>
      <c r="F433" s="582" t="s">
        <v>233</v>
      </c>
      <c r="G433" s="582">
        <v>895.5</v>
      </c>
      <c r="H433" s="582">
        <v>9</v>
      </c>
      <c r="I433" s="582">
        <v>1</v>
      </c>
      <c r="J433" s="582">
        <v>97</v>
      </c>
      <c r="K433" s="606" t="s">
        <v>33</v>
      </c>
      <c r="L433" s="595">
        <f t="shared" ref="L433:L438" si="56">M433+N433+O433+P433+Q433</f>
        <v>1885975.39</v>
      </c>
      <c r="M433" s="627">
        <v>1880361.95</v>
      </c>
      <c r="N433" s="586"/>
      <c r="O433" s="587">
        <v>5613.44</v>
      </c>
      <c r="P433" s="586"/>
      <c r="Q433" s="586"/>
      <c r="R433" s="582">
        <f>M433/G433</f>
        <v>2099.790005583473</v>
      </c>
      <c r="S433" s="586">
        <f t="shared" si="54"/>
        <v>-5.5479176808148623E-11</v>
      </c>
      <c r="T433" s="588"/>
      <c r="U433" s="597">
        <f t="shared" si="48"/>
        <v>1885975.39</v>
      </c>
      <c r="V433" s="589"/>
      <c r="W433" s="600"/>
    </row>
    <row r="434" spans="1:26" s="75" customFormat="1" ht="37.5" hidden="1">
      <c r="A434" s="591">
        <f t="shared" si="55"/>
        <v>349</v>
      </c>
      <c r="B434" s="592" t="s">
        <v>797</v>
      </c>
      <c r="C434" s="593" t="s">
        <v>217</v>
      </c>
      <c r="D434" s="603">
        <v>15776</v>
      </c>
      <c r="E434" s="594">
        <v>2978.6</v>
      </c>
      <c r="F434" s="643" t="s">
        <v>233</v>
      </c>
      <c r="G434" s="603">
        <v>683</v>
      </c>
      <c r="H434" s="609">
        <v>9</v>
      </c>
      <c r="I434" s="609">
        <v>2</v>
      </c>
      <c r="J434" s="609">
        <v>72</v>
      </c>
      <c r="K434" s="590" t="s">
        <v>366</v>
      </c>
      <c r="L434" s="595">
        <f t="shared" si="56"/>
        <v>4085718.75</v>
      </c>
      <c r="M434" s="611">
        <v>3980000</v>
      </c>
      <c r="N434" s="612">
        <v>105718.75</v>
      </c>
      <c r="O434" s="613"/>
      <c r="P434" s="586"/>
      <c r="Q434" s="614"/>
      <c r="R434" s="582">
        <v>2000000</v>
      </c>
      <c r="S434" s="586">
        <f t="shared" si="54"/>
        <v>0</v>
      </c>
      <c r="T434" s="600"/>
      <c r="U434" s="597">
        <f t="shared" si="48"/>
        <v>4085718.75</v>
      </c>
      <c r="V434" s="589"/>
      <c r="W434" s="600"/>
      <c r="X434" s="601"/>
      <c r="Y434" s="601"/>
      <c r="Z434" s="601"/>
    </row>
    <row r="435" spans="1:26" s="75" customFormat="1" ht="37.5" hidden="1">
      <c r="A435" s="591">
        <f t="shared" si="55"/>
        <v>350</v>
      </c>
      <c r="B435" s="581" t="s">
        <v>798</v>
      </c>
      <c r="C435" s="602" t="s">
        <v>217</v>
      </c>
      <c r="D435" s="561">
        <v>32576</v>
      </c>
      <c r="E435" s="646">
        <v>5393.6</v>
      </c>
      <c r="F435" s="561" t="s">
        <v>233</v>
      </c>
      <c r="G435" s="561">
        <v>1397</v>
      </c>
      <c r="H435" s="582">
        <v>9</v>
      </c>
      <c r="I435" s="582">
        <v>4</v>
      </c>
      <c r="J435" s="561">
        <v>144</v>
      </c>
      <c r="K435" s="606" t="s">
        <v>366</v>
      </c>
      <c r="L435" s="595">
        <f t="shared" si="56"/>
        <v>8108006.25</v>
      </c>
      <c r="M435" s="585">
        <v>7960000</v>
      </c>
      <c r="N435" s="586">
        <v>148006.25</v>
      </c>
      <c r="O435" s="565"/>
      <c r="P435" s="564"/>
      <c r="Q435" s="586"/>
      <c r="R435" s="582">
        <v>2000000</v>
      </c>
      <c r="S435" s="586">
        <f t="shared" si="54"/>
        <v>0</v>
      </c>
      <c r="T435" s="600"/>
      <c r="U435" s="597">
        <f t="shared" si="48"/>
        <v>8108006.25</v>
      </c>
      <c r="V435" s="589"/>
      <c r="W435" s="600"/>
      <c r="X435" s="601"/>
      <c r="Y435" s="601"/>
      <c r="Z435" s="601"/>
    </row>
    <row r="436" spans="1:26" s="75" customFormat="1" ht="37.5" hidden="1">
      <c r="A436" s="591">
        <f t="shared" si="55"/>
        <v>351</v>
      </c>
      <c r="B436" s="581" t="s">
        <v>799</v>
      </c>
      <c r="C436" s="593" t="s">
        <v>217</v>
      </c>
      <c r="D436" s="603">
        <v>16400</v>
      </c>
      <c r="E436" s="594">
        <v>3048</v>
      </c>
      <c r="F436" s="643" t="s">
        <v>233</v>
      </c>
      <c r="G436" s="603">
        <v>685</v>
      </c>
      <c r="H436" s="609">
        <v>9</v>
      </c>
      <c r="I436" s="609">
        <v>2</v>
      </c>
      <c r="J436" s="609">
        <v>72</v>
      </c>
      <c r="K436" s="590" t="s">
        <v>366</v>
      </c>
      <c r="L436" s="595">
        <f t="shared" si="56"/>
        <v>4085718.75</v>
      </c>
      <c r="M436" s="611">
        <v>3980000</v>
      </c>
      <c r="N436" s="612">
        <v>105718.75</v>
      </c>
      <c r="O436" s="613"/>
      <c r="P436" s="586"/>
      <c r="Q436" s="614"/>
      <c r="R436" s="582">
        <v>2000000</v>
      </c>
      <c r="S436" s="586">
        <f t="shared" si="54"/>
        <v>0</v>
      </c>
      <c r="T436" s="600"/>
      <c r="U436" s="597">
        <f t="shared" si="48"/>
        <v>4085718.75</v>
      </c>
      <c r="V436" s="589"/>
      <c r="W436" s="600"/>
      <c r="X436" s="601"/>
      <c r="Y436" s="601"/>
      <c r="Z436" s="601"/>
    </row>
    <row r="437" spans="1:26" s="75" customFormat="1" ht="37.5" hidden="1">
      <c r="A437" s="591">
        <f t="shared" si="55"/>
        <v>352</v>
      </c>
      <c r="B437" s="581" t="s">
        <v>3749</v>
      </c>
      <c r="C437" s="593" t="s">
        <v>217</v>
      </c>
      <c r="D437" s="603">
        <v>30750</v>
      </c>
      <c r="E437" s="594">
        <v>6510</v>
      </c>
      <c r="F437" s="643" t="s">
        <v>233</v>
      </c>
      <c r="G437" s="603">
        <v>1500</v>
      </c>
      <c r="H437" s="609">
        <v>9</v>
      </c>
      <c r="I437" s="609">
        <v>4</v>
      </c>
      <c r="J437" s="609">
        <v>144</v>
      </c>
      <c r="K437" s="590" t="s">
        <v>366</v>
      </c>
      <c r="L437" s="595">
        <f t="shared" si="56"/>
        <v>8100568.75</v>
      </c>
      <c r="M437" s="611">
        <v>7960000</v>
      </c>
      <c r="N437" s="612">
        <v>140568.75</v>
      </c>
      <c r="O437" s="613"/>
      <c r="P437" s="586"/>
      <c r="Q437" s="614"/>
      <c r="R437" s="582">
        <v>2000000</v>
      </c>
      <c r="S437" s="586">
        <f t="shared" si="54"/>
        <v>0</v>
      </c>
      <c r="T437" s="600"/>
      <c r="U437" s="597">
        <f t="shared" si="48"/>
        <v>8100568.75</v>
      </c>
      <c r="V437" s="589"/>
      <c r="W437" s="600"/>
      <c r="X437" s="601"/>
      <c r="Y437" s="601"/>
      <c r="Z437" s="601"/>
    </row>
    <row r="438" spans="1:26" s="75" customFormat="1" hidden="1">
      <c r="A438" s="591">
        <f t="shared" si="55"/>
        <v>353</v>
      </c>
      <c r="B438" s="581" t="s">
        <v>3768</v>
      </c>
      <c r="C438" s="593" t="s">
        <v>271</v>
      </c>
      <c r="D438" s="603">
        <v>19172</v>
      </c>
      <c r="E438" s="594">
        <v>2495</v>
      </c>
      <c r="F438" s="643" t="s">
        <v>222</v>
      </c>
      <c r="G438" s="603">
        <v>1028.7</v>
      </c>
      <c r="H438" s="609">
        <v>5</v>
      </c>
      <c r="I438" s="609">
        <v>3</v>
      </c>
      <c r="J438" s="609">
        <v>48</v>
      </c>
      <c r="K438" s="590" t="s">
        <v>224</v>
      </c>
      <c r="L438" s="595">
        <f t="shared" si="56"/>
        <v>799142</v>
      </c>
      <c r="M438" s="611">
        <v>760320</v>
      </c>
      <c r="N438" s="612">
        <v>24542</v>
      </c>
      <c r="O438" s="613"/>
      <c r="P438" s="586"/>
      <c r="Q438" s="614">
        <v>14280</v>
      </c>
      <c r="R438" s="582">
        <f>M438/J438</f>
        <v>15840</v>
      </c>
      <c r="S438" s="586">
        <f t="shared" si="54"/>
        <v>0</v>
      </c>
      <c r="T438" s="600"/>
      <c r="U438" s="597">
        <f t="shared" si="48"/>
        <v>799142</v>
      </c>
      <c r="V438" s="589"/>
      <c r="W438" s="600"/>
      <c r="X438" s="601"/>
      <c r="Y438" s="601"/>
      <c r="Z438" s="601"/>
    </row>
    <row r="439" spans="1:26" s="75" customFormat="1" hidden="1">
      <c r="A439" s="1347">
        <f>A438+1</f>
        <v>354</v>
      </c>
      <c r="B439" s="1370" t="s">
        <v>1466</v>
      </c>
      <c r="C439" s="593" t="s">
        <v>217</v>
      </c>
      <c r="D439" s="603">
        <v>12304</v>
      </c>
      <c r="E439" s="594">
        <v>2125</v>
      </c>
      <c r="F439" s="643" t="s">
        <v>222</v>
      </c>
      <c r="G439" s="603">
        <v>1237.5</v>
      </c>
      <c r="H439" s="609">
        <v>5</v>
      </c>
      <c r="I439" s="609">
        <v>4</v>
      </c>
      <c r="J439" s="609">
        <v>80</v>
      </c>
      <c r="K439" s="590" t="s">
        <v>33</v>
      </c>
      <c r="L439" s="1357">
        <f>M439+N439+O439+Q439+N440+O440+Q440+N441+O441+Q441+M440+M441</f>
        <v>6000429</v>
      </c>
      <c r="M439" s="611">
        <v>3920400</v>
      </c>
      <c r="N439" s="661"/>
      <c r="O439" s="711">
        <v>6503</v>
      </c>
      <c r="P439" s="630"/>
      <c r="Q439" s="706">
        <v>38126</v>
      </c>
      <c r="R439" s="582">
        <f>M439/G439</f>
        <v>3168</v>
      </c>
      <c r="S439" s="586">
        <f t="shared" si="54"/>
        <v>2035400</v>
      </c>
      <c r="T439" s="600"/>
      <c r="U439" s="597">
        <f t="shared" si="48"/>
        <v>3965029</v>
      </c>
      <c r="V439" s="589"/>
      <c r="W439" s="600"/>
      <c r="X439" s="601"/>
      <c r="Y439" s="601"/>
      <c r="Z439" s="601"/>
    </row>
    <row r="440" spans="1:26" s="75" customFormat="1" hidden="1">
      <c r="A440" s="1347"/>
      <c r="B440" s="1370"/>
      <c r="C440" s="593"/>
      <c r="D440" s="603"/>
      <c r="E440" s="597"/>
      <c r="F440" s="643"/>
      <c r="G440" s="603"/>
      <c r="H440" s="609"/>
      <c r="I440" s="609"/>
      <c r="J440" s="609"/>
      <c r="K440" s="590" t="s">
        <v>224</v>
      </c>
      <c r="L440" s="1357"/>
      <c r="M440" s="611">
        <v>1386000</v>
      </c>
      <c r="N440" s="661">
        <v>21949</v>
      </c>
      <c r="O440" s="711"/>
      <c r="P440" s="630"/>
      <c r="Q440" s="706">
        <v>20000</v>
      </c>
      <c r="R440" s="582">
        <f>M440/J439</f>
        <v>17325</v>
      </c>
      <c r="S440" s="586">
        <f t="shared" si="54"/>
        <v>-1427949</v>
      </c>
      <c r="T440" s="600"/>
      <c r="U440" s="597">
        <f t="shared" si="48"/>
        <v>1427949</v>
      </c>
      <c r="V440" s="589"/>
      <c r="W440" s="600"/>
      <c r="X440" s="601"/>
      <c r="Y440" s="601"/>
      <c r="Z440" s="601"/>
    </row>
    <row r="441" spans="1:26" s="75" customFormat="1" ht="37.5" hidden="1">
      <c r="A441" s="1347"/>
      <c r="B441" s="1370"/>
      <c r="C441" s="593"/>
      <c r="D441" s="603"/>
      <c r="E441" s="594"/>
      <c r="F441" s="643"/>
      <c r="G441" s="603"/>
      <c r="H441" s="609"/>
      <c r="I441" s="609"/>
      <c r="J441" s="609"/>
      <c r="K441" s="590" t="s">
        <v>3717</v>
      </c>
      <c r="L441" s="1357"/>
      <c r="M441" s="611">
        <v>594000</v>
      </c>
      <c r="N441" s="661"/>
      <c r="O441" s="711">
        <v>6503</v>
      </c>
      <c r="P441" s="630"/>
      <c r="Q441" s="706">
        <v>6948</v>
      </c>
      <c r="R441" s="582">
        <f>M441/G439</f>
        <v>480</v>
      </c>
      <c r="S441" s="586">
        <f t="shared" si="54"/>
        <v>-607451</v>
      </c>
      <c r="T441" s="600"/>
      <c r="U441" s="597">
        <f t="shared" si="48"/>
        <v>607451</v>
      </c>
      <c r="V441" s="589"/>
      <c r="W441" s="600"/>
      <c r="X441" s="601"/>
      <c r="Y441" s="601"/>
      <c r="Z441" s="601"/>
    </row>
    <row r="442" spans="1:26" s="75" customFormat="1" hidden="1">
      <c r="A442" s="591">
        <f>A439+1</f>
        <v>355</v>
      </c>
      <c r="B442" s="581" t="s">
        <v>3767</v>
      </c>
      <c r="C442" s="593" t="s">
        <v>271</v>
      </c>
      <c r="D442" s="603">
        <v>20474</v>
      </c>
      <c r="E442" s="594">
        <v>1300</v>
      </c>
      <c r="F442" s="643" t="s">
        <v>233</v>
      </c>
      <c r="G442" s="603">
        <v>613</v>
      </c>
      <c r="H442" s="609">
        <v>12</v>
      </c>
      <c r="I442" s="609">
        <v>1</v>
      </c>
      <c r="J442" s="609">
        <v>77</v>
      </c>
      <c r="K442" s="590" t="s">
        <v>224</v>
      </c>
      <c r="L442" s="595">
        <f t="shared" ref="L442:L448" si="57">M442+N442+O442+P442+Q442</f>
        <v>1685530</v>
      </c>
      <c r="M442" s="611">
        <v>1685530</v>
      </c>
      <c r="N442" s="612"/>
      <c r="O442" s="613"/>
      <c r="P442" s="586"/>
      <c r="Q442" s="614"/>
      <c r="R442" s="582">
        <f>M442/J442</f>
        <v>21890</v>
      </c>
      <c r="S442" s="586">
        <f t="shared" si="54"/>
        <v>0</v>
      </c>
      <c r="T442" s="600" t="s">
        <v>3813</v>
      </c>
      <c r="U442" s="597">
        <f t="shared" si="48"/>
        <v>1685530</v>
      </c>
      <c r="V442" s="589"/>
      <c r="W442" s="600"/>
      <c r="X442" s="601"/>
      <c r="Y442" s="601"/>
      <c r="Z442" s="601"/>
    </row>
    <row r="443" spans="1:26" s="75" customFormat="1" hidden="1">
      <c r="A443" s="591">
        <f>A442+1</f>
        <v>356</v>
      </c>
      <c r="B443" s="581" t="s">
        <v>3763</v>
      </c>
      <c r="C443" s="593" t="s">
        <v>271</v>
      </c>
      <c r="D443" s="603">
        <v>6456</v>
      </c>
      <c r="E443" s="594">
        <v>1204</v>
      </c>
      <c r="F443" s="643" t="s">
        <v>222</v>
      </c>
      <c r="G443" s="603">
        <v>588</v>
      </c>
      <c r="H443" s="609">
        <v>5</v>
      </c>
      <c r="I443" s="609">
        <v>2</v>
      </c>
      <c r="J443" s="609">
        <v>38</v>
      </c>
      <c r="K443" s="590" t="s">
        <v>33</v>
      </c>
      <c r="L443" s="595">
        <f t="shared" si="57"/>
        <v>1888633</v>
      </c>
      <c r="M443" s="611">
        <v>1862784</v>
      </c>
      <c r="N443" s="612"/>
      <c r="O443" s="711">
        <v>5849</v>
      </c>
      <c r="P443" s="630"/>
      <c r="Q443" s="706">
        <v>20000</v>
      </c>
      <c r="R443" s="582">
        <f>M443/G443</f>
        <v>3168</v>
      </c>
      <c r="S443" s="586">
        <f t="shared" si="54"/>
        <v>0</v>
      </c>
      <c r="T443" s="600"/>
      <c r="U443" s="597">
        <f t="shared" si="48"/>
        <v>1888633</v>
      </c>
      <c r="V443" s="589"/>
      <c r="W443" s="600"/>
      <c r="X443" s="601"/>
      <c r="Y443" s="601"/>
      <c r="Z443" s="601"/>
    </row>
    <row r="444" spans="1:26" s="75" customFormat="1" ht="37.5" hidden="1">
      <c r="A444" s="591">
        <f t="shared" ref="A444:A454" si="58">A443+1</f>
        <v>357</v>
      </c>
      <c r="B444" s="581" t="s">
        <v>1476</v>
      </c>
      <c r="C444" s="593" t="s">
        <v>271</v>
      </c>
      <c r="D444" s="603">
        <v>16663</v>
      </c>
      <c r="E444" s="594">
        <v>2160</v>
      </c>
      <c r="F444" s="643" t="s">
        <v>222</v>
      </c>
      <c r="G444" s="603">
        <v>1147</v>
      </c>
      <c r="H444" s="609">
        <v>5</v>
      </c>
      <c r="I444" s="609">
        <v>4</v>
      </c>
      <c r="J444" s="609">
        <v>64</v>
      </c>
      <c r="K444" s="590" t="s">
        <v>3717</v>
      </c>
      <c r="L444" s="595">
        <f t="shared" si="57"/>
        <v>700071.95</v>
      </c>
      <c r="M444" s="611">
        <v>685080.95</v>
      </c>
      <c r="N444" s="612"/>
      <c r="O444" s="711">
        <v>6503</v>
      </c>
      <c r="P444" s="630"/>
      <c r="Q444" s="706">
        <v>8488</v>
      </c>
      <c r="R444" s="582">
        <f>M444/G444</f>
        <v>597.28068875326937</v>
      </c>
      <c r="S444" s="586">
        <f t="shared" si="54"/>
        <v>0</v>
      </c>
      <c r="T444" s="600"/>
      <c r="U444" s="597">
        <f t="shared" si="48"/>
        <v>700071.95</v>
      </c>
      <c r="V444" s="589"/>
      <c r="W444" s="600"/>
      <c r="X444" s="601"/>
      <c r="Y444" s="601"/>
      <c r="Z444" s="601"/>
    </row>
    <row r="445" spans="1:26" s="75" customFormat="1" ht="37.5" hidden="1">
      <c r="A445" s="591">
        <f t="shared" si="58"/>
        <v>358</v>
      </c>
      <c r="B445" s="581" t="s">
        <v>3811</v>
      </c>
      <c r="C445" s="593" t="s">
        <v>271</v>
      </c>
      <c r="D445" s="603">
        <v>12312</v>
      </c>
      <c r="E445" s="594">
        <v>2198</v>
      </c>
      <c r="F445" s="643" t="s">
        <v>222</v>
      </c>
      <c r="G445" s="603">
        <v>1127</v>
      </c>
      <c r="H445" s="609">
        <v>5</v>
      </c>
      <c r="I445" s="609">
        <v>4</v>
      </c>
      <c r="J445" s="609">
        <v>70</v>
      </c>
      <c r="K445" s="590" t="s">
        <v>30</v>
      </c>
      <c r="L445" s="595">
        <f t="shared" si="57"/>
        <v>1903606</v>
      </c>
      <c r="M445" s="611">
        <v>1880550</v>
      </c>
      <c r="N445" s="612"/>
      <c r="O445" s="711">
        <v>4878</v>
      </c>
      <c r="P445" s="630"/>
      <c r="Q445" s="706">
        <v>18178</v>
      </c>
      <c r="R445" s="582">
        <f>M445/J445</f>
        <v>26865</v>
      </c>
      <c r="S445" s="586">
        <f t="shared" si="54"/>
        <v>0</v>
      </c>
      <c r="T445" s="600"/>
      <c r="U445" s="597">
        <f t="shared" si="48"/>
        <v>1903606</v>
      </c>
      <c r="V445" s="589"/>
      <c r="W445" s="600"/>
      <c r="X445" s="601"/>
      <c r="Y445" s="601"/>
      <c r="Z445" s="601"/>
    </row>
    <row r="446" spans="1:26" hidden="1">
      <c r="A446" s="591">
        <f t="shared" si="58"/>
        <v>359</v>
      </c>
      <c r="B446" s="592" t="s">
        <v>3842</v>
      </c>
      <c r="C446" s="593" t="s">
        <v>271</v>
      </c>
      <c r="D446" s="594">
        <v>55294</v>
      </c>
      <c r="E446" s="594">
        <v>6267</v>
      </c>
      <c r="F446" s="676" t="s">
        <v>233</v>
      </c>
      <c r="G446" s="594">
        <v>1188</v>
      </c>
      <c r="H446" s="594">
        <v>11</v>
      </c>
      <c r="I446" s="594">
        <v>4</v>
      </c>
      <c r="J446" s="594">
        <v>176</v>
      </c>
      <c r="K446" s="588" t="s">
        <v>33</v>
      </c>
      <c r="L446" s="584">
        <f t="shared" si="57"/>
        <v>4183081</v>
      </c>
      <c r="M446" s="596">
        <v>4137210</v>
      </c>
      <c r="N446" s="675"/>
      <c r="O446" s="598">
        <v>25871</v>
      </c>
      <c r="P446" s="597"/>
      <c r="Q446" s="597">
        <v>20000</v>
      </c>
      <c r="R446" s="561">
        <f>M446/G446</f>
        <v>3482.5</v>
      </c>
      <c r="S446" s="586">
        <f t="shared" si="54"/>
        <v>0</v>
      </c>
      <c r="U446" s="597">
        <f t="shared" si="48"/>
        <v>4183081</v>
      </c>
      <c r="V446" s="589"/>
      <c r="W446" s="600"/>
    </row>
    <row r="447" spans="1:26" s="75" customFormat="1" hidden="1">
      <c r="A447" s="591">
        <f t="shared" si="58"/>
        <v>360</v>
      </c>
      <c r="B447" s="581" t="s">
        <v>3361</v>
      </c>
      <c r="C447" s="593" t="s">
        <v>271</v>
      </c>
      <c r="D447" s="603">
        <v>17804</v>
      </c>
      <c r="E447" s="594">
        <v>2336</v>
      </c>
      <c r="F447" s="643" t="s">
        <v>233</v>
      </c>
      <c r="G447" s="603">
        <v>927</v>
      </c>
      <c r="H447" s="609">
        <v>5</v>
      </c>
      <c r="I447" s="609">
        <v>4</v>
      </c>
      <c r="J447" s="609">
        <v>56</v>
      </c>
      <c r="K447" s="590" t="s">
        <v>252</v>
      </c>
      <c r="L447" s="595">
        <f t="shared" si="57"/>
        <v>3893420</v>
      </c>
      <c r="M447" s="611">
        <v>3854466</v>
      </c>
      <c r="N447" s="661">
        <v>18954</v>
      </c>
      <c r="O447" s="711"/>
      <c r="P447" s="630"/>
      <c r="Q447" s="706">
        <v>20000</v>
      </c>
      <c r="R447" s="582">
        <f>M447/G447</f>
        <v>4158</v>
      </c>
      <c r="S447" s="586">
        <f t="shared" si="54"/>
        <v>0</v>
      </c>
      <c r="T447" s="600"/>
      <c r="U447" s="597">
        <f t="shared" si="48"/>
        <v>3893420</v>
      </c>
      <c r="V447" s="589"/>
      <c r="W447" s="600"/>
      <c r="X447" s="601"/>
      <c r="Y447" s="601"/>
      <c r="Z447" s="601"/>
    </row>
    <row r="448" spans="1:26" s="75" customFormat="1" hidden="1">
      <c r="A448" s="591">
        <f t="shared" si="58"/>
        <v>361</v>
      </c>
      <c r="B448" s="581" t="s">
        <v>3758</v>
      </c>
      <c r="C448" s="593" t="s">
        <v>271</v>
      </c>
      <c r="D448" s="603">
        <v>21263</v>
      </c>
      <c r="E448" s="594">
        <v>3488</v>
      </c>
      <c r="F448" s="643" t="s">
        <v>233</v>
      </c>
      <c r="G448" s="603">
        <v>1110</v>
      </c>
      <c r="H448" s="609">
        <v>9</v>
      </c>
      <c r="I448" s="609">
        <v>2</v>
      </c>
      <c r="J448" s="609">
        <v>104</v>
      </c>
      <c r="K448" s="590" t="s">
        <v>224</v>
      </c>
      <c r="L448" s="595">
        <f t="shared" si="57"/>
        <v>2519387.4</v>
      </c>
      <c r="M448" s="611">
        <v>2475158.4</v>
      </c>
      <c r="N448" s="661">
        <v>24229</v>
      </c>
      <c r="O448" s="711"/>
      <c r="P448" s="630"/>
      <c r="Q448" s="706">
        <v>20000</v>
      </c>
      <c r="R448" s="582">
        <f>M448/J448</f>
        <v>23799.599999999999</v>
      </c>
      <c r="S448" s="586">
        <f t="shared" si="54"/>
        <v>0</v>
      </c>
      <c r="T448" s="600"/>
      <c r="U448" s="597">
        <f t="shared" si="48"/>
        <v>2519387.4</v>
      </c>
      <c r="V448" s="589"/>
      <c r="W448" s="600"/>
      <c r="X448" s="601"/>
      <c r="Y448" s="601"/>
      <c r="Z448" s="601"/>
    </row>
    <row r="449" spans="1:26" s="75" customFormat="1" hidden="1">
      <c r="A449" s="591">
        <f t="shared" si="58"/>
        <v>362</v>
      </c>
      <c r="B449" s="581" t="s">
        <v>3363</v>
      </c>
      <c r="C449" s="617" t="s">
        <v>217</v>
      </c>
      <c r="D449" s="582">
        <v>16206</v>
      </c>
      <c r="E449" s="582">
        <v>3009</v>
      </c>
      <c r="F449" s="602" t="s">
        <v>233</v>
      </c>
      <c r="G449" s="617">
        <v>456</v>
      </c>
      <c r="H449" s="617">
        <v>9</v>
      </c>
      <c r="I449" s="617">
        <v>2</v>
      </c>
      <c r="J449" s="617">
        <v>72</v>
      </c>
      <c r="K449" s="679" t="s">
        <v>252</v>
      </c>
      <c r="L449" s="584">
        <f>M449+N449+O449+Q449</f>
        <v>1843870</v>
      </c>
      <c r="M449" s="563">
        <v>1805760</v>
      </c>
      <c r="N449" s="586">
        <v>18110</v>
      </c>
      <c r="O449" s="587"/>
      <c r="P449" s="586"/>
      <c r="Q449" s="586">
        <v>20000</v>
      </c>
      <c r="R449" s="582">
        <f>M449/G449</f>
        <v>3960</v>
      </c>
      <c r="S449" s="586">
        <f t="shared" si="54"/>
        <v>0</v>
      </c>
      <c r="T449" s="600"/>
      <c r="U449" s="597">
        <f t="shared" si="48"/>
        <v>1843870</v>
      </c>
      <c r="V449" s="589"/>
      <c r="W449" s="600"/>
      <c r="X449" s="601"/>
      <c r="Y449" s="601"/>
      <c r="Z449" s="601"/>
    </row>
    <row r="450" spans="1:26" s="75" customFormat="1" hidden="1">
      <c r="A450" s="591">
        <f t="shared" si="58"/>
        <v>363</v>
      </c>
      <c r="B450" s="581" t="s">
        <v>3710</v>
      </c>
      <c r="C450" s="593" t="s">
        <v>221</v>
      </c>
      <c r="D450" s="603">
        <v>22736</v>
      </c>
      <c r="E450" s="594">
        <v>1945</v>
      </c>
      <c r="F450" s="643" t="s">
        <v>222</v>
      </c>
      <c r="G450" s="603">
        <v>998</v>
      </c>
      <c r="H450" s="609">
        <v>5</v>
      </c>
      <c r="I450" s="609">
        <v>3</v>
      </c>
      <c r="J450" s="609">
        <v>60</v>
      </c>
      <c r="K450" s="590" t="s">
        <v>33</v>
      </c>
      <c r="L450" s="595">
        <f>M450+N450+O450+P450+Q450</f>
        <v>4430322.84</v>
      </c>
      <c r="M450" s="611">
        <v>4420785</v>
      </c>
      <c r="N450" s="612"/>
      <c r="O450" s="613">
        <v>9537.84</v>
      </c>
      <c r="P450" s="586"/>
      <c r="Q450" s="614"/>
      <c r="R450" s="582">
        <f>M450/G450</f>
        <v>4429.6442885771539</v>
      </c>
      <c r="S450" s="586">
        <f t="shared" si="54"/>
        <v>-1.4915713109076023E-10</v>
      </c>
      <c r="T450" s="600"/>
      <c r="U450" s="597">
        <f t="shared" si="48"/>
        <v>4430322.84</v>
      </c>
      <c r="V450" s="589"/>
      <c r="W450" s="600"/>
      <c r="X450" s="601"/>
      <c r="Y450" s="601"/>
      <c r="Z450" s="601"/>
    </row>
    <row r="451" spans="1:26" s="75" customFormat="1" hidden="1">
      <c r="A451" s="591">
        <f t="shared" si="58"/>
        <v>364</v>
      </c>
      <c r="B451" s="581" t="s">
        <v>3365</v>
      </c>
      <c r="C451" s="593" t="s">
        <v>217</v>
      </c>
      <c r="D451" s="603">
        <v>16950</v>
      </c>
      <c r="E451" s="594">
        <v>2711</v>
      </c>
      <c r="F451" s="643" t="s">
        <v>222</v>
      </c>
      <c r="G451" s="603">
        <v>1130</v>
      </c>
      <c r="H451" s="609">
        <v>5</v>
      </c>
      <c r="I451" s="609">
        <v>4</v>
      </c>
      <c r="J451" s="609">
        <v>80</v>
      </c>
      <c r="K451" s="590" t="s">
        <v>33</v>
      </c>
      <c r="L451" s="595">
        <f>M451+N451+O451+P451+Q451</f>
        <v>3626863</v>
      </c>
      <c r="M451" s="611">
        <v>3579840</v>
      </c>
      <c r="N451" s="612"/>
      <c r="O451" s="711">
        <v>7023</v>
      </c>
      <c r="P451" s="630"/>
      <c r="Q451" s="706">
        <v>40000</v>
      </c>
      <c r="R451" s="582">
        <f>M451/G451</f>
        <v>3168</v>
      </c>
      <c r="S451" s="586">
        <f t="shared" si="54"/>
        <v>0</v>
      </c>
      <c r="T451" s="600"/>
      <c r="U451" s="597">
        <f t="shared" si="48"/>
        <v>3626863</v>
      </c>
      <c r="V451" s="589"/>
      <c r="W451" s="600"/>
      <c r="X451" s="601"/>
      <c r="Y451" s="601"/>
      <c r="Z451" s="601"/>
    </row>
    <row r="452" spans="1:26" s="75" customFormat="1" hidden="1">
      <c r="A452" s="591">
        <f t="shared" si="58"/>
        <v>365</v>
      </c>
      <c r="B452" s="581" t="s">
        <v>3712</v>
      </c>
      <c r="C452" s="593" t="s">
        <v>217</v>
      </c>
      <c r="D452" s="603"/>
      <c r="E452" s="594">
        <v>2762</v>
      </c>
      <c r="F452" s="643" t="s">
        <v>222</v>
      </c>
      <c r="G452" s="603">
        <v>1148</v>
      </c>
      <c r="H452" s="609">
        <v>5</v>
      </c>
      <c r="I452" s="609">
        <v>4</v>
      </c>
      <c r="J452" s="609">
        <v>80</v>
      </c>
      <c r="K452" s="590" t="s">
        <v>33</v>
      </c>
      <c r="L452" s="595">
        <f>M452+N452+O452+P452+Q452</f>
        <v>3992393.68</v>
      </c>
      <c r="M452" s="611">
        <v>3980500</v>
      </c>
      <c r="N452" s="612"/>
      <c r="O452" s="613">
        <v>11893.68</v>
      </c>
      <c r="P452" s="586"/>
      <c r="Q452" s="614"/>
      <c r="R452" s="582">
        <f>M452/G452</f>
        <v>3467.3344947735191</v>
      </c>
      <c r="S452" s="586">
        <f t="shared" si="54"/>
        <v>1.673470251262188E-10</v>
      </c>
      <c r="T452" s="600"/>
      <c r="U452" s="597">
        <f t="shared" si="48"/>
        <v>3992393.68</v>
      </c>
      <c r="V452" s="589"/>
      <c r="W452" s="600"/>
      <c r="X452" s="601"/>
      <c r="Y452" s="601"/>
      <c r="Z452" s="601"/>
    </row>
    <row r="453" spans="1:26" s="75" customFormat="1" ht="37.5" hidden="1">
      <c r="A453" s="591">
        <f t="shared" si="58"/>
        <v>366</v>
      </c>
      <c r="B453" s="581" t="s">
        <v>3805</v>
      </c>
      <c r="C453" s="593" t="s">
        <v>271</v>
      </c>
      <c r="D453" s="603">
        <v>32813</v>
      </c>
      <c r="E453" s="594"/>
      <c r="F453" s="643" t="s">
        <v>233</v>
      </c>
      <c r="G453" s="603">
        <v>620.9</v>
      </c>
      <c r="H453" s="609">
        <v>9</v>
      </c>
      <c r="I453" s="609">
        <v>4</v>
      </c>
      <c r="J453" s="609">
        <v>144</v>
      </c>
      <c r="K453" s="590" t="s">
        <v>30</v>
      </c>
      <c r="L453" s="595">
        <f>M453+N453+O453+P453+Q453</f>
        <v>5467556.6200000001</v>
      </c>
      <c r="M453" s="611">
        <v>5453801.7400000002</v>
      </c>
      <c r="N453" s="612"/>
      <c r="O453" s="613">
        <v>13754.88</v>
      </c>
      <c r="P453" s="586"/>
      <c r="Q453" s="614"/>
      <c r="R453" s="582">
        <f>M453/J453</f>
        <v>37873.623194444444</v>
      </c>
      <c r="S453" s="586">
        <f t="shared" si="54"/>
        <v>-1.1095835361629725E-10</v>
      </c>
      <c r="T453" s="600"/>
      <c r="U453" s="597">
        <f t="shared" si="48"/>
        <v>5467556.6200000001</v>
      </c>
      <c r="V453" s="589"/>
      <c r="W453" s="600"/>
      <c r="X453" s="601"/>
      <c r="Y453" s="601"/>
      <c r="Z453" s="601"/>
    </row>
    <row r="454" spans="1:26" s="75" customFormat="1" ht="37.5" hidden="1">
      <c r="A454" s="591">
        <f t="shared" si="58"/>
        <v>367</v>
      </c>
      <c r="B454" s="581" t="s">
        <v>3808</v>
      </c>
      <c r="C454" s="593" t="s">
        <v>221</v>
      </c>
      <c r="D454" s="603">
        <v>11964</v>
      </c>
      <c r="E454" s="594">
        <v>2983</v>
      </c>
      <c r="F454" s="643" t="s">
        <v>233</v>
      </c>
      <c r="G454" s="603">
        <v>390</v>
      </c>
      <c r="H454" s="609">
        <v>12</v>
      </c>
      <c r="I454" s="609">
        <v>1</v>
      </c>
      <c r="J454" s="609">
        <v>48</v>
      </c>
      <c r="K454" s="590" t="s">
        <v>30</v>
      </c>
      <c r="L454" s="1357">
        <f>M454+N454+O454+Q454+N455+O455+Q455+M455</f>
        <v>6050573.25</v>
      </c>
      <c r="M454" s="611">
        <v>1534464</v>
      </c>
      <c r="N454" s="612"/>
      <c r="O454" s="711">
        <v>12130</v>
      </c>
      <c r="P454" s="586"/>
      <c r="Q454" s="706">
        <v>25573</v>
      </c>
      <c r="R454" s="582">
        <f>M454/J454</f>
        <v>31968</v>
      </c>
      <c r="S454" s="586">
        <f t="shared" si="54"/>
        <v>4478406.25</v>
      </c>
      <c r="T454" s="600"/>
      <c r="U454" s="597">
        <f t="shared" si="48"/>
        <v>1572167</v>
      </c>
      <c r="V454" s="589"/>
      <c r="W454" s="600"/>
      <c r="X454" s="601"/>
      <c r="Y454" s="601"/>
      <c r="Z454" s="601"/>
    </row>
    <row r="455" spans="1:26" s="75" customFormat="1" ht="37.5" hidden="1">
      <c r="A455" s="591"/>
      <c r="B455" s="581"/>
      <c r="C455" s="593"/>
      <c r="D455" s="603"/>
      <c r="E455" s="594"/>
      <c r="F455" s="643"/>
      <c r="G455" s="603"/>
      <c r="H455" s="609"/>
      <c r="I455" s="609"/>
      <c r="J455" s="609"/>
      <c r="K455" s="590" t="s">
        <v>219</v>
      </c>
      <c r="L455" s="1357"/>
      <c r="M455" s="611">
        <v>4378000</v>
      </c>
      <c r="N455" s="612">
        <v>100406.25</v>
      </c>
      <c r="O455" s="613"/>
      <c r="P455" s="586"/>
      <c r="Q455" s="614"/>
      <c r="R455" s="582">
        <v>2200000</v>
      </c>
      <c r="S455" s="586">
        <f t="shared" si="54"/>
        <v>-4478406.25</v>
      </c>
      <c r="T455" s="600"/>
      <c r="U455" s="597">
        <f t="shared" si="48"/>
        <v>4478406.25</v>
      </c>
      <c r="V455" s="589"/>
      <c r="W455" s="600"/>
      <c r="X455" s="601"/>
      <c r="Y455" s="601"/>
      <c r="Z455" s="601"/>
    </row>
    <row r="456" spans="1:26" s="75" customFormat="1" hidden="1">
      <c r="A456" s="591">
        <f>A454+1</f>
        <v>368</v>
      </c>
      <c r="B456" s="581" t="s">
        <v>3714</v>
      </c>
      <c r="C456" s="593" t="s">
        <v>3715</v>
      </c>
      <c r="D456" s="603">
        <v>26416</v>
      </c>
      <c r="E456" s="594">
        <v>3192</v>
      </c>
      <c r="F456" s="643" t="s">
        <v>3716</v>
      </c>
      <c r="G456" s="603">
        <v>720</v>
      </c>
      <c r="H456" s="609">
        <v>12</v>
      </c>
      <c r="I456" s="609">
        <v>1</v>
      </c>
      <c r="J456" s="609">
        <v>37</v>
      </c>
      <c r="K456" s="590" t="s">
        <v>33</v>
      </c>
      <c r="L456" s="595">
        <f>M456+N456+O456+P456+Q456</f>
        <v>1972397</v>
      </c>
      <c r="M456" s="611">
        <v>1932260</v>
      </c>
      <c r="N456" s="661">
        <v>20137</v>
      </c>
      <c r="O456" s="711"/>
      <c r="P456" s="630"/>
      <c r="Q456" s="706">
        <v>20000</v>
      </c>
      <c r="R456" s="582">
        <f>M456/G456</f>
        <v>2683.6944444444443</v>
      </c>
      <c r="S456" s="586">
        <f t="shared" si="54"/>
        <v>0</v>
      </c>
      <c r="T456" s="600"/>
      <c r="U456" s="597">
        <f t="shared" si="48"/>
        <v>1972397</v>
      </c>
      <c r="V456" s="589"/>
      <c r="W456" s="600"/>
      <c r="X456" s="601"/>
      <c r="Y456" s="601"/>
      <c r="Z456" s="601"/>
    </row>
    <row r="457" spans="1:26" s="75" customFormat="1" hidden="1">
      <c r="A457" s="591">
        <f>A456+1</f>
        <v>369</v>
      </c>
      <c r="B457" s="581" t="s">
        <v>1560</v>
      </c>
      <c r="C457" s="593" t="s">
        <v>217</v>
      </c>
      <c r="D457" s="603">
        <v>12236</v>
      </c>
      <c r="E457" s="594">
        <v>2382</v>
      </c>
      <c r="F457" s="643" t="s">
        <v>222</v>
      </c>
      <c r="G457" s="603">
        <v>1142</v>
      </c>
      <c r="H457" s="609">
        <v>5</v>
      </c>
      <c r="I457" s="609">
        <v>4</v>
      </c>
      <c r="J457" s="609">
        <v>80</v>
      </c>
      <c r="K457" s="590" t="s">
        <v>33</v>
      </c>
      <c r="L457" s="595">
        <f>M457+N457+O457+P457+Q457</f>
        <v>3711245.55</v>
      </c>
      <c r="M457" s="611">
        <f>3548748.27+151588.9</f>
        <v>3700337.17</v>
      </c>
      <c r="N457" s="612"/>
      <c r="O457" s="613">
        <v>10908.38</v>
      </c>
      <c r="P457" s="586"/>
      <c r="Q457" s="614"/>
      <c r="R457" s="582">
        <f>M457/G457</f>
        <v>3240.2251926444833</v>
      </c>
      <c r="S457" s="586">
        <f t="shared" si="54"/>
        <v>-1.1095835361629725E-10</v>
      </c>
      <c r="T457" s="600"/>
      <c r="U457" s="597">
        <f t="shared" si="48"/>
        <v>3711245.55</v>
      </c>
      <c r="V457" s="589"/>
      <c r="W457" s="600"/>
      <c r="X457" s="601"/>
      <c r="Y457" s="601"/>
      <c r="Z457" s="601"/>
    </row>
    <row r="458" spans="1:26" s="75" customFormat="1" hidden="1">
      <c r="A458" s="591">
        <f>A457+1</f>
        <v>370</v>
      </c>
      <c r="B458" s="581" t="s">
        <v>3371</v>
      </c>
      <c r="C458" s="593" t="s">
        <v>217</v>
      </c>
      <c r="D458" s="603">
        <v>12411</v>
      </c>
      <c r="E458" s="594">
        <v>1700</v>
      </c>
      <c r="F458" s="643" t="s">
        <v>222</v>
      </c>
      <c r="G458" s="603">
        <v>1223</v>
      </c>
      <c r="H458" s="609">
        <v>5</v>
      </c>
      <c r="I458" s="609">
        <v>4</v>
      </c>
      <c r="J458" s="609">
        <v>80</v>
      </c>
      <c r="K458" s="590" t="s">
        <v>33</v>
      </c>
      <c r="L458" s="595">
        <f>M458+N458+O458+P458+Q458</f>
        <v>3624808.63</v>
      </c>
      <c r="M458" s="611">
        <v>3613031.01</v>
      </c>
      <c r="N458" s="612"/>
      <c r="O458" s="613">
        <v>11777.62</v>
      </c>
      <c r="P458" s="586"/>
      <c r="Q458" s="614"/>
      <c r="R458" s="582">
        <f>M458/G458</f>
        <v>2954.2363123466885</v>
      </c>
      <c r="S458" s="586">
        <f t="shared" si="54"/>
        <v>1.1095835361629725E-10</v>
      </c>
      <c r="T458" s="600"/>
      <c r="U458" s="597">
        <f t="shared" si="48"/>
        <v>3624808.63</v>
      </c>
      <c r="V458" s="589"/>
      <c r="W458" s="600"/>
      <c r="X458" s="601"/>
      <c r="Y458" s="601"/>
      <c r="Z458" s="601"/>
    </row>
    <row r="459" spans="1:26" s="75" customFormat="1" hidden="1">
      <c r="A459" s="591">
        <f>A458+1</f>
        <v>371</v>
      </c>
      <c r="B459" s="581" t="s">
        <v>3757</v>
      </c>
      <c r="C459" s="593" t="s">
        <v>271</v>
      </c>
      <c r="D459" s="603">
        <v>4544</v>
      </c>
      <c r="E459" s="594">
        <v>638</v>
      </c>
      <c r="F459" s="643" t="s">
        <v>222</v>
      </c>
      <c r="G459" s="603">
        <v>660</v>
      </c>
      <c r="H459" s="609">
        <v>2</v>
      </c>
      <c r="I459" s="609">
        <v>2</v>
      </c>
      <c r="J459" s="609">
        <v>14</v>
      </c>
      <c r="K459" s="590" t="s">
        <v>33</v>
      </c>
      <c r="L459" s="1357">
        <f>M459+N459+O459+P459+Q459+M460+N460+O460+Q460</f>
        <v>3725678</v>
      </c>
      <c r="M459" s="690">
        <v>1848000</v>
      </c>
      <c r="N459" s="661"/>
      <c r="O459" s="711">
        <v>2525</v>
      </c>
      <c r="P459" s="630"/>
      <c r="Q459" s="706">
        <v>22250</v>
      </c>
      <c r="R459" s="582">
        <f>M459/G459</f>
        <v>2800</v>
      </c>
      <c r="S459" s="586">
        <f t="shared" si="54"/>
        <v>1852903</v>
      </c>
      <c r="T459" s="600"/>
      <c r="U459" s="597">
        <f t="shared" si="48"/>
        <v>1872775</v>
      </c>
      <c r="V459" s="589"/>
      <c r="W459" s="600"/>
      <c r="X459" s="601"/>
      <c r="Y459" s="601"/>
      <c r="Z459" s="601"/>
    </row>
    <row r="460" spans="1:26" s="75" customFormat="1" hidden="1">
      <c r="A460" s="591"/>
      <c r="B460" s="581"/>
      <c r="C460" s="593"/>
      <c r="D460" s="603"/>
      <c r="E460" s="594"/>
      <c r="F460" s="643"/>
      <c r="G460" s="603"/>
      <c r="H460" s="609"/>
      <c r="I460" s="609"/>
      <c r="J460" s="609"/>
      <c r="K460" s="590" t="s">
        <v>38</v>
      </c>
      <c r="L460" s="1357"/>
      <c r="M460" s="712">
        <v>1821930</v>
      </c>
      <c r="N460" s="661"/>
      <c r="O460" s="711">
        <v>2525</v>
      </c>
      <c r="P460" s="630"/>
      <c r="Q460" s="706">
        <v>28448</v>
      </c>
      <c r="R460" s="582">
        <f>M460/E459</f>
        <v>2855.6896551724139</v>
      </c>
      <c r="S460" s="586"/>
      <c r="T460" s="600"/>
      <c r="U460" s="597">
        <f t="shared" si="48"/>
        <v>1852903</v>
      </c>
      <c r="V460" s="589"/>
      <c r="W460" s="600"/>
      <c r="X460" s="601"/>
      <c r="Y460" s="601"/>
      <c r="Z460" s="601"/>
    </row>
    <row r="461" spans="1:26" s="75" customFormat="1" ht="37.5" hidden="1">
      <c r="A461" s="591">
        <f>A459+1</f>
        <v>372</v>
      </c>
      <c r="B461" s="581" t="s">
        <v>3764</v>
      </c>
      <c r="C461" s="593" t="s">
        <v>217</v>
      </c>
      <c r="D461" s="603">
        <v>4697</v>
      </c>
      <c r="E461" s="594">
        <v>1360</v>
      </c>
      <c r="F461" s="643" t="s">
        <v>222</v>
      </c>
      <c r="G461" s="603">
        <v>436.4</v>
      </c>
      <c r="H461" s="609">
        <v>5</v>
      </c>
      <c r="I461" s="609">
        <v>2</v>
      </c>
      <c r="J461" s="609">
        <v>30</v>
      </c>
      <c r="K461" s="590" t="s">
        <v>30</v>
      </c>
      <c r="L461" s="595">
        <f t="shared" ref="L461:L466" si="59">M461+N461+O461+P461+Q461</f>
        <v>990830</v>
      </c>
      <c r="M461" s="611">
        <v>965150</v>
      </c>
      <c r="N461" s="612"/>
      <c r="O461" s="711">
        <v>4239</v>
      </c>
      <c r="P461" s="630"/>
      <c r="Q461" s="706">
        <v>21441</v>
      </c>
      <c r="R461" s="582">
        <f>M461/J461</f>
        <v>32171.666666666668</v>
      </c>
      <c r="S461" s="586">
        <f t="shared" ref="S461:S492" si="60">L461-M461-N461-O461-P461-Q461</f>
        <v>0</v>
      </c>
      <c r="T461" s="600"/>
      <c r="U461" s="597">
        <f t="shared" si="48"/>
        <v>990830</v>
      </c>
      <c r="V461" s="589"/>
      <c r="W461" s="600"/>
      <c r="X461" s="601"/>
      <c r="Y461" s="601"/>
      <c r="Z461" s="601"/>
    </row>
    <row r="462" spans="1:26" s="75" customFormat="1" hidden="1">
      <c r="A462" s="591">
        <f t="shared" ref="A462:A467" si="61">A461+1</f>
        <v>373</v>
      </c>
      <c r="B462" s="581" t="s">
        <v>3384</v>
      </c>
      <c r="C462" s="593" t="s">
        <v>239</v>
      </c>
      <c r="D462" s="603">
        <v>12540</v>
      </c>
      <c r="E462" s="594">
        <v>2353</v>
      </c>
      <c r="F462" s="643" t="s">
        <v>222</v>
      </c>
      <c r="G462" s="603">
        <v>1182</v>
      </c>
      <c r="H462" s="609">
        <v>5</v>
      </c>
      <c r="I462" s="609">
        <v>4</v>
      </c>
      <c r="J462" s="609">
        <v>80</v>
      </c>
      <c r="K462" s="590" t="s">
        <v>33</v>
      </c>
      <c r="L462" s="595">
        <f t="shared" si="59"/>
        <v>4024530.39</v>
      </c>
      <c r="M462" s="611">
        <f>3744576+268663.93</f>
        <v>4013239.93</v>
      </c>
      <c r="N462" s="612"/>
      <c r="O462" s="613">
        <v>11290.46</v>
      </c>
      <c r="P462" s="586"/>
      <c r="Q462" s="614"/>
      <c r="R462" s="582">
        <f>M462/G462</f>
        <v>3395.296049069374</v>
      </c>
      <c r="S462" s="586">
        <f t="shared" si="60"/>
        <v>-3.637978807091713E-11</v>
      </c>
      <c r="T462" s="600"/>
      <c r="U462" s="597">
        <f t="shared" si="48"/>
        <v>4024530.39</v>
      </c>
      <c r="V462" s="589"/>
      <c r="W462" s="600"/>
      <c r="X462" s="601"/>
      <c r="Y462" s="601"/>
      <c r="Z462" s="601"/>
    </row>
    <row r="463" spans="1:26" s="75" customFormat="1" hidden="1">
      <c r="A463" s="591">
        <f t="shared" si="61"/>
        <v>374</v>
      </c>
      <c r="B463" s="581" t="s">
        <v>3709</v>
      </c>
      <c r="C463" s="593" t="s">
        <v>271</v>
      </c>
      <c r="D463" s="603">
        <v>14158</v>
      </c>
      <c r="E463" s="594">
        <v>2610</v>
      </c>
      <c r="F463" s="643" t="s">
        <v>230</v>
      </c>
      <c r="G463" s="603">
        <v>1202.8</v>
      </c>
      <c r="H463" s="609">
        <v>5</v>
      </c>
      <c r="I463" s="609">
        <v>4</v>
      </c>
      <c r="J463" s="609">
        <v>64</v>
      </c>
      <c r="K463" s="590" t="s">
        <v>224</v>
      </c>
      <c r="L463" s="595">
        <f t="shared" si="59"/>
        <v>990165</v>
      </c>
      <c r="M463" s="611">
        <v>955200</v>
      </c>
      <c r="N463" s="612">
        <v>34965</v>
      </c>
      <c r="O463" s="613"/>
      <c r="P463" s="586"/>
      <c r="Q463" s="614"/>
      <c r="R463" s="582">
        <f>M463/J463</f>
        <v>14925</v>
      </c>
      <c r="S463" s="586">
        <f t="shared" si="60"/>
        <v>0</v>
      </c>
      <c r="T463" s="600"/>
      <c r="U463" s="597">
        <f t="shared" ref="U463:U514" si="62">M463+N463+O463+P463+Q463</f>
        <v>990165</v>
      </c>
      <c r="V463" s="589"/>
      <c r="W463" s="600"/>
      <c r="X463" s="601"/>
      <c r="Y463" s="601"/>
      <c r="Z463" s="601"/>
    </row>
    <row r="464" spans="1:26" s="75" customFormat="1" ht="37.5" hidden="1">
      <c r="A464" s="591">
        <f t="shared" si="61"/>
        <v>375</v>
      </c>
      <c r="B464" s="581" t="s">
        <v>3762</v>
      </c>
      <c r="C464" s="593" t="s">
        <v>271</v>
      </c>
      <c r="D464" s="603">
        <v>4427</v>
      </c>
      <c r="E464" s="594">
        <v>950</v>
      </c>
      <c r="F464" s="643" t="s">
        <v>222</v>
      </c>
      <c r="G464" s="603">
        <v>554</v>
      </c>
      <c r="H464" s="609">
        <v>3</v>
      </c>
      <c r="I464" s="609">
        <v>2</v>
      </c>
      <c r="J464" s="609">
        <v>16</v>
      </c>
      <c r="K464" s="590" t="s">
        <v>30</v>
      </c>
      <c r="L464" s="595">
        <f t="shared" si="59"/>
        <v>376771.28</v>
      </c>
      <c r="M464" s="611">
        <v>353868.28</v>
      </c>
      <c r="N464" s="612"/>
      <c r="O464" s="711">
        <v>1462</v>
      </c>
      <c r="P464" s="630"/>
      <c r="Q464" s="706">
        <v>21441</v>
      </c>
      <c r="R464" s="582">
        <f>M464/J464</f>
        <v>22116.767500000002</v>
      </c>
      <c r="S464" s="586">
        <f t="shared" si="60"/>
        <v>0</v>
      </c>
      <c r="T464" s="600"/>
      <c r="U464" s="597">
        <f t="shared" si="62"/>
        <v>376771.28</v>
      </c>
      <c r="V464" s="589"/>
      <c r="W464" s="600"/>
      <c r="X464" s="601"/>
      <c r="Y464" s="601"/>
      <c r="Z464" s="601"/>
    </row>
    <row r="465" spans="1:26" s="75" customFormat="1" ht="37.5" hidden="1">
      <c r="A465" s="591">
        <f t="shared" si="61"/>
        <v>376</v>
      </c>
      <c r="B465" s="581" t="s">
        <v>2522</v>
      </c>
      <c r="C465" s="593" t="s">
        <v>271</v>
      </c>
      <c r="D465" s="603">
        <v>30027</v>
      </c>
      <c r="E465" s="594">
        <v>6000</v>
      </c>
      <c r="F465" s="643" t="s">
        <v>233</v>
      </c>
      <c r="G465" s="603">
        <v>851</v>
      </c>
      <c r="H465" s="609">
        <v>14</v>
      </c>
      <c r="I465" s="609">
        <v>1</v>
      </c>
      <c r="J465" s="609">
        <v>159</v>
      </c>
      <c r="K465" s="590" t="s">
        <v>366</v>
      </c>
      <c r="L465" s="595">
        <f t="shared" si="59"/>
        <v>4478406.25</v>
      </c>
      <c r="M465" s="611">
        <v>4378000</v>
      </c>
      <c r="N465" s="612">
        <v>100406.25</v>
      </c>
      <c r="O465" s="613"/>
      <c r="P465" s="586"/>
      <c r="Q465" s="614"/>
      <c r="R465" s="582">
        <v>2200000</v>
      </c>
      <c r="S465" s="586">
        <f t="shared" si="60"/>
        <v>0</v>
      </c>
      <c r="T465" s="600"/>
      <c r="U465" s="597">
        <f t="shared" si="62"/>
        <v>4478406.25</v>
      </c>
      <c r="V465" s="589"/>
      <c r="W465" s="600"/>
      <c r="X465" s="601"/>
      <c r="Y465" s="601"/>
      <c r="Z465" s="601"/>
    </row>
    <row r="466" spans="1:26" s="75" customFormat="1" hidden="1">
      <c r="A466" s="591">
        <f t="shared" si="61"/>
        <v>377</v>
      </c>
      <c r="B466" s="581" t="s">
        <v>3388</v>
      </c>
      <c r="C466" s="593" t="s">
        <v>271</v>
      </c>
      <c r="D466" s="603">
        <v>17520</v>
      </c>
      <c r="E466" s="594">
        <v>2305</v>
      </c>
      <c r="F466" s="643" t="s">
        <v>222</v>
      </c>
      <c r="G466" s="603">
        <v>1167.5999999999999</v>
      </c>
      <c r="H466" s="609">
        <v>5</v>
      </c>
      <c r="I466" s="609">
        <v>4</v>
      </c>
      <c r="J466" s="609">
        <v>70</v>
      </c>
      <c r="K466" s="590" t="s">
        <v>33</v>
      </c>
      <c r="L466" s="595">
        <f t="shared" si="59"/>
        <v>3742443.75</v>
      </c>
      <c r="M466" s="611">
        <v>3731250</v>
      </c>
      <c r="N466" s="612"/>
      <c r="O466" s="613">
        <v>11193.75</v>
      </c>
      <c r="P466" s="586"/>
      <c r="Q466" s="614"/>
      <c r="R466" s="582">
        <f>M466/G466</f>
        <v>3195.6577595066806</v>
      </c>
      <c r="S466" s="586">
        <f t="shared" si="60"/>
        <v>0</v>
      </c>
      <c r="T466" s="600"/>
      <c r="U466" s="597">
        <f t="shared" si="62"/>
        <v>3742443.75</v>
      </c>
      <c r="V466" s="589"/>
      <c r="W466" s="600"/>
      <c r="X466" s="601"/>
      <c r="Y466" s="601"/>
      <c r="Z466" s="601"/>
    </row>
    <row r="467" spans="1:26" s="75" customFormat="1" ht="37.5" hidden="1">
      <c r="A467" s="591">
        <f t="shared" si="61"/>
        <v>378</v>
      </c>
      <c r="B467" s="1370" t="s">
        <v>3751</v>
      </c>
      <c r="C467" s="593" t="s">
        <v>271</v>
      </c>
      <c r="D467" s="603">
        <v>12197</v>
      </c>
      <c r="E467" s="594">
        <v>1323.6</v>
      </c>
      <c r="F467" s="643" t="s">
        <v>230</v>
      </c>
      <c r="G467" s="603">
        <v>1095</v>
      </c>
      <c r="H467" s="609">
        <v>4</v>
      </c>
      <c r="I467" s="609">
        <v>4</v>
      </c>
      <c r="J467" s="609">
        <v>29</v>
      </c>
      <c r="K467" s="590" t="s">
        <v>30</v>
      </c>
      <c r="L467" s="1357">
        <f>M467+N467+O467+Q467+N468+O468+Q468+M468</f>
        <v>2931224</v>
      </c>
      <c r="M467" s="611">
        <v>1562111.1</v>
      </c>
      <c r="N467" s="612"/>
      <c r="O467" s="711">
        <v>2547</v>
      </c>
      <c r="P467" s="630"/>
      <c r="Q467" s="706">
        <v>34491</v>
      </c>
      <c r="R467" s="582">
        <f>M467/J467</f>
        <v>53865.9</v>
      </c>
      <c r="S467" s="586">
        <f t="shared" si="60"/>
        <v>1332074.8999999999</v>
      </c>
      <c r="T467" s="600"/>
      <c r="U467" s="597">
        <f t="shared" si="62"/>
        <v>1599149.1</v>
      </c>
      <c r="V467" s="589"/>
      <c r="W467" s="600"/>
      <c r="X467" s="601"/>
      <c r="Y467" s="601"/>
      <c r="Z467" s="601"/>
    </row>
    <row r="468" spans="1:26" s="75" customFormat="1" ht="37.5" hidden="1">
      <c r="A468" s="591"/>
      <c r="B468" s="1370"/>
      <c r="C468" s="593"/>
      <c r="D468" s="603"/>
      <c r="E468" s="594"/>
      <c r="F468" s="643"/>
      <c r="G468" s="603"/>
      <c r="H468" s="609"/>
      <c r="I468" s="609"/>
      <c r="J468" s="609"/>
      <c r="K468" s="590" t="s">
        <v>3713</v>
      </c>
      <c r="L468" s="1357"/>
      <c r="M468" s="611">
        <v>1289187.8999999999</v>
      </c>
      <c r="N468" s="612"/>
      <c r="O468" s="711">
        <v>5093</v>
      </c>
      <c r="P468" s="630"/>
      <c r="Q468" s="706">
        <v>37794</v>
      </c>
      <c r="R468" s="582">
        <f>M468/G467</f>
        <v>1177.3405479452053</v>
      </c>
      <c r="S468" s="586">
        <f t="shared" si="60"/>
        <v>-1332074.8999999999</v>
      </c>
      <c r="T468" s="600"/>
      <c r="U468" s="597">
        <f t="shared" si="62"/>
        <v>1332074.8999999999</v>
      </c>
      <c r="V468" s="589"/>
      <c r="W468" s="600"/>
      <c r="X468" s="601"/>
      <c r="Y468" s="601"/>
      <c r="Z468" s="601"/>
    </row>
    <row r="469" spans="1:26" s="75" customFormat="1" ht="37.5" hidden="1">
      <c r="A469" s="591">
        <f>A467+1</f>
        <v>379</v>
      </c>
      <c r="B469" s="581" t="s">
        <v>3755</v>
      </c>
      <c r="C469" s="593" t="s">
        <v>217</v>
      </c>
      <c r="D469" s="603">
        <v>37814</v>
      </c>
      <c r="E469" s="594">
        <v>4410</v>
      </c>
      <c r="F469" s="643" t="s">
        <v>233</v>
      </c>
      <c r="G469" s="603">
        <v>462</v>
      </c>
      <c r="H469" s="609">
        <v>10</v>
      </c>
      <c r="I469" s="609">
        <v>3</v>
      </c>
      <c r="J469" s="609">
        <v>155</v>
      </c>
      <c r="K469" s="590" t="s">
        <v>30</v>
      </c>
      <c r="L469" s="595">
        <f>M469+N469+O469+P469+Q469</f>
        <v>4739031</v>
      </c>
      <c r="M469" s="611">
        <v>4687200</v>
      </c>
      <c r="N469" s="612"/>
      <c r="O469" s="613">
        <v>14880</v>
      </c>
      <c r="P469" s="586"/>
      <c r="Q469" s="706">
        <v>36951</v>
      </c>
      <c r="R469" s="582">
        <f>M469/J469</f>
        <v>30240</v>
      </c>
      <c r="S469" s="586">
        <f t="shared" si="60"/>
        <v>0</v>
      </c>
      <c r="T469" s="600"/>
      <c r="U469" s="597">
        <f t="shared" si="62"/>
        <v>4739031</v>
      </c>
      <c r="V469" s="589"/>
      <c r="W469" s="600"/>
      <c r="X469" s="601"/>
      <c r="Y469" s="601"/>
      <c r="Z469" s="601"/>
    </row>
    <row r="470" spans="1:26" s="75" customFormat="1" ht="37.5" hidden="1">
      <c r="A470" s="591">
        <f>A469+1</f>
        <v>380</v>
      </c>
      <c r="B470" s="581" t="s">
        <v>3806</v>
      </c>
      <c r="C470" s="593" t="s">
        <v>217</v>
      </c>
      <c r="D470" s="603">
        <v>23583</v>
      </c>
      <c r="E470" s="594">
        <v>4050</v>
      </c>
      <c r="F470" s="643" t="s">
        <v>233</v>
      </c>
      <c r="G470" s="603">
        <v>1023.4</v>
      </c>
      <c r="H470" s="609">
        <v>9</v>
      </c>
      <c r="I470" s="609">
        <v>3</v>
      </c>
      <c r="J470" s="609">
        <v>117</v>
      </c>
      <c r="K470" s="590" t="s">
        <v>30</v>
      </c>
      <c r="L470" s="1357">
        <f>M470+N470+O470+P470+Q470+M471+N471+O471+Q471</f>
        <v>18644826.190000001</v>
      </c>
      <c r="M470" s="611">
        <v>3740256</v>
      </c>
      <c r="N470" s="612"/>
      <c r="O470" s="613">
        <v>11175.84</v>
      </c>
      <c r="P470" s="586"/>
      <c r="Q470" s="614"/>
      <c r="R470" s="582">
        <f>M470/J470</f>
        <v>31968</v>
      </c>
      <c r="S470" s="586">
        <f t="shared" si="60"/>
        <v>14893394.350000001</v>
      </c>
      <c r="T470" s="600"/>
      <c r="U470" s="597">
        <f t="shared" si="62"/>
        <v>3751431.84</v>
      </c>
      <c r="V470" s="589"/>
      <c r="W470" s="600"/>
      <c r="X470" s="601"/>
      <c r="Y470" s="601"/>
      <c r="Z470" s="601"/>
    </row>
    <row r="471" spans="1:26" s="75" customFormat="1" hidden="1">
      <c r="A471" s="591"/>
      <c r="B471" s="581"/>
      <c r="C471" s="593"/>
      <c r="D471" s="603"/>
      <c r="E471" s="594"/>
      <c r="F471" s="643"/>
      <c r="G471" s="603"/>
      <c r="H471" s="609"/>
      <c r="I471" s="609"/>
      <c r="J471" s="609"/>
      <c r="K471" s="590" t="s">
        <v>226</v>
      </c>
      <c r="L471" s="1357"/>
      <c r="M471" s="611">
        <v>14868705.41</v>
      </c>
      <c r="N471" s="612">
        <v>24688.94</v>
      </c>
      <c r="O471" s="613"/>
      <c r="P471" s="586"/>
      <c r="Q471" s="614"/>
      <c r="R471" s="616">
        <f>M471/E470</f>
        <v>3671.285286419753</v>
      </c>
      <c r="S471" s="586">
        <f t="shared" si="60"/>
        <v>-14893394.35</v>
      </c>
      <c r="T471" s="600"/>
      <c r="U471" s="597">
        <f t="shared" si="62"/>
        <v>14893394.35</v>
      </c>
      <c r="V471" s="589"/>
      <c r="W471" s="600"/>
      <c r="X471" s="601"/>
      <c r="Y471" s="601"/>
      <c r="Z471" s="601"/>
    </row>
    <row r="472" spans="1:26" s="75" customFormat="1" hidden="1">
      <c r="A472" s="591">
        <f>A470+1</f>
        <v>381</v>
      </c>
      <c r="B472" s="581" t="s">
        <v>3810</v>
      </c>
      <c r="C472" s="593" t="s">
        <v>217</v>
      </c>
      <c r="D472" s="603">
        <v>15336</v>
      </c>
      <c r="E472" s="594">
        <v>3155</v>
      </c>
      <c r="F472" s="643" t="s">
        <v>233</v>
      </c>
      <c r="G472" s="603">
        <v>678.1</v>
      </c>
      <c r="H472" s="609">
        <v>9</v>
      </c>
      <c r="I472" s="609">
        <v>2</v>
      </c>
      <c r="J472" s="609">
        <v>72</v>
      </c>
      <c r="K472" s="590" t="s">
        <v>33</v>
      </c>
      <c r="L472" s="595">
        <f t="shared" ref="L472:L486" si="63">M472+N472+O472+P472+Q472</f>
        <v>1432754.85</v>
      </c>
      <c r="M472" s="611">
        <v>1402649.85</v>
      </c>
      <c r="N472" s="612"/>
      <c r="O472" s="711">
        <v>10105</v>
      </c>
      <c r="P472" s="630"/>
      <c r="Q472" s="706">
        <v>20000</v>
      </c>
      <c r="R472" s="582">
        <f t="shared" ref="R472:R481" si="64">M472/G472</f>
        <v>2068.5</v>
      </c>
      <c r="S472" s="586">
        <f t="shared" si="60"/>
        <v>0</v>
      </c>
      <c r="T472" s="600"/>
      <c r="U472" s="597">
        <f t="shared" si="62"/>
        <v>1432754.85</v>
      </c>
      <c r="V472" s="589"/>
      <c r="W472" s="600"/>
      <c r="X472" s="601"/>
      <c r="Y472" s="601"/>
      <c r="Z472" s="601"/>
    </row>
    <row r="473" spans="1:26" s="75" customFormat="1" hidden="1">
      <c r="A473" s="591">
        <f>A472+1</f>
        <v>382</v>
      </c>
      <c r="B473" s="592" t="s">
        <v>3872</v>
      </c>
      <c r="C473" s="593" t="s">
        <v>217</v>
      </c>
      <c r="D473" s="594">
        <v>12063</v>
      </c>
      <c r="E473" s="594">
        <v>2450</v>
      </c>
      <c r="F473" s="594" t="s">
        <v>222</v>
      </c>
      <c r="G473" s="594">
        <v>1136</v>
      </c>
      <c r="H473" s="594">
        <v>5</v>
      </c>
      <c r="I473" s="594">
        <v>4</v>
      </c>
      <c r="J473" s="594">
        <v>78</v>
      </c>
      <c r="K473" s="588" t="s">
        <v>33</v>
      </c>
      <c r="L473" s="584">
        <f t="shared" si="63"/>
        <v>3642703</v>
      </c>
      <c r="M473" s="596">
        <v>3598848</v>
      </c>
      <c r="N473" s="597"/>
      <c r="O473" s="598">
        <v>6477</v>
      </c>
      <c r="P473" s="597"/>
      <c r="Q473" s="564">
        <v>37378</v>
      </c>
      <c r="R473" s="582">
        <f t="shared" si="64"/>
        <v>3168</v>
      </c>
      <c r="S473" s="586">
        <f t="shared" si="60"/>
        <v>0</v>
      </c>
      <c r="T473" s="600"/>
      <c r="U473" s="597">
        <f t="shared" si="62"/>
        <v>3642703</v>
      </c>
      <c r="V473" s="589"/>
      <c r="W473" s="600"/>
      <c r="X473" s="601"/>
      <c r="Y473" s="601"/>
      <c r="Z473" s="601"/>
    </row>
    <row r="474" spans="1:26" s="75" customFormat="1" hidden="1">
      <c r="A474" s="591">
        <f>A473+1</f>
        <v>383</v>
      </c>
      <c r="B474" s="581" t="s">
        <v>3711</v>
      </c>
      <c r="C474" s="593" t="s">
        <v>271</v>
      </c>
      <c r="D474" s="603">
        <v>24896</v>
      </c>
      <c r="E474" s="594">
        <v>3380</v>
      </c>
      <c r="F474" s="643" t="s">
        <v>222</v>
      </c>
      <c r="G474" s="603">
        <v>2281</v>
      </c>
      <c r="H474" s="609">
        <v>5</v>
      </c>
      <c r="I474" s="609">
        <v>8</v>
      </c>
      <c r="J474" s="609">
        <v>148</v>
      </c>
      <c r="K474" s="590" t="s">
        <v>33</v>
      </c>
      <c r="L474" s="595">
        <f t="shared" si="63"/>
        <v>7306375.2200000007</v>
      </c>
      <c r="M474" s="611">
        <v>7284608.9000000004</v>
      </c>
      <c r="N474" s="612"/>
      <c r="O474" s="613">
        <v>21766.32</v>
      </c>
      <c r="P474" s="586"/>
      <c r="Q474" s="614"/>
      <c r="R474" s="582">
        <f t="shared" si="64"/>
        <v>3193.6032003507235</v>
      </c>
      <c r="S474" s="586">
        <f t="shared" si="60"/>
        <v>2.9831426218152046E-10</v>
      </c>
      <c r="T474" s="600"/>
      <c r="U474" s="597">
        <f t="shared" si="62"/>
        <v>7306375.2200000007</v>
      </c>
      <c r="V474" s="589"/>
      <c r="W474" s="600"/>
      <c r="X474" s="601"/>
      <c r="Y474" s="601"/>
      <c r="Z474" s="601"/>
    </row>
    <row r="475" spans="1:26" s="75" customFormat="1" hidden="1">
      <c r="A475" s="591">
        <f>A474+1</f>
        <v>384</v>
      </c>
      <c r="B475" s="581" t="s">
        <v>3759</v>
      </c>
      <c r="C475" s="593" t="s">
        <v>217</v>
      </c>
      <c r="D475" s="603">
        <v>7537</v>
      </c>
      <c r="E475" s="594">
        <v>1276</v>
      </c>
      <c r="F475" s="643" t="s">
        <v>233</v>
      </c>
      <c r="G475" s="603">
        <v>328</v>
      </c>
      <c r="H475" s="609">
        <v>9</v>
      </c>
      <c r="I475" s="609">
        <v>1</v>
      </c>
      <c r="J475" s="609">
        <v>36</v>
      </c>
      <c r="K475" s="590" t="s">
        <v>33</v>
      </c>
      <c r="L475" s="595">
        <f t="shared" si="63"/>
        <v>792681</v>
      </c>
      <c r="M475" s="611">
        <v>770270</v>
      </c>
      <c r="N475" s="612"/>
      <c r="O475" s="711">
        <v>9233</v>
      </c>
      <c r="P475" s="630"/>
      <c r="Q475" s="706">
        <v>13178</v>
      </c>
      <c r="R475" s="582">
        <f t="shared" si="64"/>
        <v>2348.3841463414633</v>
      </c>
      <c r="S475" s="586">
        <f t="shared" si="60"/>
        <v>0</v>
      </c>
      <c r="T475" s="600"/>
      <c r="U475" s="597">
        <f t="shared" si="62"/>
        <v>792681</v>
      </c>
      <c r="V475" s="589"/>
      <c r="W475" s="600"/>
      <c r="X475" s="601"/>
      <c r="Y475" s="601"/>
      <c r="Z475" s="601"/>
    </row>
    <row r="476" spans="1:26" s="75" customFormat="1" hidden="1">
      <c r="A476" s="591">
        <f t="shared" ref="A476:A493" si="65">A475+1</f>
        <v>385</v>
      </c>
      <c r="B476" s="581" t="s">
        <v>1703</v>
      </c>
      <c r="C476" s="593" t="s">
        <v>271</v>
      </c>
      <c r="D476" s="603">
        <v>16361</v>
      </c>
      <c r="E476" s="594">
        <v>3379</v>
      </c>
      <c r="F476" s="643" t="s">
        <v>222</v>
      </c>
      <c r="G476" s="603">
        <v>1487.3</v>
      </c>
      <c r="H476" s="609">
        <v>5</v>
      </c>
      <c r="I476" s="609">
        <v>5</v>
      </c>
      <c r="J476" s="609">
        <v>100</v>
      </c>
      <c r="K476" s="590" t="s">
        <v>33</v>
      </c>
      <c r="L476" s="595">
        <f t="shared" si="63"/>
        <v>2967297.37</v>
      </c>
      <c r="M476" s="611">
        <v>2953864.87</v>
      </c>
      <c r="N476" s="612"/>
      <c r="O476" s="613">
        <v>13432.5</v>
      </c>
      <c r="P476" s="586"/>
      <c r="Q476" s="614"/>
      <c r="R476" s="582">
        <f t="shared" si="64"/>
        <v>1986.0585423250186</v>
      </c>
      <c r="S476" s="586">
        <f t="shared" si="60"/>
        <v>0</v>
      </c>
      <c r="T476" s="600"/>
      <c r="U476" s="597">
        <f t="shared" si="62"/>
        <v>2967297.37</v>
      </c>
      <c r="V476" s="589"/>
      <c r="W476" s="600"/>
      <c r="X476" s="601"/>
      <c r="Y476" s="601"/>
      <c r="Z476" s="601"/>
    </row>
    <row r="477" spans="1:26" s="75" customFormat="1" hidden="1">
      <c r="A477" s="591">
        <f t="shared" si="65"/>
        <v>386</v>
      </c>
      <c r="B477" s="581" t="s">
        <v>3766</v>
      </c>
      <c r="C477" s="593" t="s">
        <v>217</v>
      </c>
      <c r="D477" s="603">
        <v>12297</v>
      </c>
      <c r="E477" s="594">
        <v>2125</v>
      </c>
      <c r="F477" s="643" t="s">
        <v>222</v>
      </c>
      <c r="G477" s="603">
        <v>960</v>
      </c>
      <c r="H477" s="609">
        <v>5</v>
      </c>
      <c r="I477" s="609">
        <v>4</v>
      </c>
      <c r="J477" s="609">
        <v>80</v>
      </c>
      <c r="K477" s="590" t="s">
        <v>33</v>
      </c>
      <c r="L477" s="595">
        <f t="shared" si="63"/>
        <v>3354206</v>
      </c>
      <c r="M477" s="611">
        <v>3309600</v>
      </c>
      <c r="N477" s="612"/>
      <c r="O477" s="711">
        <v>6503</v>
      </c>
      <c r="P477" s="630"/>
      <c r="Q477" s="706">
        <v>38103</v>
      </c>
      <c r="R477" s="582">
        <f t="shared" si="64"/>
        <v>3447.5</v>
      </c>
      <c r="S477" s="586">
        <f t="shared" si="60"/>
        <v>0</v>
      </c>
      <c r="T477" s="600"/>
      <c r="U477" s="597">
        <f t="shared" si="62"/>
        <v>3354206</v>
      </c>
      <c r="V477" s="589"/>
      <c r="W477" s="600"/>
      <c r="X477" s="601"/>
      <c r="Y477" s="601"/>
      <c r="Z477" s="601"/>
    </row>
    <row r="478" spans="1:26" s="75" customFormat="1" hidden="1">
      <c r="A478" s="591">
        <f t="shared" si="65"/>
        <v>387</v>
      </c>
      <c r="B478" s="581" t="s">
        <v>1714</v>
      </c>
      <c r="C478" s="593" t="s">
        <v>271</v>
      </c>
      <c r="D478" s="603">
        <v>70562</v>
      </c>
      <c r="E478" s="594">
        <v>3303</v>
      </c>
      <c r="F478" s="643" t="s">
        <v>233</v>
      </c>
      <c r="G478" s="603">
        <v>1470</v>
      </c>
      <c r="H478" s="609">
        <v>16</v>
      </c>
      <c r="I478" s="609">
        <v>2</v>
      </c>
      <c r="J478" s="609">
        <v>168</v>
      </c>
      <c r="K478" s="590" t="s">
        <v>252</v>
      </c>
      <c r="L478" s="595">
        <f t="shared" si="63"/>
        <v>2209732.46</v>
      </c>
      <c r="M478" s="690">
        <v>2169932.46</v>
      </c>
      <c r="N478" s="612">
        <v>39800</v>
      </c>
      <c r="O478" s="613"/>
      <c r="P478" s="586"/>
      <c r="Q478" s="614"/>
      <c r="R478" s="582">
        <f t="shared" si="64"/>
        <v>1476.1445306122448</v>
      </c>
      <c r="S478" s="586">
        <f t="shared" si="60"/>
        <v>0</v>
      </c>
      <c r="T478" s="600"/>
      <c r="U478" s="597">
        <f t="shared" si="62"/>
        <v>2209732.46</v>
      </c>
      <c r="V478" s="589"/>
      <c r="W478" s="600"/>
      <c r="X478" s="601"/>
      <c r="Y478" s="601"/>
      <c r="Z478" s="601"/>
    </row>
    <row r="479" spans="1:26" s="75" customFormat="1" hidden="1">
      <c r="A479" s="591">
        <f t="shared" si="65"/>
        <v>388</v>
      </c>
      <c r="B479" s="581" t="s">
        <v>3752</v>
      </c>
      <c r="C479" s="593" t="s">
        <v>271</v>
      </c>
      <c r="D479" s="603">
        <v>11607</v>
      </c>
      <c r="E479" s="594">
        <v>2435</v>
      </c>
      <c r="F479" s="643" t="s">
        <v>222</v>
      </c>
      <c r="G479" s="603">
        <v>1270</v>
      </c>
      <c r="H479" s="609">
        <v>5</v>
      </c>
      <c r="I479" s="609">
        <v>4</v>
      </c>
      <c r="J479" s="609">
        <v>80</v>
      </c>
      <c r="K479" s="590" t="s">
        <v>33</v>
      </c>
      <c r="L479" s="595">
        <f t="shared" si="63"/>
        <v>3854457.42</v>
      </c>
      <c r="M479" s="690">
        <v>3812066.42</v>
      </c>
      <c r="N479" s="612"/>
      <c r="O479" s="711">
        <v>6425</v>
      </c>
      <c r="P479" s="630"/>
      <c r="Q479" s="706">
        <v>35966</v>
      </c>
      <c r="R479" s="582">
        <f t="shared" si="64"/>
        <v>3001.6271023622048</v>
      </c>
      <c r="S479" s="586">
        <f t="shared" si="60"/>
        <v>0</v>
      </c>
      <c r="T479" s="600"/>
      <c r="U479" s="597">
        <f t="shared" si="62"/>
        <v>3854457.42</v>
      </c>
      <c r="V479" s="589"/>
      <c r="W479" s="600"/>
      <c r="X479" s="601"/>
      <c r="Y479" s="601"/>
      <c r="Z479" s="601"/>
    </row>
    <row r="480" spans="1:26" s="75" customFormat="1" hidden="1">
      <c r="A480" s="591">
        <f t="shared" si="65"/>
        <v>389</v>
      </c>
      <c r="B480" s="581" t="s">
        <v>2691</v>
      </c>
      <c r="C480" s="593" t="s">
        <v>271</v>
      </c>
      <c r="D480" s="603">
        <v>8727</v>
      </c>
      <c r="E480" s="594">
        <v>1777</v>
      </c>
      <c r="F480" s="643" t="s">
        <v>233</v>
      </c>
      <c r="G480" s="603">
        <v>553</v>
      </c>
      <c r="H480" s="609">
        <v>5</v>
      </c>
      <c r="I480" s="609">
        <v>2</v>
      </c>
      <c r="J480" s="609">
        <v>40</v>
      </c>
      <c r="K480" s="590" t="s">
        <v>252</v>
      </c>
      <c r="L480" s="595">
        <f t="shared" si="63"/>
        <v>2335624</v>
      </c>
      <c r="M480" s="611">
        <v>2299374</v>
      </c>
      <c r="N480" s="661">
        <v>16250</v>
      </c>
      <c r="O480" s="711"/>
      <c r="P480" s="630"/>
      <c r="Q480" s="706">
        <v>20000</v>
      </c>
      <c r="R480" s="582">
        <f t="shared" si="64"/>
        <v>4158</v>
      </c>
      <c r="S480" s="586">
        <f t="shared" si="60"/>
        <v>0</v>
      </c>
      <c r="T480" s="600"/>
      <c r="U480" s="597">
        <f t="shared" si="62"/>
        <v>2335624</v>
      </c>
      <c r="V480" s="589"/>
      <c r="W480" s="600"/>
      <c r="X480" s="601"/>
      <c r="Y480" s="601"/>
      <c r="Z480" s="601"/>
    </row>
    <row r="481" spans="1:26" s="75" customFormat="1" hidden="1">
      <c r="A481" s="591">
        <f t="shared" si="65"/>
        <v>390</v>
      </c>
      <c r="B481" s="581" t="s">
        <v>3708</v>
      </c>
      <c r="C481" s="593" t="s">
        <v>271</v>
      </c>
      <c r="D481" s="603">
        <v>27280</v>
      </c>
      <c r="E481" s="594">
        <v>3753</v>
      </c>
      <c r="F481" s="643" t="s">
        <v>233</v>
      </c>
      <c r="G481" s="603">
        <v>1705</v>
      </c>
      <c r="H481" s="609">
        <v>5</v>
      </c>
      <c r="I481" s="609">
        <v>6</v>
      </c>
      <c r="J481" s="609">
        <v>72</v>
      </c>
      <c r="K481" s="590" t="s">
        <v>33</v>
      </c>
      <c r="L481" s="595">
        <f t="shared" si="63"/>
        <v>5203131</v>
      </c>
      <c r="M481" s="611">
        <f>4595400+594000</f>
        <v>5189400</v>
      </c>
      <c r="N481" s="612"/>
      <c r="O481" s="613">
        <v>13731</v>
      </c>
      <c r="P481" s="586"/>
      <c r="Q481" s="614"/>
      <c r="R481" s="582">
        <f t="shared" si="64"/>
        <v>3043.6363636363635</v>
      </c>
      <c r="S481" s="586">
        <f t="shared" si="60"/>
        <v>0</v>
      </c>
      <c r="T481" s="600"/>
      <c r="U481" s="597">
        <f t="shared" si="62"/>
        <v>5203131</v>
      </c>
      <c r="V481" s="589"/>
      <c r="W481" s="600"/>
      <c r="X481" s="601"/>
      <c r="Y481" s="601"/>
      <c r="Z481" s="601"/>
    </row>
    <row r="482" spans="1:26" s="75" customFormat="1" ht="37.5" hidden="1">
      <c r="A482" s="591">
        <f t="shared" si="65"/>
        <v>391</v>
      </c>
      <c r="B482" s="581" t="s">
        <v>3765</v>
      </c>
      <c r="C482" s="593" t="s">
        <v>271</v>
      </c>
      <c r="D482" s="603">
        <v>9743</v>
      </c>
      <c r="E482" s="594">
        <v>1992.8</v>
      </c>
      <c r="F482" s="643" t="s">
        <v>233</v>
      </c>
      <c r="G482" s="603">
        <v>397</v>
      </c>
      <c r="H482" s="609">
        <v>9</v>
      </c>
      <c r="I482" s="609">
        <v>1</v>
      </c>
      <c r="J482" s="609">
        <v>54</v>
      </c>
      <c r="K482" s="590" t="s">
        <v>30</v>
      </c>
      <c r="L482" s="595">
        <f t="shared" si="63"/>
        <v>1755747</v>
      </c>
      <c r="M482" s="611">
        <v>1719360</v>
      </c>
      <c r="N482" s="612"/>
      <c r="O482" s="711">
        <v>8887</v>
      </c>
      <c r="P482" s="630"/>
      <c r="Q482" s="706">
        <v>27500</v>
      </c>
      <c r="R482" s="582">
        <f>M482/J482</f>
        <v>31840</v>
      </c>
      <c r="S482" s="586">
        <f t="shared" si="60"/>
        <v>0</v>
      </c>
      <c r="T482" s="600"/>
      <c r="U482" s="597">
        <f t="shared" si="62"/>
        <v>1755747</v>
      </c>
      <c r="V482" s="589"/>
      <c r="W482" s="600"/>
      <c r="X482" s="601"/>
      <c r="Y482" s="601"/>
      <c r="Z482" s="601"/>
    </row>
    <row r="483" spans="1:26" s="75" customFormat="1" ht="37.5" hidden="1">
      <c r="A483" s="591">
        <f t="shared" si="65"/>
        <v>392</v>
      </c>
      <c r="B483" s="581" t="s">
        <v>3809</v>
      </c>
      <c r="C483" s="593" t="s">
        <v>217</v>
      </c>
      <c r="D483" s="603">
        <v>12097</v>
      </c>
      <c r="E483" s="594">
        <v>2438.1999999999998</v>
      </c>
      <c r="F483" s="643" t="s">
        <v>222</v>
      </c>
      <c r="G483" s="603">
        <v>1140</v>
      </c>
      <c r="H483" s="609">
        <v>5</v>
      </c>
      <c r="I483" s="609">
        <v>4</v>
      </c>
      <c r="J483" s="609">
        <v>79</v>
      </c>
      <c r="K483" s="590" t="s">
        <v>30</v>
      </c>
      <c r="L483" s="595">
        <f t="shared" si="63"/>
        <v>2118037.0099999998</v>
      </c>
      <c r="M483" s="690">
        <v>2111670</v>
      </c>
      <c r="N483" s="612"/>
      <c r="O483" s="613">
        <v>6367.01</v>
      </c>
      <c r="P483" s="586"/>
      <c r="Q483" s="614"/>
      <c r="R483" s="582">
        <f>M483/J483</f>
        <v>26730</v>
      </c>
      <c r="S483" s="586">
        <f t="shared" si="60"/>
        <v>-2.2373569663614035E-10</v>
      </c>
      <c r="T483" s="600"/>
      <c r="U483" s="597">
        <f t="shared" si="62"/>
        <v>2118037.0099999998</v>
      </c>
      <c r="V483" s="589"/>
      <c r="W483" s="600"/>
      <c r="X483" s="601"/>
      <c r="Y483" s="601"/>
      <c r="Z483" s="601"/>
    </row>
    <row r="484" spans="1:26" s="75" customFormat="1" hidden="1">
      <c r="A484" s="591">
        <f t="shared" si="65"/>
        <v>393</v>
      </c>
      <c r="B484" s="581" t="s">
        <v>3761</v>
      </c>
      <c r="C484" s="593" t="s">
        <v>271</v>
      </c>
      <c r="D484" s="603">
        <v>11174</v>
      </c>
      <c r="E484" s="594">
        <v>2850</v>
      </c>
      <c r="F484" s="643" t="s">
        <v>222</v>
      </c>
      <c r="G484" s="603">
        <v>1020</v>
      </c>
      <c r="H484" s="609">
        <v>4</v>
      </c>
      <c r="I484" s="609">
        <v>4</v>
      </c>
      <c r="J484" s="609">
        <v>40</v>
      </c>
      <c r="K484" s="590" t="s">
        <v>224</v>
      </c>
      <c r="L484" s="595">
        <f t="shared" si="63"/>
        <v>1031092</v>
      </c>
      <c r="M484" s="611">
        <v>1005840</v>
      </c>
      <c r="N484" s="661">
        <v>16803</v>
      </c>
      <c r="O484" s="711"/>
      <c r="P484" s="630"/>
      <c r="Q484" s="706">
        <v>8449</v>
      </c>
      <c r="R484" s="582">
        <f>M484/J484</f>
        <v>25146</v>
      </c>
      <c r="S484" s="586">
        <f t="shared" si="60"/>
        <v>0</v>
      </c>
      <c r="T484" s="600"/>
      <c r="U484" s="597">
        <f t="shared" si="62"/>
        <v>1031092</v>
      </c>
      <c r="V484" s="589"/>
      <c r="W484" s="600"/>
      <c r="X484" s="601"/>
      <c r="Y484" s="601"/>
      <c r="Z484" s="601"/>
    </row>
    <row r="485" spans="1:26" s="75" customFormat="1" hidden="1">
      <c r="A485" s="591">
        <f t="shared" si="65"/>
        <v>394</v>
      </c>
      <c r="B485" s="581" t="s">
        <v>3750</v>
      </c>
      <c r="C485" s="593" t="s">
        <v>271</v>
      </c>
      <c r="D485" s="603">
        <v>37150</v>
      </c>
      <c r="E485" s="594">
        <v>6089</v>
      </c>
      <c r="F485" s="643" t="s">
        <v>233</v>
      </c>
      <c r="G485" s="603">
        <v>1769</v>
      </c>
      <c r="H485" s="609">
        <v>9</v>
      </c>
      <c r="I485" s="609">
        <v>4</v>
      </c>
      <c r="J485" s="609">
        <v>128</v>
      </c>
      <c r="K485" s="590" t="s">
        <v>224</v>
      </c>
      <c r="L485" s="595">
        <f t="shared" si="63"/>
        <v>3269376</v>
      </c>
      <c r="M485" s="611">
        <v>3269376</v>
      </c>
      <c r="N485" s="612"/>
      <c r="O485" s="613"/>
      <c r="P485" s="586"/>
      <c r="Q485" s="614"/>
      <c r="R485" s="582">
        <f>M485/J485</f>
        <v>25542</v>
      </c>
      <c r="S485" s="586">
        <f t="shared" si="60"/>
        <v>0</v>
      </c>
      <c r="T485" s="600" t="s">
        <v>4326</v>
      </c>
      <c r="U485" s="597">
        <f t="shared" si="62"/>
        <v>3269376</v>
      </c>
      <c r="V485" s="589"/>
      <c r="W485" s="600"/>
      <c r="X485" s="601"/>
      <c r="Y485" s="601"/>
      <c r="Z485" s="601"/>
    </row>
    <row r="486" spans="1:26" s="75" customFormat="1" hidden="1">
      <c r="A486" s="591">
        <f t="shared" si="65"/>
        <v>395</v>
      </c>
      <c r="B486" s="581" t="s">
        <v>2743</v>
      </c>
      <c r="C486" s="593" t="s">
        <v>217</v>
      </c>
      <c r="D486" s="603">
        <v>22994</v>
      </c>
      <c r="E486" s="594">
        <v>2500</v>
      </c>
      <c r="F486" s="643" t="s">
        <v>233</v>
      </c>
      <c r="G486" s="603">
        <v>911.5</v>
      </c>
      <c r="H486" s="609">
        <v>9</v>
      </c>
      <c r="I486" s="609">
        <v>2</v>
      </c>
      <c r="J486" s="609">
        <v>144</v>
      </c>
      <c r="K486" s="590" t="s">
        <v>33</v>
      </c>
      <c r="L486" s="595">
        <f t="shared" si="63"/>
        <v>2020288.06</v>
      </c>
      <c r="M486" s="611">
        <v>1989326.06</v>
      </c>
      <c r="N486" s="612"/>
      <c r="O486" s="711">
        <v>10962</v>
      </c>
      <c r="P486" s="630"/>
      <c r="Q486" s="706">
        <v>20000</v>
      </c>
      <c r="R486" s="582">
        <f>M486/E486</f>
        <v>795.73042399999997</v>
      </c>
      <c r="S486" s="586">
        <f t="shared" si="60"/>
        <v>0</v>
      </c>
      <c r="T486" s="600"/>
      <c r="U486" s="597">
        <f t="shared" si="62"/>
        <v>2020288.06</v>
      </c>
      <c r="V486" s="589"/>
      <c r="W486" s="600"/>
      <c r="X486" s="601"/>
      <c r="Y486" s="601"/>
      <c r="Z486" s="601"/>
    </row>
    <row r="487" spans="1:26" s="75" customFormat="1" ht="37.5" hidden="1">
      <c r="A487" s="591">
        <f t="shared" si="65"/>
        <v>396</v>
      </c>
      <c r="B487" s="581" t="s">
        <v>1807</v>
      </c>
      <c r="C487" s="593" t="s">
        <v>271</v>
      </c>
      <c r="D487" s="603">
        <v>8386</v>
      </c>
      <c r="E487" s="594">
        <v>881</v>
      </c>
      <c r="F487" s="643" t="s">
        <v>230</v>
      </c>
      <c r="G487" s="603">
        <v>676</v>
      </c>
      <c r="H487" s="609">
        <v>5</v>
      </c>
      <c r="I487" s="609">
        <v>3</v>
      </c>
      <c r="J487" s="609">
        <v>40</v>
      </c>
      <c r="K487" s="590" t="s">
        <v>30</v>
      </c>
      <c r="L487" s="1357">
        <f>M487+N487+O487+Q487+M488+N488+O488+Q488</f>
        <v>2250792.91</v>
      </c>
      <c r="M487" s="690">
        <v>1547894.49</v>
      </c>
      <c r="N487" s="612"/>
      <c r="O487" s="613">
        <v>3083.5</v>
      </c>
      <c r="P487" s="586"/>
      <c r="Q487" s="614"/>
      <c r="R487" s="582">
        <f>M487/J487</f>
        <v>38697.362249999998</v>
      </c>
      <c r="S487" s="586">
        <f t="shared" si="60"/>
        <v>699814.92000000016</v>
      </c>
      <c r="T487" s="600"/>
      <c r="U487" s="597">
        <f t="shared" si="62"/>
        <v>1550977.99</v>
      </c>
      <c r="V487" s="589"/>
      <c r="W487" s="600"/>
      <c r="X487" s="601"/>
      <c r="Y487" s="601"/>
      <c r="Z487" s="601"/>
    </row>
    <row r="488" spans="1:26" s="75" customFormat="1" hidden="1">
      <c r="A488" s="591"/>
      <c r="B488" s="581"/>
      <c r="C488" s="593"/>
      <c r="D488" s="603"/>
      <c r="E488" s="594"/>
      <c r="F488" s="643"/>
      <c r="G488" s="603"/>
      <c r="H488" s="609"/>
      <c r="I488" s="609"/>
      <c r="J488" s="609"/>
      <c r="K488" s="590" t="s">
        <v>224</v>
      </c>
      <c r="L488" s="1357"/>
      <c r="M488" s="690">
        <f>543615.47+120199.45</f>
        <v>663814.91999999993</v>
      </c>
      <c r="N488" s="612">
        <v>36000</v>
      </c>
      <c r="O488" s="613"/>
      <c r="P488" s="586"/>
      <c r="Q488" s="614"/>
      <c r="R488" s="582">
        <f>M488/J487</f>
        <v>16595.373</v>
      </c>
      <c r="S488" s="586">
        <f t="shared" si="60"/>
        <v>-699814.91999999993</v>
      </c>
      <c r="T488" s="600"/>
      <c r="U488" s="597">
        <f t="shared" si="62"/>
        <v>699814.91999999993</v>
      </c>
      <c r="V488" s="589"/>
      <c r="W488" s="600"/>
      <c r="X488" s="601"/>
      <c r="Y488" s="601"/>
      <c r="Z488" s="601"/>
    </row>
    <row r="489" spans="1:26" s="75" customFormat="1" hidden="1">
      <c r="A489" s="591">
        <f>A487+1</f>
        <v>397</v>
      </c>
      <c r="B489" s="581" t="s">
        <v>3400</v>
      </c>
      <c r="C489" s="593" t="s">
        <v>229</v>
      </c>
      <c r="D489" s="603">
        <v>1925</v>
      </c>
      <c r="E489" s="594">
        <v>602</v>
      </c>
      <c r="F489" s="643" t="s">
        <v>222</v>
      </c>
      <c r="G489" s="603">
        <v>612</v>
      </c>
      <c r="H489" s="609">
        <v>2</v>
      </c>
      <c r="I489" s="609">
        <v>2</v>
      </c>
      <c r="J489" s="609">
        <v>8</v>
      </c>
      <c r="K489" s="590" t="s">
        <v>398</v>
      </c>
      <c r="L489" s="595">
        <f>M489+N489+O489+P489+Q489</f>
        <v>1344399</v>
      </c>
      <c r="M489" s="611">
        <v>1332936</v>
      </c>
      <c r="N489" s="612"/>
      <c r="O489" s="711">
        <v>2037</v>
      </c>
      <c r="P489" s="630"/>
      <c r="Q489" s="706">
        <v>9426</v>
      </c>
      <c r="R489" s="582">
        <f>M489/E489</f>
        <v>2214.1794019933554</v>
      </c>
      <c r="S489" s="586">
        <f t="shared" si="60"/>
        <v>0</v>
      </c>
      <c r="T489" s="600"/>
      <c r="U489" s="597">
        <f t="shared" si="62"/>
        <v>1344399</v>
      </c>
      <c r="V489" s="589"/>
      <c r="W489" s="600"/>
      <c r="X489" s="601"/>
      <c r="Y489" s="601"/>
      <c r="Z489" s="601"/>
    </row>
    <row r="490" spans="1:26" s="75" customFormat="1" hidden="1">
      <c r="A490" s="591">
        <f t="shared" si="65"/>
        <v>398</v>
      </c>
      <c r="B490" s="581" t="s">
        <v>3801</v>
      </c>
      <c r="C490" s="593" t="s">
        <v>229</v>
      </c>
      <c r="D490" s="603">
        <v>2904</v>
      </c>
      <c r="E490" s="594">
        <v>780</v>
      </c>
      <c r="F490" s="643" t="s">
        <v>222</v>
      </c>
      <c r="G490" s="603">
        <v>512</v>
      </c>
      <c r="H490" s="609">
        <v>2</v>
      </c>
      <c r="I490" s="609">
        <v>2</v>
      </c>
      <c r="J490" s="609">
        <v>12</v>
      </c>
      <c r="K490" s="590" t="s">
        <v>398</v>
      </c>
      <c r="L490" s="595">
        <f>M490+N490+O490+P490+Q490</f>
        <v>1915853</v>
      </c>
      <c r="M490" s="611">
        <v>1899414</v>
      </c>
      <c r="N490" s="612"/>
      <c r="O490" s="711">
        <v>2219</v>
      </c>
      <c r="P490" s="630"/>
      <c r="Q490" s="706">
        <v>14220</v>
      </c>
      <c r="R490" s="582">
        <f>M490/E490</f>
        <v>2435.146153846154</v>
      </c>
      <c r="S490" s="586">
        <f t="shared" si="60"/>
        <v>0</v>
      </c>
      <c r="T490" s="600"/>
      <c r="U490" s="597">
        <f t="shared" si="62"/>
        <v>1915853</v>
      </c>
      <c r="V490" s="589"/>
      <c r="W490" s="600"/>
      <c r="X490" s="601"/>
      <c r="Y490" s="601"/>
      <c r="Z490" s="601"/>
    </row>
    <row r="491" spans="1:26" s="75" customFormat="1" hidden="1">
      <c r="A491" s="591">
        <f t="shared" si="65"/>
        <v>399</v>
      </c>
      <c r="B491" s="581" t="s">
        <v>3360</v>
      </c>
      <c r="C491" s="593" t="s">
        <v>229</v>
      </c>
      <c r="D491" s="603">
        <v>2871</v>
      </c>
      <c r="E491" s="594">
        <v>780</v>
      </c>
      <c r="F491" s="643" t="s">
        <v>222</v>
      </c>
      <c r="G491" s="603">
        <v>510</v>
      </c>
      <c r="H491" s="609">
        <v>2</v>
      </c>
      <c r="I491" s="609">
        <v>2</v>
      </c>
      <c r="J491" s="609">
        <v>12</v>
      </c>
      <c r="K491" s="590" t="s">
        <v>398</v>
      </c>
      <c r="L491" s="595">
        <f>M491+N491+O491+P491+Q491</f>
        <v>1915685</v>
      </c>
      <c r="M491" s="611">
        <v>1899414</v>
      </c>
      <c r="N491" s="612"/>
      <c r="O491" s="711">
        <v>2213</v>
      </c>
      <c r="P491" s="630"/>
      <c r="Q491" s="706">
        <v>14058</v>
      </c>
      <c r="R491" s="582">
        <f>M491/E491</f>
        <v>2435.146153846154</v>
      </c>
      <c r="S491" s="586">
        <f t="shared" si="60"/>
        <v>0</v>
      </c>
      <c r="T491" s="600"/>
      <c r="U491" s="597">
        <f t="shared" si="62"/>
        <v>1915685</v>
      </c>
      <c r="V491" s="589"/>
      <c r="W491" s="600"/>
      <c r="X491" s="601"/>
      <c r="Y491" s="601"/>
      <c r="Z491" s="601"/>
    </row>
    <row r="492" spans="1:26" s="75" customFormat="1" hidden="1">
      <c r="A492" s="591">
        <f t="shared" si="65"/>
        <v>400</v>
      </c>
      <c r="B492" s="581" t="s">
        <v>3380</v>
      </c>
      <c r="C492" s="593" t="s">
        <v>271</v>
      </c>
      <c r="D492" s="603">
        <v>2893</v>
      </c>
      <c r="E492" s="594">
        <v>602</v>
      </c>
      <c r="F492" s="643" t="s">
        <v>222</v>
      </c>
      <c r="G492" s="603">
        <v>1024</v>
      </c>
      <c r="H492" s="609">
        <v>2</v>
      </c>
      <c r="I492" s="609">
        <v>3</v>
      </c>
      <c r="J492" s="609">
        <v>14</v>
      </c>
      <c r="K492" s="590" t="s">
        <v>33</v>
      </c>
      <c r="L492" s="595">
        <f>M492+N492+O492+P492+Q492</f>
        <v>3322983</v>
      </c>
      <c r="M492" s="611">
        <v>3306600</v>
      </c>
      <c r="N492" s="612"/>
      <c r="O492" s="711">
        <v>2217</v>
      </c>
      <c r="P492" s="630"/>
      <c r="Q492" s="706">
        <v>14166</v>
      </c>
      <c r="R492" s="582">
        <f>M492/E492</f>
        <v>5492.6910299003321</v>
      </c>
      <c r="S492" s="586">
        <f t="shared" si="60"/>
        <v>0</v>
      </c>
      <c r="T492" s="600"/>
      <c r="U492" s="597">
        <f t="shared" si="62"/>
        <v>3322983</v>
      </c>
      <c r="V492" s="589"/>
      <c r="W492" s="600"/>
      <c r="X492" s="601"/>
      <c r="Y492" s="601"/>
      <c r="Z492" s="601"/>
    </row>
    <row r="493" spans="1:26" s="103" customFormat="1" hidden="1">
      <c r="A493" s="591">
        <f t="shared" si="65"/>
        <v>401</v>
      </c>
      <c r="B493" s="616" t="s">
        <v>770</v>
      </c>
      <c r="C493" s="593" t="s">
        <v>271</v>
      </c>
      <c r="D493" s="618">
        <v>11740</v>
      </c>
      <c r="E493" s="619">
        <v>2191.4</v>
      </c>
      <c r="F493" s="620" t="s">
        <v>222</v>
      </c>
      <c r="G493" s="620">
        <v>1114</v>
      </c>
      <c r="H493" s="651">
        <v>4</v>
      </c>
      <c r="I493" s="620">
        <v>3</v>
      </c>
      <c r="J493" s="620">
        <v>27</v>
      </c>
      <c r="K493" s="590" t="s">
        <v>284</v>
      </c>
      <c r="L493" s="607">
        <f>M493+N493+O493+P493++Q493</f>
        <v>8784892.3100000005</v>
      </c>
      <c r="M493" s="607">
        <v>8744932.3100000005</v>
      </c>
      <c r="N493" s="675">
        <v>39960</v>
      </c>
      <c r="O493" s="598"/>
      <c r="P493" s="597"/>
      <c r="Q493" s="597"/>
      <c r="R493" s="599">
        <f>M493/E493</f>
        <v>3990.5687277539473</v>
      </c>
      <c r="S493" s="589"/>
      <c r="T493" s="560"/>
      <c r="U493" s="597">
        <f t="shared" si="62"/>
        <v>8784892.3100000005</v>
      </c>
      <c r="V493" s="589"/>
      <c r="W493" s="560"/>
      <c r="X493" s="560"/>
      <c r="Y493" s="560"/>
      <c r="Z493" s="560"/>
    </row>
    <row r="494" spans="1:26" s="81" customFormat="1" hidden="1">
      <c r="A494" s="591">
        <f>A493+1</f>
        <v>402</v>
      </c>
      <c r="B494" s="592" t="s">
        <v>2500</v>
      </c>
      <c r="C494" s="593" t="s">
        <v>271</v>
      </c>
      <c r="D494" s="594">
        <v>39132</v>
      </c>
      <c r="E494" s="594">
        <v>7735</v>
      </c>
      <c r="F494" s="594" t="s">
        <v>371</v>
      </c>
      <c r="G494" s="594">
        <v>2172</v>
      </c>
      <c r="H494" s="594">
        <v>5</v>
      </c>
      <c r="I494" s="594">
        <v>8</v>
      </c>
      <c r="J494" s="594">
        <v>76</v>
      </c>
      <c r="K494" s="590" t="s">
        <v>33</v>
      </c>
      <c r="L494" s="1350">
        <f>M494+N494+O494+P494+Q494+M495+N495+O495+Q495</f>
        <v>7422235</v>
      </c>
      <c r="M494" s="596">
        <v>6298730</v>
      </c>
      <c r="N494" s="597"/>
      <c r="O494" s="598">
        <v>5000</v>
      </c>
      <c r="P494" s="597"/>
      <c r="Q494" s="597"/>
      <c r="R494" s="599">
        <f>M494/H494</f>
        <v>1259746</v>
      </c>
      <c r="S494" s="589"/>
      <c r="T494" s="601"/>
      <c r="U494" s="597">
        <f t="shared" si="62"/>
        <v>6303730</v>
      </c>
      <c r="V494" s="589"/>
      <c r="W494" s="601"/>
      <c r="X494" s="601"/>
      <c r="Y494" s="601"/>
      <c r="Z494" s="601"/>
    </row>
    <row r="495" spans="1:26" s="81" customFormat="1" ht="37.5" hidden="1">
      <c r="A495" s="591"/>
      <c r="B495" s="592"/>
      <c r="C495" s="593"/>
      <c r="D495" s="594"/>
      <c r="E495" s="594"/>
      <c r="F495" s="594"/>
      <c r="G495" s="594"/>
      <c r="H495" s="594"/>
      <c r="I495" s="594"/>
      <c r="J495" s="594"/>
      <c r="K495" s="590" t="s">
        <v>3717</v>
      </c>
      <c r="L495" s="1350"/>
      <c r="M495" s="596">
        <v>1114000</v>
      </c>
      <c r="N495" s="597"/>
      <c r="O495" s="598">
        <v>4505</v>
      </c>
      <c r="P495" s="597"/>
      <c r="Q495" s="597"/>
      <c r="R495" s="599"/>
      <c r="S495" s="589"/>
      <c r="T495" s="601"/>
      <c r="U495" s="597">
        <f t="shared" si="62"/>
        <v>1118505</v>
      </c>
      <c r="V495" s="589"/>
      <c r="W495" s="601"/>
      <c r="X495" s="601"/>
      <c r="Y495" s="601"/>
      <c r="Z495" s="601"/>
    </row>
    <row r="496" spans="1:26" s="81" customFormat="1" ht="37.5" hidden="1">
      <c r="A496" s="591">
        <f>A494+1</f>
        <v>403</v>
      </c>
      <c r="B496" s="581" t="s">
        <v>3769</v>
      </c>
      <c r="C496" s="593" t="s">
        <v>271</v>
      </c>
      <c r="D496" s="603">
        <v>8602</v>
      </c>
      <c r="E496" s="594">
        <v>1306.7</v>
      </c>
      <c r="F496" s="643" t="s">
        <v>222</v>
      </c>
      <c r="G496" s="603">
        <v>1124.2</v>
      </c>
      <c r="H496" s="609">
        <v>3</v>
      </c>
      <c r="I496" s="609">
        <v>3</v>
      </c>
      <c r="J496" s="609">
        <v>22</v>
      </c>
      <c r="K496" s="590" t="s">
        <v>30</v>
      </c>
      <c r="L496" s="596">
        <f t="shared" ref="L496:L504" si="66">M496+N496+O496+P496+Q496</f>
        <v>633203</v>
      </c>
      <c r="M496" s="611">
        <v>603900</v>
      </c>
      <c r="N496" s="612"/>
      <c r="O496" s="613">
        <v>1803</v>
      </c>
      <c r="P496" s="586"/>
      <c r="Q496" s="614">
        <v>27500</v>
      </c>
      <c r="R496" s="599">
        <f>M496/J496</f>
        <v>27450</v>
      </c>
      <c r="S496" s="589"/>
      <c r="T496" s="601"/>
      <c r="U496" s="597">
        <f t="shared" si="62"/>
        <v>633203</v>
      </c>
      <c r="V496" s="589"/>
      <c r="W496" s="601"/>
      <c r="X496" s="601"/>
      <c r="Y496" s="601"/>
      <c r="Z496" s="601"/>
    </row>
    <row r="497" spans="1:26" s="81" customFormat="1" ht="37.5" hidden="1">
      <c r="A497" s="591">
        <f t="shared" ref="A497:A505" si="67">A496+1</f>
        <v>404</v>
      </c>
      <c r="B497" s="581" t="s">
        <v>3771</v>
      </c>
      <c r="C497" s="593" t="s">
        <v>271</v>
      </c>
      <c r="D497" s="603">
        <v>9594</v>
      </c>
      <c r="E497" s="594">
        <v>320</v>
      </c>
      <c r="F497" s="643" t="s">
        <v>222</v>
      </c>
      <c r="G497" s="603">
        <v>1012</v>
      </c>
      <c r="H497" s="609">
        <v>3</v>
      </c>
      <c r="I497" s="609">
        <v>3</v>
      </c>
      <c r="J497" s="609">
        <v>21</v>
      </c>
      <c r="K497" s="590" t="s">
        <v>30</v>
      </c>
      <c r="L497" s="596">
        <f t="shared" si="66"/>
        <v>618434</v>
      </c>
      <c r="M497" s="611">
        <v>589050</v>
      </c>
      <c r="N497" s="612"/>
      <c r="O497" s="613">
        <v>1884</v>
      </c>
      <c r="P497" s="586"/>
      <c r="Q497" s="614">
        <v>27500</v>
      </c>
      <c r="R497" s="599">
        <f>M497/J497</f>
        <v>28050</v>
      </c>
      <c r="S497" s="589"/>
      <c r="T497" s="601"/>
      <c r="U497" s="597">
        <f t="shared" si="62"/>
        <v>618434</v>
      </c>
      <c r="V497" s="589"/>
      <c r="W497" s="601"/>
      <c r="X497" s="601"/>
      <c r="Y497" s="601"/>
      <c r="Z497" s="601"/>
    </row>
    <row r="498" spans="1:26" s="81" customFormat="1" ht="37.5" hidden="1">
      <c r="A498" s="591">
        <f t="shared" si="67"/>
        <v>405</v>
      </c>
      <c r="B498" s="581" t="s">
        <v>3772</v>
      </c>
      <c r="C498" s="593" t="s">
        <v>271</v>
      </c>
      <c r="D498" s="603">
        <v>10638</v>
      </c>
      <c r="E498" s="594">
        <v>2140</v>
      </c>
      <c r="F498" s="643" t="s">
        <v>222</v>
      </c>
      <c r="G498" s="603">
        <v>1110</v>
      </c>
      <c r="H498" s="609">
        <v>3</v>
      </c>
      <c r="I498" s="609">
        <v>3</v>
      </c>
      <c r="J498" s="609">
        <v>19</v>
      </c>
      <c r="K498" s="590" t="s">
        <v>30</v>
      </c>
      <c r="L498" s="596">
        <f t="shared" si="66"/>
        <v>605468</v>
      </c>
      <c r="M498" s="611">
        <v>589050</v>
      </c>
      <c r="N498" s="612"/>
      <c r="O498" s="613">
        <v>1969</v>
      </c>
      <c r="P498" s="586"/>
      <c r="Q498" s="614">
        <v>14449</v>
      </c>
      <c r="R498" s="599">
        <f>M498/J498</f>
        <v>31002.63157894737</v>
      </c>
      <c r="S498" s="589"/>
      <c r="T498" s="601"/>
      <c r="U498" s="597">
        <f t="shared" si="62"/>
        <v>605468</v>
      </c>
      <c r="V498" s="589"/>
      <c r="W498" s="601"/>
      <c r="X498" s="601"/>
      <c r="Y498" s="601"/>
      <c r="Z498" s="601"/>
    </row>
    <row r="499" spans="1:26" s="81" customFormat="1" ht="37.5" hidden="1">
      <c r="A499" s="591">
        <f t="shared" si="67"/>
        <v>406</v>
      </c>
      <c r="B499" s="581" t="s">
        <v>3773</v>
      </c>
      <c r="C499" s="593" t="s">
        <v>271</v>
      </c>
      <c r="D499" s="603">
        <v>4783</v>
      </c>
      <c r="E499" s="594">
        <v>1417.64</v>
      </c>
      <c r="F499" s="643" t="s">
        <v>222</v>
      </c>
      <c r="G499" s="603">
        <v>580.5</v>
      </c>
      <c r="H499" s="609">
        <v>3</v>
      </c>
      <c r="I499" s="609">
        <v>2</v>
      </c>
      <c r="J499" s="609">
        <v>18</v>
      </c>
      <c r="K499" s="590" t="s">
        <v>30</v>
      </c>
      <c r="L499" s="596">
        <f t="shared" si="66"/>
        <v>587232</v>
      </c>
      <c r="M499" s="611">
        <v>564300</v>
      </c>
      <c r="N499" s="612"/>
      <c r="O499" s="613">
        <v>1491</v>
      </c>
      <c r="P499" s="586"/>
      <c r="Q499" s="614">
        <v>21441</v>
      </c>
      <c r="R499" s="599">
        <f>M499/J499</f>
        <v>31350</v>
      </c>
      <c r="S499" s="589"/>
      <c r="T499" s="601"/>
      <c r="U499" s="597">
        <f t="shared" si="62"/>
        <v>587232</v>
      </c>
      <c r="V499" s="589"/>
      <c r="W499" s="601"/>
      <c r="X499" s="601"/>
      <c r="Y499" s="601"/>
      <c r="Z499" s="601"/>
    </row>
    <row r="500" spans="1:26" s="81" customFormat="1" hidden="1">
      <c r="A500" s="591">
        <f t="shared" si="67"/>
        <v>407</v>
      </c>
      <c r="B500" s="581" t="s">
        <v>3778</v>
      </c>
      <c r="C500" s="593" t="s">
        <v>271</v>
      </c>
      <c r="D500" s="603">
        <v>30850</v>
      </c>
      <c r="E500" s="594">
        <v>567</v>
      </c>
      <c r="F500" s="643" t="s">
        <v>233</v>
      </c>
      <c r="G500" s="603">
        <v>495.8</v>
      </c>
      <c r="H500" s="609">
        <v>12</v>
      </c>
      <c r="I500" s="609">
        <v>1</v>
      </c>
      <c r="J500" s="609">
        <v>65</v>
      </c>
      <c r="K500" s="590" t="s">
        <v>33</v>
      </c>
      <c r="L500" s="596">
        <f t="shared" si="66"/>
        <v>1564584.27</v>
      </c>
      <c r="M500" s="690">
        <v>1532743.27</v>
      </c>
      <c r="N500" s="612"/>
      <c r="O500" s="613">
        <v>11841</v>
      </c>
      <c r="P500" s="586"/>
      <c r="Q500" s="614">
        <v>20000</v>
      </c>
      <c r="R500" s="599">
        <f t="shared" ref="R500:R508" si="68">M500/H500</f>
        <v>127728.60583333333</v>
      </c>
      <c r="S500" s="589"/>
      <c r="T500" s="601"/>
      <c r="U500" s="597">
        <f t="shared" si="62"/>
        <v>1564584.27</v>
      </c>
      <c r="V500" s="589"/>
      <c r="W500" s="601"/>
      <c r="X500" s="601"/>
      <c r="Y500" s="601"/>
      <c r="Z500" s="601"/>
    </row>
    <row r="501" spans="1:26" s="81" customFormat="1" hidden="1">
      <c r="A501" s="591">
        <f t="shared" si="67"/>
        <v>408</v>
      </c>
      <c r="B501" s="581" t="s">
        <v>3779</v>
      </c>
      <c r="C501" s="593" t="s">
        <v>271</v>
      </c>
      <c r="D501" s="603">
        <v>1718</v>
      </c>
      <c r="E501" s="594">
        <v>407.5</v>
      </c>
      <c r="F501" s="643" t="s">
        <v>222</v>
      </c>
      <c r="G501" s="603">
        <v>354</v>
      </c>
      <c r="H501" s="609">
        <v>2</v>
      </c>
      <c r="I501" s="609">
        <v>1</v>
      </c>
      <c r="J501" s="609">
        <v>8</v>
      </c>
      <c r="K501" s="590" t="s">
        <v>33</v>
      </c>
      <c r="L501" s="596">
        <f t="shared" si="66"/>
        <v>991699</v>
      </c>
      <c r="M501" s="611">
        <v>981288</v>
      </c>
      <c r="N501" s="612"/>
      <c r="O501" s="613">
        <v>1998</v>
      </c>
      <c r="P501" s="586"/>
      <c r="Q501" s="614">
        <v>8413</v>
      </c>
      <c r="R501" s="599">
        <f t="shared" si="68"/>
        <v>490644</v>
      </c>
      <c r="S501" s="589"/>
      <c r="T501" s="601"/>
      <c r="U501" s="597">
        <f t="shared" si="62"/>
        <v>991699</v>
      </c>
      <c r="V501" s="589"/>
      <c r="W501" s="601"/>
      <c r="X501" s="601"/>
      <c r="Y501" s="601"/>
      <c r="Z501" s="601"/>
    </row>
    <row r="502" spans="1:26" s="81" customFormat="1" hidden="1">
      <c r="A502" s="591">
        <f t="shared" si="67"/>
        <v>409</v>
      </c>
      <c r="B502" s="581" t="s">
        <v>3780</v>
      </c>
      <c r="C502" s="593" t="s">
        <v>271</v>
      </c>
      <c r="D502" s="603">
        <v>1708</v>
      </c>
      <c r="E502" s="594">
        <v>407.5</v>
      </c>
      <c r="F502" s="643" t="s">
        <v>222</v>
      </c>
      <c r="G502" s="603">
        <v>354</v>
      </c>
      <c r="H502" s="609">
        <v>2</v>
      </c>
      <c r="I502" s="609">
        <v>1</v>
      </c>
      <c r="J502" s="609">
        <v>8</v>
      </c>
      <c r="K502" s="590" t="s">
        <v>33</v>
      </c>
      <c r="L502" s="596">
        <f t="shared" si="66"/>
        <v>991648</v>
      </c>
      <c r="M502" s="611">
        <v>981288</v>
      </c>
      <c r="N502" s="612"/>
      <c r="O502" s="613">
        <v>1996</v>
      </c>
      <c r="P502" s="586"/>
      <c r="Q502" s="614">
        <v>8364</v>
      </c>
      <c r="R502" s="599">
        <f t="shared" si="68"/>
        <v>490644</v>
      </c>
      <c r="S502" s="589"/>
      <c r="T502" s="601"/>
      <c r="U502" s="597">
        <f t="shared" si="62"/>
        <v>991648</v>
      </c>
      <c r="V502" s="589"/>
      <c r="W502" s="601"/>
      <c r="X502" s="601"/>
      <c r="Y502" s="601"/>
      <c r="Z502" s="601"/>
    </row>
    <row r="503" spans="1:26" s="81" customFormat="1" hidden="1">
      <c r="A503" s="591">
        <f t="shared" si="67"/>
        <v>410</v>
      </c>
      <c r="B503" s="581" t="s">
        <v>3781</v>
      </c>
      <c r="C503" s="593" t="s">
        <v>271</v>
      </c>
      <c r="D503" s="603">
        <v>1772</v>
      </c>
      <c r="E503" s="594">
        <v>407.5</v>
      </c>
      <c r="F503" s="643" t="s">
        <v>222</v>
      </c>
      <c r="G503" s="603">
        <v>354</v>
      </c>
      <c r="H503" s="609">
        <v>2</v>
      </c>
      <c r="I503" s="609">
        <v>1</v>
      </c>
      <c r="J503" s="609">
        <v>8</v>
      </c>
      <c r="K503" s="590" t="s">
        <v>33</v>
      </c>
      <c r="L503" s="596">
        <f t="shared" si="66"/>
        <v>991973</v>
      </c>
      <c r="M503" s="611">
        <v>981288</v>
      </c>
      <c r="N503" s="612"/>
      <c r="O503" s="613">
        <v>2008</v>
      </c>
      <c r="P503" s="586"/>
      <c r="Q503" s="614">
        <v>8677</v>
      </c>
      <c r="R503" s="599">
        <f t="shared" si="68"/>
        <v>490644</v>
      </c>
      <c r="S503" s="589"/>
      <c r="T503" s="601"/>
      <c r="U503" s="597">
        <f t="shared" si="62"/>
        <v>991973</v>
      </c>
      <c r="V503" s="589"/>
      <c r="W503" s="601"/>
      <c r="X503" s="601"/>
      <c r="Y503" s="601"/>
      <c r="Z503" s="601"/>
    </row>
    <row r="504" spans="1:26" s="81" customFormat="1" hidden="1">
      <c r="A504" s="591">
        <f t="shared" si="67"/>
        <v>411</v>
      </c>
      <c r="B504" s="581" t="s">
        <v>3782</v>
      </c>
      <c r="C504" s="593" t="s">
        <v>271</v>
      </c>
      <c r="D504" s="603">
        <v>1769</v>
      </c>
      <c r="E504" s="594">
        <v>407.5</v>
      </c>
      <c r="F504" s="643" t="s">
        <v>222</v>
      </c>
      <c r="G504" s="603">
        <v>354</v>
      </c>
      <c r="H504" s="609">
        <v>2</v>
      </c>
      <c r="I504" s="609">
        <v>1</v>
      </c>
      <c r="J504" s="609">
        <v>8</v>
      </c>
      <c r="K504" s="590" t="s">
        <v>33</v>
      </c>
      <c r="L504" s="596">
        <f t="shared" si="66"/>
        <v>991958</v>
      </c>
      <c r="M504" s="611">
        <v>981288</v>
      </c>
      <c r="N504" s="612"/>
      <c r="O504" s="613">
        <v>2008</v>
      </c>
      <c r="P504" s="586"/>
      <c r="Q504" s="614">
        <v>8662</v>
      </c>
      <c r="R504" s="599">
        <f t="shared" si="68"/>
        <v>490644</v>
      </c>
      <c r="S504" s="589"/>
      <c r="T504" s="601"/>
      <c r="U504" s="597">
        <f t="shared" si="62"/>
        <v>991958</v>
      </c>
      <c r="V504" s="589"/>
      <c r="W504" s="601"/>
      <c r="X504" s="601"/>
      <c r="Y504" s="601"/>
      <c r="Z504" s="601"/>
    </row>
    <row r="505" spans="1:26" s="103" customFormat="1" ht="19.5" hidden="1">
      <c r="A505" s="591">
        <f t="shared" si="67"/>
        <v>412</v>
      </c>
      <c r="B505" s="674" t="s">
        <v>4011</v>
      </c>
      <c r="C505" s="593" t="s">
        <v>292</v>
      </c>
      <c r="D505" s="582">
        <v>1771</v>
      </c>
      <c r="E505" s="582">
        <v>467.2</v>
      </c>
      <c r="F505" s="594" t="s">
        <v>251</v>
      </c>
      <c r="G505" s="582">
        <v>550</v>
      </c>
      <c r="H505" s="582">
        <v>2</v>
      </c>
      <c r="I505" s="582">
        <v>2</v>
      </c>
      <c r="J505" s="582">
        <v>8</v>
      </c>
      <c r="K505" s="588" t="s">
        <v>33</v>
      </c>
      <c r="L505" s="585">
        <v>1208580</v>
      </c>
      <c r="M505" s="585">
        <v>1197900</v>
      </c>
      <c r="N505" s="586"/>
      <c r="O505" s="598">
        <v>2008</v>
      </c>
      <c r="P505" s="586"/>
      <c r="Q505" s="597">
        <v>8672</v>
      </c>
      <c r="R505" s="599">
        <f t="shared" si="68"/>
        <v>598950</v>
      </c>
      <c r="S505" s="713"/>
      <c r="T505" s="589"/>
      <c r="U505" s="597">
        <f t="shared" si="62"/>
        <v>1208580</v>
      </c>
      <c r="V505" s="589"/>
      <c r="W505" s="560"/>
      <c r="X505" s="560"/>
      <c r="Y505" s="560"/>
      <c r="Z505" s="560"/>
    </row>
    <row r="506" spans="1:26" s="103" customFormat="1" ht="19.5" hidden="1">
      <c r="A506" s="714">
        <f t="shared" ref="A506:A510" si="69">A505+1</f>
        <v>413</v>
      </c>
      <c r="B506" s="674" t="s">
        <v>3344</v>
      </c>
      <c r="C506" s="593" t="s">
        <v>292</v>
      </c>
      <c r="D506" s="582">
        <v>2893</v>
      </c>
      <c r="E506" s="582">
        <v>627.6</v>
      </c>
      <c r="F506" s="594" t="s">
        <v>251</v>
      </c>
      <c r="G506" s="582">
        <v>666</v>
      </c>
      <c r="H506" s="582">
        <v>2</v>
      </c>
      <c r="I506" s="582">
        <v>2</v>
      </c>
      <c r="J506" s="582">
        <v>16</v>
      </c>
      <c r="K506" s="588" t="s">
        <v>33</v>
      </c>
      <c r="L506" s="585">
        <v>1588503</v>
      </c>
      <c r="M506" s="585">
        <v>1572120</v>
      </c>
      <c r="N506" s="586"/>
      <c r="O506" s="598">
        <v>2217</v>
      </c>
      <c r="P506" s="586"/>
      <c r="Q506" s="597">
        <v>14166</v>
      </c>
      <c r="R506" s="599">
        <f t="shared" si="68"/>
        <v>786060</v>
      </c>
      <c r="S506" s="713"/>
      <c r="T506" s="589"/>
      <c r="U506" s="597">
        <f t="shared" si="62"/>
        <v>1588503</v>
      </c>
      <c r="V506" s="589"/>
      <c r="W506" s="560"/>
      <c r="X506" s="560"/>
      <c r="Y506" s="560"/>
      <c r="Z506" s="560"/>
    </row>
    <row r="507" spans="1:26" s="103" customFormat="1" ht="19.5" hidden="1">
      <c r="A507" s="714">
        <f t="shared" si="69"/>
        <v>414</v>
      </c>
      <c r="B507" s="674" t="s">
        <v>3345</v>
      </c>
      <c r="C507" s="593" t="s">
        <v>292</v>
      </c>
      <c r="D507" s="582">
        <v>2853</v>
      </c>
      <c r="E507" s="582">
        <v>603.20000000000005</v>
      </c>
      <c r="F507" s="594" t="s">
        <v>251</v>
      </c>
      <c r="G507" s="582">
        <v>651</v>
      </c>
      <c r="H507" s="582">
        <v>2</v>
      </c>
      <c r="I507" s="582">
        <v>2</v>
      </c>
      <c r="J507" s="582">
        <v>16</v>
      </c>
      <c r="K507" s="588" t="s">
        <v>33</v>
      </c>
      <c r="L507" s="585">
        <v>1588300</v>
      </c>
      <c r="M507" s="585">
        <v>1572120</v>
      </c>
      <c r="N507" s="586"/>
      <c r="O507" s="598">
        <v>2210</v>
      </c>
      <c r="P507" s="586"/>
      <c r="Q507" s="597">
        <v>13970</v>
      </c>
      <c r="R507" s="599">
        <f t="shared" si="68"/>
        <v>786060</v>
      </c>
      <c r="S507" s="713"/>
      <c r="T507" s="589"/>
      <c r="U507" s="597">
        <f t="shared" si="62"/>
        <v>1588300</v>
      </c>
      <c r="V507" s="589"/>
      <c r="W507" s="560"/>
      <c r="X507" s="560"/>
      <c r="Y507" s="560"/>
      <c r="Z507" s="560"/>
    </row>
    <row r="508" spans="1:26" s="103" customFormat="1" ht="19.5" hidden="1">
      <c r="A508" s="714">
        <f t="shared" si="69"/>
        <v>415</v>
      </c>
      <c r="B508" s="674" t="s">
        <v>3346</v>
      </c>
      <c r="C508" s="593" t="s">
        <v>292</v>
      </c>
      <c r="D508" s="582">
        <v>2809</v>
      </c>
      <c r="E508" s="582">
        <v>591.4</v>
      </c>
      <c r="F508" s="594" t="s">
        <v>251</v>
      </c>
      <c r="G508" s="582">
        <v>651</v>
      </c>
      <c r="H508" s="582">
        <v>2</v>
      </c>
      <c r="I508" s="582">
        <v>2</v>
      </c>
      <c r="J508" s="582">
        <v>16</v>
      </c>
      <c r="K508" s="588" t="s">
        <v>33</v>
      </c>
      <c r="L508" s="585">
        <v>1588077</v>
      </c>
      <c r="M508" s="585">
        <v>1572120</v>
      </c>
      <c r="N508" s="586"/>
      <c r="O508" s="598">
        <v>2202</v>
      </c>
      <c r="P508" s="586"/>
      <c r="Q508" s="597">
        <v>13755</v>
      </c>
      <c r="R508" s="599">
        <f t="shared" si="68"/>
        <v>786060</v>
      </c>
      <c r="S508" s="713"/>
      <c r="T508" s="589"/>
      <c r="U508" s="597">
        <f t="shared" si="62"/>
        <v>1588077</v>
      </c>
      <c r="V508" s="589"/>
      <c r="W508" s="560"/>
      <c r="X508" s="560"/>
      <c r="Y508" s="560"/>
      <c r="Z508" s="560"/>
    </row>
    <row r="509" spans="1:26" s="103" customFormat="1" hidden="1">
      <c r="A509" s="714">
        <f t="shared" si="69"/>
        <v>416</v>
      </c>
      <c r="B509" s="674" t="s">
        <v>3997</v>
      </c>
      <c r="C509" s="593" t="s">
        <v>271</v>
      </c>
      <c r="D509" s="582">
        <v>23932</v>
      </c>
      <c r="E509" s="582">
        <v>1027</v>
      </c>
      <c r="F509" s="594" t="s">
        <v>233</v>
      </c>
      <c r="G509" s="582">
        <v>1880</v>
      </c>
      <c r="H509" s="582">
        <v>5</v>
      </c>
      <c r="I509" s="582">
        <v>8</v>
      </c>
      <c r="J509" s="582">
        <v>129</v>
      </c>
      <c r="K509" s="588" t="s">
        <v>238</v>
      </c>
      <c r="L509" s="585">
        <f>M509+N509+O509+P509+Q509</f>
        <v>1155000</v>
      </c>
      <c r="M509" s="585">
        <v>1100000</v>
      </c>
      <c r="N509" s="586">
        <v>30000</v>
      </c>
      <c r="O509" s="598"/>
      <c r="P509" s="586"/>
      <c r="Q509" s="597">
        <v>25000</v>
      </c>
      <c r="R509" s="599">
        <f>M509/J509</f>
        <v>8527.1317829457366</v>
      </c>
      <c r="S509" s="715" t="s">
        <v>3998</v>
      </c>
      <c r="T509" s="589"/>
      <c r="U509" s="597">
        <f t="shared" si="62"/>
        <v>1155000</v>
      </c>
      <c r="V509" s="589"/>
      <c r="W509" s="560"/>
      <c r="X509" s="560"/>
      <c r="Y509" s="560"/>
      <c r="Z509" s="560"/>
    </row>
    <row r="510" spans="1:26" s="75" customFormat="1" ht="37.5" hidden="1">
      <c r="A510" s="714">
        <f t="shared" si="69"/>
        <v>417</v>
      </c>
      <c r="B510" s="616" t="s">
        <v>1493</v>
      </c>
      <c r="C510" s="593" t="s">
        <v>271</v>
      </c>
      <c r="D510" s="594">
        <v>11467</v>
      </c>
      <c r="E510" s="594">
        <v>2336.8999999999996</v>
      </c>
      <c r="F510" s="594" t="s">
        <v>222</v>
      </c>
      <c r="G510" s="594">
        <v>920.7</v>
      </c>
      <c r="H510" s="594">
        <v>4</v>
      </c>
      <c r="I510" s="594">
        <v>4</v>
      </c>
      <c r="J510" s="594">
        <v>40</v>
      </c>
      <c r="K510" s="590" t="s">
        <v>30</v>
      </c>
      <c r="L510" s="584">
        <f>M510+N510+O510+P510+Q510+M511+N511+O511+Q511</f>
        <v>5297863.75</v>
      </c>
      <c r="M510" s="596">
        <v>1450000</v>
      </c>
      <c r="N510" s="675"/>
      <c r="O510" s="631">
        <v>12466.35</v>
      </c>
      <c r="P510" s="597"/>
      <c r="Q510" s="675">
        <v>27362.400000000001</v>
      </c>
      <c r="R510" s="599">
        <f>M510/J510</f>
        <v>36250</v>
      </c>
      <c r="S510" s="575">
        <f>L510-M510-N510-O510-P510-Q510</f>
        <v>3808035</v>
      </c>
      <c r="T510" s="600"/>
      <c r="U510" s="597">
        <f t="shared" si="62"/>
        <v>1489828.75</v>
      </c>
      <c r="V510" s="589"/>
      <c r="W510" s="601"/>
      <c r="X510" s="601"/>
      <c r="Y510" s="601"/>
      <c r="Z510" s="601"/>
    </row>
    <row r="511" spans="1:26" s="221" customFormat="1" hidden="1">
      <c r="A511" s="716"/>
      <c r="B511" s="717"/>
      <c r="C511" s="718"/>
      <c r="D511" s="719"/>
      <c r="E511" s="719"/>
      <c r="F511" s="719"/>
      <c r="G511" s="719"/>
      <c r="H511" s="719"/>
      <c r="I511" s="719"/>
      <c r="J511" s="719"/>
      <c r="K511" s="720" t="s">
        <v>33</v>
      </c>
      <c r="L511" s="721"/>
      <c r="M511" s="596">
        <v>3793000</v>
      </c>
      <c r="N511" s="722"/>
      <c r="O511" s="723">
        <v>15035</v>
      </c>
      <c r="P511" s="722"/>
      <c r="Q511" s="722"/>
      <c r="R511" s="724">
        <f>M511/G510</f>
        <v>4119.6915390463773</v>
      </c>
      <c r="S511" s="725"/>
      <c r="T511" s="726"/>
      <c r="U511" s="597">
        <f t="shared" si="62"/>
        <v>3808035</v>
      </c>
      <c r="V511" s="589"/>
      <c r="W511" s="727"/>
      <c r="X511" s="727"/>
      <c r="Y511" s="727"/>
      <c r="Z511" s="727"/>
    </row>
    <row r="512" spans="1:26" s="103" customFormat="1" ht="19.5" hidden="1">
      <c r="A512" s="714">
        <f>A510+1</f>
        <v>418</v>
      </c>
      <c r="B512" s="674" t="s">
        <v>3368</v>
      </c>
      <c r="C512" s="593" t="s">
        <v>271</v>
      </c>
      <c r="D512" s="582">
        <v>2291</v>
      </c>
      <c r="E512" s="582">
        <v>550.1</v>
      </c>
      <c r="F512" s="594" t="s">
        <v>222</v>
      </c>
      <c r="G512" s="582">
        <v>445</v>
      </c>
      <c r="H512" s="582">
        <v>2</v>
      </c>
      <c r="I512" s="582">
        <v>2</v>
      </c>
      <c r="J512" s="582">
        <v>8</v>
      </c>
      <c r="K512" s="588" t="s">
        <v>33</v>
      </c>
      <c r="L512" s="585">
        <v>1310223</v>
      </c>
      <c r="M512" s="585">
        <v>1296900</v>
      </c>
      <c r="N512" s="586"/>
      <c r="O512" s="598">
        <v>2105</v>
      </c>
      <c r="P512" s="586"/>
      <c r="Q512" s="597">
        <v>11218</v>
      </c>
      <c r="R512" s="599">
        <f>M512/G512</f>
        <v>2914.3820224719102</v>
      </c>
      <c r="S512" s="713"/>
      <c r="T512" s="589"/>
      <c r="U512" s="597">
        <f t="shared" si="62"/>
        <v>1310223</v>
      </c>
      <c r="V512" s="589"/>
      <c r="W512" s="560"/>
      <c r="X512" s="560"/>
      <c r="Y512" s="560"/>
      <c r="Z512" s="560"/>
    </row>
    <row r="513" spans="1:220" s="103" customFormat="1" ht="19.5" hidden="1">
      <c r="A513" s="714">
        <f>A512+1</f>
        <v>419</v>
      </c>
      <c r="B513" s="674" t="s">
        <v>3369</v>
      </c>
      <c r="C513" s="593" t="s">
        <v>271</v>
      </c>
      <c r="D513" s="582">
        <v>2288</v>
      </c>
      <c r="E513" s="582">
        <v>550.1</v>
      </c>
      <c r="F513" s="594" t="s">
        <v>222</v>
      </c>
      <c r="G513" s="582">
        <v>445</v>
      </c>
      <c r="H513" s="582">
        <v>2</v>
      </c>
      <c r="I513" s="582">
        <v>2</v>
      </c>
      <c r="J513" s="582">
        <v>8</v>
      </c>
      <c r="K513" s="588" t="s">
        <v>33</v>
      </c>
      <c r="L513" s="585">
        <v>1318129</v>
      </c>
      <c r="M513" s="585">
        <v>1304820</v>
      </c>
      <c r="N513" s="586"/>
      <c r="O513" s="598">
        <v>2105</v>
      </c>
      <c r="P513" s="586"/>
      <c r="Q513" s="597">
        <v>11204</v>
      </c>
      <c r="R513" s="599">
        <f>M513/G513</f>
        <v>2932.1797752808989</v>
      </c>
      <c r="S513" s="713"/>
      <c r="T513" s="589"/>
      <c r="U513" s="597">
        <f t="shared" si="62"/>
        <v>1318129</v>
      </c>
      <c r="V513" s="589"/>
      <c r="W513" s="560"/>
      <c r="X513" s="560"/>
      <c r="Y513" s="560"/>
      <c r="Z513" s="560"/>
    </row>
    <row r="514" spans="1:220" s="103" customFormat="1" ht="19.5" hidden="1">
      <c r="A514" s="714">
        <f>A513+1</f>
        <v>420</v>
      </c>
      <c r="B514" s="674" t="s">
        <v>3367</v>
      </c>
      <c r="C514" s="593" t="s">
        <v>271</v>
      </c>
      <c r="D514" s="582">
        <v>2768</v>
      </c>
      <c r="E514" s="582">
        <v>653</v>
      </c>
      <c r="F514" s="594" t="s">
        <v>222</v>
      </c>
      <c r="G514" s="582">
        <v>418</v>
      </c>
      <c r="H514" s="582">
        <v>2</v>
      </c>
      <c r="I514" s="582">
        <v>1</v>
      </c>
      <c r="J514" s="582">
        <v>10</v>
      </c>
      <c r="K514" s="588" t="s">
        <v>33</v>
      </c>
      <c r="L514" s="585">
        <v>1224538</v>
      </c>
      <c r="M514" s="585">
        <v>1208790</v>
      </c>
      <c r="N514" s="586"/>
      <c r="O514" s="598">
        <v>2194</v>
      </c>
      <c r="P514" s="586"/>
      <c r="Q514" s="597">
        <v>13554</v>
      </c>
      <c r="R514" s="599">
        <f>M514/G514</f>
        <v>2891.8421052631579</v>
      </c>
      <c r="S514" s="713">
        <v>15748</v>
      </c>
      <c r="T514" s="589"/>
      <c r="U514" s="597">
        <f t="shared" si="62"/>
        <v>1224538</v>
      </c>
      <c r="V514" s="589"/>
      <c r="W514" s="560"/>
      <c r="X514" s="560"/>
      <c r="Y514" s="600">
        <f>L514-M514-N514-O514-Q514</f>
        <v>0</v>
      </c>
      <c r="Z514" s="560"/>
    </row>
    <row r="515" spans="1:220" s="92" customFormat="1" hidden="1">
      <c r="A515" s="1349" t="s">
        <v>208</v>
      </c>
      <c r="B515" s="1349"/>
      <c r="C515" s="582" t="s">
        <v>28</v>
      </c>
      <c r="D515" s="728">
        <f>SUM(D14:D514)</f>
        <v>6533664.3100000005</v>
      </c>
      <c r="E515" s="728">
        <f>SUM(E14:E514)</f>
        <v>1060724.8499999996</v>
      </c>
      <c r="F515" s="728" t="s">
        <v>28</v>
      </c>
      <c r="G515" s="728">
        <f>SUM(G14:G514)</f>
        <v>405860.2</v>
      </c>
      <c r="H515" s="728" t="s">
        <v>28</v>
      </c>
      <c r="I515" s="728" t="s">
        <v>28</v>
      </c>
      <c r="J515" s="729">
        <f>SUM(J14:J514)</f>
        <v>30543</v>
      </c>
      <c r="K515" s="590" t="s">
        <v>28</v>
      </c>
      <c r="L515" s="730">
        <f t="shared" ref="L515:Q515" si="70">SUM(L14:L514)</f>
        <v>1377419297.8000009</v>
      </c>
      <c r="M515" s="731">
        <f t="shared" si="70"/>
        <v>1363649917.8000004</v>
      </c>
      <c r="N515" s="728">
        <f t="shared" si="70"/>
        <v>10351250.139999999</v>
      </c>
      <c r="O515" s="732">
        <f t="shared" si="70"/>
        <v>2201834.8000000003</v>
      </c>
      <c r="P515" s="728">
        <f t="shared" si="70"/>
        <v>0</v>
      </c>
      <c r="Q515" s="728">
        <f t="shared" si="70"/>
        <v>1216295.06</v>
      </c>
      <c r="R515" s="561" t="s">
        <v>28</v>
      </c>
      <c r="S515" s="586">
        <f>L515-M515-N515-O515-P515-Q515</f>
        <v>4.7776848077774048E-7</v>
      </c>
      <c r="T515" s="577" t="e">
        <f>'1.перечень МКД'!#REF!</f>
        <v>#REF!</v>
      </c>
      <c r="U515" s="589" t="e">
        <f>L515-T515</f>
        <v>#REF!</v>
      </c>
      <c r="V515" s="589"/>
      <c r="W515" s="733"/>
      <c r="X515" s="733"/>
      <c r="Y515" s="734"/>
      <c r="Z515" s="734"/>
      <c r="AA515" s="523"/>
      <c r="AB515" s="523"/>
      <c r="AC515" s="524"/>
      <c r="AD515" s="525"/>
      <c r="AE515" s="525"/>
      <c r="AF515" s="525"/>
      <c r="AG515" s="526"/>
      <c r="AH515" s="526"/>
      <c r="AI515" s="526"/>
      <c r="AJ515" s="527"/>
      <c r="AK515" s="439"/>
      <c r="AL515" s="123"/>
      <c r="AM515" s="528"/>
      <c r="AN515" s="522"/>
      <c r="AO515" s="522"/>
      <c r="AP515" s="522"/>
      <c r="AQ515" s="523"/>
      <c r="AR515" s="523"/>
      <c r="AS515" s="523"/>
      <c r="AT515" s="523"/>
      <c r="AU515" s="524"/>
      <c r="AV515" s="525"/>
      <c r="AW515" s="525"/>
      <c r="AX515" s="525"/>
      <c r="AY515" s="526"/>
      <c r="AZ515" s="526"/>
      <c r="BA515" s="526"/>
      <c r="BB515" s="527"/>
      <c r="BC515" s="439"/>
      <c r="BD515" s="123"/>
      <c r="BE515" s="528"/>
      <c r="BF515" s="522"/>
      <c r="BG515" s="522"/>
      <c r="BH515" s="522"/>
      <c r="BI515" s="523"/>
      <c r="BJ515" s="523"/>
      <c r="BK515" s="523"/>
      <c r="BL515" s="523"/>
      <c r="BM515" s="524"/>
      <c r="BN515" s="525"/>
      <c r="BO515" s="525"/>
      <c r="BP515" s="525"/>
      <c r="BQ515" s="526"/>
      <c r="BR515" s="526"/>
      <c r="BS515" s="526"/>
      <c r="BT515" s="527"/>
      <c r="BU515" s="439"/>
      <c r="BV515" s="123"/>
      <c r="BW515" s="528"/>
      <c r="BX515" s="522"/>
      <c r="BY515" s="522"/>
      <c r="BZ515" s="522"/>
      <c r="CA515" s="523"/>
      <c r="CB515" s="523"/>
      <c r="CC515" s="523"/>
      <c r="CD515" s="523"/>
      <c r="CE515" s="524"/>
      <c r="CF515" s="525"/>
      <c r="CG515" s="525"/>
      <c r="CH515" s="525"/>
      <c r="CI515" s="526"/>
      <c r="CJ515" s="526"/>
      <c r="CK515" s="526"/>
      <c r="CL515" s="527"/>
      <c r="CM515" s="439"/>
      <c r="CN515" s="123"/>
      <c r="CO515" s="528"/>
      <c r="CP515" s="522"/>
      <c r="CQ515" s="522"/>
      <c r="CR515" s="522"/>
      <c r="CS515" s="523"/>
      <c r="CT515" s="523"/>
      <c r="CU515" s="523"/>
      <c r="CV515" s="523"/>
      <c r="CW515" s="524"/>
      <c r="CX515" s="525"/>
      <c r="CY515" s="525"/>
      <c r="CZ515" s="525"/>
      <c r="DA515" s="526"/>
      <c r="DB515" s="526"/>
      <c r="DC515" s="526"/>
      <c r="DD515" s="527"/>
      <c r="DE515" s="439"/>
      <c r="DF515" s="123"/>
      <c r="DG515" s="528"/>
      <c r="DH515" s="522"/>
      <c r="DI515" s="522"/>
      <c r="DJ515" s="522"/>
      <c r="DK515" s="523"/>
      <c r="DL515" s="523"/>
      <c r="DM515" s="523"/>
      <c r="DN515" s="523"/>
      <c r="DO515" s="524"/>
      <c r="DP515" s="525"/>
      <c r="DQ515" s="525"/>
      <c r="DR515" s="525"/>
      <c r="DS515" s="526"/>
      <c r="DT515" s="526"/>
      <c r="DU515" s="526"/>
      <c r="DV515" s="527"/>
      <c r="DW515" s="439"/>
      <c r="DX515" s="123"/>
      <c r="DY515" s="528"/>
      <c r="DZ515" s="522"/>
      <c r="EA515" s="522"/>
      <c r="EB515" s="522"/>
      <c r="EC515" s="523"/>
      <c r="ED515" s="523"/>
      <c r="EE515" s="523"/>
      <c r="EF515" s="523"/>
      <c r="EG515" s="524"/>
      <c r="EH515" s="525"/>
      <c r="EI515" s="525"/>
      <c r="EJ515" s="525"/>
      <c r="EK515" s="526"/>
      <c r="EL515" s="526"/>
      <c r="EM515" s="526"/>
      <c r="EN515" s="527"/>
      <c r="EO515" s="439"/>
      <c r="EP515" s="123"/>
      <c r="EQ515" s="528"/>
      <c r="ER515" s="522"/>
      <c r="ES515" s="522"/>
      <c r="ET515" s="522"/>
      <c r="EU515" s="523"/>
      <c r="EV515" s="523"/>
      <c r="EW515" s="523"/>
      <c r="EX515" s="523"/>
      <c r="EY515" s="524"/>
      <c r="EZ515" s="525"/>
      <c r="FA515" s="525"/>
      <c r="FB515" s="525"/>
      <c r="FC515" s="526"/>
      <c r="FD515" s="526"/>
      <c r="FE515" s="526"/>
      <c r="FF515" s="527"/>
      <c r="FG515" s="439"/>
      <c r="FH515" s="123"/>
      <c r="FI515" s="528"/>
      <c r="FJ515" s="522"/>
      <c r="FK515" s="522"/>
      <c r="FL515" s="522"/>
      <c r="FM515" s="523"/>
      <c r="FN515" s="523"/>
      <c r="FO515" s="523"/>
      <c r="FP515" s="523"/>
      <c r="FQ515" s="524"/>
      <c r="FR515" s="525"/>
      <c r="FS515" s="525"/>
      <c r="FT515" s="525"/>
      <c r="FU515" s="526"/>
      <c r="FV515" s="526"/>
      <c r="FW515" s="526"/>
      <c r="FX515" s="527"/>
      <c r="FY515" s="439"/>
      <c r="FZ515" s="123"/>
      <c r="GA515" s="528"/>
      <c r="GB515" s="522"/>
      <c r="GC515" s="522"/>
      <c r="GD515" s="522"/>
      <c r="GE515" s="523"/>
      <c r="GF515" s="523"/>
      <c r="GG515" s="523"/>
      <c r="GH515" s="523"/>
      <c r="GI515" s="524"/>
      <c r="GJ515" s="525"/>
      <c r="GK515" s="525"/>
      <c r="GL515" s="525"/>
      <c r="GM515" s="526"/>
      <c r="GN515" s="526"/>
      <c r="GO515" s="526"/>
      <c r="GP515" s="527"/>
      <c r="GQ515" s="439"/>
      <c r="GR515" s="123"/>
      <c r="GS515" s="528"/>
      <c r="GT515" s="522"/>
      <c r="GU515" s="522"/>
      <c r="GV515" s="522"/>
      <c r="GW515" s="523"/>
      <c r="GX515" s="523"/>
      <c r="GY515" s="523"/>
      <c r="GZ515" s="523"/>
      <c r="HA515" s="524"/>
      <c r="HB515" s="525"/>
      <c r="HC515" s="525"/>
      <c r="HD515" s="525"/>
      <c r="HE515" s="526"/>
      <c r="HF515" s="526"/>
      <c r="HG515" s="526"/>
      <c r="HH515" s="527"/>
      <c r="HI515" s="439"/>
      <c r="HJ515" s="123"/>
      <c r="HK515" s="528"/>
      <c r="HL515" s="522"/>
    </row>
    <row r="516" spans="1:220" s="92" customFormat="1" hidden="1">
      <c r="A516" s="1345" t="s">
        <v>138</v>
      </c>
      <c r="B516" s="1345"/>
      <c r="C516" s="1345"/>
      <c r="D516" s="1345"/>
      <c r="E516" s="1345"/>
      <c r="F516" s="1345"/>
      <c r="G516" s="1345"/>
      <c r="H516" s="1345"/>
      <c r="I516" s="1345"/>
      <c r="J516" s="1345"/>
      <c r="K516" s="1345"/>
      <c r="L516" s="1345"/>
      <c r="M516" s="1345"/>
      <c r="N516" s="1345"/>
      <c r="O516" s="1345"/>
      <c r="P516" s="1345"/>
      <c r="Q516" s="1345"/>
      <c r="R516" s="1345"/>
      <c r="S516" s="564"/>
      <c r="T516" s="577"/>
      <c r="U516" s="589"/>
      <c r="V516" s="589"/>
      <c r="W516" s="733"/>
      <c r="X516" s="733"/>
      <c r="Y516" s="734"/>
      <c r="Z516" s="734"/>
      <c r="AA516" s="523"/>
      <c r="AB516" s="523"/>
      <c r="AC516" s="524"/>
      <c r="AD516" s="525"/>
      <c r="AE516" s="525"/>
      <c r="AF516" s="525"/>
      <c r="AG516" s="526"/>
      <c r="AH516" s="526"/>
      <c r="AI516" s="526"/>
      <c r="AJ516" s="527"/>
      <c r="AK516" s="439"/>
      <c r="AL516" s="123"/>
      <c r="AM516" s="528"/>
      <c r="AN516" s="522"/>
      <c r="AO516" s="522"/>
      <c r="AP516" s="522"/>
      <c r="AQ516" s="523"/>
      <c r="AR516" s="523"/>
      <c r="AS516" s="523"/>
      <c r="AT516" s="523"/>
      <c r="AU516" s="524"/>
      <c r="AV516" s="525"/>
      <c r="AW516" s="525"/>
      <c r="AX516" s="525"/>
      <c r="AY516" s="526"/>
      <c r="AZ516" s="526"/>
      <c r="BA516" s="526"/>
      <c r="BB516" s="527"/>
      <c r="BC516" s="439"/>
      <c r="BD516" s="123"/>
      <c r="BE516" s="528"/>
      <c r="BF516" s="522"/>
      <c r="BG516" s="522"/>
      <c r="BH516" s="522"/>
      <c r="BI516" s="523"/>
      <c r="BJ516" s="523"/>
      <c r="BK516" s="523"/>
      <c r="BL516" s="523"/>
      <c r="BM516" s="524"/>
      <c r="BN516" s="525"/>
      <c r="BO516" s="525"/>
      <c r="BP516" s="525"/>
      <c r="BQ516" s="526"/>
      <c r="BR516" s="526"/>
      <c r="BS516" s="526"/>
      <c r="BT516" s="527"/>
      <c r="BU516" s="439"/>
      <c r="BV516" s="123"/>
      <c r="BW516" s="528"/>
      <c r="BX516" s="522"/>
      <c r="BY516" s="522"/>
      <c r="BZ516" s="522"/>
      <c r="CA516" s="523"/>
      <c r="CB516" s="523"/>
      <c r="CC516" s="523"/>
      <c r="CD516" s="523"/>
      <c r="CE516" s="524"/>
      <c r="CF516" s="525"/>
      <c r="CG516" s="525"/>
      <c r="CH516" s="525"/>
      <c r="CI516" s="526"/>
      <c r="CJ516" s="526"/>
      <c r="CK516" s="526"/>
      <c r="CL516" s="527"/>
      <c r="CM516" s="439"/>
      <c r="CN516" s="123"/>
      <c r="CO516" s="528"/>
      <c r="CP516" s="522"/>
      <c r="CQ516" s="522"/>
      <c r="CR516" s="522"/>
      <c r="CS516" s="523"/>
      <c r="CT516" s="523"/>
      <c r="CU516" s="523"/>
      <c r="CV516" s="523"/>
      <c r="CW516" s="524"/>
      <c r="CX516" s="525"/>
      <c r="CY516" s="525"/>
      <c r="CZ516" s="525"/>
      <c r="DA516" s="526"/>
      <c r="DB516" s="526"/>
      <c r="DC516" s="526"/>
      <c r="DD516" s="527"/>
      <c r="DE516" s="439"/>
      <c r="DF516" s="123"/>
      <c r="DG516" s="528"/>
      <c r="DH516" s="522"/>
      <c r="DI516" s="522"/>
      <c r="DJ516" s="522"/>
      <c r="DK516" s="523"/>
      <c r="DL516" s="523"/>
      <c r="DM516" s="523"/>
      <c r="DN516" s="523"/>
      <c r="DO516" s="524"/>
      <c r="DP516" s="525"/>
      <c r="DQ516" s="525"/>
      <c r="DR516" s="525"/>
      <c r="DS516" s="526"/>
      <c r="DT516" s="526"/>
      <c r="DU516" s="526"/>
      <c r="DV516" s="527"/>
      <c r="DW516" s="439"/>
      <c r="DX516" s="123"/>
      <c r="DY516" s="528"/>
      <c r="DZ516" s="522"/>
      <c r="EA516" s="522"/>
      <c r="EB516" s="522"/>
      <c r="EC516" s="523"/>
      <c r="ED516" s="523"/>
      <c r="EE516" s="523"/>
      <c r="EF516" s="523"/>
      <c r="EG516" s="524"/>
      <c r="EH516" s="525"/>
      <c r="EI516" s="525"/>
      <c r="EJ516" s="525"/>
      <c r="EK516" s="526"/>
      <c r="EL516" s="526"/>
      <c r="EM516" s="526"/>
      <c r="EN516" s="527"/>
      <c r="EO516" s="439"/>
      <c r="EP516" s="123"/>
      <c r="EQ516" s="528"/>
      <c r="ER516" s="522"/>
      <c r="ES516" s="522"/>
      <c r="ET516" s="522"/>
      <c r="EU516" s="523"/>
      <c r="EV516" s="523"/>
      <c r="EW516" s="523"/>
      <c r="EX516" s="523"/>
      <c r="EY516" s="524"/>
      <c r="EZ516" s="525"/>
      <c r="FA516" s="525"/>
      <c r="FB516" s="525"/>
      <c r="FC516" s="526"/>
      <c r="FD516" s="526"/>
      <c r="FE516" s="526"/>
      <c r="FF516" s="527"/>
      <c r="FG516" s="439"/>
      <c r="FH516" s="123"/>
      <c r="FI516" s="528"/>
      <c r="FJ516" s="522"/>
      <c r="FK516" s="522"/>
      <c r="FL516" s="522"/>
      <c r="FM516" s="523"/>
      <c r="FN516" s="523"/>
      <c r="FO516" s="523"/>
      <c r="FP516" s="523"/>
      <c r="FQ516" s="524"/>
      <c r="FR516" s="525"/>
      <c r="FS516" s="525"/>
      <c r="FT516" s="525"/>
      <c r="FU516" s="526"/>
      <c r="FV516" s="526"/>
      <c r="FW516" s="526"/>
      <c r="FX516" s="527"/>
      <c r="FY516" s="439"/>
      <c r="FZ516" s="123"/>
      <c r="GA516" s="528"/>
      <c r="GB516" s="522"/>
      <c r="GC516" s="522"/>
      <c r="GD516" s="522"/>
      <c r="GE516" s="523"/>
      <c r="GF516" s="523"/>
      <c r="GG516" s="523"/>
      <c r="GH516" s="523"/>
      <c r="GI516" s="524"/>
      <c r="GJ516" s="525"/>
      <c r="GK516" s="525"/>
      <c r="GL516" s="525"/>
      <c r="GM516" s="526"/>
      <c r="GN516" s="526"/>
      <c r="GO516" s="526"/>
      <c r="GP516" s="527"/>
      <c r="GQ516" s="439"/>
      <c r="GR516" s="123"/>
      <c r="GS516" s="528"/>
      <c r="GT516" s="522"/>
      <c r="GU516" s="522"/>
      <c r="GV516" s="522"/>
      <c r="GW516" s="523"/>
      <c r="GX516" s="523"/>
      <c r="GY516" s="523"/>
      <c r="GZ516" s="523"/>
      <c r="HA516" s="524"/>
      <c r="HB516" s="525"/>
      <c r="HC516" s="525"/>
      <c r="HD516" s="525"/>
      <c r="HE516" s="526"/>
      <c r="HF516" s="526"/>
      <c r="HG516" s="526"/>
      <c r="HH516" s="527"/>
      <c r="HI516" s="439"/>
      <c r="HJ516" s="123"/>
      <c r="HK516" s="528"/>
      <c r="HL516" s="522"/>
    </row>
    <row r="517" spans="1:220" s="92" customFormat="1" hidden="1">
      <c r="A517" s="1358" t="s">
        <v>137</v>
      </c>
      <c r="B517" s="1358"/>
      <c r="C517" s="561" t="s">
        <v>28</v>
      </c>
      <c r="D517" s="564">
        <f>D526+D596+D669+D677+D680+D685+D690+D732+D735+D739+D762+D766+D784+D789+D792+D800+D804+D832+D835+D840+D846+D863+D866+D869+D876+D879+D884+D887+D890+D894+D898+D901+D950+D968+D978+D991+D999+D1014</f>
        <v>4028900.1226000004</v>
      </c>
      <c r="E517" s="564">
        <f>E526+E596+E669+E677+E680+E685+E690+E732+E735+E739+E762+E766+E784+E789+E792+E800+E804+E832+E835+E840+E846+E863+E866+E869+E876+E879+E884+E887+E890+E894+E898+E901+E950+E968+E978+E991+E999+E1014</f>
        <v>855035.00299999968</v>
      </c>
      <c r="F517" s="561" t="s">
        <v>28</v>
      </c>
      <c r="G517" s="564">
        <f>G526+G596+G669+G677+G680+G685+G690+G732+G735+G739+G762+G766+G784+G789+G792+G800+G804+G832+G835+G840+G846+G863+G866+G869+G876+G879+G884+G887+G890+G894+G898+G901+G950+G968+G978+G991+G999+G1014</f>
        <v>382836.98635200004</v>
      </c>
      <c r="H517" s="561" t="s">
        <v>28</v>
      </c>
      <c r="I517" s="561" t="s">
        <v>28</v>
      </c>
      <c r="J517" s="564">
        <f>J526+J596+J669+J677+J680+J685+J690+J732+J735+J739+J762+J766+J784+J789+J792+J800+J804+J832+J835+J840+J846+J863+J866+J869+J876+J879+J884+J887+J890+J894+J898+J901+J950+J968+J978+J991+J999+J1014</f>
        <v>21766</v>
      </c>
      <c r="K517" s="577" t="s">
        <v>28</v>
      </c>
      <c r="L517" s="562">
        <f t="shared" ref="L517:Q517" si="71">L526+L596+L669+L677+L680+L685+L690+L732+L735+L739+L762+L766+L784+L789+L792+L800+L804+L832+L835+L840+L846+L863+L866+L869+L876+L879+L884+L887+L890+L894+L898+L901+L950+L968+L978+L991+L999+L1014</f>
        <v>864042305.84999979</v>
      </c>
      <c r="M517" s="563">
        <f t="shared" si="71"/>
        <v>853375591.54000008</v>
      </c>
      <c r="N517" s="564">
        <f t="shared" si="71"/>
        <v>9485702.2599999998</v>
      </c>
      <c r="O517" s="565">
        <f t="shared" si="71"/>
        <v>869285.8</v>
      </c>
      <c r="P517" s="564">
        <f t="shared" si="71"/>
        <v>0</v>
      </c>
      <c r="Q517" s="564">
        <f t="shared" si="71"/>
        <v>311726.25</v>
      </c>
      <c r="R517" s="582" t="s">
        <v>28</v>
      </c>
      <c r="S517" s="586">
        <f>L517-M517-N517-O517-P517-Q517</f>
        <v>-2.9546208679676056E-7</v>
      </c>
      <c r="T517" s="577" t="e">
        <f>'1.перечень МКД'!#REF!</f>
        <v>#REF!</v>
      </c>
      <c r="U517" s="589" t="e">
        <f>L517-T517</f>
        <v>#REF!</v>
      </c>
      <c r="V517" s="578"/>
      <c r="W517" s="578"/>
      <c r="X517" s="733"/>
      <c r="Y517" s="734"/>
      <c r="Z517" s="734"/>
      <c r="AA517" s="523"/>
      <c r="AB517" s="523"/>
      <c r="AC517" s="524"/>
      <c r="AD517" s="525"/>
      <c r="AE517" s="525"/>
      <c r="AF517" s="525"/>
      <c r="AG517" s="526"/>
      <c r="AH517" s="526"/>
      <c r="AI517" s="526"/>
      <c r="AJ517" s="527"/>
      <c r="AK517" s="439"/>
      <c r="AL517" s="123"/>
      <c r="AM517" s="528"/>
      <c r="AN517" s="522"/>
      <c r="AO517" s="522"/>
      <c r="AP517" s="522"/>
      <c r="AQ517" s="523"/>
      <c r="AR517" s="523"/>
      <c r="AS517" s="523"/>
      <c r="AT517" s="523"/>
      <c r="AU517" s="524"/>
      <c r="AV517" s="525"/>
      <c r="AW517" s="525"/>
      <c r="AX517" s="525"/>
      <c r="AY517" s="526"/>
      <c r="AZ517" s="526"/>
      <c r="BA517" s="526"/>
      <c r="BB517" s="527"/>
      <c r="BC517" s="439"/>
      <c r="BD517" s="123"/>
      <c r="BE517" s="528"/>
      <c r="BF517" s="522"/>
      <c r="BG517" s="522"/>
      <c r="BH517" s="522"/>
      <c r="BI517" s="523"/>
      <c r="BJ517" s="523"/>
      <c r="BK517" s="523"/>
      <c r="BL517" s="523"/>
      <c r="BM517" s="524"/>
      <c r="BN517" s="525"/>
      <c r="BO517" s="525"/>
      <c r="BP517" s="525"/>
      <c r="BQ517" s="526"/>
      <c r="BR517" s="526"/>
      <c r="BS517" s="526"/>
      <c r="BT517" s="527"/>
      <c r="BU517" s="439"/>
      <c r="BV517" s="123"/>
      <c r="BW517" s="528"/>
      <c r="BX517" s="522"/>
      <c r="BY517" s="522"/>
      <c r="BZ517" s="522"/>
      <c r="CA517" s="523"/>
      <c r="CB517" s="523"/>
      <c r="CC517" s="523"/>
      <c r="CD517" s="523"/>
      <c r="CE517" s="524"/>
      <c r="CF517" s="525"/>
      <c r="CG517" s="525"/>
      <c r="CH517" s="525"/>
      <c r="CI517" s="526"/>
      <c r="CJ517" s="526"/>
      <c r="CK517" s="526"/>
      <c r="CL517" s="527"/>
      <c r="CM517" s="439"/>
      <c r="CN517" s="123"/>
      <c r="CO517" s="528"/>
      <c r="CP517" s="522"/>
      <c r="CQ517" s="522"/>
      <c r="CR517" s="522"/>
      <c r="CS517" s="523"/>
      <c r="CT517" s="523"/>
      <c r="CU517" s="523"/>
      <c r="CV517" s="523"/>
      <c r="CW517" s="524"/>
      <c r="CX517" s="525"/>
      <c r="CY517" s="525"/>
      <c r="CZ517" s="525"/>
      <c r="DA517" s="526"/>
      <c r="DB517" s="526"/>
      <c r="DC517" s="526"/>
      <c r="DD517" s="527"/>
      <c r="DE517" s="439"/>
      <c r="DF517" s="123"/>
      <c r="DG517" s="528"/>
      <c r="DH517" s="522"/>
      <c r="DI517" s="522"/>
      <c r="DJ517" s="522"/>
      <c r="DK517" s="523"/>
      <c r="DL517" s="523"/>
      <c r="DM517" s="523"/>
      <c r="DN517" s="523"/>
      <c r="DO517" s="524"/>
      <c r="DP517" s="525"/>
      <c r="DQ517" s="525"/>
      <c r="DR517" s="525"/>
      <c r="DS517" s="526"/>
      <c r="DT517" s="526"/>
      <c r="DU517" s="526"/>
      <c r="DV517" s="527"/>
      <c r="DW517" s="439"/>
      <c r="DX517" s="123"/>
      <c r="DY517" s="528"/>
      <c r="DZ517" s="522"/>
      <c r="EA517" s="522"/>
      <c r="EB517" s="522"/>
      <c r="EC517" s="523"/>
      <c r="ED517" s="523"/>
      <c r="EE517" s="523"/>
      <c r="EF517" s="523"/>
      <c r="EG517" s="524"/>
      <c r="EH517" s="525"/>
      <c r="EI517" s="525"/>
      <c r="EJ517" s="525"/>
      <c r="EK517" s="526"/>
      <c r="EL517" s="526"/>
      <c r="EM517" s="526"/>
      <c r="EN517" s="527"/>
      <c r="EO517" s="439"/>
      <c r="EP517" s="123"/>
      <c r="EQ517" s="528"/>
      <c r="ER517" s="522"/>
      <c r="ES517" s="522"/>
      <c r="ET517" s="522"/>
      <c r="EU517" s="523"/>
      <c r="EV517" s="523"/>
      <c r="EW517" s="523"/>
      <c r="EX517" s="523"/>
      <c r="EY517" s="524"/>
      <c r="EZ517" s="525"/>
      <c r="FA517" s="525"/>
      <c r="FB517" s="525"/>
      <c r="FC517" s="526"/>
      <c r="FD517" s="526"/>
      <c r="FE517" s="526"/>
      <c r="FF517" s="527"/>
      <c r="FG517" s="439"/>
      <c r="FH517" s="123"/>
      <c r="FI517" s="528"/>
      <c r="FJ517" s="522"/>
      <c r="FK517" s="522"/>
      <c r="FL517" s="522"/>
      <c r="FM517" s="523"/>
      <c r="FN517" s="523"/>
      <c r="FO517" s="523"/>
      <c r="FP517" s="523"/>
      <c r="FQ517" s="524"/>
      <c r="FR517" s="525"/>
      <c r="FS517" s="525"/>
      <c r="FT517" s="525"/>
      <c r="FU517" s="526"/>
      <c r="FV517" s="526"/>
      <c r="FW517" s="526"/>
      <c r="FX517" s="527"/>
      <c r="FY517" s="439"/>
      <c r="FZ517" s="123"/>
      <c r="GA517" s="528"/>
      <c r="GB517" s="522"/>
      <c r="GC517" s="522"/>
      <c r="GD517" s="522"/>
      <c r="GE517" s="523"/>
      <c r="GF517" s="523"/>
      <c r="GG517" s="523"/>
      <c r="GH517" s="523"/>
      <c r="GI517" s="524"/>
      <c r="GJ517" s="525"/>
      <c r="GK517" s="525"/>
      <c r="GL517" s="525"/>
      <c r="GM517" s="526"/>
      <c r="GN517" s="526"/>
      <c r="GO517" s="526"/>
      <c r="GP517" s="527"/>
      <c r="GQ517" s="439"/>
      <c r="GR517" s="123"/>
      <c r="GS517" s="528"/>
      <c r="GT517" s="522"/>
      <c r="GU517" s="522"/>
      <c r="GV517" s="522"/>
      <c r="GW517" s="523"/>
      <c r="GX517" s="523"/>
      <c r="GY517" s="523"/>
      <c r="GZ517" s="523"/>
      <c r="HA517" s="524"/>
      <c r="HB517" s="525"/>
      <c r="HC517" s="525"/>
      <c r="HD517" s="525"/>
      <c r="HE517" s="526"/>
      <c r="HF517" s="526"/>
      <c r="HG517" s="526"/>
      <c r="HH517" s="527"/>
      <c r="HI517" s="439"/>
      <c r="HJ517" s="123"/>
      <c r="HK517" s="528"/>
      <c r="HL517" s="522"/>
    </row>
    <row r="518" spans="1:220" s="28" customFormat="1" hidden="1">
      <c r="A518" s="1347" t="s">
        <v>29</v>
      </c>
      <c r="B518" s="1347"/>
      <c r="C518" s="1347"/>
      <c r="D518" s="1347"/>
      <c r="E518" s="1347"/>
      <c r="F518" s="1347"/>
      <c r="G518" s="1347"/>
      <c r="H518" s="1347"/>
      <c r="I518" s="1347"/>
      <c r="J518" s="1347"/>
      <c r="K518" s="1347"/>
      <c r="L518" s="1347"/>
      <c r="M518" s="1347"/>
      <c r="N518" s="1347"/>
      <c r="O518" s="1347"/>
      <c r="P518" s="1347"/>
      <c r="Q518" s="1347"/>
      <c r="R518" s="1347"/>
      <c r="S518" s="592"/>
      <c r="T518" s="645"/>
      <c r="U518" s="591"/>
      <c r="V518" s="589"/>
      <c r="W518" s="592"/>
      <c r="X518" s="592"/>
      <c r="Y518" s="592"/>
      <c r="Z518" s="592"/>
    </row>
    <row r="519" spans="1:220" s="71" customFormat="1" ht="37.5" hidden="1">
      <c r="A519" s="590">
        <v>1</v>
      </c>
      <c r="B519" s="581" t="s">
        <v>800</v>
      </c>
      <c r="C519" s="582" t="s">
        <v>217</v>
      </c>
      <c r="D519" s="646">
        <v>10357</v>
      </c>
      <c r="E519" s="619">
        <v>1826</v>
      </c>
      <c r="F519" s="646" t="s">
        <v>218</v>
      </c>
      <c r="G519" s="646">
        <v>709</v>
      </c>
      <c r="H519" s="582">
        <v>5</v>
      </c>
      <c r="I519" s="582">
        <v>1</v>
      </c>
      <c r="J519" s="582">
        <v>54</v>
      </c>
      <c r="K519" s="735" t="s">
        <v>30</v>
      </c>
      <c r="L519" s="584">
        <f t="shared" ref="L519:L525" si="72">M519+N519+O519+P519+Q519</f>
        <v>1347279.75</v>
      </c>
      <c r="M519" s="596">
        <v>1343250</v>
      </c>
      <c r="N519" s="597"/>
      <c r="O519" s="736">
        <v>4029.75</v>
      </c>
      <c r="P519" s="586"/>
      <c r="Q519" s="586"/>
      <c r="R519" s="582">
        <f>M519/J519</f>
        <v>24875</v>
      </c>
      <c r="S519" s="737"/>
      <c r="T519" s="738"/>
      <c r="U519" s="737"/>
      <c r="V519" s="589"/>
      <c r="W519" s="737"/>
      <c r="X519" s="737"/>
      <c r="Y519" s="737"/>
      <c r="Z519" s="737"/>
    </row>
    <row r="520" spans="1:220" s="28" customFormat="1" ht="37.5" hidden="1">
      <c r="A520" s="606">
        <f t="shared" ref="A520:A525" si="73">A519+1</f>
        <v>2</v>
      </c>
      <c r="B520" s="581" t="s">
        <v>801</v>
      </c>
      <c r="C520" s="582" t="s">
        <v>217</v>
      </c>
      <c r="D520" s="646">
        <v>23675</v>
      </c>
      <c r="E520" s="646">
        <v>4496</v>
      </c>
      <c r="F520" s="646" t="s">
        <v>218</v>
      </c>
      <c r="G520" s="646">
        <v>1779</v>
      </c>
      <c r="H520" s="582">
        <v>5</v>
      </c>
      <c r="I520" s="582">
        <v>7</v>
      </c>
      <c r="J520" s="582">
        <v>100</v>
      </c>
      <c r="K520" s="735" t="s">
        <v>30</v>
      </c>
      <c r="L520" s="584">
        <f t="shared" si="72"/>
        <v>2504962.5</v>
      </c>
      <c r="M520" s="596">
        <v>2497500</v>
      </c>
      <c r="N520" s="586"/>
      <c r="O520" s="736">
        <v>7462.5</v>
      </c>
      <c r="P520" s="586"/>
      <c r="Q520" s="586"/>
      <c r="R520" s="582">
        <f>M520/J520</f>
        <v>24975</v>
      </c>
      <c r="S520" s="592"/>
      <c r="T520" s="645"/>
      <c r="U520" s="591"/>
      <c r="V520" s="589"/>
      <c r="W520" s="592"/>
      <c r="X520" s="592"/>
      <c r="Y520" s="592"/>
      <c r="Z520" s="592"/>
    </row>
    <row r="521" spans="1:220" s="28" customFormat="1" ht="37.5" hidden="1">
      <c r="A521" s="606">
        <f t="shared" si="73"/>
        <v>3</v>
      </c>
      <c r="B521" s="581" t="s">
        <v>802</v>
      </c>
      <c r="C521" s="582" t="s">
        <v>217</v>
      </c>
      <c r="D521" s="646">
        <v>14880.599999999999</v>
      </c>
      <c r="E521" s="646">
        <v>4960.2</v>
      </c>
      <c r="F521" s="646" t="s">
        <v>223</v>
      </c>
      <c r="G521" s="646">
        <v>1955</v>
      </c>
      <c r="H521" s="582">
        <v>5</v>
      </c>
      <c r="I521" s="582">
        <v>9</v>
      </c>
      <c r="J521" s="582">
        <v>138</v>
      </c>
      <c r="K521" s="735" t="s">
        <v>30</v>
      </c>
      <c r="L521" s="584">
        <f t="shared" si="72"/>
        <v>4148217.9</v>
      </c>
      <c r="M521" s="596">
        <v>4135860</v>
      </c>
      <c r="N521" s="586"/>
      <c r="O521" s="736">
        <v>12357.9</v>
      </c>
      <c r="P521" s="586"/>
      <c r="Q521" s="586"/>
      <c r="R521" s="582">
        <f>M521/J521</f>
        <v>29970</v>
      </c>
      <c r="S521" s="592"/>
      <c r="T521" s="645"/>
      <c r="U521" s="591"/>
      <c r="V521" s="589"/>
      <c r="W521" s="592"/>
      <c r="X521" s="592"/>
      <c r="Y521" s="592"/>
      <c r="Z521" s="592"/>
    </row>
    <row r="522" spans="1:220" s="28" customFormat="1" ht="37.5" hidden="1">
      <c r="A522" s="606">
        <f t="shared" si="73"/>
        <v>4</v>
      </c>
      <c r="B522" s="592" t="s">
        <v>803</v>
      </c>
      <c r="C522" s="582" t="s">
        <v>217</v>
      </c>
      <c r="D522" s="619">
        <v>23898</v>
      </c>
      <c r="E522" s="619">
        <v>4780</v>
      </c>
      <c r="F522" s="646" t="s">
        <v>218</v>
      </c>
      <c r="G522" s="619">
        <v>1687</v>
      </c>
      <c r="H522" s="599">
        <v>5</v>
      </c>
      <c r="I522" s="599">
        <v>8</v>
      </c>
      <c r="J522" s="599">
        <v>123</v>
      </c>
      <c r="K522" s="735" t="s">
        <v>30</v>
      </c>
      <c r="L522" s="584">
        <f t="shared" si="72"/>
        <v>2316417.5499999998</v>
      </c>
      <c r="M522" s="596">
        <v>2307238.67</v>
      </c>
      <c r="N522" s="597"/>
      <c r="O522" s="736">
        <v>9178.8799999999992</v>
      </c>
      <c r="P522" s="597"/>
      <c r="Q522" s="586"/>
      <c r="R522" s="582">
        <f>M522/J522</f>
        <v>18758.037967479675</v>
      </c>
      <c r="S522" s="592"/>
      <c r="T522" s="645"/>
      <c r="U522" s="591"/>
      <c r="V522" s="589"/>
      <c r="W522" s="592"/>
      <c r="X522" s="592"/>
      <c r="Y522" s="592"/>
      <c r="Z522" s="592"/>
    </row>
    <row r="523" spans="1:220" s="28" customFormat="1" ht="37.5" hidden="1">
      <c r="A523" s="606">
        <f t="shared" si="73"/>
        <v>5</v>
      </c>
      <c r="B523" s="581" t="s">
        <v>804</v>
      </c>
      <c r="C523" s="582" t="s">
        <v>217</v>
      </c>
      <c r="D523" s="646">
        <v>23504</v>
      </c>
      <c r="E523" s="646">
        <v>4875.3</v>
      </c>
      <c r="F523" s="646" t="s">
        <v>218</v>
      </c>
      <c r="G523" s="646">
        <v>1778</v>
      </c>
      <c r="H523" s="582">
        <v>5</v>
      </c>
      <c r="I523" s="582">
        <v>7</v>
      </c>
      <c r="J523" s="582">
        <v>100</v>
      </c>
      <c r="K523" s="735" t="s">
        <v>30</v>
      </c>
      <c r="L523" s="584">
        <f t="shared" si="72"/>
        <v>2494962.5</v>
      </c>
      <c r="M523" s="596">
        <v>2487500</v>
      </c>
      <c r="N523" s="586"/>
      <c r="O523" s="736">
        <v>7462.5</v>
      </c>
      <c r="P523" s="586"/>
      <c r="Q523" s="586"/>
      <c r="R523" s="582">
        <f>M523/J523</f>
        <v>24875</v>
      </c>
      <c r="S523" s="592"/>
      <c r="T523" s="645"/>
      <c r="U523" s="591"/>
      <c r="V523" s="589"/>
      <c r="W523" s="592"/>
      <c r="X523" s="592"/>
      <c r="Y523" s="592"/>
      <c r="Z523" s="592"/>
    </row>
    <row r="524" spans="1:220" s="28" customFormat="1" hidden="1">
      <c r="A524" s="606">
        <f t="shared" si="73"/>
        <v>6</v>
      </c>
      <c r="B524" s="581" t="s">
        <v>805</v>
      </c>
      <c r="C524" s="582" t="s">
        <v>217</v>
      </c>
      <c r="D524" s="619">
        <v>27464</v>
      </c>
      <c r="E524" s="619">
        <v>5413.7</v>
      </c>
      <c r="F524" s="646" t="s">
        <v>218</v>
      </c>
      <c r="G524" s="619">
        <v>1850</v>
      </c>
      <c r="H524" s="599">
        <v>5</v>
      </c>
      <c r="I524" s="599">
        <v>10</v>
      </c>
      <c r="J524" s="599">
        <v>160</v>
      </c>
      <c r="K524" s="606" t="s">
        <v>33</v>
      </c>
      <c r="L524" s="584">
        <f t="shared" si="72"/>
        <v>4078078.95</v>
      </c>
      <c r="M524" s="596">
        <v>4065930</v>
      </c>
      <c r="N524" s="597"/>
      <c r="O524" s="736">
        <v>12148.95</v>
      </c>
      <c r="P524" s="586"/>
      <c r="Q524" s="586"/>
      <c r="R524" s="582">
        <f>M524/G524</f>
        <v>2197.8000000000002</v>
      </c>
      <c r="S524" s="592" t="s">
        <v>422</v>
      </c>
      <c r="T524" s="645"/>
      <c r="U524" s="591"/>
      <c r="V524" s="589"/>
      <c r="W524" s="592"/>
      <c r="X524" s="592"/>
      <c r="Y524" s="592"/>
      <c r="Z524" s="592"/>
    </row>
    <row r="525" spans="1:220" s="28" customFormat="1" ht="37.5" hidden="1">
      <c r="A525" s="606">
        <f t="shared" si="73"/>
        <v>7</v>
      </c>
      <c r="B525" s="592" t="s">
        <v>3654</v>
      </c>
      <c r="C525" s="582" t="s">
        <v>217</v>
      </c>
      <c r="D525" s="619">
        <v>79172</v>
      </c>
      <c r="E525" s="619">
        <v>13049</v>
      </c>
      <c r="F525" s="646" t="s">
        <v>218</v>
      </c>
      <c r="G525" s="619">
        <v>4332</v>
      </c>
      <c r="H525" s="599">
        <v>9</v>
      </c>
      <c r="I525" s="599">
        <v>14</v>
      </c>
      <c r="J525" s="599">
        <v>334</v>
      </c>
      <c r="K525" s="590" t="s">
        <v>219</v>
      </c>
      <c r="L525" s="584">
        <f t="shared" si="72"/>
        <v>6054575</v>
      </c>
      <c r="M525" s="596">
        <v>5970000</v>
      </c>
      <c r="N525" s="675">
        <v>84575</v>
      </c>
      <c r="O525" s="587"/>
      <c r="P525" s="586"/>
      <c r="Q525" s="586"/>
      <c r="R525" s="582">
        <v>2000000</v>
      </c>
      <c r="S525" s="592" t="s">
        <v>3602</v>
      </c>
      <c r="T525" s="645"/>
      <c r="U525" s="591"/>
      <c r="V525" s="589"/>
      <c r="W525" s="592"/>
      <c r="X525" s="592"/>
      <c r="Y525" s="592"/>
      <c r="Z525" s="592"/>
    </row>
    <row r="526" spans="1:220" s="28" customFormat="1" hidden="1">
      <c r="A526" s="1349" t="s">
        <v>116</v>
      </c>
      <c r="B526" s="1349"/>
      <c r="C526" s="586" t="s">
        <v>28</v>
      </c>
      <c r="D526" s="646">
        <f>SUM(D519:D525)</f>
        <v>202950.6</v>
      </c>
      <c r="E526" s="646">
        <f>SUM(E519:E525)</f>
        <v>39400.199999999997</v>
      </c>
      <c r="F526" s="646" t="s">
        <v>28</v>
      </c>
      <c r="G526" s="646">
        <f>SUM(G519:G525)</f>
        <v>14090</v>
      </c>
      <c r="H526" s="582" t="s">
        <v>28</v>
      </c>
      <c r="I526" s="582" t="s">
        <v>28</v>
      </c>
      <c r="J526" s="582">
        <f>SUM(J519:J525)</f>
        <v>1009</v>
      </c>
      <c r="K526" s="588" t="s">
        <v>28</v>
      </c>
      <c r="L526" s="584">
        <f>SUM(L519:L525)</f>
        <v>22944494.149999999</v>
      </c>
      <c r="M526" s="585">
        <f>SUM(M519:M525)</f>
        <v>22807278.670000002</v>
      </c>
      <c r="N526" s="586">
        <f>SUM(N519:N525)</f>
        <v>84575</v>
      </c>
      <c r="O526" s="587">
        <f>SUM(O519:O525)</f>
        <v>52640.479999999996</v>
      </c>
      <c r="P526" s="586"/>
      <c r="Q526" s="586">
        <f>SUM(Q519:Q525)</f>
        <v>0</v>
      </c>
      <c r="R526" s="582" t="s">
        <v>28</v>
      </c>
      <c r="S526" s="586">
        <f>L526-M526-N526-O526-P526-Q526</f>
        <v>-3.2741809263825417E-9</v>
      </c>
      <c r="T526" s="645"/>
      <c r="U526" s="589"/>
      <c r="V526" s="589"/>
      <c r="W526" s="592"/>
      <c r="X526" s="592"/>
      <c r="Y526" s="592"/>
      <c r="Z526" s="592"/>
    </row>
    <row r="527" spans="1:220" s="28" customFormat="1" hidden="1">
      <c r="A527" s="1347" t="s">
        <v>35</v>
      </c>
      <c r="B527" s="1347"/>
      <c r="C527" s="1347"/>
      <c r="D527" s="1347"/>
      <c r="E527" s="1347"/>
      <c r="F527" s="1347"/>
      <c r="G527" s="1347"/>
      <c r="H527" s="1347"/>
      <c r="I527" s="1347"/>
      <c r="J527" s="1347"/>
      <c r="K527" s="1347"/>
      <c r="L527" s="1347"/>
      <c r="M527" s="1347"/>
      <c r="N527" s="1347"/>
      <c r="O527" s="1347"/>
      <c r="P527" s="1347"/>
      <c r="Q527" s="1347"/>
      <c r="R527" s="1347"/>
      <c r="S527" s="592"/>
      <c r="T527" s="645"/>
      <c r="U527" s="591"/>
      <c r="V527" s="589"/>
      <c r="W527" s="592"/>
      <c r="X527" s="592"/>
      <c r="Y527" s="592"/>
      <c r="Z527" s="592"/>
    </row>
    <row r="528" spans="1:220" s="71" customFormat="1" hidden="1">
      <c r="A528" s="667">
        <v>1</v>
      </c>
      <c r="B528" s="592" t="s">
        <v>806</v>
      </c>
      <c r="C528" s="593" t="s">
        <v>221</v>
      </c>
      <c r="D528" s="646">
        <v>9925</v>
      </c>
      <c r="E528" s="619">
        <v>1515.8</v>
      </c>
      <c r="F528" s="619" t="s">
        <v>222</v>
      </c>
      <c r="G528" s="739">
        <v>1107.8</v>
      </c>
      <c r="H528" s="582">
        <v>4</v>
      </c>
      <c r="I528" s="582">
        <v>4</v>
      </c>
      <c r="J528" s="599">
        <v>52</v>
      </c>
      <c r="K528" s="735" t="s">
        <v>33</v>
      </c>
      <c r="L528" s="584">
        <f>M528+N528+O528+P528+Q528</f>
        <v>3117348.8</v>
      </c>
      <c r="M528" s="585">
        <v>3086330.8</v>
      </c>
      <c r="N528" s="586">
        <v>31018</v>
      </c>
      <c r="O528" s="587"/>
      <c r="P528" s="586"/>
      <c r="Q528" s="586"/>
      <c r="R528" s="582">
        <f>M528/G528</f>
        <v>2786</v>
      </c>
      <c r="S528" s="592"/>
      <c r="T528" s="645"/>
      <c r="U528" s="737"/>
      <c r="V528" s="589"/>
      <c r="W528" s="737"/>
      <c r="X528" s="737"/>
      <c r="Y528" s="737"/>
      <c r="Z528" s="737"/>
    </row>
    <row r="529" spans="1:26" s="71" customFormat="1" ht="37.5" hidden="1">
      <c r="A529" s="667">
        <f>A528+1</f>
        <v>2</v>
      </c>
      <c r="B529" s="592" t="s">
        <v>807</v>
      </c>
      <c r="C529" s="593" t="s">
        <v>217</v>
      </c>
      <c r="D529" s="646">
        <v>14523</v>
      </c>
      <c r="E529" s="619">
        <v>5175.0600000000004</v>
      </c>
      <c r="F529" s="619" t="s">
        <v>223</v>
      </c>
      <c r="G529" s="739">
        <f>(20*I529)*12*1.2</f>
        <v>1728</v>
      </c>
      <c r="H529" s="582">
        <v>5</v>
      </c>
      <c r="I529" s="582">
        <v>6</v>
      </c>
      <c r="J529" s="599">
        <v>90</v>
      </c>
      <c r="K529" s="735" t="s">
        <v>30</v>
      </c>
      <c r="L529" s="1348">
        <f>M529+N529+O529+P529+Q529+M530+N530+O530+Q530</f>
        <v>2299762.9</v>
      </c>
      <c r="M529" s="596">
        <v>1511176.5399999998</v>
      </c>
      <c r="N529" s="597"/>
      <c r="O529" s="736">
        <v>6716.25</v>
      </c>
      <c r="P529" s="597"/>
      <c r="Q529" s="586"/>
      <c r="R529" s="582">
        <f>M529/J529</f>
        <v>16790.850444444441</v>
      </c>
      <c r="S529" s="592" t="s">
        <v>3653</v>
      </c>
      <c r="T529" s="645"/>
      <c r="U529" s="586"/>
      <c r="V529" s="589"/>
      <c r="W529" s="737"/>
      <c r="X529" s="737"/>
      <c r="Y529" s="737"/>
      <c r="Z529" s="737"/>
    </row>
    <row r="530" spans="1:26" s="71" customFormat="1" hidden="1">
      <c r="A530" s="667"/>
      <c r="B530" s="592"/>
      <c r="C530" s="593"/>
      <c r="D530" s="646"/>
      <c r="E530" s="619"/>
      <c r="F530" s="619"/>
      <c r="G530" s="739"/>
      <c r="H530" s="582"/>
      <c r="I530" s="582"/>
      <c r="J530" s="599"/>
      <c r="K530" s="735" t="s">
        <v>224</v>
      </c>
      <c r="L530" s="1348"/>
      <c r="M530" s="596">
        <v>758378.11</v>
      </c>
      <c r="N530" s="597">
        <v>23492</v>
      </c>
      <c r="O530" s="736"/>
      <c r="P530" s="597"/>
      <c r="Q530" s="586"/>
      <c r="R530" s="582">
        <f>M530/J529</f>
        <v>8426.4234444444446</v>
      </c>
      <c r="S530" s="592"/>
      <c r="T530" s="645"/>
      <c r="U530" s="586"/>
      <c r="V530" s="589"/>
      <c r="W530" s="737"/>
      <c r="X530" s="737"/>
      <c r="Y530" s="737"/>
      <c r="Z530" s="737"/>
    </row>
    <row r="531" spans="1:26" s="71" customFormat="1" hidden="1">
      <c r="A531" s="667">
        <f>A529+1</f>
        <v>3</v>
      </c>
      <c r="B531" s="592" t="s">
        <v>808</v>
      </c>
      <c r="C531" s="593" t="s">
        <v>221</v>
      </c>
      <c r="D531" s="646">
        <v>18704</v>
      </c>
      <c r="E531" s="619">
        <v>5909.04</v>
      </c>
      <c r="F531" s="619" t="s">
        <v>222</v>
      </c>
      <c r="G531" s="739">
        <v>1448.1</v>
      </c>
      <c r="H531" s="582">
        <v>5</v>
      </c>
      <c r="I531" s="582">
        <v>6</v>
      </c>
      <c r="J531" s="599">
        <v>100</v>
      </c>
      <c r="K531" s="735" t="s">
        <v>224</v>
      </c>
      <c r="L531" s="740">
        <f>M531+N531+O531+P531+Q531</f>
        <v>2020000</v>
      </c>
      <c r="M531" s="741">
        <v>1990000</v>
      </c>
      <c r="N531" s="742">
        <v>30000</v>
      </c>
      <c r="O531" s="743"/>
      <c r="P531" s="742"/>
      <c r="Q531" s="586"/>
      <c r="R531" s="744">
        <f>M531/J531</f>
        <v>19900</v>
      </c>
      <c r="S531" s="592"/>
      <c r="T531" s="645"/>
      <c r="U531" s="737"/>
      <c r="V531" s="589"/>
      <c r="W531" s="737"/>
      <c r="X531" s="737"/>
      <c r="Y531" s="737"/>
      <c r="Z531" s="737"/>
    </row>
    <row r="532" spans="1:26" s="71" customFormat="1" hidden="1">
      <c r="A532" s="667">
        <f t="shared" ref="A532:A590" si="74">A531+1</f>
        <v>4</v>
      </c>
      <c r="B532" s="592" t="s">
        <v>809</v>
      </c>
      <c r="C532" s="744" t="s">
        <v>221</v>
      </c>
      <c r="D532" s="646">
        <v>24047</v>
      </c>
      <c r="E532" s="619">
        <v>3348.32</v>
      </c>
      <c r="F532" s="619" t="s">
        <v>222</v>
      </c>
      <c r="G532" s="739">
        <f>(20*I532)*12*1.2</f>
        <v>2304</v>
      </c>
      <c r="H532" s="582">
        <v>5</v>
      </c>
      <c r="I532" s="582">
        <v>8</v>
      </c>
      <c r="J532" s="599">
        <v>129</v>
      </c>
      <c r="K532" s="590" t="s">
        <v>33</v>
      </c>
      <c r="L532" s="584">
        <f>M532+N532+O532+P532+Q532</f>
        <v>6467328</v>
      </c>
      <c r="M532" s="585">
        <v>6418944</v>
      </c>
      <c r="N532" s="586">
        <v>48384</v>
      </c>
      <c r="O532" s="587"/>
      <c r="P532" s="586"/>
      <c r="Q532" s="586"/>
      <c r="R532" s="582">
        <f>M532/G532</f>
        <v>2786</v>
      </c>
      <c r="S532" s="592"/>
      <c r="T532" s="645"/>
      <c r="U532" s="737"/>
      <c r="V532" s="589"/>
      <c r="W532" s="737"/>
      <c r="X532" s="737"/>
      <c r="Y532" s="737"/>
      <c r="Z532" s="737"/>
    </row>
    <row r="533" spans="1:26" s="71" customFormat="1" ht="37.5" hidden="1">
      <c r="A533" s="667">
        <f t="shared" si="74"/>
        <v>5</v>
      </c>
      <c r="B533" s="592" t="s">
        <v>810</v>
      </c>
      <c r="C533" s="744" t="s">
        <v>221</v>
      </c>
      <c r="D533" s="646">
        <v>17830</v>
      </c>
      <c r="E533" s="619">
        <v>2606.64</v>
      </c>
      <c r="F533" s="619" t="s">
        <v>222</v>
      </c>
      <c r="G533" s="739">
        <f>(20*I533)*12*1.2</f>
        <v>1728</v>
      </c>
      <c r="H533" s="582">
        <v>5</v>
      </c>
      <c r="I533" s="582">
        <v>6</v>
      </c>
      <c r="J533" s="599">
        <v>83</v>
      </c>
      <c r="K533" s="735" t="s">
        <v>30</v>
      </c>
      <c r="L533" s="1348">
        <f>M533+N533+O533+P533+Q533+M534+N534+O534+Q534</f>
        <v>1996436.8399999999</v>
      </c>
      <c r="M533" s="596">
        <v>1431361.57</v>
      </c>
      <c r="N533" s="597"/>
      <c r="O533" s="736">
        <v>6193.88</v>
      </c>
      <c r="P533" s="597"/>
      <c r="Q533" s="586"/>
      <c r="R533" s="582">
        <f>M533/J533</f>
        <v>17245.320120481927</v>
      </c>
      <c r="S533" s="592"/>
      <c r="T533" s="645"/>
      <c r="U533" s="737"/>
      <c r="V533" s="589"/>
      <c r="W533" s="737"/>
      <c r="X533" s="737"/>
      <c r="Y533" s="737"/>
      <c r="Z533" s="737"/>
    </row>
    <row r="534" spans="1:26" s="71" customFormat="1" hidden="1">
      <c r="A534" s="667"/>
      <c r="B534" s="592"/>
      <c r="C534" s="744"/>
      <c r="D534" s="646"/>
      <c r="E534" s="619"/>
      <c r="F534" s="619"/>
      <c r="G534" s="739"/>
      <c r="H534" s="582"/>
      <c r="I534" s="582"/>
      <c r="J534" s="599"/>
      <c r="K534" s="735" t="s">
        <v>224</v>
      </c>
      <c r="L534" s="1348"/>
      <c r="M534" s="596">
        <v>533304.39</v>
      </c>
      <c r="N534" s="597">
        <v>25577</v>
      </c>
      <c r="O534" s="736"/>
      <c r="P534" s="597"/>
      <c r="Q534" s="586"/>
      <c r="R534" s="582" t="e">
        <f>M534/K533</f>
        <v>#VALUE!</v>
      </c>
      <c r="S534" s="592"/>
      <c r="T534" s="645"/>
      <c r="U534" s="737"/>
      <c r="V534" s="589"/>
      <c r="W534" s="737"/>
      <c r="X534" s="737"/>
      <c r="Y534" s="737"/>
      <c r="Z534" s="737"/>
    </row>
    <row r="535" spans="1:26" s="71" customFormat="1" hidden="1">
      <c r="A535" s="667">
        <f>A533+1</f>
        <v>6</v>
      </c>
      <c r="B535" s="592" t="s">
        <v>811</v>
      </c>
      <c r="C535" s="593" t="s">
        <v>217</v>
      </c>
      <c r="D535" s="646">
        <v>48095</v>
      </c>
      <c r="E535" s="619">
        <v>7016.94</v>
      </c>
      <c r="F535" s="619" t="s">
        <v>223</v>
      </c>
      <c r="G535" s="739">
        <f>(20*I535)*12*1.2</f>
        <v>1728</v>
      </c>
      <c r="H535" s="582">
        <v>9</v>
      </c>
      <c r="I535" s="582">
        <v>6</v>
      </c>
      <c r="J535" s="599">
        <v>216</v>
      </c>
      <c r="K535" s="590" t="s">
        <v>33</v>
      </c>
      <c r="L535" s="584">
        <f>M535+N535+O535+P535+Q535</f>
        <v>3793939.98</v>
      </c>
      <c r="M535" s="745">
        <v>3782592</v>
      </c>
      <c r="N535" s="586"/>
      <c r="O535" s="736">
        <v>11347.98</v>
      </c>
      <c r="P535" s="586"/>
      <c r="Q535" s="586"/>
      <c r="R535" s="582">
        <f>M535/G535</f>
        <v>2189</v>
      </c>
      <c r="S535" s="592"/>
      <c r="T535" s="645"/>
      <c r="U535" s="737"/>
      <c r="V535" s="589"/>
      <c r="W535" s="737"/>
      <c r="X535" s="737"/>
      <c r="Y535" s="737"/>
      <c r="Z535" s="737"/>
    </row>
    <row r="536" spans="1:26" s="71" customFormat="1" ht="37.5" hidden="1">
      <c r="A536" s="667">
        <f t="shared" si="74"/>
        <v>7</v>
      </c>
      <c r="B536" s="592" t="s">
        <v>812</v>
      </c>
      <c r="C536" s="593" t="s">
        <v>217</v>
      </c>
      <c r="D536" s="646">
        <v>9283</v>
      </c>
      <c r="E536" s="619">
        <v>1514.42</v>
      </c>
      <c r="F536" s="619" t="s">
        <v>223</v>
      </c>
      <c r="G536" s="739">
        <v>960</v>
      </c>
      <c r="H536" s="582">
        <v>5</v>
      </c>
      <c r="I536" s="582">
        <v>4</v>
      </c>
      <c r="J536" s="599">
        <v>60</v>
      </c>
      <c r="K536" s="735" t="s">
        <v>30</v>
      </c>
      <c r="L536" s="584">
        <f>M536+N536+O536+P536+Q536</f>
        <v>1496977.5</v>
      </c>
      <c r="M536" s="596">
        <v>1492500</v>
      </c>
      <c r="N536" s="597"/>
      <c r="O536" s="736">
        <v>4477.5</v>
      </c>
      <c r="P536" s="597"/>
      <c r="Q536" s="586"/>
      <c r="R536" s="582">
        <f>M536/J536</f>
        <v>24875</v>
      </c>
      <c r="S536" s="592"/>
      <c r="T536" s="645"/>
      <c r="U536" s="737"/>
      <c r="V536" s="589"/>
      <c r="W536" s="737"/>
      <c r="X536" s="737"/>
      <c r="Y536" s="737"/>
      <c r="Z536" s="737"/>
    </row>
    <row r="537" spans="1:26" s="71" customFormat="1" ht="37.5" hidden="1">
      <c r="A537" s="667">
        <f t="shared" si="74"/>
        <v>8</v>
      </c>
      <c r="B537" s="592" t="s">
        <v>813</v>
      </c>
      <c r="C537" s="744" t="s">
        <v>221</v>
      </c>
      <c r="D537" s="646">
        <v>4980.5</v>
      </c>
      <c r="E537" s="619">
        <v>3955.9</v>
      </c>
      <c r="F537" s="619" t="s">
        <v>223</v>
      </c>
      <c r="G537" s="739">
        <f>(20*I537)*12*1.2</f>
        <v>288</v>
      </c>
      <c r="H537" s="582">
        <v>9</v>
      </c>
      <c r="I537" s="582">
        <v>1</v>
      </c>
      <c r="J537" s="599">
        <v>160</v>
      </c>
      <c r="K537" s="590" t="s">
        <v>219</v>
      </c>
      <c r="L537" s="584">
        <f>M537+N537+O537+P537+Q537</f>
        <v>2074575</v>
      </c>
      <c r="M537" s="596">
        <v>1990000</v>
      </c>
      <c r="N537" s="597">
        <v>84575</v>
      </c>
      <c r="O537" s="587"/>
      <c r="P537" s="586"/>
      <c r="Q537" s="586"/>
      <c r="R537" s="582">
        <f>M537/I537</f>
        <v>1990000</v>
      </c>
      <c r="S537" s="592"/>
      <c r="T537" s="645"/>
      <c r="U537" s="737"/>
      <c r="V537" s="589"/>
      <c r="W537" s="737"/>
      <c r="X537" s="737"/>
      <c r="Y537" s="737"/>
      <c r="Z537" s="737"/>
    </row>
    <row r="538" spans="1:26" s="71" customFormat="1" ht="37.5" hidden="1">
      <c r="A538" s="667">
        <f t="shared" si="74"/>
        <v>9</v>
      </c>
      <c r="B538" s="592" t="s">
        <v>814</v>
      </c>
      <c r="C538" s="744" t="s">
        <v>221</v>
      </c>
      <c r="D538" s="646">
        <v>4974.3999999999996</v>
      </c>
      <c r="E538" s="619">
        <v>3833</v>
      </c>
      <c r="F538" s="619" t="s">
        <v>223</v>
      </c>
      <c r="G538" s="739">
        <f>(20*I538)*12*1.2</f>
        <v>288</v>
      </c>
      <c r="H538" s="582">
        <v>9</v>
      </c>
      <c r="I538" s="582">
        <v>1</v>
      </c>
      <c r="J538" s="599">
        <v>160</v>
      </c>
      <c r="K538" s="590" t="s">
        <v>219</v>
      </c>
      <c r="L538" s="584">
        <f>M538+N538+O538+P538+Q538</f>
        <v>2074575</v>
      </c>
      <c r="M538" s="596">
        <v>1990000</v>
      </c>
      <c r="N538" s="597">
        <v>84575</v>
      </c>
      <c r="O538" s="587"/>
      <c r="P538" s="586"/>
      <c r="Q538" s="586"/>
      <c r="R538" s="582">
        <f>M538/I538</f>
        <v>1990000</v>
      </c>
      <c r="S538" s="592"/>
      <c r="T538" s="645"/>
      <c r="U538" s="737"/>
      <c r="V538" s="589"/>
      <c r="W538" s="737"/>
      <c r="X538" s="737"/>
      <c r="Y538" s="737"/>
      <c r="Z538" s="737"/>
    </row>
    <row r="539" spans="1:26" s="71" customFormat="1" ht="37.5" hidden="1">
      <c r="A539" s="667">
        <f t="shared" si="74"/>
        <v>10</v>
      </c>
      <c r="B539" s="592" t="s">
        <v>815</v>
      </c>
      <c r="C539" s="744" t="s">
        <v>221</v>
      </c>
      <c r="D539" s="646">
        <v>17702</v>
      </c>
      <c r="E539" s="619">
        <v>3058.1759999999999</v>
      </c>
      <c r="F539" s="619" t="s">
        <v>223</v>
      </c>
      <c r="G539" s="739">
        <f>(20*I539)*12*1.2</f>
        <v>576</v>
      </c>
      <c r="H539" s="582">
        <v>10</v>
      </c>
      <c r="I539" s="582">
        <v>2</v>
      </c>
      <c r="J539" s="599">
        <v>80</v>
      </c>
      <c r="K539" s="590" t="s">
        <v>219</v>
      </c>
      <c r="L539" s="584">
        <f>M539+N539+O539+P539+Q539</f>
        <v>4483718.75</v>
      </c>
      <c r="M539" s="596">
        <v>4378000</v>
      </c>
      <c r="N539" s="597">
        <v>105718.75</v>
      </c>
      <c r="O539" s="587"/>
      <c r="P539" s="586"/>
      <c r="Q539" s="586"/>
      <c r="R539" s="582">
        <v>2200000</v>
      </c>
      <c r="S539" s="592"/>
      <c r="T539" s="645"/>
      <c r="U539" s="737"/>
      <c r="V539" s="589"/>
      <c r="W539" s="737"/>
      <c r="X539" s="737"/>
      <c r="Y539" s="737"/>
      <c r="Z539" s="737"/>
    </row>
    <row r="540" spans="1:26" s="71" customFormat="1" ht="37.5" hidden="1">
      <c r="A540" s="667">
        <f t="shared" si="74"/>
        <v>11</v>
      </c>
      <c r="B540" s="592" t="s">
        <v>816</v>
      </c>
      <c r="C540" s="593" t="s">
        <v>217</v>
      </c>
      <c r="D540" s="646">
        <v>12905</v>
      </c>
      <c r="E540" s="619">
        <v>2361.58</v>
      </c>
      <c r="F540" s="619" t="s">
        <v>223</v>
      </c>
      <c r="G540" s="739">
        <v>1038.5999999999999</v>
      </c>
      <c r="H540" s="582">
        <v>5</v>
      </c>
      <c r="I540" s="582">
        <v>4</v>
      </c>
      <c r="J540" s="599">
        <v>60</v>
      </c>
      <c r="K540" s="735" t="s">
        <v>30</v>
      </c>
      <c r="L540" s="1348">
        <f>M540+N540+O540+P540+Q540+M541+N541+O541+Q541</f>
        <v>1517008.5</v>
      </c>
      <c r="M540" s="596">
        <v>1006228.19</v>
      </c>
      <c r="N540" s="597"/>
      <c r="O540" s="736">
        <v>4477.5</v>
      </c>
      <c r="P540" s="597"/>
      <c r="Q540" s="586"/>
      <c r="R540" s="582">
        <f>M540/J540</f>
        <v>16770.469833333333</v>
      </c>
      <c r="S540" s="592"/>
      <c r="T540" s="645"/>
      <c r="U540" s="737"/>
      <c r="V540" s="589"/>
      <c r="W540" s="737"/>
      <c r="X540" s="737"/>
      <c r="Y540" s="737"/>
      <c r="Z540" s="737"/>
    </row>
    <row r="541" spans="1:26" s="71" customFormat="1" hidden="1">
      <c r="A541" s="667"/>
      <c r="B541" s="592"/>
      <c r="C541" s="593"/>
      <c r="D541" s="646"/>
      <c r="E541" s="619"/>
      <c r="F541" s="619"/>
      <c r="G541" s="739"/>
      <c r="H541" s="582"/>
      <c r="I541" s="582"/>
      <c r="J541" s="599"/>
      <c r="K541" s="735" t="s">
        <v>224</v>
      </c>
      <c r="L541" s="1348"/>
      <c r="M541" s="596">
        <v>486271.81</v>
      </c>
      <c r="N541" s="597">
        <v>20031</v>
      </c>
      <c r="O541" s="736"/>
      <c r="P541" s="597"/>
      <c r="Q541" s="586"/>
      <c r="R541" s="582">
        <f>M541/J540</f>
        <v>8104.5301666666664</v>
      </c>
      <c r="S541" s="592"/>
      <c r="T541" s="645"/>
      <c r="U541" s="737"/>
      <c r="V541" s="589"/>
      <c r="W541" s="737"/>
      <c r="X541" s="737"/>
      <c r="Y541" s="737"/>
      <c r="Z541" s="737"/>
    </row>
    <row r="542" spans="1:26" s="71" customFormat="1" hidden="1">
      <c r="A542" s="667">
        <f>A540+1</f>
        <v>12</v>
      </c>
      <c r="B542" s="592" t="s">
        <v>817</v>
      </c>
      <c r="C542" s="744" t="s">
        <v>221</v>
      </c>
      <c r="D542" s="646">
        <v>15965</v>
      </c>
      <c r="E542" s="619">
        <v>2688.34</v>
      </c>
      <c r="F542" s="619" t="s">
        <v>223</v>
      </c>
      <c r="G542" s="739">
        <f t="shared" ref="G542:G547" si="75">(20*I542)*12*1.2</f>
        <v>1728</v>
      </c>
      <c r="H542" s="582">
        <v>5</v>
      </c>
      <c r="I542" s="582">
        <v>6</v>
      </c>
      <c r="J542" s="599">
        <v>90</v>
      </c>
      <c r="K542" s="590" t="s">
        <v>33</v>
      </c>
      <c r="L542" s="584">
        <f t="shared" ref="L542:L547" si="76">M542+N542+O542+P542+Q542</f>
        <v>3793939.98</v>
      </c>
      <c r="M542" s="745">
        <v>3782592</v>
      </c>
      <c r="N542" s="586"/>
      <c r="O542" s="736">
        <v>11347.98</v>
      </c>
      <c r="P542" s="586"/>
      <c r="Q542" s="586"/>
      <c r="R542" s="582">
        <f>M542/G542</f>
        <v>2189</v>
      </c>
      <c r="S542" s="592"/>
      <c r="T542" s="645"/>
      <c r="U542" s="737"/>
      <c r="V542" s="589"/>
      <c r="W542" s="737"/>
      <c r="X542" s="737"/>
      <c r="Y542" s="737"/>
      <c r="Z542" s="737"/>
    </row>
    <row r="543" spans="1:26" s="246" customFormat="1" ht="37.5" hidden="1">
      <c r="A543" s="667">
        <f t="shared" si="74"/>
        <v>13</v>
      </c>
      <c r="B543" s="592" t="s">
        <v>818</v>
      </c>
      <c r="C543" s="744" t="s">
        <v>221</v>
      </c>
      <c r="D543" s="646">
        <v>19532</v>
      </c>
      <c r="E543" s="619">
        <v>4661.24</v>
      </c>
      <c r="F543" s="619" t="s">
        <v>223</v>
      </c>
      <c r="G543" s="739">
        <f t="shared" si="75"/>
        <v>2880</v>
      </c>
      <c r="H543" s="582">
        <v>5</v>
      </c>
      <c r="I543" s="582">
        <v>10</v>
      </c>
      <c r="J543" s="599">
        <v>100</v>
      </c>
      <c r="K543" s="590" t="s">
        <v>225</v>
      </c>
      <c r="L543" s="595">
        <f t="shared" si="76"/>
        <v>2474200.29</v>
      </c>
      <c r="M543" s="596">
        <v>2444200.29</v>
      </c>
      <c r="N543" s="586">
        <v>30000</v>
      </c>
      <c r="O543" s="598"/>
      <c r="P543" s="597"/>
      <c r="Q543" s="586"/>
      <c r="R543" s="599">
        <f>M543/J543</f>
        <v>24442.002899999999</v>
      </c>
      <c r="S543" s="592"/>
      <c r="T543" s="645"/>
      <c r="U543" s="591"/>
      <c r="V543" s="589"/>
      <c r="W543" s="591"/>
      <c r="X543" s="591"/>
      <c r="Y543" s="591"/>
      <c r="Z543" s="591"/>
    </row>
    <row r="544" spans="1:26" s="246" customFormat="1" hidden="1">
      <c r="A544" s="667">
        <f t="shared" si="74"/>
        <v>14</v>
      </c>
      <c r="B544" s="592" t="s">
        <v>819</v>
      </c>
      <c r="C544" s="744" t="s">
        <v>221</v>
      </c>
      <c r="D544" s="646">
        <v>23589</v>
      </c>
      <c r="E544" s="619">
        <v>3040</v>
      </c>
      <c r="F544" s="619" t="s">
        <v>222</v>
      </c>
      <c r="G544" s="739">
        <f t="shared" si="75"/>
        <v>2304</v>
      </c>
      <c r="H544" s="582">
        <v>5</v>
      </c>
      <c r="I544" s="582">
        <v>8</v>
      </c>
      <c r="J544" s="599">
        <v>122</v>
      </c>
      <c r="K544" s="590" t="s">
        <v>33</v>
      </c>
      <c r="L544" s="584">
        <f t="shared" si="76"/>
        <v>6467328</v>
      </c>
      <c r="M544" s="585">
        <v>6418944</v>
      </c>
      <c r="N544" s="586">
        <v>48384</v>
      </c>
      <c r="O544" s="587"/>
      <c r="P544" s="586"/>
      <c r="Q544" s="586"/>
      <c r="R544" s="582">
        <f>M544/G544</f>
        <v>2786</v>
      </c>
      <c r="S544" s="592"/>
      <c r="T544" s="645"/>
      <c r="U544" s="591"/>
      <c r="V544" s="589"/>
      <c r="W544" s="591"/>
      <c r="X544" s="591"/>
      <c r="Y544" s="591"/>
      <c r="Z544" s="591"/>
    </row>
    <row r="545" spans="1:26" s="246" customFormat="1" ht="37.5" hidden="1">
      <c r="A545" s="667">
        <f t="shared" si="74"/>
        <v>15</v>
      </c>
      <c r="B545" s="592" t="s">
        <v>820</v>
      </c>
      <c r="C545" s="593" t="s">
        <v>217</v>
      </c>
      <c r="D545" s="646">
        <v>32333</v>
      </c>
      <c r="E545" s="619">
        <v>3970</v>
      </c>
      <c r="F545" s="619" t="s">
        <v>223</v>
      </c>
      <c r="G545" s="739">
        <v>1518.8</v>
      </c>
      <c r="H545" s="582">
        <v>9</v>
      </c>
      <c r="I545" s="582">
        <v>4</v>
      </c>
      <c r="J545" s="599">
        <v>144</v>
      </c>
      <c r="K545" s="590" t="s">
        <v>219</v>
      </c>
      <c r="L545" s="584">
        <f t="shared" si="76"/>
        <v>6096862.5</v>
      </c>
      <c r="M545" s="596">
        <v>5970000</v>
      </c>
      <c r="N545" s="597">
        <v>126862.5</v>
      </c>
      <c r="O545" s="587"/>
      <c r="P545" s="586"/>
      <c r="Q545" s="586"/>
      <c r="R545" s="582">
        <f>M545/3</f>
        <v>1990000</v>
      </c>
      <c r="S545" s="592"/>
      <c r="T545" s="645"/>
      <c r="U545" s="591"/>
      <c r="V545" s="589"/>
      <c r="W545" s="591"/>
      <c r="X545" s="591"/>
      <c r="Y545" s="591"/>
      <c r="Z545" s="591"/>
    </row>
    <row r="546" spans="1:26" s="246" customFormat="1" hidden="1">
      <c r="A546" s="667">
        <f t="shared" si="74"/>
        <v>16</v>
      </c>
      <c r="B546" s="592" t="s">
        <v>821</v>
      </c>
      <c r="C546" s="593" t="s">
        <v>217</v>
      </c>
      <c r="D546" s="646">
        <v>10510</v>
      </c>
      <c r="E546" s="619">
        <v>1950</v>
      </c>
      <c r="F546" s="619" t="s">
        <v>223</v>
      </c>
      <c r="G546" s="739">
        <f t="shared" si="75"/>
        <v>1152</v>
      </c>
      <c r="H546" s="582">
        <v>5</v>
      </c>
      <c r="I546" s="582">
        <v>4</v>
      </c>
      <c r="J546" s="599">
        <v>60</v>
      </c>
      <c r="K546" s="590" t="s">
        <v>226</v>
      </c>
      <c r="L546" s="746">
        <f t="shared" si="76"/>
        <v>6260750</v>
      </c>
      <c r="M546" s="745">
        <v>6218750</v>
      </c>
      <c r="N546" s="747">
        <v>42000</v>
      </c>
      <c r="O546" s="743"/>
      <c r="P546" s="747"/>
      <c r="Q546" s="586"/>
      <c r="R546" s="599">
        <f>M546/E546</f>
        <v>3189.102564102564</v>
      </c>
      <c r="S546" s="592" t="s">
        <v>435</v>
      </c>
      <c r="T546" s="645"/>
      <c r="U546" s="591"/>
      <c r="V546" s="589"/>
      <c r="W546" s="591"/>
      <c r="X546" s="591"/>
      <c r="Y546" s="591"/>
      <c r="Z546" s="591"/>
    </row>
    <row r="547" spans="1:26" s="71" customFormat="1" hidden="1">
      <c r="A547" s="667">
        <f t="shared" si="74"/>
        <v>17</v>
      </c>
      <c r="B547" s="592" t="s">
        <v>822</v>
      </c>
      <c r="C547" s="744" t="s">
        <v>221</v>
      </c>
      <c r="D547" s="646">
        <v>13214</v>
      </c>
      <c r="E547" s="619">
        <v>1790</v>
      </c>
      <c r="F547" s="619" t="s">
        <v>222</v>
      </c>
      <c r="G547" s="739">
        <f t="shared" si="75"/>
        <v>1440</v>
      </c>
      <c r="H547" s="582">
        <v>5</v>
      </c>
      <c r="I547" s="582">
        <v>5</v>
      </c>
      <c r="J547" s="599">
        <v>64</v>
      </c>
      <c r="K547" s="735" t="s">
        <v>224</v>
      </c>
      <c r="L547" s="584">
        <f t="shared" si="76"/>
        <v>534643.67999999993</v>
      </c>
      <c r="M547" s="596">
        <v>509043.68</v>
      </c>
      <c r="N547" s="597">
        <v>25600</v>
      </c>
      <c r="O547" s="587"/>
      <c r="P547" s="597"/>
      <c r="Q547" s="586"/>
      <c r="R547" s="582">
        <f>M547/J547</f>
        <v>7953.8074999999999</v>
      </c>
      <c r="S547" s="592"/>
      <c r="T547" s="645"/>
      <c r="U547" s="737"/>
      <c r="V547" s="589"/>
      <c r="W547" s="737"/>
      <c r="X547" s="737"/>
      <c r="Y547" s="737"/>
      <c r="Z547" s="737"/>
    </row>
    <row r="548" spans="1:26" s="71" customFormat="1" ht="37.5" hidden="1">
      <c r="A548" s="667">
        <f t="shared" si="74"/>
        <v>18</v>
      </c>
      <c r="B548" s="592" t="s">
        <v>823</v>
      </c>
      <c r="C548" s="744" t="s">
        <v>221</v>
      </c>
      <c r="D548" s="619">
        <f>E548*3</f>
        <v>45120</v>
      </c>
      <c r="E548" s="619">
        <v>15040</v>
      </c>
      <c r="F548" s="619" t="s">
        <v>223</v>
      </c>
      <c r="G548" s="739">
        <v>3713.4</v>
      </c>
      <c r="H548" s="582">
        <v>9</v>
      </c>
      <c r="I548" s="582">
        <v>9</v>
      </c>
      <c r="J548" s="599">
        <v>248</v>
      </c>
      <c r="K548" s="735" t="s">
        <v>30</v>
      </c>
      <c r="L548" s="1348">
        <f>M548+N548+O548+Q548+M549+N549+O549+Q549</f>
        <v>10270038.25</v>
      </c>
      <c r="M548" s="596">
        <v>6169000</v>
      </c>
      <c r="N548" s="597"/>
      <c r="O548" s="736">
        <v>18507</v>
      </c>
      <c r="P548" s="597"/>
      <c r="Q548" s="586"/>
      <c r="R548" s="582">
        <f>M548/J548</f>
        <v>24875</v>
      </c>
      <c r="S548" s="592"/>
      <c r="T548" s="645"/>
      <c r="U548" s="737"/>
      <c r="V548" s="589"/>
      <c r="W548" s="737"/>
      <c r="X548" s="737"/>
      <c r="Y548" s="737"/>
      <c r="Z548" s="737"/>
    </row>
    <row r="549" spans="1:26" s="71" customFormat="1" ht="37.5" hidden="1">
      <c r="A549" s="667"/>
      <c r="B549" s="592"/>
      <c r="C549" s="744"/>
      <c r="D549" s="619"/>
      <c r="E549" s="619"/>
      <c r="F549" s="619"/>
      <c r="G549" s="739"/>
      <c r="H549" s="582"/>
      <c r="I549" s="582"/>
      <c r="J549" s="599"/>
      <c r="K549" s="735" t="s">
        <v>219</v>
      </c>
      <c r="L549" s="1348"/>
      <c r="M549" s="596">
        <v>3980000</v>
      </c>
      <c r="N549" s="597">
        <v>102531.25</v>
      </c>
      <c r="O549" s="736"/>
      <c r="P549" s="597"/>
      <c r="Q549" s="586"/>
      <c r="R549" s="582">
        <f>M549/2</f>
        <v>1990000</v>
      </c>
      <c r="S549" s="592"/>
      <c r="T549" s="645"/>
      <c r="U549" s="737"/>
      <c r="V549" s="589"/>
      <c r="W549" s="737"/>
      <c r="X549" s="737"/>
      <c r="Y549" s="737"/>
      <c r="Z549" s="737"/>
    </row>
    <row r="550" spans="1:26" s="71" customFormat="1" ht="37.5" hidden="1">
      <c r="A550" s="667">
        <f>A548+1</f>
        <v>19</v>
      </c>
      <c r="B550" s="592" t="s">
        <v>824</v>
      </c>
      <c r="C550" s="593" t="s">
        <v>217</v>
      </c>
      <c r="D550" s="646">
        <v>10147</v>
      </c>
      <c r="E550" s="619">
        <v>1650</v>
      </c>
      <c r="F550" s="619" t="s">
        <v>223</v>
      </c>
      <c r="G550" s="739">
        <v>945.1</v>
      </c>
      <c r="H550" s="582">
        <v>5</v>
      </c>
      <c r="I550" s="582">
        <v>4</v>
      </c>
      <c r="J550" s="599">
        <v>60</v>
      </c>
      <c r="K550" s="735" t="s">
        <v>30</v>
      </c>
      <c r="L550" s="584">
        <f t="shared" ref="L550:L592" si="77">M550+N550+O550+P550+Q550</f>
        <v>1264974.68</v>
      </c>
      <c r="M550" s="596">
        <v>1260497.18</v>
      </c>
      <c r="N550" s="597"/>
      <c r="O550" s="736">
        <v>4477.5</v>
      </c>
      <c r="P550" s="597"/>
      <c r="Q550" s="586"/>
      <c r="R550" s="582">
        <f>M550/J550</f>
        <v>21008.286333333333</v>
      </c>
      <c r="S550" s="592"/>
      <c r="T550" s="645"/>
      <c r="U550" s="737"/>
      <c r="V550" s="589"/>
      <c r="W550" s="737"/>
      <c r="X550" s="737"/>
      <c r="Y550" s="737"/>
      <c r="Z550" s="737"/>
    </row>
    <row r="551" spans="1:26" s="71" customFormat="1" hidden="1">
      <c r="A551" s="667">
        <f t="shared" si="74"/>
        <v>20</v>
      </c>
      <c r="B551" s="592" t="s">
        <v>825</v>
      </c>
      <c r="C551" s="744" t="s">
        <v>221</v>
      </c>
      <c r="D551" s="646">
        <v>49112</v>
      </c>
      <c r="E551" s="619">
        <v>7141.75</v>
      </c>
      <c r="F551" s="619" t="s">
        <v>227</v>
      </c>
      <c r="G551" s="739">
        <v>694.85</v>
      </c>
      <c r="H551" s="582">
        <v>12</v>
      </c>
      <c r="I551" s="582">
        <v>2</v>
      </c>
      <c r="J551" s="599">
        <v>110</v>
      </c>
      <c r="K551" s="735" t="s">
        <v>33</v>
      </c>
      <c r="L551" s="584">
        <f t="shared" si="77"/>
        <v>1525589.72</v>
      </c>
      <c r="M551" s="585">
        <v>1521026.65</v>
      </c>
      <c r="N551" s="586"/>
      <c r="O551" s="736">
        <v>4563.07</v>
      </c>
      <c r="P551" s="586"/>
      <c r="Q551" s="586"/>
      <c r="R551" s="582">
        <f>M551/G551</f>
        <v>2189</v>
      </c>
      <c r="S551" s="592"/>
      <c r="T551" s="645"/>
      <c r="U551" s="737"/>
      <c r="V551" s="589"/>
      <c r="W551" s="737"/>
      <c r="X551" s="737"/>
      <c r="Y551" s="737"/>
      <c r="Z551" s="737"/>
    </row>
    <row r="552" spans="1:26" s="71" customFormat="1" hidden="1">
      <c r="A552" s="667">
        <f t="shared" si="74"/>
        <v>21</v>
      </c>
      <c r="B552" s="592" t="s">
        <v>826</v>
      </c>
      <c r="C552" s="593" t="s">
        <v>221</v>
      </c>
      <c r="D552" s="646">
        <v>4518</v>
      </c>
      <c r="E552" s="619">
        <v>738.51</v>
      </c>
      <c r="F552" s="619" t="s">
        <v>222</v>
      </c>
      <c r="G552" s="739">
        <v>673.1</v>
      </c>
      <c r="H552" s="582">
        <v>3</v>
      </c>
      <c r="I552" s="582">
        <v>2</v>
      </c>
      <c r="J552" s="599">
        <v>12</v>
      </c>
      <c r="K552" s="735" t="s">
        <v>33</v>
      </c>
      <c r="L552" s="584">
        <f t="shared" si="77"/>
        <v>1912950.6</v>
      </c>
      <c r="M552" s="585">
        <v>1875256.6</v>
      </c>
      <c r="N552" s="586">
        <v>37694</v>
      </c>
      <c r="O552" s="587"/>
      <c r="P552" s="586"/>
      <c r="Q552" s="586"/>
      <c r="R552" s="582">
        <f>M552/G552</f>
        <v>2786</v>
      </c>
      <c r="S552" s="592"/>
      <c r="T552" s="645"/>
      <c r="U552" s="737"/>
      <c r="V552" s="589"/>
      <c r="W552" s="737"/>
      <c r="X552" s="737"/>
      <c r="Y552" s="737"/>
      <c r="Z552" s="737"/>
    </row>
    <row r="553" spans="1:26" s="71" customFormat="1" hidden="1">
      <c r="A553" s="667">
        <f t="shared" si="74"/>
        <v>22</v>
      </c>
      <c r="B553" s="592" t="s">
        <v>827</v>
      </c>
      <c r="C553" s="744" t="s">
        <v>221</v>
      </c>
      <c r="D553" s="646">
        <v>3939</v>
      </c>
      <c r="E553" s="619">
        <v>676.54</v>
      </c>
      <c r="F553" s="619" t="s">
        <v>222</v>
      </c>
      <c r="G553" s="739">
        <f>(20*I553)*12*1.2</f>
        <v>576</v>
      </c>
      <c r="H553" s="582">
        <v>3</v>
      </c>
      <c r="I553" s="582">
        <v>2</v>
      </c>
      <c r="J553" s="599">
        <v>24</v>
      </c>
      <c r="K553" s="735" t="s">
        <v>33</v>
      </c>
      <c r="L553" s="584">
        <f t="shared" si="77"/>
        <v>1636992</v>
      </c>
      <c r="M553" s="585">
        <v>1604736</v>
      </c>
      <c r="N553" s="586">
        <v>32256</v>
      </c>
      <c r="O553" s="587"/>
      <c r="P553" s="586"/>
      <c r="Q553" s="586"/>
      <c r="R553" s="582">
        <f>M553/G553</f>
        <v>2786</v>
      </c>
      <c r="S553" s="592"/>
      <c r="T553" s="645"/>
      <c r="U553" s="737"/>
      <c r="V553" s="589"/>
      <c r="W553" s="737"/>
      <c r="X553" s="737"/>
      <c r="Y553" s="737"/>
      <c r="Z553" s="737"/>
    </row>
    <row r="554" spans="1:26" s="71" customFormat="1" hidden="1">
      <c r="A554" s="667">
        <f t="shared" si="74"/>
        <v>23</v>
      </c>
      <c r="B554" s="592" t="s">
        <v>828</v>
      </c>
      <c r="C554" s="593" t="s">
        <v>221</v>
      </c>
      <c r="D554" s="646">
        <v>10098</v>
      </c>
      <c r="E554" s="619">
        <v>1513.48</v>
      </c>
      <c r="F554" s="619" t="s">
        <v>228</v>
      </c>
      <c r="G554" s="739">
        <v>1112.5</v>
      </c>
      <c r="H554" s="582">
        <v>4</v>
      </c>
      <c r="I554" s="582">
        <v>4</v>
      </c>
      <c r="J554" s="599">
        <v>64</v>
      </c>
      <c r="K554" s="735" t="s">
        <v>38</v>
      </c>
      <c r="L554" s="746">
        <f t="shared" si="77"/>
        <v>4066839.25</v>
      </c>
      <c r="M554" s="745">
        <v>4029750</v>
      </c>
      <c r="N554" s="747">
        <v>25000</v>
      </c>
      <c r="O554" s="736">
        <v>12089.25</v>
      </c>
      <c r="P554" s="747"/>
      <c r="Q554" s="586"/>
      <c r="R554" s="599">
        <f>M554/E554</f>
        <v>2662.5723498163175</v>
      </c>
      <c r="S554" s="592"/>
      <c r="T554" s="645"/>
      <c r="U554" s="737"/>
      <c r="V554" s="589"/>
      <c r="W554" s="737"/>
      <c r="X554" s="737"/>
      <c r="Y554" s="737"/>
      <c r="Z554" s="737"/>
    </row>
    <row r="555" spans="1:26" s="71" customFormat="1" hidden="1">
      <c r="A555" s="667">
        <f t="shared" si="74"/>
        <v>24</v>
      </c>
      <c r="B555" s="592" t="s">
        <v>829</v>
      </c>
      <c r="C555" s="593" t="s">
        <v>221</v>
      </c>
      <c r="D555" s="646">
        <v>16257</v>
      </c>
      <c r="E555" s="619">
        <v>2489</v>
      </c>
      <c r="F555" s="619" t="s">
        <v>223</v>
      </c>
      <c r="G555" s="739">
        <v>1289.4000000000001</v>
      </c>
      <c r="H555" s="582">
        <v>5</v>
      </c>
      <c r="I555" s="582">
        <v>6</v>
      </c>
      <c r="J555" s="599">
        <v>87</v>
      </c>
      <c r="K555" s="735" t="s">
        <v>226</v>
      </c>
      <c r="L555" s="746">
        <f t="shared" si="77"/>
        <v>8720440</v>
      </c>
      <c r="M555" s="745">
        <v>8668440</v>
      </c>
      <c r="N555" s="747">
        <v>52000</v>
      </c>
      <c r="O555" s="587"/>
      <c r="P555" s="747"/>
      <c r="Q555" s="586"/>
      <c r="R555" s="599">
        <f>M555/E555</f>
        <v>3482.6998794696665</v>
      </c>
      <c r="S555" s="592"/>
      <c r="T555" s="645"/>
      <c r="U555" s="737"/>
      <c r="V555" s="589"/>
      <c r="W555" s="737"/>
      <c r="X555" s="737"/>
      <c r="Y555" s="737"/>
      <c r="Z555" s="737"/>
    </row>
    <row r="556" spans="1:26" s="71" customFormat="1" ht="37.5" hidden="1">
      <c r="A556" s="667">
        <f t="shared" si="74"/>
        <v>25</v>
      </c>
      <c r="B556" s="592" t="s">
        <v>830</v>
      </c>
      <c r="C556" s="744" t="s">
        <v>217</v>
      </c>
      <c r="D556" s="646">
        <v>16931</v>
      </c>
      <c r="E556" s="619">
        <v>2604.88</v>
      </c>
      <c r="F556" s="619" t="s">
        <v>223</v>
      </c>
      <c r="G556" s="739">
        <f>(20*I556)*12*1.2</f>
        <v>1728</v>
      </c>
      <c r="H556" s="582">
        <v>5</v>
      </c>
      <c r="I556" s="582">
        <v>6</v>
      </c>
      <c r="J556" s="599">
        <v>90</v>
      </c>
      <c r="K556" s="735" t="s">
        <v>30</v>
      </c>
      <c r="L556" s="584">
        <f t="shared" si="77"/>
        <v>2112196.5299999998</v>
      </c>
      <c r="M556" s="596">
        <v>2105480.2799999998</v>
      </c>
      <c r="N556" s="597"/>
      <c r="O556" s="736">
        <v>6716.25</v>
      </c>
      <c r="P556" s="597"/>
      <c r="Q556" s="586"/>
      <c r="R556" s="582">
        <f>M556/J556</f>
        <v>23394.225333333332</v>
      </c>
      <c r="S556" s="592"/>
      <c r="T556" s="645"/>
      <c r="U556" s="737"/>
      <c r="V556" s="589"/>
      <c r="W556" s="737"/>
      <c r="X556" s="737"/>
      <c r="Y556" s="737"/>
      <c r="Z556" s="737"/>
    </row>
    <row r="557" spans="1:26" s="71" customFormat="1" hidden="1">
      <c r="A557" s="667">
        <f t="shared" si="74"/>
        <v>26</v>
      </c>
      <c r="B557" s="592" t="s">
        <v>831</v>
      </c>
      <c r="C557" s="744" t="s">
        <v>221</v>
      </c>
      <c r="D557" s="646">
        <v>9705</v>
      </c>
      <c r="E557" s="619">
        <v>2504</v>
      </c>
      <c r="F557" s="619" t="s">
        <v>223</v>
      </c>
      <c r="G557" s="739">
        <f>(20*I557)*12*1.2</f>
        <v>1152</v>
      </c>
      <c r="H557" s="582">
        <v>5</v>
      </c>
      <c r="I557" s="582">
        <v>4</v>
      </c>
      <c r="J557" s="599">
        <v>40</v>
      </c>
      <c r="K557" s="735" t="s">
        <v>33</v>
      </c>
      <c r="L557" s="584">
        <f t="shared" si="77"/>
        <v>2529292.98</v>
      </c>
      <c r="M557" s="585">
        <v>2521728</v>
      </c>
      <c r="N557" s="586"/>
      <c r="O557" s="736">
        <v>7564.98</v>
      </c>
      <c r="P557" s="586"/>
      <c r="Q557" s="586"/>
      <c r="R557" s="582">
        <f>M557/G557</f>
        <v>2189</v>
      </c>
      <c r="S557" s="592"/>
      <c r="T557" s="645"/>
      <c r="U557" s="737"/>
      <c r="V557" s="589"/>
      <c r="W557" s="737"/>
      <c r="X557" s="737"/>
      <c r="Y557" s="737"/>
      <c r="Z557" s="737"/>
    </row>
    <row r="558" spans="1:26" s="71" customFormat="1" ht="37.5" hidden="1">
      <c r="A558" s="667">
        <f t="shared" si="74"/>
        <v>27</v>
      </c>
      <c r="B558" s="592" t="s">
        <v>832</v>
      </c>
      <c r="C558" s="744" t="s">
        <v>221</v>
      </c>
      <c r="D558" s="646">
        <v>11546</v>
      </c>
      <c r="E558" s="619">
        <v>2443.1999999999998</v>
      </c>
      <c r="F558" s="619" t="s">
        <v>228</v>
      </c>
      <c r="G558" s="739">
        <v>1023.6</v>
      </c>
      <c r="H558" s="582">
        <v>5</v>
      </c>
      <c r="I558" s="582">
        <v>4</v>
      </c>
      <c r="J558" s="599">
        <v>80</v>
      </c>
      <c r="K558" s="590" t="s">
        <v>30</v>
      </c>
      <c r="L558" s="584">
        <f t="shared" si="77"/>
        <v>1995970</v>
      </c>
      <c r="M558" s="596">
        <v>1990000</v>
      </c>
      <c r="N558" s="597"/>
      <c r="O558" s="736">
        <v>5970</v>
      </c>
      <c r="P558" s="597"/>
      <c r="Q558" s="586"/>
      <c r="R558" s="582">
        <f>M558/J558</f>
        <v>24875</v>
      </c>
      <c r="S558" s="592"/>
      <c r="T558" s="645"/>
      <c r="U558" s="737"/>
      <c r="V558" s="589"/>
      <c r="W558" s="737"/>
      <c r="X558" s="737"/>
      <c r="Y558" s="737"/>
      <c r="Z558" s="737"/>
    </row>
    <row r="559" spans="1:26" s="71" customFormat="1" hidden="1">
      <c r="A559" s="667">
        <f t="shared" si="74"/>
        <v>28</v>
      </c>
      <c r="B559" s="592" t="s">
        <v>833</v>
      </c>
      <c r="C559" s="593" t="s">
        <v>221</v>
      </c>
      <c r="D559" s="646">
        <v>15614</v>
      </c>
      <c r="E559" s="619">
        <v>2500</v>
      </c>
      <c r="F559" s="619" t="s">
        <v>223</v>
      </c>
      <c r="G559" s="739">
        <v>1278.9000000000001</v>
      </c>
      <c r="H559" s="582">
        <v>5</v>
      </c>
      <c r="I559" s="582">
        <v>6</v>
      </c>
      <c r="J559" s="599">
        <v>79</v>
      </c>
      <c r="K559" s="735" t="s">
        <v>226</v>
      </c>
      <c r="L559" s="746">
        <f t="shared" si="77"/>
        <v>8999594.2899999991</v>
      </c>
      <c r="M559" s="745">
        <v>8944594.2899999991</v>
      </c>
      <c r="N559" s="747">
        <v>55000</v>
      </c>
      <c r="O559" s="587"/>
      <c r="P559" s="747"/>
      <c r="Q559" s="586"/>
      <c r="R559" s="599">
        <f>M559/E559</f>
        <v>3577.8377159999995</v>
      </c>
      <c r="S559" s="592"/>
      <c r="T559" s="645"/>
      <c r="U559" s="737"/>
      <c r="V559" s="589"/>
      <c r="W559" s="737"/>
      <c r="X559" s="737"/>
      <c r="Y559" s="737"/>
      <c r="Z559" s="737"/>
    </row>
    <row r="560" spans="1:26" s="71" customFormat="1" hidden="1">
      <c r="A560" s="667">
        <f t="shared" si="74"/>
        <v>29</v>
      </c>
      <c r="B560" s="592" t="s">
        <v>834</v>
      </c>
      <c r="C560" s="744" t="s">
        <v>221</v>
      </c>
      <c r="D560" s="646">
        <v>22929</v>
      </c>
      <c r="E560" s="619">
        <v>3748.58</v>
      </c>
      <c r="F560" s="619" t="s">
        <v>222</v>
      </c>
      <c r="G560" s="739">
        <f>(20*I560)*12*1.2</f>
        <v>2304</v>
      </c>
      <c r="H560" s="582">
        <v>5</v>
      </c>
      <c r="I560" s="582">
        <v>8</v>
      </c>
      <c r="J560" s="599">
        <v>125</v>
      </c>
      <c r="K560" s="735" t="s">
        <v>33</v>
      </c>
      <c r="L560" s="584">
        <f t="shared" si="77"/>
        <v>6464102</v>
      </c>
      <c r="M560" s="585">
        <v>6418944</v>
      </c>
      <c r="N560" s="586">
        <v>45158</v>
      </c>
      <c r="O560" s="587"/>
      <c r="P560" s="586"/>
      <c r="Q560" s="586"/>
      <c r="R560" s="582">
        <f>M560/G560</f>
        <v>2786</v>
      </c>
      <c r="S560" s="592"/>
      <c r="T560" s="645"/>
      <c r="U560" s="737"/>
      <c r="V560" s="589"/>
      <c r="W560" s="737"/>
      <c r="X560" s="737"/>
      <c r="Y560" s="737"/>
      <c r="Z560" s="737"/>
    </row>
    <row r="561" spans="1:26" s="71" customFormat="1" ht="37.5" hidden="1">
      <c r="A561" s="667">
        <f t="shared" si="74"/>
        <v>30</v>
      </c>
      <c r="B561" s="592" t="s">
        <v>835</v>
      </c>
      <c r="C561" s="744" t="s">
        <v>221</v>
      </c>
      <c r="D561" s="646">
        <v>23949</v>
      </c>
      <c r="E561" s="619">
        <v>3748.58</v>
      </c>
      <c r="F561" s="619" t="s">
        <v>222</v>
      </c>
      <c r="G561" s="739">
        <f>(20*I561)*12*1.2</f>
        <v>2304</v>
      </c>
      <c r="H561" s="582">
        <v>5</v>
      </c>
      <c r="I561" s="582">
        <v>8</v>
      </c>
      <c r="J561" s="599">
        <v>127</v>
      </c>
      <c r="K561" s="735" t="s">
        <v>30</v>
      </c>
      <c r="L561" s="584">
        <f t="shared" si="77"/>
        <v>3168602.38</v>
      </c>
      <c r="M561" s="596">
        <v>3159125</v>
      </c>
      <c r="N561" s="597"/>
      <c r="O561" s="736">
        <v>9477.3799999999992</v>
      </c>
      <c r="P561" s="597"/>
      <c r="Q561" s="586"/>
      <c r="R561" s="582">
        <f>M561/J561</f>
        <v>24875</v>
      </c>
      <c r="S561" s="592"/>
      <c r="T561" s="645"/>
      <c r="U561" s="737"/>
      <c r="V561" s="589"/>
      <c r="W561" s="737"/>
      <c r="X561" s="737"/>
      <c r="Y561" s="737"/>
      <c r="Z561" s="737"/>
    </row>
    <row r="562" spans="1:26" s="71" customFormat="1" hidden="1">
      <c r="A562" s="667">
        <f t="shared" si="74"/>
        <v>31</v>
      </c>
      <c r="B562" s="592" t="s">
        <v>836</v>
      </c>
      <c r="C562" s="744" t="s">
        <v>221</v>
      </c>
      <c r="D562" s="646">
        <v>17824</v>
      </c>
      <c r="E562" s="619">
        <v>2815.88</v>
      </c>
      <c r="F562" s="619" t="s">
        <v>222</v>
      </c>
      <c r="G562" s="739">
        <f>(20*I562)*12*1.2</f>
        <v>1728</v>
      </c>
      <c r="H562" s="582">
        <v>5</v>
      </c>
      <c r="I562" s="582">
        <v>6</v>
      </c>
      <c r="J562" s="599">
        <v>100</v>
      </c>
      <c r="K562" s="735" t="s">
        <v>33</v>
      </c>
      <c r="L562" s="584">
        <f t="shared" si="77"/>
        <v>4862592</v>
      </c>
      <c r="M562" s="585">
        <v>4814208</v>
      </c>
      <c r="N562" s="586">
        <v>48384</v>
      </c>
      <c r="O562" s="587"/>
      <c r="P562" s="586"/>
      <c r="Q562" s="586"/>
      <c r="R562" s="582">
        <f>M562/G562</f>
        <v>2786</v>
      </c>
      <c r="S562" s="592"/>
      <c r="T562" s="645"/>
      <c r="U562" s="737"/>
      <c r="V562" s="589"/>
      <c r="W562" s="737"/>
      <c r="X562" s="737"/>
      <c r="Y562" s="737"/>
      <c r="Z562" s="737"/>
    </row>
    <row r="563" spans="1:26" s="71" customFormat="1" hidden="1">
      <c r="A563" s="667">
        <f t="shared" si="74"/>
        <v>32</v>
      </c>
      <c r="B563" s="592" t="s">
        <v>837</v>
      </c>
      <c r="C563" s="593" t="s">
        <v>221</v>
      </c>
      <c r="D563" s="646">
        <v>22675</v>
      </c>
      <c r="E563" s="619">
        <v>3220</v>
      </c>
      <c r="F563" s="619" t="s">
        <v>223</v>
      </c>
      <c r="G563" s="739">
        <v>1039</v>
      </c>
      <c r="H563" s="582">
        <v>9</v>
      </c>
      <c r="I563" s="582">
        <v>1</v>
      </c>
      <c r="J563" s="599">
        <v>144</v>
      </c>
      <c r="K563" s="735" t="s">
        <v>224</v>
      </c>
      <c r="L563" s="740">
        <f t="shared" si="77"/>
        <v>2894400</v>
      </c>
      <c r="M563" s="741">
        <v>2865600</v>
      </c>
      <c r="N563" s="742">
        <v>28800</v>
      </c>
      <c r="O563" s="743"/>
      <c r="P563" s="742"/>
      <c r="Q563" s="586"/>
      <c r="R563" s="744">
        <f>M563/J563</f>
        <v>19900</v>
      </c>
      <c r="S563" s="592"/>
      <c r="T563" s="645"/>
      <c r="U563" s="737"/>
      <c r="V563" s="589"/>
      <c r="W563" s="737"/>
      <c r="X563" s="737"/>
      <c r="Y563" s="737"/>
      <c r="Z563" s="737"/>
    </row>
    <row r="564" spans="1:26" s="71" customFormat="1" ht="37.5" hidden="1">
      <c r="A564" s="667">
        <f t="shared" si="74"/>
        <v>33</v>
      </c>
      <c r="B564" s="592" t="s">
        <v>838</v>
      </c>
      <c r="C564" s="744" t="s">
        <v>221</v>
      </c>
      <c r="D564" s="646">
        <v>22601</v>
      </c>
      <c r="E564" s="619">
        <v>3970</v>
      </c>
      <c r="F564" s="619" t="s">
        <v>223</v>
      </c>
      <c r="G564" s="739">
        <f>(20*I564)*12*1.2</f>
        <v>2304</v>
      </c>
      <c r="H564" s="582">
        <v>5</v>
      </c>
      <c r="I564" s="582">
        <v>8</v>
      </c>
      <c r="J564" s="599">
        <v>125</v>
      </c>
      <c r="K564" s="735" t="s">
        <v>30</v>
      </c>
      <c r="L564" s="584">
        <f t="shared" si="77"/>
        <v>3118703.12</v>
      </c>
      <c r="M564" s="596">
        <v>3109375</v>
      </c>
      <c r="N564" s="597"/>
      <c r="O564" s="736">
        <v>9328.1200000000008</v>
      </c>
      <c r="P564" s="597"/>
      <c r="Q564" s="586"/>
      <c r="R564" s="582">
        <f>M564/J564</f>
        <v>24875</v>
      </c>
      <c r="S564" s="592"/>
      <c r="T564" s="645"/>
      <c r="U564" s="737"/>
      <c r="V564" s="589"/>
      <c r="W564" s="737"/>
      <c r="X564" s="737"/>
      <c r="Y564" s="737"/>
      <c r="Z564" s="737"/>
    </row>
    <row r="565" spans="1:26" s="71" customFormat="1" ht="37.5" hidden="1">
      <c r="A565" s="667">
        <f t="shared" si="74"/>
        <v>34</v>
      </c>
      <c r="B565" s="592" t="s">
        <v>839</v>
      </c>
      <c r="C565" s="744" t="s">
        <v>217</v>
      </c>
      <c r="D565" s="646">
        <v>14706</v>
      </c>
      <c r="E565" s="619">
        <v>2220</v>
      </c>
      <c r="F565" s="619" t="s">
        <v>223</v>
      </c>
      <c r="G565" s="739">
        <f>(20*I565)*12*1.2</f>
        <v>576</v>
      </c>
      <c r="H565" s="582">
        <v>9</v>
      </c>
      <c r="I565" s="582">
        <v>2</v>
      </c>
      <c r="J565" s="599">
        <v>72</v>
      </c>
      <c r="K565" s="735" t="s">
        <v>219</v>
      </c>
      <c r="L565" s="584">
        <f t="shared" si="77"/>
        <v>4085718.75</v>
      </c>
      <c r="M565" s="596">
        <v>3980000</v>
      </c>
      <c r="N565" s="597">
        <v>105718.75</v>
      </c>
      <c r="O565" s="587"/>
      <c r="P565" s="586"/>
      <c r="Q565" s="586"/>
      <c r="R565" s="582">
        <f>M565/I565</f>
        <v>1990000</v>
      </c>
      <c r="S565" s="592"/>
      <c r="T565" s="645"/>
      <c r="U565" s="737"/>
      <c r="V565" s="589"/>
      <c r="W565" s="737"/>
      <c r="X565" s="737"/>
      <c r="Y565" s="737"/>
      <c r="Z565" s="737"/>
    </row>
    <row r="566" spans="1:26" s="71" customFormat="1" ht="37.5" hidden="1">
      <c r="A566" s="667">
        <f t="shared" si="74"/>
        <v>35</v>
      </c>
      <c r="B566" s="592" t="s">
        <v>840</v>
      </c>
      <c r="C566" s="744" t="s">
        <v>221</v>
      </c>
      <c r="D566" s="646">
        <v>7995</v>
      </c>
      <c r="E566" s="619">
        <v>1453.96</v>
      </c>
      <c r="F566" s="619" t="s">
        <v>222</v>
      </c>
      <c r="G566" s="739">
        <v>882.9</v>
      </c>
      <c r="H566" s="582">
        <v>4</v>
      </c>
      <c r="I566" s="582">
        <v>3</v>
      </c>
      <c r="J566" s="599">
        <v>48</v>
      </c>
      <c r="K566" s="590" t="s">
        <v>30</v>
      </c>
      <c r="L566" s="584">
        <f t="shared" si="77"/>
        <v>1197582</v>
      </c>
      <c r="M566" s="596">
        <v>1194000</v>
      </c>
      <c r="N566" s="597"/>
      <c r="O566" s="736">
        <v>3582</v>
      </c>
      <c r="P566" s="597"/>
      <c r="Q566" s="586"/>
      <c r="R566" s="582">
        <f>M566/J566</f>
        <v>24875</v>
      </c>
      <c r="S566" s="592"/>
      <c r="T566" s="645"/>
      <c r="U566" s="737"/>
      <c r="V566" s="589"/>
      <c r="W566" s="737"/>
      <c r="X566" s="737"/>
      <c r="Y566" s="737"/>
      <c r="Z566" s="737"/>
    </row>
    <row r="567" spans="1:26" s="71" customFormat="1" hidden="1">
      <c r="A567" s="667">
        <f t="shared" si="74"/>
        <v>36</v>
      </c>
      <c r="B567" s="592" t="s">
        <v>3912</v>
      </c>
      <c r="C567" s="593" t="s">
        <v>217</v>
      </c>
      <c r="D567" s="646">
        <v>10294</v>
      </c>
      <c r="E567" s="619">
        <v>1600</v>
      </c>
      <c r="F567" s="619" t="s">
        <v>223</v>
      </c>
      <c r="G567" s="739">
        <v>941</v>
      </c>
      <c r="H567" s="582">
        <v>5</v>
      </c>
      <c r="I567" s="582">
        <v>4</v>
      </c>
      <c r="J567" s="599">
        <v>60</v>
      </c>
      <c r="K567" s="735" t="s">
        <v>33</v>
      </c>
      <c r="L567" s="584">
        <f t="shared" si="77"/>
        <v>2066028.94</v>
      </c>
      <c r="M567" s="585">
        <v>2059849</v>
      </c>
      <c r="N567" s="586"/>
      <c r="O567" s="736">
        <v>6179.94</v>
      </c>
      <c r="P567" s="586"/>
      <c r="Q567" s="586"/>
      <c r="R567" s="582">
        <f>M567/G567</f>
        <v>2189</v>
      </c>
      <c r="S567" s="592"/>
      <c r="T567" s="645"/>
      <c r="U567" s="737"/>
      <c r="V567" s="589"/>
      <c r="W567" s="737"/>
      <c r="X567" s="737"/>
      <c r="Y567" s="737"/>
      <c r="Z567" s="737"/>
    </row>
    <row r="568" spans="1:26" s="71" customFormat="1" ht="37.5" hidden="1">
      <c r="A568" s="667">
        <f t="shared" si="74"/>
        <v>37</v>
      </c>
      <c r="B568" s="592" t="s">
        <v>842</v>
      </c>
      <c r="C568" s="744" t="s">
        <v>217</v>
      </c>
      <c r="D568" s="646">
        <v>21270</v>
      </c>
      <c r="E568" s="619">
        <v>3200</v>
      </c>
      <c r="F568" s="619" t="s">
        <v>223</v>
      </c>
      <c r="G568" s="739">
        <f t="shared" ref="G568:G573" si="78">(20*I568)*12*1.2</f>
        <v>288</v>
      </c>
      <c r="H568" s="582">
        <v>9</v>
      </c>
      <c r="I568" s="582">
        <v>1</v>
      </c>
      <c r="J568" s="599">
        <v>144</v>
      </c>
      <c r="K568" s="735" t="s">
        <v>219</v>
      </c>
      <c r="L568" s="584">
        <f t="shared" si="77"/>
        <v>2074575</v>
      </c>
      <c r="M568" s="596">
        <v>1990000</v>
      </c>
      <c r="N568" s="597">
        <v>84575</v>
      </c>
      <c r="O568" s="587"/>
      <c r="P568" s="586"/>
      <c r="Q568" s="586"/>
      <c r="R568" s="582">
        <f>M568/I568</f>
        <v>1990000</v>
      </c>
      <c r="S568" s="592"/>
      <c r="T568" s="645"/>
      <c r="U568" s="737"/>
      <c r="V568" s="589"/>
      <c r="W568" s="737"/>
      <c r="X568" s="737"/>
      <c r="Y568" s="737"/>
      <c r="Z568" s="737"/>
    </row>
    <row r="569" spans="1:26" s="71" customFormat="1" hidden="1">
      <c r="A569" s="667">
        <f t="shared" si="74"/>
        <v>38</v>
      </c>
      <c r="B569" s="592" t="s">
        <v>843</v>
      </c>
      <c r="C569" s="744" t="s">
        <v>221</v>
      </c>
      <c r="D569" s="646">
        <v>6263</v>
      </c>
      <c r="E569" s="619">
        <v>1250.5899999999999</v>
      </c>
      <c r="F569" s="619" t="s">
        <v>222</v>
      </c>
      <c r="G569" s="739">
        <f t="shared" si="78"/>
        <v>1152</v>
      </c>
      <c r="H569" s="582">
        <v>4</v>
      </c>
      <c r="I569" s="582">
        <v>4</v>
      </c>
      <c r="J569" s="599">
        <v>36</v>
      </c>
      <c r="K569" s="735" t="s">
        <v>33</v>
      </c>
      <c r="L569" s="584">
        <f t="shared" si="77"/>
        <v>3257856</v>
      </c>
      <c r="M569" s="585">
        <v>3209472</v>
      </c>
      <c r="N569" s="586">
        <v>48384</v>
      </c>
      <c r="O569" s="587"/>
      <c r="P569" s="586"/>
      <c r="Q569" s="586"/>
      <c r="R569" s="582">
        <f>M569/G569</f>
        <v>2786</v>
      </c>
      <c r="S569" s="592"/>
      <c r="T569" s="645"/>
      <c r="U569" s="737"/>
      <c r="V569" s="589"/>
      <c r="W569" s="737"/>
      <c r="X569" s="737"/>
      <c r="Y569" s="737"/>
      <c r="Z569" s="737"/>
    </row>
    <row r="570" spans="1:26" s="71" customFormat="1" ht="37.5" hidden="1">
      <c r="A570" s="667">
        <f t="shared" si="74"/>
        <v>39</v>
      </c>
      <c r="B570" s="592" t="s">
        <v>845</v>
      </c>
      <c r="C570" s="744" t="s">
        <v>221</v>
      </c>
      <c r="D570" s="646">
        <v>7787</v>
      </c>
      <c r="E570" s="619">
        <v>1271.03</v>
      </c>
      <c r="F570" s="619" t="s">
        <v>228</v>
      </c>
      <c r="G570" s="739">
        <f t="shared" si="78"/>
        <v>1152</v>
      </c>
      <c r="H570" s="582">
        <v>4</v>
      </c>
      <c r="I570" s="582">
        <v>4</v>
      </c>
      <c r="J570" s="599">
        <v>48</v>
      </c>
      <c r="K570" s="735" t="s">
        <v>30</v>
      </c>
      <c r="L570" s="584">
        <f t="shared" si="77"/>
        <v>1197582</v>
      </c>
      <c r="M570" s="596">
        <v>1194000</v>
      </c>
      <c r="N570" s="597"/>
      <c r="O570" s="736">
        <v>3582</v>
      </c>
      <c r="P570" s="597"/>
      <c r="Q570" s="586"/>
      <c r="R570" s="582">
        <f>M570/J570</f>
        <v>24875</v>
      </c>
      <c r="S570" s="592"/>
      <c r="T570" s="645"/>
      <c r="U570" s="737"/>
      <c r="V570" s="589"/>
      <c r="W570" s="737"/>
      <c r="X570" s="737"/>
      <c r="Y570" s="737"/>
      <c r="Z570" s="737"/>
    </row>
    <row r="571" spans="1:26" s="71" customFormat="1" hidden="1">
      <c r="A571" s="667">
        <f t="shared" si="74"/>
        <v>40</v>
      </c>
      <c r="B571" s="592" t="s">
        <v>846</v>
      </c>
      <c r="C571" s="744" t="s">
        <v>221</v>
      </c>
      <c r="D571" s="646">
        <v>13107</v>
      </c>
      <c r="E571" s="619">
        <v>1992.91</v>
      </c>
      <c r="F571" s="619" t="s">
        <v>222</v>
      </c>
      <c r="G571" s="739">
        <f t="shared" si="78"/>
        <v>1152</v>
      </c>
      <c r="H571" s="582">
        <v>5</v>
      </c>
      <c r="I571" s="582">
        <v>4</v>
      </c>
      <c r="J571" s="599">
        <v>70</v>
      </c>
      <c r="K571" s="735" t="s">
        <v>33</v>
      </c>
      <c r="L571" s="584">
        <f t="shared" si="77"/>
        <v>3241728</v>
      </c>
      <c r="M571" s="585">
        <v>3209472</v>
      </c>
      <c r="N571" s="586">
        <v>32256</v>
      </c>
      <c r="O571" s="587"/>
      <c r="P571" s="586"/>
      <c r="Q571" s="586"/>
      <c r="R571" s="582">
        <f>M571/G571</f>
        <v>2786</v>
      </c>
      <c r="S571" s="592"/>
      <c r="T571" s="645"/>
      <c r="U571" s="737"/>
      <c r="V571" s="589"/>
      <c r="W571" s="737"/>
      <c r="X571" s="737"/>
      <c r="Y571" s="737"/>
      <c r="Z571" s="737"/>
    </row>
    <row r="572" spans="1:26" s="71" customFormat="1" hidden="1">
      <c r="A572" s="667">
        <f t="shared" si="74"/>
        <v>41</v>
      </c>
      <c r="B572" s="592" t="s">
        <v>847</v>
      </c>
      <c r="C572" s="744" t="s">
        <v>221</v>
      </c>
      <c r="D572" s="646">
        <v>17539</v>
      </c>
      <c r="E572" s="619">
        <v>2649.14</v>
      </c>
      <c r="F572" s="619" t="s">
        <v>222</v>
      </c>
      <c r="G572" s="739">
        <f t="shared" si="78"/>
        <v>1728</v>
      </c>
      <c r="H572" s="582">
        <v>5</v>
      </c>
      <c r="I572" s="582">
        <v>6</v>
      </c>
      <c r="J572" s="599">
        <v>98</v>
      </c>
      <c r="K572" s="735" t="s">
        <v>33</v>
      </c>
      <c r="L572" s="584">
        <f t="shared" si="77"/>
        <v>4862592</v>
      </c>
      <c r="M572" s="585">
        <v>4814208</v>
      </c>
      <c r="N572" s="586">
        <v>48384</v>
      </c>
      <c r="O572" s="587"/>
      <c r="P572" s="586"/>
      <c r="Q572" s="586"/>
      <c r="R572" s="582">
        <f>M572/G572</f>
        <v>2786</v>
      </c>
      <c r="S572" s="592"/>
      <c r="T572" s="645"/>
      <c r="U572" s="737"/>
      <c r="V572" s="589"/>
      <c r="W572" s="737"/>
      <c r="X572" s="737"/>
      <c r="Y572" s="737"/>
      <c r="Z572" s="737"/>
    </row>
    <row r="573" spans="1:26" s="71" customFormat="1" ht="37.5" hidden="1">
      <c r="A573" s="667">
        <f t="shared" si="74"/>
        <v>42</v>
      </c>
      <c r="B573" s="592" t="s">
        <v>848</v>
      </c>
      <c r="C573" s="744" t="s">
        <v>217</v>
      </c>
      <c r="D573" s="646">
        <v>17183</v>
      </c>
      <c r="E573" s="619">
        <v>2370</v>
      </c>
      <c r="F573" s="619" t="s">
        <v>223</v>
      </c>
      <c r="G573" s="739">
        <f t="shared" si="78"/>
        <v>576</v>
      </c>
      <c r="H573" s="582">
        <v>9</v>
      </c>
      <c r="I573" s="582">
        <v>2</v>
      </c>
      <c r="J573" s="599">
        <v>72</v>
      </c>
      <c r="K573" s="735" t="s">
        <v>219</v>
      </c>
      <c r="L573" s="584">
        <f t="shared" si="77"/>
        <v>4085718.75</v>
      </c>
      <c r="M573" s="596">
        <v>3980000</v>
      </c>
      <c r="N573" s="597">
        <v>105718.75</v>
      </c>
      <c r="O573" s="587"/>
      <c r="P573" s="586"/>
      <c r="Q573" s="586"/>
      <c r="R573" s="582">
        <f>M573/I573</f>
        <v>1990000</v>
      </c>
      <c r="S573" s="592"/>
      <c r="T573" s="645"/>
      <c r="U573" s="737"/>
      <c r="V573" s="589"/>
      <c r="W573" s="737"/>
      <c r="X573" s="737"/>
      <c r="Y573" s="737"/>
      <c r="Z573" s="737"/>
    </row>
    <row r="574" spans="1:26" s="71" customFormat="1" hidden="1">
      <c r="A574" s="667">
        <f t="shared" si="74"/>
        <v>43</v>
      </c>
      <c r="B574" s="592" t="s">
        <v>850</v>
      </c>
      <c r="C574" s="744" t="s">
        <v>221</v>
      </c>
      <c r="D574" s="646">
        <v>3744</v>
      </c>
      <c r="E574" s="619">
        <v>780</v>
      </c>
      <c r="F574" s="619" t="s">
        <v>230</v>
      </c>
      <c r="G574" s="739">
        <v>643</v>
      </c>
      <c r="H574" s="582">
        <v>2</v>
      </c>
      <c r="I574" s="582">
        <v>2</v>
      </c>
      <c r="J574" s="599">
        <v>16</v>
      </c>
      <c r="K574" s="735" t="s">
        <v>224</v>
      </c>
      <c r="L574" s="740">
        <f t="shared" si="77"/>
        <v>293488</v>
      </c>
      <c r="M574" s="741">
        <v>271728</v>
      </c>
      <c r="N574" s="742">
        <v>21760</v>
      </c>
      <c r="O574" s="743"/>
      <c r="P574" s="742"/>
      <c r="Q574" s="586"/>
      <c r="R574" s="744">
        <f>M574/J574</f>
        <v>16983</v>
      </c>
      <c r="S574" s="592"/>
      <c r="T574" s="645"/>
      <c r="U574" s="737"/>
      <c r="V574" s="589"/>
      <c r="W574" s="737"/>
      <c r="X574" s="737"/>
      <c r="Y574" s="737"/>
      <c r="Z574" s="737"/>
    </row>
    <row r="575" spans="1:26" s="71" customFormat="1" hidden="1">
      <c r="A575" s="667">
        <f t="shared" si="74"/>
        <v>44</v>
      </c>
      <c r="B575" s="592" t="s">
        <v>851</v>
      </c>
      <c r="C575" s="744" t="s">
        <v>221</v>
      </c>
      <c r="D575" s="646">
        <v>3744</v>
      </c>
      <c r="E575" s="619">
        <v>780</v>
      </c>
      <c r="F575" s="619" t="s">
        <v>230</v>
      </c>
      <c r="G575" s="739">
        <v>643</v>
      </c>
      <c r="H575" s="582">
        <v>2</v>
      </c>
      <c r="I575" s="582">
        <v>2</v>
      </c>
      <c r="J575" s="599">
        <v>14</v>
      </c>
      <c r="K575" s="735" t="s">
        <v>224</v>
      </c>
      <c r="L575" s="740">
        <f t="shared" si="77"/>
        <v>259182</v>
      </c>
      <c r="M575" s="741">
        <v>237762</v>
      </c>
      <c r="N575" s="742">
        <v>21420</v>
      </c>
      <c r="O575" s="743"/>
      <c r="P575" s="742"/>
      <c r="Q575" s="586"/>
      <c r="R575" s="744">
        <f>M575/J575</f>
        <v>16983</v>
      </c>
      <c r="S575" s="592"/>
      <c r="T575" s="645"/>
      <c r="U575" s="737"/>
      <c r="V575" s="589"/>
      <c r="W575" s="737"/>
      <c r="X575" s="737"/>
      <c r="Y575" s="737"/>
      <c r="Z575" s="737"/>
    </row>
    <row r="576" spans="1:26" s="71" customFormat="1" hidden="1">
      <c r="A576" s="667">
        <f t="shared" si="74"/>
        <v>45</v>
      </c>
      <c r="B576" s="592" t="s">
        <v>852</v>
      </c>
      <c r="C576" s="744" t="s">
        <v>221</v>
      </c>
      <c r="D576" s="646">
        <v>4146</v>
      </c>
      <c r="E576" s="619">
        <v>674</v>
      </c>
      <c r="F576" s="619" t="s">
        <v>230</v>
      </c>
      <c r="G576" s="739">
        <v>912</v>
      </c>
      <c r="H576" s="582">
        <v>2</v>
      </c>
      <c r="I576" s="582">
        <v>3</v>
      </c>
      <c r="J576" s="599">
        <v>22</v>
      </c>
      <c r="K576" s="735" t="s">
        <v>224</v>
      </c>
      <c r="L576" s="740">
        <f t="shared" si="77"/>
        <v>396066</v>
      </c>
      <c r="M576" s="741">
        <v>373626</v>
      </c>
      <c r="N576" s="742">
        <v>22440</v>
      </c>
      <c r="O576" s="743"/>
      <c r="P576" s="742"/>
      <c r="Q576" s="586"/>
      <c r="R576" s="744">
        <f>M576/J576</f>
        <v>16983</v>
      </c>
      <c r="S576" s="592"/>
      <c r="T576" s="645"/>
      <c r="U576" s="737"/>
      <c r="V576" s="589"/>
      <c r="W576" s="737"/>
      <c r="X576" s="737"/>
      <c r="Y576" s="737"/>
      <c r="Z576" s="737"/>
    </row>
    <row r="577" spans="1:26" s="71" customFormat="1" hidden="1">
      <c r="A577" s="667">
        <f t="shared" si="74"/>
        <v>46</v>
      </c>
      <c r="B577" s="592" t="s">
        <v>854</v>
      </c>
      <c r="C577" s="744" t="s">
        <v>221</v>
      </c>
      <c r="D577" s="646">
        <v>3477</v>
      </c>
      <c r="E577" s="619">
        <v>565</v>
      </c>
      <c r="F577" s="619" t="s">
        <v>222</v>
      </c>
      <c r="G577" s="739">
        <v>774</v>
      </c>
      <c r="H577" s="582">
        <v>2</v>
      </c>
      <c r="I577" s="582">
        <v>2</v>
      </c>
      <c r="J577" s="599">
        <v>16</v>
      </c>
      <c r="K577" s="735" t="s">
        <v>224</v>
      </c>
      <c r="L577" s="740">
        <f t="shared" si="77"/>
        <v>293488</v>
      </c>
      <c r="M577" s="741">
        <v>271728</v>
      </c>
      <c r="N577" s="742">
        <v>21760</v>
      </c>
      <c r="O577" s="743"/>
      <c r="P577" s="742"/>
      <c r="Q577" s="586"/>
      <c r="R577" s="744">
        <f>M577/J577</f>
        <v>16983</v>
      </c>
      <c r="S577" s="592"/>
      <c r="T577" s="645"/>
      <c r="U577" s="737"/>
      <c r="V577" s="589"/>
      <c r="W577" s="737"/>
      <c r="X577" s="737"/>
      <c r="Y577" s="737"/>
      <c r="Z577" s="737"/>
    </row>
    <row r="578" spans="1:26" s="71" customFormat="1" hidden="1">
      <c r="A578" s="667">
        <f t="shared" si="74"/>
        <v>47</v>
      </c>
      <c r="B578" s="592" t="s">
        <v>855</v>
      </c>
      <c r="C578" s="744" t="s">
        <v>221</v>
      </c>
      <c r="D578" s="646">
        <v>3477</v>
      </c>
      <c r="E578" s="619">
        <v>565</v>
      </c>
      <c r="F578" s="619" t="s">
        <v>222</v>
      </c>
      <c r="G578" s="739">
        <v>772</v>
      </c>
      <c r="H578" s="582">
        <v>2</v>
      </c>
      <c r="I578" s="582">
        <v>2</v>
      </c>
      <c r="J578" s="599">
        <v>16</v>
      </c>
      <c r="K578" s="735" t="s">
        <v>224</v>
      </c>
      <c r="L578" s="740">
        <f t="shared" si="77"/>
        <v>293488</v>
      </c>
      <c r="M578" s="741">
        <v>271728</v>
      </c>
      <c r="N578" s="742">
        <v>21760</v>
      </c>
      <c r="O578" s="743"/>
      <c r="P578" s="742"/>
      <c r="Q578" s="586"/>
      <c r="R578" s="744">
        <f>M578/J578</f>
        <v>16983</v>
      </c>
      <c r="S578" s="592"/>
      <c r="T578" s="645"/>
      <c r="U578" s="737"/>
      <c r="V578" s="589"/>
      <c r="W578" s="737"/>
      <c r="X578" s="737"/>
      <c r="Y578" s="737"/>
      <c r="Z578" s="737"/>
    </row>
    <row r="579" spans="1:26" s="71" customFormat="1" ht="37.5" hidden="1">
      <c r="A579" s="667">
        <f t="shared" si="74"/>
        <v>48</v>
      </c>
      <c r="B579" s="592" t="s">
        <v>3785</v>
      </c>
      <c r="C579" s="593" t="s">
        <v>217</v>
      </c>
      <c r="D579" s="646">
        <v>12135</v>
      </c>
      <c r="E579" s="619">
        <v>2160</v>
      </c>
      <c r="F579" s="619" t="s">
        <v>223</v>
      </c>
      <c r="G579" s="739">
        <f>(20*I579)*12*1.2</f>
        <v>288</v>
      </c>
      <c r="H579" s="582">
        <v>9</v>
      </c>
      <c r="I579" s="582">
        <v>1</v>
      </c>
      <c r="J579" s="599">
        <v>69</v>
      </c>
      <c r="K579" s="590" t="s">
        <v>219</v>
      </c>
      <c r="L579" s="584">
        <f t="shared" si="77"/>
        <v>2074575</v>
      </c>
      <c r="M579" s="596">
        <v>1990000</v>
      </c>
      <c r="N579" s="597">
        <v>84575</v>
      </c>
      <c r="O579" s="587"/>
      <c r="P579" s="586"/>
      <c r="Q579" s="586"/>
      <c r="R579" s="582">
        <f>M579/I579</f>
        <v>1990000</v>
      </c>
      <c r="S579" s="592"/>
      <c r="T579" s="737"/>
      <c r="U579" s="737"/>
      <c r="V579" s="589"/>
      <c r="W579" s="737"/>
      <c r="X579" s="737"/>
      <c r="Y579" s="737"/>
      <c r="Z579" s="737"/>
    </row>
    <row r="580" spans="1:26" s="90" customFormat="1" hidden="1">
      <c r="A580" s="667">
        <f t="shared" si="74"/>
        <v>49</v>
      </c>
      <c r="B580" s="592" t="s">
        <v>3786</v>
      </c>
      <c r="C580" s="744" t="s">
        <v>221</v>
      </c>
      <c r="D580" s="646">
        <v>15042</v>
      </c>
      <c r="E580" s="619">
        <v>2390</v>
      </c>
      <c r="F580" s="619" t="s">
        <v>223</v>
      </c>
      <c r="G580" s="739">
        <f>(20*I580)*12*1.2</f>
        <v>576</v>
      </c>
      <c r="H580" s="582">
        <v>9</v>
      </c>
      <c r="I580" s="582">
        <v>2</v>
      </c>
      <c r="J580" s="599">
        <v>54</v>
      </c>
      <c r="K580" s="590" t="s">
        <v>226</v>
      </c>
      <c r="L580" s="740">
        <f t="shared" si="77"/>
        <v>8509500</v>
      </c>
      <c r="M580" s="741">
        <v>8457500</v>
      </c>
      <c r="N580" s="742">
        <v>52000</v>
      </c>
      <c r="O580" s="743"/>
      <c r="P580" s="742"/>
      <c r="Q580" s="586"/>
      <c r="R580" s="599">
        <f>M580/E580</f>
        <v>3538.7029288702929</v>
      </c>
      <c r="S580" s="645"/>
      <c r="T580" s="738"/>
      <c r="U580" s="737"/>
      <c r="V580" s="589"/>
      <c r="W580" s="748"/>
      <c r="X580" s="748"/>
      <c r="Y580" s="748"/>
      <c r="Z580" s="748"/>
    </row>
    <row r="581" spans="1:26" s="90" customFormat="1" ht="37.5" hidden="1">
      <c r="A581" s="667">
        <f t="shared" si="74"/>
        <v>50</v>
      </c>
      <c r="B581" s="592" t="s">
        <v>1833</v>
      </c>
      <c r="C581" s="744" t="s">
        <v>217</v>
      </c>
      <c r="D581" s="646">
        <v>26723</v>
      </c>
      <c r="E581" s="619">
        <v>5295.24</v>
      </c>
      <c r="F581" s="619" t="s">
        <v>227</v>
      </c>
      <c r="G581" s="739">
        <v>1056.2</v>
      </c>
      <c r="H581" s="582">
        <v>9</v>
      </c>
      <c r="I581" s="582">
        <v>3</v>
      </c>
      <c r="J581" s="599">
        <v>107</v>
      </c>
      <c r="K581" s="590" t="s">
        <v>219</v>
      </c>
      <c r="L581" s="740">
        <f t="shared" si="77"/>
        <v>6093037.5</v>
      </c>
      <c r="M581" s="741">
        <v>5970000</v>
      </c>
      <c r="N581" s="742">
        <v>123037.5</v>
      </c>
      <c r="O581" s="743"/>
      <c r="P581" s="742"/>
      <c r="Q581" s="586"/>
      <c r="R581" s="744">
        <v>2000000</v>
      </c>
      <c r="S581" s="645"/>
      <c r="T581" s="738"/>
      <c r="U581" s="737"/>
      <c r="V581" s="589"/>
      <c r="W581" s="748"/>
      <c r="X581" s="748"/>
      <c r="Y581" s="748"/>
      <c r="Z581" s="748"/>
    </row>
    <row r="582" spans="1:26" s="90" customFormat="1" ht="37.5" hidden="1">
      <c r="A582" s="667">
        <f t="shared" si="74"/>
        <v>51</v>
      </c>
      <c r="B582" s="592" t="s">
        <v>3604</v>
      </c>
      <c r="C582" s="744" t="s">
        <v>217</v>
      </c>
      <c r="D582" s="646">
        <v>14418</v>
      </c>
      <c r="E582" s="619">
        <v>14418</v>
      </c>
      <c r="F582" s="619" t="s">
        <v>227</v>
      </c>
      <c r="G582" s="739">
        <v>550</v>
      </c>
      <c r="H582" s="582">
        <v>9</v>
      </c>
      <c r="I582" s="582">
        <v>2</v>
      </c>
      <c r="J582" s="599">
        <v>54</v>
      </c>
      <c r="K582" s="590" t="s">
        <v>219</v>
      </c>
      <c r="L582" s="740">
        <f t="shared" si="77"/>
        <v>4082531.25</v>
      </c>
      <c r="M582" s="741">
        <v>3980000</v>
      </c>
      <c r="N582" s="742">
        <v>102531.25</v>
      </c>
      <c r="O582" s="743"/>
      <c r="P582" s="742"/>
      <c r="Q582" s="586"/>
      <c r="R582" s="744">
        <v>2000000</v>
      </c>
      <c r="S582" s="645"/>
      <c r="T582" s="738"/>
      <c r="U582" s="737"/>
      <c r="V582" s="589"/>
      <c r="W582" s="748"/>
      <c r="X582" s="748"/>
      <c r="Y582" s="748"/>
      <c r="Z582" s="748"/>
    </row>
    <row r="583" spans="1:26" s="90" customFormat="1" ht="37.5" hidden="1">
      <c r="A583" s="667">
        <f t="shared" si="74"/>
        <v>52</v>
      </c>
      <c r="B583" s="592" t="s">
        <v>4092</v>
      </c>
      <c r="C583" s="744" t="s">
        <v>217</v>
      </c>
      <c r="D583" s="646">
        <v>10825</v>
      </c>
      <c r="E583" s="619">
        <v>1980</v>
      </c>
      <c r="F583" s="619" t="s">
        <v>227</v>
      </c>
      <c r="G583" s="739">
        <v>385</v>
      </c>
      <c r="H583" s="582">
        <v>9</v>
      </c>
      <c r="I583" s="582">
        <v>1</v>
      </c>
      <c r="J583" s="599">
        <v>71</v>
      </c>
      <c r="K583" s="590" t="s">
        <v>219</v>
      </c>
      <c r="L583" s="740">
        <f t="shared" si="77"/>
        <v>2072025</v>
      </c>
      <c r="M583" s="741">
        <v>1990000</v>
      </c>
      <c r="N583" s="742">
        <v>82025</v>
      </c>
      <c r="O583" s="743"/>
      <c r="P583" s="742"/>
      <c r="Q583" s="586"/>
      <c r="R583" s="744">
        <v>2000000</v>
      </c>
      <c r="S583" s="645"/>
      <c r="T583" s="738"/>
      <c r="U583" s="737"/>
      <c r="V583" s="589"/>
      <c r="W583" s="748"/>
      <c r="X583" s="748"/>
      <c r="Y583" s="748"/>
      <c r="Z583" s="748"/>
    </row>
    <row r="584" spans="1:26" s="90" customFormat="1" ht="37.5" hidden="1">
      <c r="A584" s="667">
        <f t="shared" si="74"/>
        <v>53</v>
      </c>
      <c r="B584" s="592" t="s">
        <v>3605</v>
      </c>
      <c r="C584" s="744" t="s">
        <v>221</v>
      </c>
      <c r="D584" s="646">
        <v>20130</v>
      </c>
      <c r="E584" s="619">
        <v>3450.37</v>
      </c>
      <c r="F584" s="619" t="s">
        <v>223</v>
      </c>
      <c r="G584" s="739">
        <v>727.6</v>
      </c>
      <c r="H584" s="582">
        <v>9</v>
      </c>
      <c r="I584" s="582">
        <v>1</v>
      </c>
      <c r="J584" s="599">
        <v>169</v>
      </c>
      <c r="K584" s="590" t="s">
        <v>219</v>
      </c>
      <c r="L584" s="740">
        <f t="shared" si="77"/>
        <v>2072025</v>
      </c>
      <c r="M584" s="741">
        <v>1990000</v>
      </c>
      <c r="N584" s="742">
        <v>82025</v>
      </c>
      <c r="O584" s="743"/>
      <c r="P584" s="742"/>
      <c r="Q584" s="586"/>
      <c r="R584" s="744">
        <v>2000000</v>
      </c>
      <c r="S584" s="645"/>
      <c r="T584" s="738"/>
      <c r="U584" s="737"/>
      <c r="V584" s="589"/>
      <c r="W584" s="748"/>
      <c r="X584" s="748"/>
      <c r="Y584" s="748"/>
      <c r="Z584" s="748"/>
    </row>
    <row r="585" spans="1:26" s="90" customFormat="1" ht="37.5" hidden="1">
      <c r="A585" s="667">
        <f t="shared" si="74"/>
        <v>54</v>
      </c>
      <c r="B585" s="592" t="s">
        <v>2765</v>
      </c>
      <c r="C585" s="744" t="s">
        <v>217</v>
      </c>
      <c r="D585" s="646">
        <v>26168</v>
      </c>
      <c r="E585" s="619">
        <v>3849.09</v>
      </c>
      <c r="F585" s="619" t="s">
        <v>223</v>
      </c>
      <c r="G585" s="739">
        <v>1036.8</v>
      </c>
      <c r="H585" s="582">
        <v>9</v>
      </c>
      <c r="I585" s="582">
        <v>3</v>
      </c>
      <c r="J585" s="599">
        <v>135</v>
      </c>
      <c r="K585" s="590" t="s">
        <v>219</v>
      </c>
      <c r="L585" s="740">
        <f t="shared" si="77"/>
        <v>6093037.5</v>
      </c>
      <c r="M585" s="741">
        <v>5970000</v>
      </c>
      <c r="N585" s="742">
        <v>123037.5</v>
      </c>
      <c r="O585" s="743"/>
      <c r="P585" s="742"/>
      <c r="Q585" s="586"/>
      <c r="R585" s="744">
        <v>2000000</v>
      </c>
      <c r="S585" s="645"/>
      <c r="T585" s="738"/>
      <c r="U585" s="737"/>
      <c r="V585" s="589"/>
      <c r="W585" s="748"/>
      <c r="X585" s="748"/>
      <c r="Y585" s="748"/>
      <c r="Z585" s="748"/>
    </row>
    <row r="586" spans="1:26" s="90" customFormat="1" ht="37.5" hidden="1">
      <c r="A586" s="667">
        <f t="shared" si="74"/>
        <v>55</v>
      </c>
      <c r="B586" s="592" t="s">
        <v>1838</v>
      </c>
      <c r="C586" s="744" t="s">
        <v>221</v>
      </c>
      <c r="D586" s="646">
        <v>23924</v>
      </c>
      <c r="E586" s="619">
        <v>3893.9</v>
      </c>
      <c r="F586" s="619" t="s">
        <v>223</v>
      </c>
      <c r="G586" s="739">
        <v>1126.5</v>
      </c>
      <c r="H586" s="582">
        <v>9</v>
      </c>
      <c r="I586" s="582">
        <v>2</v>
      </c>
      <c r="J586" s="599">
        <v>103</v>
      </c>
      <c r="K586" s="590" t="s">
        <v>219</v>
      </c>
      <c r="L586" s="740">
        <f t="shared" si="77"/>
        <v>4082531.25</v>
      </c>
      <c r="M586" s="741">
        <v>3980000</v>
      </c>
      <c r="N586" s="742">
        <v>102531.25</v>
      </c>
      <c r="O586" s="743"/>
      <c r="P586" s="742"/>
      <c r="Q586" s="586"/>
      <c r="R586" s="744">
        <v>2000000</v>
      </c>
      <c r="S586" s="645"/>
      <c r="T586" s="738"/>
      <c r="U586" s="737"/>
      <c r="V586" s="589"/>
      <c r="W586" s="748"/>
      <c r="X586" s="748"/>
      <c r="Y586" s="748"/>
      <c r="Z586" s="748"/>
    </row>
    <row r="587" spans="1:26" s="90" customFormat="1" hidden="1">
      <c r="A587" s="667">
        <f t="shared" si="74"/>
        <v>56</v>
      </c>
      <c r="B587" s="592" t="s">
        <v>3606</v>
      </c>
      <c r="C587" s="744" t="s">
        <v>221</v>
      </c>
      <c r="D587" s="646">
        <v>3245</v>
      </c>
      <c r="E587" s="619">
        <v>684</v>
      </c>
      <c r="F587" s="619" t="s">
        <v>222</v>
      </c>
      <c r="G587" s="739">
        <v>683</v>
      </c>
      <c r="H587" s="582">
        <v>2</v>
      </c>
      <c r="I587" s="582">
        <v>2</v>
      </c>
      <c r="J587" s="599">
        <v>16</v>
      </c>
      <c r="K587" s="590" t="s">
        <v>33</v>
      </c>
      <c r="L587" s="740">
        <f t="shared" si="77"/>
        <v>1938627.49</v>
      </c>
      <c r="M587" s="741">
        <v>1902838</v>
      </c>
      <c r="N587" s="742">
        <v>20058.39</v>
      </c>
      <c r="O587" s="743"/>
      <c r="P587" s="742"/>
      <c r="Q587" s="586">
        <v>15731.1</v>
      </c>
      <c r="R587" s="742">
        <f>M587/G587</f>
        <v>2786</v>
      </c>
      <c r="S587" s="645"/>
      <c r="T587" s="738"/>
      <c r="U587" s="737"/>
      <c r="V587" s="589"/>
      <c r="W587" s="748"/>
      <c r="X587" s="748"/>
      <c r="Y587" s="748"/>
      <c r="Z587" s="748"/>
    </row>
    <row r="588" spans="1:26" s="90" customFormat="1" hidden="1">
      <c r="A588" s="667">
        <f t="shared" si="74"/>
        <v>57</v>
      </c>
      <c r="B588" s="592" t="s">
        <v>1858</v>
      </c>
      <c r="C588" s="744" t="s">
        <v>221</v>
      </c>
      <c r="D588" s="646">
        <v>4992</v>
      </c>
      <c r="E588" s="619">
        <v>808.5</v>
      </c>
      <c r="F588" s="619" t="s">
        <v>222</v>
      </c>
      <c r="G588" s="739">
        <v>990</v>
      </c>
      <c r="H588" s="582">
        <v>2</v>
      </c>
      <c r="I588" s="582">
        <v>3</v>
      </c>
      <c r="J588" s="599">
        <v>22</v>
      </c>
      <c r="K588" s="590" t="s">
        <v>224</v>
      </c>
      <c r="L588" s="740">
        <f t="shared" si="77"/>
        <v>354738.78</v>
      </c>
      <c r="M588" s="741">
        <v>336600</v>
      </c>
      <c r="N588" s="742">
        <v>14527.26</v>
      </c>
      <c r="O588" s="743"/>
      <c r="P588" s="742"/>
      <c r="Q588" s="586">
        <v>3611.52</v>
      </c>
      <c r="R588" s="742">
        <f>M588/J588</f>
        <v>15300</v>
      </c>
      <c r="S588" s="645"/>
      <c r="T588" s="738"/>
      <c r="U588" s="737"/>
      <c r="V588" s="589"/>
      <c r="W588" s="748"/>
      <c r="X588" s="748"/>
      <c r="Y588" s="748"/>
      <c r="Z588" s="748"/>
    </row>
    <row r="589" spans="1:26" s="90" customFormat="1" hidden="1">
      <c r="A589" s="667">
        <f t="shared" si="74"/>
        <v>58</v>
      </c>
      <c r="B589" s="592" t="s">
        <v>3607</v>
      </c>
      <c r="C589" s="744" t="s">
        <v>221</v>
      </c>
      <c r="D589" s="646">
        <v>11111.400000000001</v>
      </c>
      <c r="E589" s="619">
        <v>3703.8</v>
      </c>
      <c r="F589" s="619" t="s">
        <v>223</v>
      </c>
      <c r="G589" s="739">
        <v>767.5</v>
      </c>
      <c r="H589" s="582">
        <v>9</v>
      </c>
      <c r="I589" s="582">
        <v>2</v>
      </c>
      <c r="J589" s="599">
        <v>105</v>
      </c>
      <c r="K589" s="590" t="s">
        <v>226</v>
      </c>
      <c r="L589" s="740">
        <f t="shared" si="77"/>
        <v>8500847</v>
      </c>
      <c r="M589" s="741">
        <v>8457500</v>
      </c>
      <c r="N589" s="742">
        <v>43347</v>
      </c>
      <c r="O589" s="743"/>
      <c r="P589" s="742"/>
      <c r="Q589" s="586"/>
      <c r="R589" s="597">
        <f>M589/E589</f>
        <v>2283.4656298936225</v>
      </c>
      <c r="S589" s="645"/>
      <c r="T589" s="738"/>
      <c r="U589" s="737"/>
      <c r="V589" s="589"/>
      <c r="W589" s="748"/>
      <c r="X589" s="748"/>
      <c r="Y589" s="748"/>
      <c r="Z589" s="748"/>
    </row>
    <row r="590" spans="1:26" s="91" customFormat="1" hidden="1">
      <c r="A590" s="667">
        <f t="shared" si="74"/>
        <v>59</v>
      </c>
      <c r="B590" s="592" t="s">
        <v>2797</v>
      </c>
      <c r="C590" s="744" t="s">
        <v>229</v>
      </c>
      <c r="D590" s="646">
        <v>1224</v>
      </c>
      <c r="E590" s="619">
        <v>348</v>
      </c>
      <c r="F590" s="749" t="s">
        <v>222</v>
      </c>
      <c r="G590" s="750">
        <v>268</v>
      </c>
      <c r="H590" s="581">
        <v>2</v>
      </c>
      <c r="I590" s="581">
        <v>1</v>
      </c>
      <c r="J590" s="751">
        <v>8</v>
      </c>
      <c r="K590" s="590" t="s">
        <v>224</v>
      </c>
      <c r="L590" s="740">
        <f t="shared" si="77"/>
        <v>199120</v>
      </c>
      <c r="M590" s="741">
        <v>175120</v>
      </c>
      <c r="N590" s="742">
        <v>24000</v>
      </c>
      <c r="O590" s="743"/>
      <c r="P590" s="742"/>
      <c r="Q590" s="586"/>
      <c r="R590" s="597">
        <f>M590/J590</f>
        <v>21890</v>
      </c>
      <c r="S590" s="645"/>
      <c r="T590" s="738"/>
      <c r="U590" s="737"/>
      <c r="V590" s="589"/>
      <c r="W590" s="748"/>
      <c r="X590" s="748"/>
      <c r="Y590" s="748"/>
      <c r="Z590" s="748"/>
    </row>
    <row r="591" spans="1:26" s="79" customFormat="1" hidden="1">
      <c r="A591" s="667">
        <f t="shared" ref="A591:A595" si="79">A590+1</f>
        <v>60</v>
      </c>
      <c r="B591" s="581" t="s">
        <v>3427</v>
      </c>
      <c r="C591" s="592" t="s">
        <v>217</v>
      </c>
      <c r="D591" s="752">
        <v>49471</v>
      </c>
      <c r="E591" s="750">
        <f>(149+12.3)*2*9*2.7</f>
        <v>7839.1800000000012</v>
      </c>
      <c r="F591" s="749" t="s">
        <v>223</v>
      </c>
      <c r="G591" s="750">
        <f>149*12.3</f>
        <v>1832.7</v>
      </c>
      <c r="H591" s="581">
        <v>9</v>
      </c>
      <c r="I591" s="581">
        <v>6</v>
      </c>
      <c r="J591" s="751">
        <v>216</v>
      </c>
      <c r="K591" s="590" t="s">
        <v>226</v>
      </c>
      <c r="L591" s="740">
        <f t="shared" si="77"/>
        <v>17544784</v>
      </c>
      <c r="M591" s="741">
        <v>17500924</v>
      </c>
      <c r="N591" s="753">
        <v>43860</v>
      </c>
      <c r="O591" s="743"/>
      <c r="P591" s="742"/>
      <c r="Q591" s="630"/>
      <c r="R591" s="742">
        <f>M591/E591</f>
        <v>2232.4942149561557</v>
      </c>
      <c r="S591" s="754"/>
      <c r="T591" s="755"/>
      <c r="U591" s="756"/>
      <c r="V591" s="754"/>
      <c r="W591" s="757"/>
      <c r="X591" s="757"/>
      <c r="Y591" s="757"/>
      <c r="Z591" s="757"/>
    </row>
    <row r="592" spans="1:26" s="79" customFormat="1" hidden="1">
      <c r="A592" s="667">
        <f t="shared" si="79"/>
        <v>61</v>
      </c>
      <c r="B592" s="581" t="s">
        <v>3428</v>
      </c>
      <c r="C592" s="592" t="s">
        <v>217</v>
      </c>
      <c r="D592" s="752">
        <v>41226</v>
      </c>
      <c r="E592" s="750">
        <f>(123+11.1)*2*9*2.7</f>
        <v>6517.2599999999993</v>
      </c>
      <c r="F592" s="749" t="s">
        <v>223</v>
      </c>
      <c r="G592" s="750">
        <f>123*11.1</f>
        <v>1365.3</v>
      </c>
      <c r="H592" s="581">
        <v>9</v>
      </c>
      <c r="I592" s="581">
        <v>5</v>
      </c>
      <c r="J592" s="751">
        <v>179</v>
      </c>
      <c r="K592" s="590" t="s">
        <v>226</v>
      </c>
      <c r="L592" s="740">
        <f t="shared" si="77"/>
        <v>15041678</v>
      </c>
      <c r="M592" s="741">
        <v>15000723</v>
      </c>
      <c r="N592" s="753">
        <v>40955</v>
      </c>
      <c r="O592" s="743"/>
      <c r="P592" s="742"/>
      <c r="Q592" s="630"/>
      <c r="R592" s="742">
        <f>M592/E592</f>
        <v>2301.6916618333476</v>
      </c>
      <c r="S592" s="754"/>
      <c r="T592" s="755"/>
      <c r="U592" s="756"/>
      <c r="V592" s="754"/>
      <c r="W592" s="757"/>
      <c r="X592" s="757"/>
      <c r="Y592" s="757"/>
      <c r="Z592" s="757"/>
    </row>
    <row r="593" spans="1:26" s="79" customFormat="1" hidden="1">
      <c r="A593" s="667">
        <f t="shared" si="79"/>
        <v>62</v>
      </c>
      <c r="B593" s="580" t="s">
        <v>3429</v>
      </c>
      <c r="C593" s="758" t="s">
        <v>217</v>
      </c>
      <c r="D593" s="759">
        <v>35531</v>
      </c>
      <c r="E593" s="760">
        <f>(121+13.4)*2*2.7*9</f>
        <v>6531.8400000000011</v>
      </c>
      <c r="F593" s="749" t="s">
        <v>223</v>
      </c>
      <c r="G593" s="750">
        <f>121*13.4</f>
        <v>1621.4</v>
      </c>
      <c r="H593" s="581">
        <v>9</v>
      </c>
      <c r="I593" s="581">
        <v>5</v>
      </c>
      <c r="J593" s="751">
        <v>180</v>
      </c>
      <c r="K593" s="735" t="s">
        <v>226</v>
      </c>
      <c r="L593" s="741">
        <f>M593+N593+O593+Q593</f>
        <v>15739383</v>
      </c>
      <c r="M593" s="741">
        <v>15700435</v>
      </c>
      <c r="N593" s="753">
        <v>38948</v>
      </c>
      <c r="O593" s="736"/>
      <c r="P593" s="747"/>
      <c r="Q593" s="630"/>
      <c r="R593" s="742">
        <f>M593/E593</f>
        <v>2403.6772180580047</v>
      </c>
      <c r="S593" s="754"/>
      <c r="T593" s="755"/>
      <c r="U593" s="756"/>
      <c r="V593" s="754"/>
      <c r="W593" s="757"/>
      <c r="X593" s="757"/>
      <c r="Y593" s="757"/>
      <c r="Z593" s="757"/>
    </row>
    <row r="594" spans="1:26" s="79" customFormat="1" hidden="1">
      <c r="A594" s="667">
        <f t="shared" si="79"/>
        <v>63</v>
      </c>
      <c r="B594" s="580" t="s">
        <v>3949</v>
      </c>
      <c r="C594" s="559" t="s">
        <v>217</v>
      </c>
      <c r="D594" s="761">
        <v>48351.6</v>
      </c>
      <c r="E594" s="761">
        <f>(148+13)*2*2.7*9</f>
        <v>7824.6</v>
      </c>
      <c r="F594" s="749" t="s">
        <v>223</v>
      </c>
      <c r="G594" s="749">
        <f>148*13</f>
        <v>1924</v>
      </c>
      <c r="H594" s="751">
        <v>9</v>
      </c>
      <c r="I594" s="751">
        <v>6</v>
      </c>
      <c r="J594" s="751">
        <v>216</v>
      </c>
      <c r="K594" s="735" t="s">
        <v>226</v>
      </c>
      <c r="L594" s="741">
        <f>M594+N594+O594+Q594</f>
        <v>17892330</v>
      </c>
      <c r="M594" s="745">
        <v>17848864</v>
      </c>
      <c r="N594" s="762">
        <v>43466</v>
      </c>
      <c r="O594" s="743"/>
      <c r="P594" s="747"/>
      <c r="Q594" s="630"/>
      <c r="R594" s="763">
        <f>M594/E594</f>
        <v>2281.121590880045</v>
      </c>
      <c r="S594" s="754"/>
      <c r="T594" s="755"/>
      <c r="U594" s="756"/>
      <c r="V594" s="754"/>
      <c r="W594" s="757"/>
      <c r="X594" s="757"/>
      <c r="Y594" s="757"/>
      <c r="Z594" s="757"/>
    </row>
    <row r="595" spans="1:26" s="79" customFormat="1" hidden="1">
      <c r="A595" s="667">
        <f t="shared" si="79"/>
        <v>64</v>
      </c>
      <c r="B595" s="580" t="s">
        <v>4275</v>
      </c>
      <c r="C595" s="559" t="s">
        <v>221</v>
      </c>
      <c r="D595" s="761">
        <f>13.3*48.3*9*2.7</f>
        <v>15610.077000000001</v>
      </c>
      <c r="E595" s="761">
        <f>(13.3+48.3)*2*9*2.7</f>
        <v>2993.76</v>
      </c>
      <c r="F595" s="749" t="s">
        <v>223</v>
      </c>
      <c r="G595" s="749">
        <f>13.3*48.3</f>
        <v>642.39</v>
      </c>
      <c r="H595" s="751">
        <v>9</v>
      </c>
      <c r="I595" s="751">
        <v>2</v>
      </c>
      <c r="J595" s="751">
        <v>72</v>
      </c>
      <c r="K595" s="735" t="s">
        <v>226</v>
      </c>
      <c r="L595" s="741">
        <f>M595+N595+O595+Q595</f>
        <v>7725489</v>
      </c>
      <c r="M595" s="745">
        <v>7682023</v>
      </c>
      <c r="N595" s="762">
        <v>43466</v>
      </c>
      <c r="O595" s="743"/>
      <c r="P595" s="747"/>
      <c r="Q595" s="630"/>
      <c r="R595" s="763">
        <f>M595/E595</f>
        <v>2566.011637539415</v>
      </c>
      <c r="S595" s="754"/>
      <c r="T595" s="755"/>
      <c r="U595" s="756"/>
      <c r="V595" s="754"/>
      <c r="W595" s="757"/>
      <c r="X595" s="757"/>
      <c r="Y595" s="757"/>
      <c r="Z595" s="757"/>
    </row>
    <row r="596" spans="1:26" s="28" customFormat="1" hidden="1">
      <c r="A596" s="1349" t="s">
        <v>423</v>
      </c>
      <c r="B596" s="1349"/>
      <c r="C596" s="586" t="s">
        <v>28</v>
      </c>
      <c r="D596" s="646">
        <f>SUM(D528:D595)</f>
        <v>1095935.9770000002</v>
      </c>
      <c r="E596" s="646">
        <f>SUM(E528:E595)</f>
        <v>211258.02599999998</v>
      </c>
      <c r="F596" s="646" t="s">
        <v>28</v>
      </c>
      <c r="G596" s="646">
        <f>SUM(G528:G595)</f>
        <v>76115.439999999988</v>
      </c>
      <c r="H596" s="582" t="s">
        <v>28</v>
      </c>
      <c r="I596" s="582" t="s">
        <v>28</v>
      </c>
      <c r="J596" s="582">
        <f>SUM(J528:J595)</f>
        <v>5793</v>
      </c>
      <c r="K596" s="588" t="s">
        <v>28</v>
      </c>
      <c r="L596" s="584">
        <f>SUM(L528:L595)</f>
        <v>270134026.73000002</v>
      </c>
      <c r="M596" s="585">
        <f>SUM(M528:M595)</f>
        <v>267226478.38</v>
      </c>
      <c r="N596" s="586">
        <f>SUM(N528:N595)</f>
        <v>2751607.15</v>
      </c>
      <c r="O596" s="587">
        <f>SUM(O528:O595)</f>
        <v>136598.57999999999</v>
      </c>
      <c r="P596" s="586"/>
      <c r="Q596" s="586">
        <f>SUM(Q528:Q595)</f>
        <v>19342.62</v>
      </c>
      <c r="R596" s="582" t="s">
        <v>28</v>
      </c>
      <c r="S596" s="645">
        <f>L596-M596-N596-O596-P596-Q596</f>
        <v>2.3948814487084746E-8</v>
      </c>
      <c r="T596" s="645"/>
      <c r="U596" s="591"/>
      <c r="V596" s="589"/>
      <c r="W596" s="592"/>
      <c r="X596" s="592"/>
      <c r="Y596" s="592"/>
      <c r="Z596" s="592"/>
    </row>
    <row r="597" spans="1:26" s="28" customFormat="1" hidden="1">
      <c r="A597" s="1347" t="s">
        <v>37</v>
      </c>
      <c r="B597" s="1347"/>
      <c r="C597" s="1347"/>
      <c r="D597" s="1347"/>
      <c r="E597" s="1347"/>
      <c r="F597" s="1347"/>
      <c r="G597" s="1347"/>
      <c r="H597" s="1347"/>
      <c r="I597" s="1347"/>
      <c r="J597" s="1347"/>
      <c r="K597" s="1347"/>
      <c r="L597" s="1347"/>
      <c r="M597" s="1347"/>
      <c r="N597" s="1347"/>
      <c r="O597" s="1347"/>
      <c r="P597" s="1347"/>
      <c r="Q597" s="1347"/>
      <c r="R597" s="1347"/>
      <c r="S597" s="592"/>
      <c r="T597" s="645"/>
      <c r="U597" s="591"/>
      <c r="V597" s="589"/>
      <c r="W597" s="592"/>
      <c r="X597" s="592"/>
      <c r="Y597" s="592"/>
      <c r="Z597" s="592"/>
    </row>
    <row r="598" spans="1:26" s="78" customFormat="1" ht="37.5" hidden="1">
      <c r="A598" s="667">
        <v>1</v>
      </c>
      <c r="B598" s="592" t="s">
        <v>856</v>
      </c>
      <c r="C598" s="744" t="s">
        <v>221</v>
      </c>
      <c r="D598" s="619">
        <v>18009</v>
      </c>
      <c r="E598" s="619">
        <v>3585</v>
      </c>
      <c r="F598" s="619" t="s">
        <v>222</v>
      </c>
      <c r="G598" s="619">
        <v>1620</v>
      </c>
      <c r="H598" s="599">
        <v>5</v>
      </c>
      <c r="I598" s="599">
        <v>6</v>
      </c>
      <c r="J598" s="599">
        <v>100</v>
      </c>
      <c r="K598" s="590" t="s">
        <v>30</v>
      </c>
      <c r="L598" s="584">
        <f t="shared" ref="L598:L607" si="80">M598+N598+O598+P598+Q598</f>
        <v>2504962.5</v>
      </c>
      <c r="M598" s="596">
        <v>2497500</v>
      </c>
      <c r="N598" s="597"/>
      <c r="O598" s="736">
        <v>7462.5</v>
      </c>
      <c r="P598" s="597"/>
      <c r="Q598" s="586"/>
      <c r="R598" s="582">
        <f>M598/J598</f>
        <v>24975</v>
      </c>
      <c r="S598" s="709"/>
      <c r="T598" s="709"/>
      <c r="U598" s="709"/>
      <c r="V598" s="589"/>
      <c r="W598" s="709"/>
      <c r="X598" s="709"/>
      <c r="Y598" s="709"/>
      <c r="Z598" s="709"/>
    </row>
    <row r="599" spans="1:26" s="78" customFormat="1" ht="37.5" hidden="1">
      <c r="A599" s="764">
        <f>A598+1</f>
        <v>2</v>
      </c>
      <c r="B599" s="765" t="s">
        <v>3655</v>
      </c>
      <c r="C599" s="766" t="s">
        <v>221</v>
      </c>
      <c r="D599" s="767">
        <v>22653</v>
      </c>
      <c r="E599" s="767">
        <v>2400</v>
      </c>
      <c r="F599" s="768" t="s">
        <v>233</v>
      </c>
      <c r="G599" s="767">
        <v>839</v>
      </c>
      <c r="H599" s="769">
        <v>9</v>
      </c>
      <c r="I599" s="769">
        <v>2</v>
      </c>
      <c r="J599" s="770">
        <v>72</v>
      </c>
      <c r="K599" s="735" t="s">
        <v>219</v>
      </c>
      <c r="L599" s="584">
        <f t="shared" si="80"/>
        <v>2072025</v>
      </c>
      <c r="M599" s="596">
        <v>1990000</v>
      </c>
      <c r="N599" s="597">
        <v>82025</v>
      </c>
      <c r="O599" s="587"/>
      <c r="P599" s="586"/>
      <c r="Q599" s="742"/>
      <c r="R599" s="582">
        <v>2000000</v>
      </c>
      <c r="S599" s="771">
        <v>2015</v>
      </c>
      <c r="T599" s="709"/>
      <c r="U599" s="709"/>
      <c r="V599" s="589"/>
      <c r="W599" s="709"/>
      <c r="X599" s="709"/>
      <c r="Y599" s="709"/>
      <c r="Z599" s="709"/>
    </row>
    <row r="600" spans="1:26" s="529" customFormat="1" hidden="1">
      <c r="A600" s="764">
        <f t="shared" ref="A600:A660" si="81">A599+1</f>
        <v>3</v>
      </c>
      <c r="B600" s="592" t="s">
        <v>857</v>
      </c>
      <c r="C600" s="744" t="s">
        <v>221</v>
      </c>
      <c r="D600" s="619">
        <v>13078</v>
      </c>
      <c r="E600" s="619">
        <v>602</v>
      </c>
      <c r="F600" s="619" t="s">
        <v>233</v>
      </c>
      <c r="G600" s="619">
        <v>889</v>
      </c>
      <c r="H600" s="599">
        <v>5</v>
      </c>
      <c r="I600" s="599">
        <v>1</v>
      </c>
      <c r="J600" s="599">
        <v>69</v>
      </c>
      <c r="K600" s="667" t="s">
        <v>33</v>
      </c>
      <c r="L600" s="584">
        <f t="shared" si="80"/>
        <v>1909430.6500000001</v>
      </c>
      <c r="M600" s="585">
        <v>1903592.9900000002</v>
      </c>
      <c r="N600" s="586"/>
      <c r="O600" s="736">
        <v>5837.66</v>
      </c>
      <c r="P600" s="586"/>
      <c r="Q600" s="586"/>
      <c r="R600" s="582">
        <f>M600/G600</f>
        <v>2141.2744544431948</v>
      </c>
      <c r="S600" s="709"/>
      <c r="T600" s="771"/>
      <c r="U600" s="586"/>
      <c r="V600" s="589"/>
      <c r="W600" s="771"/>
      <c r="X600" s="771"/>
      <c r="Y600" s="771"/>
      <c r="Z600" s="771"/>
    </row>
    <row r="601" spans="1:26" s="78" customFormat="1" hidden="1">
      <c r="A601" s="764">
        <f t="shared" si="81"/>
        <v>4</v>
      </c>
      <c r="B601" s="592" t="s">
        <v>858</v>
      </c>
      <c r="C601" s="744" t="s">
        <v>221</v>
      </c>
      <c r="D601" s="619">
        <v>11711</v>
      </c>
      <c r="E601" s="619">
        <v>1952</v>
      </c>
      <c r="F601" s="619" t="s">
        <v>233</v>
      </c>
      <c r="G601" s="619">
        <v>902</v>
      </c>
      <c r="H601" s="599">
        <v>5</v>
      </c>
      <c r="I601" s="599">
        <v>1</v>
      </c>
      <c r="J601" s="599">
        <v>69</v>
      </c>
      <c r="K601" s="667" t="s">
        <v>33</v>
      </c>
      <c r="L601" s="584">
        <f t="shared" si="80"/>
        <v>1428978.9300000002</v>
      </c>
      <c r="M601" s="585">
        <v>1423055.7000000002</v>
      </c>
      <c r="N601" s="586"/>
      <c r="O601" s="736">
        <v>5923.23</v>
      </c>
      <c r="P601" s="586"/>
      <c r="Q601" s="586"/>
      <c r="R601" s="582">
        <f>M601/G601</f>
        <v>1577.667073170732</v>
      </c>
      <c r="S601" s="709"/>
      <c r="T601" s="709"/>
      <c r="U601" s="586"/>
      <c r="V601" s="589"/>
      <c r="W601" s="709"/>
      <c r="X601" s="709"/>
      <c r="Y601" s="709"/>
      <c r="Z601" s="709"/>
    </row>
    <row r="602" spans="1:26" s="78" customFormat="1" ht="37.5" hidden="1">
      <c r="A602" s="764">
        <f t="shared" si="81"/>
        <v>5</v>
      </c>
      <c r="B602" s="592" t="s">
        <v>859</v>
      </c>
      <c r="C602" s="594" t="s">
        <v>217</v>
      </c>
      <c r="D602" s="619">
        <v>15392</v>
      </c>
      <c r="E602" s="619">
        <v>2888</v>
      </c>
      <c r="F602" s="619" t="s">
        <v>227</v>
      </c>
      <c r="G602" s="619">
        <v>1231</v>
      </c>
      <c r="H602" s="599">
        <v>5</v>
      </c>
      <c r="I602" s="599">
        <v>6</v>
      </c>
      <c r="J602" s="599">
        <v>90</v>
      </c>
      <c r="K602" s="590" t="s">
        <v>30</v>
      </c>
      <c r="L602" s="584">
        <f t="shared" si="80"/>
        <v>2254466.25</v>
      </c>
      <c r="M602" s="596">
        <v>2247750</v>
      </c>
      <c r="N602" s="597"/>
      <c r="O602" s="736">
        <v>6716.25</v>
      </c>
      <c r="P602" s="597"/>
      <c r="Q602" s="586"/>
      <c r="R602" s="582">
        <f>M602/J602</f>
        <v>24975</v>
      </c>
      <c r="S602" s="709" t="s">
        <v>3653</v>
      </c>
      <c r="T602" s="709"/>
      <c r="U602" s="586"/>
      <c r="V602" s="589"/>
      <c r="W602" s="709"/>
      <c r="X602" s="709"/>
      <c r="Y602" s="709"/>
      <c r="Z602" s="709"/>
    </row>
    <row r="603" spans="1:26" s="78" customFormat="1" hidden="1">
      <c r="A603" s="764">
        <f t="shared" si="81"/>
        <v>6</v>
      </c>
      <c r="B603" s="592" t="s">
        <v>860</v>
      </c>
      <c r="C603" s="744" t="s">
        <v>221</v>
      </c>
      <c r="D603" s="619">
        <v>15306</v>
      </c>
      <c r="E603" s="619">
        <v>2904</v>
      </c>
      <c r="F603" s="594" t="s">
        <v>233</v>
      </c>
      <c r="G603" s="619">
        <v>1026</v>
      </c>
      <c r="H603" s="599">
        <v>5</v>
      </c>
      <c r="I603" s="599">
        <v>4</v>
      </c>
      <c r="J603" s="599">
        <v>68</v>
      </c>
      <c r="K603" s="590" t="s">
        <v>224</v>
      </c>
      <c r="L603" s="584">
        <f t="shared" si="80"/>
        <v>847142.57</v>
      </c>
      <c r="M603" s="741">
        <v>813142.57</v>
      </c>
      <c r="N603" s="742">
        <v>34000</v>
      </c>
      <c r="O603" s="743"/>
      <c r="P603" s="742"/>
      <c r="Q603" s="586"/>
      <c r="R603" s="744">
        <f>M603/J603</f>
        <v>11957.978970588234</v>
      </c>
      <c r="S603" s="601"/>
      <c r="T603" s="709"/>
      <c r="U603" s="709"/>
      <c r="V603" s="589"/>
      <c r="W603" s="709"/>
      <c r="X603" s="709"/>
      <c r="Y603" s="709"/>
      <c r="Z603" s="709"/>
    </row>
    <row r="604" spans="1:26" s="78" customFormat="1" ht="37.5" hidden="1">
      <c r="A604" s="764">
        <f t="shared" si="81"/>
        <v>7</v>
      </c>
      <c r="B604" s="592" t="s">
        <v>861</v>
      </c>
      <c r="C604" s="744" t="s">
        <v>221</v>
      </c>
      <c r="D604" s="619">
        <v>34393</v>
      </c>
      <c r="E604" s="619">
        <v>5396</v>
      </c>
      <c r="F604" s="619" t="s">
        <v>233</v>
      </c>
      <c r="G604" s="619">
        <v>1307</v>
      </c>
      <c r="H604" s="599">
        <v>9</v>
      </c>
      <c r="I604" s="599">
        <v>4</v>
      </c>
      <c r="J604" s="599">
        <v>143</v>
      </c>
      <c r="K604" s="735" t="s">
        <v>219</v>
      </c>
      <c r="L604" s="584">
        <f t="shared" si="80"/>
        <v>4082531.25</v>
      </c>
      <c r="M604" s="596">
        <v>3980000</v>
      </c>
      <c r="N604" s="597">
        <v>102531.25</v>
      </c>
      <c r="O604" s="587"/>
      <c r="P604" s="586"/>
      <c r="Q604" s="742"/>
      <c r="R604" s="582">
        <v>2000000</v>
      </c>
      <c r="S604" s="709"/>
      <c r="T604" s="709"/>
      <c r="U604" s="709"/>
      <c r="V604" s="589"/>
      <c r="W604" s="709"/>
      <c r="X604" s="709"/>
      <c r="Y604" s="709"/>
      <c r="Z604" s="709"/>
    </row>
    <row r="605" spans="1:26" s="78" customFormat="1" ht="37.5" hidden="1">
      <c r="A605" s="764">
        <f t="shared" si="81"/>
        <v>8</v>
      </c>
      <c r="B605" s="592" t="s">
        <v>862</v>
      </c>
      <c r="C605" s="744" t="s">
        <v>221</v>
      </c>
      <c r="D605" s="619">
        <v>34393</v>
      </c>
      <c r="E605" s="619">
        <v>5396</v>
      </c>
      <c r="F605" s="619" t="s">
        <v>233</v>
      </c>
      <c r="G605" s="619">
        <v>1319</v>
      </c>
      <c r="H605" s="599">
        <v>9</v>
      </c>
      <c r="I605" s="599">
        <v>4</v>
      </c>
      <c r="J605" s="599">
        <v>144</v>
      </c>
      <c r="K605" s="735" t="s">
        <v>219</v>
      </c>
      <c r="L605" s="584">
        <f t="shared" si="80"/>
        <v>4082531.25</v>
      </c>
      <c r="M605" s="596">
        <v>3980000</v>
      </c>
      <c r="N605" s="597">
        <v>102531.25</v>
      </c>
      <c r="O605" s="587"/>
      <c r="P605" s="586"/>
      <c r="Q605" s="742"/>
      <c r="R605" s="582">
        <v>2000000</v>
      </c>
      <c r="S605" s="709"/>
      <c r="T605" s="709"/>
      <c r="U605" s="709"/>
      <c r="V605" s="589"/>
      <c r="W605" s="709"/>
      <c r="X605" s="709"/>
      <c r="Y605" s="709"/>
      <c r="Z605" s="709"/>
    </row>
    <row r="606" spans="1:26" s="78" customFormat="1" hidden="1">
      <c r="A606" s="764">
        <f t="shared" si="81"/>
        <v>9</v>
      </c>
      <c r="B606" s="592" t="s">
        <v>863</v>
      </c>
      <c r="C606" s="744" t="s">
        <v>221</v>
      </c>
      <c r="D606" s="619">
        <v>39750</v>
      </c>
      <c r="E606" s="619">
        <v>4719</v>
      </c>
      <c r="F606" s="619" t="s">
        <v>233</v>
      </c>
      <c r="G606" s="619">
        <v>2366</v>
      </c>
      <c r="H606" s="599">
        <v>6</v>
      </c>
      <c r="I606" s="599">
        <v>11</v>
      </c>
      <c r="J606" s="599">
        <v>140</v>
      </c>
      <c r="K606" s="667" t="s">
        <v>234</v>
      </c>
      <c r="L606" s="584">
        <f t="shared" si="80"/>
        <v>4298709.66</v>
      </c>
      <c r="M606" s="585">
        <v>4283171.74</v>
      </c>
      <c r="N606" s="586"/>
      <c r="O606" s="736">
        <v>15537.92</v>
      </c>
      <c r="P606" s="586"/>
      <c r="Q606" s="586"/>
      <c r="R606" s="582">
        <f>M606/G606</f>
        <v>1810.3008199492815</v>
      </c>
      <c r="S606" s="709"/>
      <c r="T606" s="709"/>
      <c r="U606" s="709"/>
      <c r="V606" s="589"/>
      <c r="W606" s="709"/>
      <c r="X606" s="709"/>
      <c r="Y606" s="709"/>
      <c r="Z606" s="709"/>
    </row>
    <row r="607" spans="1:26" s="78" customFormat="1" hidden="1">
      <c r="A607" s="764">
        <f t="shared" si="81"/>
        <v>10</v>
      </c>
      <c r="B607" s="592" t="s">
        <v>864</v>
      </c>
      <c r="C607" s="744" t="s">
        <v>221</v>
      </c>
      <c r="D607" s="619">
        <v>11467</v>
      </c>
      <c r="E607" s="619">
        <v>1067</v>
      </c>
      <c r="F607" s="619" t="s">
        <v>233</v>
      </c>
      <c r="G607" s="619">
        <v>865</v>
      </c>
      <c r="H607" s="599">
        <v>5</v>
      </c>
      <c r="I607" s="599">
        <v>1</v>
      </c>
      <c r="J607" s="599">
        <v>69</v>
      </c>
      <c r="K607" s="667" t="s">
        <v>33</v>
      </c>
      <c r="L607" s="584">
        <f t="shared" si="80"/>
        <v>1431586.82</v>
      </c>
      <c r="M607" s="585">
        <v>1425906.37</v>
      </c>
      <c r="N607" s="586"/>
      <c r="O607" s="736">
        <v>5680.45</v>
      </c>
      <c r="P607" s="586"/>
      <c r="Q607" s="586"/>
      <c r="R607" s="582">
        <f>M607/G607</f>
        <v>1648.4466705202312</v>
      </c>
      <c r="S607" s="709"/>
      <c r="T607" s="709"/>
      <c r="U607" s="586"/>
      <c r="V607" s="589"/>
      <c r="W607" s="709"/>
      <c r="X607" s="709"/>
      <c r="Y607" s="709"/>
      <c r="Z607" s="709"/>
    </row>
    <row r="608" spans="1:26" s="78" customFormat="1" hidden="1">
      <c r="A608" s="764">
        <f t="shared" si="81"/>
        <v>11</v>
      </c>
      <c r="B608" s="592" t="s">
        <v>3915</v>
      </c>
      <c r="C608" s="594" t="s">
        <v>217</v>
      </c>
      <c r="D608" s="619">
        <v>16835</v>
      </c>
      <c r="E608" s="619">
        <v>4278</v>
      </c>
      <c r="F608" s="594" t="s">
        <v>233</v>
      </c>
      <c r="G608" s="619">
        <v>1601</v>
      </c>
      <c r="H608" s="599">
        <v>5</v>
      </c>
      <c r="I608" s="599">
        <v>6</v>
      </c>
      <c r="J608" s="599">
        <v>120</v>
      </c>
      <c r="K608" s="590" t="s">
        <v>235</v>
      </c>
      <c r="L608" s="1348">
        <f>M608+N608+O608+P608+Q608+M609+N609+O609+Q609</f>
        <v>3795641.4699999997</v>
      </c>
      <c r="M608" s="585">
        <f>2800637.1+687876.63</f>
        <v>3488513.73</v>
      </c>
      <c r="N608" s="586">
        <f>40140+35505</f>
        <v>75645</v>
      </c>
      <c r="O608" s="587"/>
      <c r="P608" s="586"/>
      <c r="Q608" s="586"/>
      <c r="R608" s="582">
        <f>M608/G608</f>
        <v>2178.9592317301685</v>
      </c>
      <c r="S608" s="601"/>
      <c r="T608" s="709"/>
      <c r="U608" s="586"/>
      <c r="V608" s="589"/>
      <c r="W608" s="709"/>
      <c r="X608" s="709"/>
      <c r="Y608" s="709"/>
      <c r="Z608" s="709"/>
    </row>
    <row r="609" spans="1:26" s="78" customFormat="1" ht="37.5" hidden="1">
      <c r="A609" s="764"/>
      <c r="B609" s="592"/>
      <c r="C609" s="594"/>
      <c r="D609" s="619"/>
      <c r="E609" s="619"/>
      <c r="F609" s="594"/>
      <c r="G609" s="619"/>
      <c r="H609" s="599"/>
      <c r="I609" s="599"/>
      <c r="J609" s="599"/>
      <c r="K609" s="590" t="s">
        <v>30</v>
      </c>
      <c r="L609" s="1348"/>
      <c r="M609" s="585">
        <v>227683.74</v>
      </c>
      <c r="N609" s="586"/>
      <c r="O609" s="587">
        <v>3799</v>
      </c>
      <c r="P609" s="586"/>
      <c r="Q609" s="586"/>
      <c r="R609" s="582">
        <f>M609/J608</f>
        <v>1897.3644999999999</v>
      </c>
      <c r="S609" s="601"/>
      <c r="T609" s="709"/>
      <c r="U609" s="586"/>
      <c r="V609" s="589"/>
      <c r="W609" s="709"/>
      <c r="X609" s="709"/>
      <c r="Y609" s="709"/>
      <c r="Z609" s="709"/>
    </row>
    <row r="610" spans="1:26" s="78" customFormat="1" hidden="1">
      <c r="A610" s="764">
        <f>A608+1</f>
        <v>12</v>
      </c>
      <c r="B610" s="592" t="s">
        <v>865</v>
      </c>
      <c r="C610" s="594" t="s">
        <v>217</v>
      </c>
      <c r="D610" s="619">
        <v>9983</v>
      </c>
      <c r="E610" s="619">
        <v>1425</v>
      </c>
      <c r="F610" s="619" t="s">
        <v>233</v>
      </c>
      <c r="G610" s="619">
        <v>433</v>
      </c>
      <c r="H610" s="599">
        <v>9</v>
      </c>
      <c r="I610" s="599">
        <v>1</v>
      </c>
      <c r="J610" s="599">
        <v>72</v>
      </c>
      <c r="K610" s="590" t="s">
        <v>235</v>
      </c>
      <c r="L610" s="584">
        <f>M610+N610+O610+P610+Q610</f>
        <v>1249120.3099999998</v>
      </c>
      <c r="M610" s="585">
        <v>1210150.3099999998</v>
      </c>
      <c r="N610" s="586">
        <v>38970</v>
      </c>
      <c r="O610" s="587"/>
      <c r="P610" s="586"/>
      <c r="Q610" s="586"/>
      <c r="R610" s="582">
        <f>M610/G610</f>
        <v>2794.8044110854498</v>
      </c>
      <c r="S610" s="709"/>
      <c r="T610" s="709"/>
      <c r="U610" s="586"/>
      <c r="V610" s="589"/>
      <c r="W610" s="709"/>
      <c r="X610" s="709"/>
      <c r="Y610" s="709"/>
      <c r="Z610" s="709"/>
    </row>
    <row r="611" spans="1:26" s="78" customFormat="1" hidden="1">
      <c r="A611" s="764">
        <f t="shared" si="81"/>
        <v>13</v>
      </c>
      <c r="B611" s="592" t="s">
        <v>866</v>
      </c>
      <c r="C611" s="594" t="s">
        <v>217</v>
      </c>
      <c r="D611" s="619">
        <v>31008</v>
      </c>
      <c r="E611" s="619">
        <v>4592</v>
      </c>
      <c r="F611" s="619" t="s">
        <v>233</v>
      </c>
      <c r="G611" s="619">
        <v>1333</v>
      </c>
      <c r="H611" s="599">
        <v>9</v>
      </c>
      <c r="I611" s="599">
        <v>3</v>
      </c>
      <c r="J611" s="599">
        <v>216</v>
      </c>
      <c r="K611" s="590" t="s">
        <v>235</v>
      </c>
      <c r="L611" s="1348">
        <f>M611+N611+O611+P611+Q611+M612+N612+O612+Q612</f>
        <v>4310699.13</v>
      </c>
      <c r="M611" s="585">
        <v>2952885.81</v>
      </c>
      <c r="N611" s="586">
        <v>39990</v>
      </c>
      <c r="O611" s="587"/>
      <c r="P611" s="586"/>
      <c r="Q611" s="586"/>
      <c r="R611" s="582">
        <f>M611/G611</f>
        <v>2215.2181620405104</v>
      </c>
      <c r="S611" s="709"/>
      <c r="T611" s="709"/>
      <c r="U611" s="586"/>
      <c r="V611" s="589"/>
      <c r="W611" s="709"/>
      <c r="X611" s="709"/>
      <c r="Y611" s="709"/>
      <c r="Z611" s="709"/>
    </row>
    <row r="612" spans="1:26" s="78" customFormat="1" ht="37.5" hidden="1">
      <c r="A612" s="764"/>
      <c r="B612" s="592"/>
      <c r="C612" s="594"/>
      <c r="D612" s="619"/>
      <c r="E612" s="619"/>
      <c r="F612" s="619"/>
      <c r="G612" s="619"/>
      <c r="H612" s="599"/>
      <c r="I612" s="599"/>
      <c r="J612" s="599"/>
      <c r="K612" s="590" t="s">
        <v>30</v>
      </c>
      <c r="L612" s="1348"/>
      <c r="M612" s="585">
        <f>1006124.19+308681.13</f>
        <v>1314805.3199999998</v>
      </c>
      <c r="N612" s="586"/>
      <c r="O612" s="587">
        <v>3018</v>
      </c>
      <c r="P612" s="586"/>
      <c r="Q612" s="586"/>
      <c r="R612" s="582">
        <f>M612/J611</f>
        <v>6087.0616666666656</v>
      </c>
      <c r="S612" s="709"/>
      <c r="T612" s="709"/>
      <c r="U612" s="709"/>
      <c r="V612" s="589"/>
      <c r="W612" s="709"/>
      <c r="X612" s="709"/>
      <c r="Y612" s="709"/>
      <c r="Z612" s="709"/>
    </row>
    <row r="613" spans="1:26" s="78" customFormat="1" hidden="1">
      <c r="A613" s="764">
        <f>A611+1</f>
        <v>14</v>
      </c>
      <c r="B613" s="592" t="s">
        <v>867</v>
      </c>
      <c r="C613" s="594" t="s">
        <v>217</v>
      </c>
      <c r="D613" s="619">
        <v>8316</v>
      </c>
      <c r="E613" s="619">
        <v>1864</v>
      </c>
      <c r="F613" s="619" t="s">
        <v>233</v>
      </c>
      <c r="G613" s="619">
        <v>308</v>
      </c>
      <c r="H613" s="599">
        <v>6</v>
      </c>
      <c r="I613" s="599">
        <v>1</v>
      </c>
      <c r="J613" s="599">
        <v>24</v>
      </c>
      <c r="K613" s="772" t="s">
        <v>235</v>
      </c>
      <c r="L613" s="584">
        <f t="shared" ref="L613:L625" si="82">M613+N613+O613+P613+Q613</f>
        <v>907815.51000000013</v>
      </c>
      <c r="M613" s="585">
        <v>870855.51000000013</v>
      </c>
      <c r="N613" s="586">
        <v>36960</v>
      </c>
      <c r="O613" s="587"/>
      <c r="P613" s="586"/>
      <c r="Q613" s="586"/>
      <c r="R613" s="582">
        <f>M613/G613</f>
        <v>2827.4529545454548</v>
      </c>
      <c r="S613" s="709"/>
      <c r="T613" s="709"/>
      <c r="U613" s="586"/>
      <c r="V613" s="589"/>
      <c r="W613" s="709"/>
      <c r="X613" s="709"/>
      <c r="Y613" s="709"/>
      <c r="Z613" s="709"/>
    </row>
    <row r="614" spans="1:26" s="78" customFormat="1" hidden="1">
      <c r="A614" s="764">
        <f t="shared" si="81"/>
        <v>15</v>
      </c>
      <c r="B614" s="592" t="s">
        <v>868</v>
      </c>
      <c r="C614" s="594" t="s">
        <v>217</v>
      </c>
      <c r="D614" s="619">
        <v>21735</v>
      </c>
      <c r="E614" s="619">
        <v>2860</v>
      </c>
      <c r="F614" s="619" t="s">
        <v>227</v>
      </c>
      <c r="G614" s="619">
        <v>805</v>
      </c>
      <c r="H614" s="599">
        <v>6</v>
      </c>
      <c r="I614" s="599">
        <v>3</v>
      </c>
      <c r="J614" s="599">
        <v>72</v>
      </c>
      <c r="K614" s="590" t="s">
        <v>235</v>
      </c>
      <c r="L614" s="584">
        <f t="shared" si="82"/>
        <v>1828159.7</v>
      </c>
      <c r="M614" s="585">
        <v>1791934.7</v>
      </c>
      <c r="N614" s="586">
        <v>36225</v>
      </c>
      <c r="O614" s="587"/>
      <c r="P614" s="586"/>
      <c r="Q614" s="586"/>
      <c r="R614" s="582">
        <f>M614/G614</f>
        <v>2226.0058385093166</v>
      </c>
      <c r="S614" s="709"/>
      <c r="T614" s="709"/>
      <c r="U614" s="586"/>
      <c r="V614" s="589"/>
      <c r="W614" s="709"/>
      <c r="X614" s="709"/>
      <c r="Y614" s="709"/>
      <c r="Z614" s="709"/>
    </row>
    <row r="615" spans="1:26" s="78" customFormat="1" hidden="1">
      <c r="A615" s="764">
        <f t="shared" si="81"/>
        <v>16</v>
      </c>
      <c r="B615" s="592" t="s">
        <v>869</v>
      </c>
      <c r="C615" s="594" t="s">
        <v>217</v>
      </c>
      <c r="D615" s="619">
        <v>10111</v>
      </c>
      <c r="E615" s="619">
        <v>1548</v>
      </c>
      <c r="F615" s="619" t="s">
        <v>233</v>
      </c>
      <c r="G615" s="619">
        <v>436</v>
      </c>
      <c r="H615" s="599">
        <v>9</v>
      </c>
      <c r="I615" s="599">
        <v>1</v>
      </c>
      <c r="J615" s="599">
        <v>72</v>
      </c>
      <c r="K615" s="590" t="s">
        <v>235</v>
      </c>
      <c r="L615" s="584">
        <f t="shared" si="82"/>
        <v>1217630.08</v>
      </c>
      <c r="M615" s="585">
        <v>1178390.08</v>
      </c>
      <c r="N615" s="586">
        <v>39240</v>
      </c>
      <c r="O615" s="587"/>
      <c r="P615" s="586"/>
      <c r="Q615" s="586"/>
      <c r="R615" s="582">
        <f>M615/G615</f>
        <v>2702.7295412844037</v>
      </c>
      <c r="S615" s="709"/>
      <c r="T615" s="709"/>
      <c r="U615" s="586"/>
      <c r="V615" s="589"/>
      <c r="W615" s="709"/>
      <c r="X615" s="709"/>
      <c r="Y615" s="709"/>
      <c r="Z615" s="709"/>
    </row>
    <row r="616" spans="1:26" s="28" customFormat="1" hidden="1" outlineLevel="1">
      <c r="A616" s="764">
        <f t="shared" si="81"/>
        <v>17</v>
      </c>
      <c r="B616" s="592" t="s">
        <v>870</v>
      </c>
      <c r="C616" s="594" t="s">
        <v>217</v>
      </c>
      <c r="D616" s="619">
        <v>22601</v>
      </c>
      <c r="E616" s="619">
        <v>2300</v>
      </c>
      <c r="F616" s="619" t="s">
        <v>233</v>
      </c>
      <c r="G616" s="619">
        <v>886</v>
      </c>
      <c r="H616" s="599">
        <v>9</v>
      </c>
      <c r="I616" s="599">
        <v>3</v>
      </c>
      <c r="J616" s="599">
        <v>108</v>
      </c>
      <c r="K616" s="667" t="s">
        <v>33</v>
      </c>
      <c r="L616" s="584">
        <f t="shared" si="82"/>
        <v>1731278.1199999999</v>
      </c>
      <c r="M616" s="585">
        <v>1725459.3599999999</v>
      </c>
      <c r="N616" s="586"/>
      <c r="O616" s="736">
        <v>5818.76</v>
      </c>
      <c r="P616" s="586"/>
      <c r="Q616" s="586"/>
      <c r="R616" s="582">
        <f>M616/G616</f>
        <v>1947.471060948081</v>
      </c>
      <c r="S616" s="709"/>
      <c r="T616" s="709"/>
      <c r="U616" s="709"/>
      <c r="V616" s="589"/>
      <c r="W616" s="645"/>
      <c r="X616" s="592"/>
      <c r="Y616" s="592"/>
      <c r="Z616" s="592"/>
    </row>
    <row r="617" spans="1:26" s="78" customFormat="1" hidden="1">
      <c r="A617" s="764">
        <f t="shared" si="81"/>
        <v>18</v>
      </c>
      <c r="B617" s="592" t="s">
        <v>871</v>
      </c>
      <c r="C617" s="744" t="s">
        <v>221</v>
      </c>
      <c r="D617" s="619">
        <v>17891</v>
      </c>
      <c r="E617" s="619">
        <v>3053</v>
      </c>
      <c r="F617" s="619" t="s">
        <v>233</v>
      </c>
      <c r="G617" s="619">
        <v>1373</v>
      </c>
      <c r="H617" s="599">
        <v>5</v>
      </c>
      <c r="I617" s="599">
        <v>6</v>
      </c>
      <c r="J617" s="599">
        <v>92</v>
      </c>
      <c r="K617" s="667" t="s">
        <v>33</v>
      </c>
      <c r="L617" s="584">
        <f t="shared" si="82"/>
        <v>3014513.69</v>
      </c>
      <c r="M617" s="585">
        <v>3005497</v>
      </c>
      <c r="N617" s="586"/>
      <c r="O617" s="736">
        <v>9016.69</v>
      </c>
      <c r="P617" s="586"/>
      <c r="Q617" s="586"/>
      <c r="R617" s="582">
        <f>M617/G617</f>
        <v>2189</v>
      </c>
      <c r="S617" s="709"/>
      <c r="T617" s="709"/>
      <c r="U617" s="709"/>
      <c r="V617" s="589"/>
      <c r="W617" s="709"/>
      <c r="X617" s="709"/>
      <c r="Y617" s="709"/>
      <c r="Z617" s="709"/>
    </row>
    <row r="618" spans="1:26" s="529" customFormat="1" hidden="1">
      <c r="A618" s="764">
        <f t="shared" si="81"/>
        <v>19</v>
      </c>
      <c r="B618" s="592" t="s">
        <v>872</v>
      </c>
      <c r="C618" s="744" t="s">
        <v>221</v>
      </c>
      <c r="D618" s="619">
        <v>11960</v>
      </c>
      <c r="E618" s="619">
        <v>1532</v>
      </c>
      <c r="F618" s="594" t="s">
        <v>233</v>
      </c>
      <c r="G618" s="619">
        <v>443</v>
      </c>
      <c r="H618" s="599">
        <v>9</v>
      </c>
      <c r="I618" s="599">
        <v>1</v>
      </c>
      <c r="J618" s="599">
        <v>50</v>
      </c>
      <c r="K618" s="735" t="s">
        <v>224</v>
      </c>
      <c r="L618" s="584">
        <f t="shared" si="82"/>
        <v>1024000</v>
      </c>
      <c r="M618" s="741">
        <v>999000</v>
      </c>
      <c r="N618" s="742">
        <v>25000</v>
      </c>
      <c r="O618" s="743"/>
      <c r="P618" s="742"/>
      <c r="Q618" s="586"/>
      <c r="R618" s="744">
        <f>M618/J618</f>
        <v>19980</v>
      </c>
      <c r="S618" s="601"/>
      <c r="T618" s="738"/>
      <c r="U618" s="773"/>
      <c r="V618" s="589"/>
      <c r="W618" s="771"/>
      <c r="X618" s="771"/>
      <c r="Y618" s="771"/>
      <c r="Z618" s="771"/>
    </row>
    <row r="619" spans="1:26" s="529" customFormat="1" hidden="1">
      <c r="A619" s="764">
        <f t="shared" si="81"/>
        <v>20</v>
      </c>
      <c r="B619" s="592" t="s">
        <v>873</v>
      </c>
      <c r="C619" s="594" t="s">
        <v>217</v>
      </c>
      <c r="D619" s="619">
        <v>50544</v>
      </c>
      <c r="E619" s="619">
        <v>5320</v>
      </c>
      <c r="F619" s="594" t="s">
        <v>233</v>
      </c>
      <c r="G619" s="619">
        <v>1908</v>
      </c>
      <c r="H619" s="599">
        <v>9</v>
      </c>
      <c r="I619" s="599">
        <v>6</v>
      </c>
      <c r="J619" s="599">
        <v>215</v>
      </c>
      <c r="K619" s="735" t="s">
        <v>224</v>
      </c>
      <c r="L619" s="584">
        <f t="shared" si="82"/>
        <v>3574357.83</v>
      </c>
      <c r="M619" s="741">
        <v>3531357.83</v>
      </c>
      <c r="N619" s="742">
        <v>43000</v>
      </c>
      <c r="O619" s="743"/>
      <c r="P619" s="742"/>
      <c r="Q619" s="586"/>
      <c r="R619" s="744">
        <f>M619/J619</f>
        <v>16424.920139534883</v>
      </c>
      <c r="S619" s="601"/>
      <c r="T619" s="738"/>
      <c r="U619" s="773"/>
      <c r="V619" s="589"/>
      <c r="W619" s="771"/>
      <c r="X619" s="771"/>
      <c r="Y619" s="771"/>
      <c r="Z619" s="771"/>
    </row>
    <row r="620" spans="1:26" s="78" customFormat="1" ht="37.5" hidden="1">
      <c r="A620" s="764">
        <f t="shared" si="81"/>
        <v>21</v>
      </c>
      <c r="B620" s="592" t="s">
        <v>874</v>
      </c>
      <c r="C620" s="744" t="s">
        <v>221</v>
      </c>
      <c r="D620" s="619">
        <v>19675</v>
      </c>
      <c r="E620" s="619">
        <v>2336</v>
      </c>
      <c r="F620" s="619" t="s">
        <v>233</v>
      </c>
      <c r="G620" s="619">
        <v>757</v>
      </c>
      <c r="H620" s="599">
        <v>9</v>
      </c>
      <c r="I620" s="599">
        <v>2</v>
      </c>
      <c r="J620" s="599">
        <v>72</v>
      </c>
      <c r="K620" s="590" t="s">
        <v>30</v>
      </c>
      <c r="L620" s="584">
        <f t="shared" si="82"/>
        <v>1803573</v>
      </c>
      <c r="M620" s="585">
        <v>1798200</v>
      </c>
      <c r="N620" s="586"/>
      <c r="O620" s="736">
        <v>5373</v>
      </c>
      <c r="P620" s="586"/>
      <c r="Q620" s="586"/>
      <c r="R620" s="582">
        <f>M620/J620</f>
        <v>24975</v>
      </c>
      <c r="S620" s="709"/>
      <c r="T620" s="709"/>
      <c r="U620" s="709"/>
      <c r="V620" s="589"/>
      <c r="W620" s="709"/>
      <c r="X620" s="709"/>
      <c r="Y620" s="709"/>
      <c r="Z620" s="709"/>
    </row>
    <row r="621" spans="1:26" s="78" customFormat="1" ht="37.5" hidden="1">
      <c r="A621" s="764">
        <f t="shared" si="81"/>
        <v>22</v>
      </c>
      <c r="B621" s="765" t="s">
        <v>875</v>
      </c>
      <c r="C621" s="766" t="s">
        <v>221</v>
      </c>
      <c r="D621" s="768">
        <v>38610</v>
      </c>
      <c r="E621" s="768">
        <v>5703</v>
      </c>
      <c r="F621" s="768" t="s">
        <v>233</v>
      </c>
      <c r="G621" s="768">
        <v>1352</v>
      </c>
      <c r="H621" s="766">
        <v>9</v>
      </c>
      <c r="I621" s="766">
        <v>4</v>
      </c>
      <c r="J621" s="770">
        <v>129</v>
      </c>
      <c r="K621" s="590" t="s">
        <v>219</v>
      </c>
      <c r="L621" s="584">
        <f t="shared" si="82"/>
        <v>4082531.25</v>
      </c>
      <c r="M621" s="596">
        <v>3980000</v>
      </c>
      <c r="N621" s="597">
        <v>102531.25</v>
      </c>
      <c r="O621" s="587"/>
      <c r="P621" s="586"/>
      <c r="Q621" s="742"/>
      <c r="R621" s="582">
        <f>M621/2</f>
        <v>1990000</v>
      </c>
      <c r="S621" s="773">
        <v>2016</v>
      </c>
      <c r="T621" s="709"/>
      <c r="U621" s="709"/>
      <c r="V621" s="589"/>
      <c r="W621" s="709"/>
      <c r="X621" s="709"/>
      <c r="Y621" s="709"/>
      <c r="Z621" s="709"/>
    </row>
    <row r="622" spans="1:26" s="78" customFormat="1" ht="37.5" hidden="1">
      <c r="A622" s="764">
        <f t="shared" si="81"/>
        <v>23</v>
      </c>
      <c r="B622" s="592" t="s">
        <v>876</v>
      </c>
      <c r="C622" s="593" t="s">
        <v>221</v>
      </c>
      <c r="D622" s="646">
        <v>3766.44</v>
      </c>
      <c r="E622" s="646">
        <v>1255.48</v>
      </c>
      <c r="F622" s="683" t="s">
        <v>233</v>
      </c>
      <c r="G622" s="646">
        <v>1298</v>
      </c>
      <c r="H622" s="582">
        <v>9</v>
      </c>
      <c r="I622" s="582">
        <v>2</v>
      </c>
      <c r="J622" s="582">
        <v>69</v>
      </c>
      <c r="K622" s="590" t="s">
        <v>219</v>
      </c>
      <c r="L622" s="584">
        <f t="shared" si="82"/>
        <v>2072025</v>
      </c>
      <c r="M622" s="596">
        <v>1990000</v>
      </c>
      <c r="N622" s="597">
        <v>82025</v>
      </c>
      <c r="O622" s="587"/>
      <c r="P622" s="586"/>
      <c r="Q622" s="742"/>
      <c r="R622" s="582">
        <v>2000000</v>
      </c>
      <c r="S622" s="709">
        <v>2015</v>
      </c>
      <c r="T622" s="709"/>
      <c r="U622" s="709"/>
      <c r="V622" s="589"/>
      <c r="W622" s="709"/>
      <c r="X622" s="709"/>
      <c r="Y622" s="709"/>
      <c r="Z622" s="709"/>
    </row>
    <row r="623" spans="1:26" s="78" customFormat="1" ht="37.5" hidden="1">
      <c r="A623" s="764">
        <f t="shared" si="81"/>
        <v>24</v>
      </c>
      <c r="B623" s="765" t="s">
        <v>877</v>
      </c>
      <c r="C623" s="774" t="s">
        <v>221</v>
      </c>
      <c r="D623" s="768">
        <v>20311</v>
      </c>
      <c r="E623" s="768">
        <v>2610</v>
      </c>
      <c r="F623" s="768" t="s">
        <v>233</v>
      </c>
      <c r="G623" s="768">
        <v>753</v>
      </c>
      <c r="H623" s="766">
        <v>9</v>
      </c>
      <c r="I623" s="766">
        <v>2</v>
      </c>
      <c r="J623" s="766">
        <v>72</v>
      </c>
      <c r="K623" s="590" t="s">
        <v>219</v>
      </c>
      <c r="L623" s="584">
        <f t="shared" si="82"/>
        <v>2072025</v>
      </c>
      <c r="M623" s="596">
        <v>1990000</v>
      </c>
      <c r="N623" s="597">
        <v>82025</v>
      </c>
      <c r="O623" s="587"/>
      <c r="P623" s="586"/>
      <c r="Q623" s="742"/>
      <c r="R623" s="582">
        <v>2000000</v>
      </c>
      <c r="S623" s="771"/>
      <c r="T623" s="709"/>
      <c r="U623" s="709"/>
      <c r="V623" s="589"/>
      <c r="W623" s="709"/>
      <c r="X623" s="709"/>
      <c r="Y623" s="709"/>
      <c r="Z623" s="709"/>
    </row>
    <row r="624" spans="1:26" s="78" customFormat="1" ht="37.5" hidden="1">
      <c r="A624" s="764">
        <f t="shared" si="81"/>
        <v>25</v>
      </c>
      <c r="B624" s="592" t="s">
        <v>878</v>
      </c>
      <c r="C624" s="594" t="s">
        <v>217</v>
      </c>
      <c r="D624" s="619">
        <v>14152</v>
      </c>
      <c r="E624" s="619">
        <v>3364</v>
      </c>
      <c r="F624" s="619" t="s">
        <v>233</v>
      </c>
      <c r="G624" s="619">
        <v>608</v>
      </c>
      <c r="H624" s="599">
        <v>9</v>
      </c>
      <c r="I624" s="599">
        <v>2</v>
      </c>
      <c r="J624" s="599">
        <v>72</v>
      </c>
      <c r="K624" s="590" t="s">
        <v>219</v>
      </c>
      <c r="L624" s="584">
        <f t="shared" si="82"/>
        <v>2072025</v>
      </c>
      <c r="M624" s="585">
        <v>1990000</v>
      </c>
      <c r="N624" s="586">
        <v>82025</v>
      </c>
      <c r="O624" s="587"/>
      <c r="P624" s="586"/>
      <c r="Q624" s="742"/>
      <c r="R624" s="582">
        <v>2000000</v>
      </c>
      <c r="S624" s="709"/>
      <c r="T624" s="709"/>
      <c r="U624" s="709"/>
      <c r="V624" s="589"/>
      <c r="W624" s="709"/>
      <c r="X624" s="709"/>
      <c r="Y624" s="709"/>
      <c r="Z624" s="709"/>
    </row>
    <row r="625" spans="1:26" s="78" customFormat="1" hidden="1">
      <c r="A625" s="764">
        <f t="shared" si="81"/>
        <v>26</v>
      </c>
      <c r="B625" s="592" t="s">
        <v>879</v>
      </c>
      <c r="C625" s="744" t="s">
        <v>217</v>
      </c>
      <c r="D625" s="619">
        <v>10612</v>
      </c>
      <c r="E625" s="619">
        <v>2460</v>
      </c>
      <c r="F625" s="619" t="s">
        <v>233</v>
      </c>
      <c r="G625" s="619">
        <v>758</v>
      </c>
      <c r="H625" s="599">
        <v>5</v>
      </c>
      <c r="I625" s="599">
        <v>4</v>
      </c>
      <c r="J625" s="599">
        <v>60</v>
      </c>
      <c r="K625" s="667" t="s">
        <v>33</v>
      </c>
      <c r="L625" s="584">
        <f t="shared" si="82"/>
        <v>1686310.1099999999</v>
      </c>
      <c r="M625" s="585">
        <f>1650924+30408.13</f>
        <v>1681332.13</v>
      </c>
      <c r="N625" s="586"/>
      <c r="O625" s="736">
        <v>4977.9799999999996</v>
      </c>
      <c r="P625" s="586"/>
      <c r="Q625" s="586"/>
      <c r="R625" s="582">
        <f>M625/G625</f>
        <v>2218.1162664907652</v>
      </c>
      <c r="S625" s="709"/>
      <c r="T625" s="709"/>
      <c r="U625" s="709"/>
      <c r="V625" s="589"/>
      <c r="W625" s="709"/>
      <c r="X625" s="709"/>
      <c r="Y625" s="709"/>
      <c r="Z625" s="709"/>
    </row>
    <row r="626" spans="1:26" s="78" customFormat="1" hidden="1">
      <c r="A626" s="764">
        <f t="shared" si="81"/>
        <v>27</v>
      </c>
      <c r="B626" s="592" t="s">
        <v>880</v>
      </c>
      <c r="C626" s="744" t="s">
        <v>221</v>
      </c>
      <c r="D626" s="619">
        <v>22718</v>
      </c>
      <c r="E626" s="619">
        <v>3809.4</v>
      </c>
      <c r="F626" s="619" t="s">
        <v>233</v>
      </c>
      <c r="G626" s="619">
        <v>1612</v>
      </c>
      <c r="H626" s="599">
        <v>9</v>
      </c>
      <c r="I626" s="599">
        <v>2</v>
      </c>
      <c r="J626" s="599">
        <v>69</v>
      </c>
      <c r="K626" s="667" t="s">
        <v>33</v>
      </c>
      <c r="L626" s="584">
        <f>M626+N626+O626+P626+Q626+M627+N627+O627+Q627</f>
        <v>3541136.8</v>
      </c>
      <c r="M626" s="585">
        <v>2901146</v>
      </c>
      <c r="N626" s="586"/>
      <c r="O626" s="736">
        <v>10585.8</v>
      </c>
      <c r="P626" s="586"/>
      <c r="Q626" s="586"/>
      <c r="R626" s="582">
        <f>M626/G626</f>
        <v>1799.7183622828784</v>
      </c>
      <c r="S626" s="709"/>
      <c r="T626" s="709"/>
      <c r="U626" s="709"/>
      <c r="V626" s="589"/>
      <c r="W626" s="709"/>
      <c r="X626" s="709"/>
      <c r="Y626" s="709"/>
      <c r="Z626" s="709"/>
    </row>
    <row r="627" spans="1:26" s="78" customFormat="1" ht="37.5" hidden="1">
      <c r="A627" s="764"/>
      <c r="B627" s="592"/>
      <c r="C627" s="744"/>
      <c r="D627" s="619"/>
      <c r="E627" s="619"/>
      <c r="F627" s="619"/>
      <c r="G627" s="619"/>
      <c r="H627" s="599"/>
      <c r="I627" s="599"/>
      <c r="J627" s="599"/>
      <c r="K627" s="590" t="s">
        <v>237</v>
      </c>
      <c r="L627" s="584"/>
      <c r="M627" s="585">
        <v>627522</v>
      </c>
      <c r="N627" s="586"/>
      <c r="O627" s="736">
        <v>1883</v>
      </c>
      <c r="P627" s="586"/>
      <c r="Q627" s="586"/>
      <c r="R627" s="582"/>
      <c r="S627" s="709"/>
      <c r="T627" s="709"/>
      <c r="U627" s="709"/>
      <c r="V627" s="589"/>
      <c r="W627" s="709"/>
      <c r="X627" s="709"/>
      <c r="Y627" s="709"/>
      <c r="Z627" s="709"/>
    </row>
    <row r="628" spans="1:26" s="78" customFormat="1" hidden="1">
      <c r="A628" s="764">
        <f>A626+1</f>
        <v>28</v>
      </c>
      <c r="B628" s="592" t="s">
        <v>881</v>
      </c>
      <c r="C628" s="594" t="s">
        <v>221</v>
      </c>
      <c r="D628" s="619">
        <v>21599</v>
      </c>
      <c r="E628" s="619">
        <v>2561</v>
      </c>
      <c r="F628" s="619" t="s">
        <v>233</v>
      </c>
      <c r="G628" s="619">
        <v>814</v>
      </c>
      <c r="H628" s="599">
        <v>9</v>
      </c>
      <c r="I628" s="599">
        <v>1</v>
      </c>
      <c r="J628" s="599">
        <v>180</v>
      </c>
      <c r="K628" s="667" t="s">
        <v>33</v>
      </c>
      <c r="L628" s="584">
        <f>M628+N628+O628+P628+Q628</f>
        <v>1787191.14</v>
      </c>
      <c r="M628" s="585">
        <v>1781846</v>
      </c>
      <c r="N628" s="586"/>
      <c r="O628" s="736">
        <v>5345.14</v>
      </c>
      <c r="P628" s="586"/>
      <c r="Q628" s="586"/>
      <c r="R628" s="582">
        <f>M628/G628</f>
        <v>2189</v>
      </c>
      <c r="S628" s="709"/>
      <c r="T628" s="709"/>
      <c r="U628" s="709"/>
      <c r="V628" s="589"/>
      <c r="W628" s="709"/>
      <c r="X628" s="709"/>
      <c r="Y628" s="709"/>
      <c r="Z628" s="709"/>
    </row>
    <row r="629" spans="1:26" s="78" customFormat="1" hidden="1">
      <c r="A629" s="764">
        <f t="shared" si="81"/>
        <v>29</v>
      </c>
      <c r="B629" s="592" t="s">
        <v>882</v>
      </c>
      <c r="C629" s="744" t="s">
        <v>217</v>
      </c>
      <c r="D629" s="619">
        <v>16065</v>
      </c>
      <c r="E629" s="619">
        <v>1919</v>
      </c>
      <c r="F629" s="619" t="s">
        <v>233</v>
      </c>
      <c r="G629" s="619">
        <v>595</v>
      </c>
      <c r="H629" s="599">
        <v>9</v>
      </c>
      <c r="I629" s="599">
        <v>2</v>
      </c>
      <c r="J629" s="599">
        <v>71</v>
      </c>
      <c r="K629" s="667" t="s">
        <v>33</v>
      </c>
      <c r="L629" s="584">
        <f>M629+N629+O629+P629+Q629</f>
        <v>1306362.3600000001</v>
      </c>
      <c r="M629" s="585">
        <v>1302455</v>
      </c>
      <c r="N629" s="586"/>
      <c r="O629" s="736">
        <v>3907.36</v>
      </c>
      <c r="P629" s="586"/>
      <c r="Q629" s="586"/>
      <c r="R629" s="582">
        <f>M629/G629</f>
        <v>2189</v>
      </c>
      <c r="S629" s="709"/>
      <c r="T629" s="709"/>
      <c r="U629" s="709"/>
      <c r="V629" s="589"/>
      <c r="W629" s="709"/>
      <c r="X629" s="709"/>
      <c r="Y629" s="709"/>
      <c r="Z629" s="709"/>
    </row>
    <row r="630" spans="1:26" s="78" customFormat="1" ht="37.5" hidden="1">
      <c r="A630" s="764">
        <f t="shared" si="81"/>
        <v>30</v>
      </c>
      <c r="B630" s="592" t="s">
        <v>883</v>
      </c>
      <c r="C630" s="744" t="s">
        <v>221</v>
      </c>
      <c r="D630" s="619">
        <v>26600</v>
      </c>
      <c r="E630" s="619">
        <v>2456</v>
      </c>
      <c r="F630" s="594" t="s">
        <v>233</v>
      </c>
      <c r="G630" s="619">
        <v>1900</v>
      </c>
      <c r="H630" s="599">
        <v>5</v>
      </c>
      <c r="I630" s="599">
        <v>4</v>
      </c>
      <c r="J630" s="599">
        <v>78</v>
      </c>
      <c r="K630" s="590" t="s">
        <v>236</v>
      </c>
      <c r="L630" s="1348">
        <f>M630+N630+O630+P630+Q630+M631+N631+O631+Q631</f>
        <v>4156956.3</v>
      </c>
      <c r="M630" s="585">
        <v>2045152.37</v>
      </c>
      <c r="N630" s="586"/>
      <c r="O630" s="736">
        <v>12477.3</v>
      </c>
      <c r="P630" s="586"/>
      <c r="Q630" s="586"/>
      <c r="R630" s="582">
        <f>M630/G630</f>
        <v>1076.3959842105264</v>
      </c>
      <c r="S630" s="601"/>
      <c r="T630" s="709"/>
      <c r="U630" s="586"/>
      <c r="V630" s="589"/>
      <c r="W630" s="709"/>
      <c r="X630" s="709"/>
      <c r="Y630" s="709"/>
      <c r="Z630" s="709"/>
    </row>
    <row r="631" spans="1:26" s="78" customFormat="1" hidden="1">
      <c r="A631" s="764"/>
      <c r="B631" s="592"/>
      <c r="C631" s="744"/>
      <c r="D631" s="619"/>
      <c r="E631" s="619"/>
      <c r="F631" s="594"/>
      <c r="G631" s="619"/>
      <c r="H631" s="599"/>
      <c r="I631" s="599"/>
      <c r="J631" s="599"/>
      <c r="K631" s="590" t="s">
        <v>38</v>
      </c>
      <c r="L631" s="1348"/>
      <c r="M631" s="585">
        <v>2093047.63</v>
      </c>
      <c r="N631" s="586"/>
      <c r="O631" s="736">
        <v>6279</v>
      </c>
      <c r="P631" s="586"/>
      <c r="Q631" s="586"/>
      <c r="R631" s="582">
        <f>M631/E630</f>
        <v>852.21809039087941</v>
      </c>
      <c r="S631" s="601"/>
      <c r="T631" s="709"/>
      <c r="U631" s="709"/>
      <c r="V631" s="589"/>
      <c r="W631" s="709"/>
      <c r="X631" s="709"/>
      <c r="Y631" s="709"/>
      <c r="Z631" s="709"/>
    </row>
    <row r="632" spans="1:26" s="78" customFormat="1" hidden="1">
      <c r="A632" s="764">
        <f>A630+1</f>
        <v>31</v>
      </c>
      <c r="B632" s="592" t="s">
        <v>884</v>
      </c>
      <c r="C632" s="744" t="s">
        <v>221</v>
      </c>
      <c r="D632" s="619">
        <v>13745</v>
      </c>
      <c r="E632" s="619">
        <v>2124</v>
      </c>
      <c r="F632" s="619" t="s">
        <v>233</v>
      </c>
      <c r="G632" s="619">
        <v>869</v>
      </c>
      <c r="H632" s="599">
        <v>5</v>
      </c>
      <c r="I632" s="599">
        <v>1</v>
      </c>
      <c r="J632" s="599">
        <v>70</v>
      </c>
      <c r="K632" s="590" t="s">
        <v>33</v>
      </c>
      <c r="L632" s="1348">
        <f>M632+N632+O632+P632+Q632+M633+N633+O633+Q633</f>
        <v>1899450.33</v>
      </c>
      <c r="M632" s="585">
        <v>1806837.0599999998</v>
      </c>
      <c r="N632" s="586"/>
      <c r="O632" s="736">
        <v>5706.33</v>
      </c>
      <c r="P632" s="586"/>
      <c r="Q632" s="586"/>
      <c r="R632" s="582">
        <f>M632/G632</f>
        <v>2079.2141081703103</v>
      </c>
      <c r="S632" s="709"/>
      <c r="T632" s="709"/>
      <c r="U632" s="709"/>
      <c r="V632" s="589"/>
      <c r="W632" s="709"/>
      <c r="X632" s="709"/>
      <c r="Y632" s="709"/>
      <c r="Z632" s="709"/>
    </row>
    <row r="633" spans="1:26" s="78" customFormat="1" ht="37.5" hidden="1">
      <c r="A633" s="764"/>
      <c r="B633" s="592"/>
      <c r="C633" s="744"/>
      <c r="D633" s="619"/>
      <c r="E633" s="619"/>
      <c r="F633" s="619"/>
      <c r="G633" s="619"/>
      <c r="H633" s="599"/>
      <c r="I633" s="599"/>
      <c r="J633" s="599"/>
      <c r="K633" s="590" t="s">
        <v>237</v>
      </c>
      <c r="L633" s="1348"/>
      <c r="M633" s="585">
        <v>85844.940000000177</v>
      </c>
      <c r="N633" s="586"/>
      <c r="O633" s="736">
        <v>1062</v>
      </c>
      <c r="P633" s="586"/>
      <c r="Q633" s="586"/>
      <c r="R633" s="582">
        <f>M633/J632</f>
        <v>1226.3562857142883</v>
      </c>
      <c r="S633" s="775"/>
      <c r="T633" s="709"/>
      <c r="U633" s="709"/>
      <c r="V633" s="589"/>
      <c r="W633" s="709"/>
      <c r="X633" s="709"/>
      <c r="Y633" s="709"/>
      <c r="Z633" s="709"/>
    </row>
    <row r="634" spans="1:26" s="78" customFormat="1" ht="37.5" hidden="1">
      <c r="A634" s="764">
        <f>A632+1</f>
        <v>32</v>
      </c>
      <c r="B634" s="592" t="s">
        <v>885</v>
      </c>
      <c r="C634" s="744" t="s">
        <v>221</v>
      </c>
      <c r="D634" s="619">
        <v>17682</v>
      </c>
      <c r="E634" s="619">
        <v>2256</v>
      </c>
      <c r="F634" s="594" t="s">
        <v>233</v>
      </c>
      <c r="G634" s="619">
        <v>1117</v>
      </c>
      <c r="H634" s="599">
        <v>9</v>
      </c>
      <c r="I634" s="599">
        <v>1</v>
      </c>
      <c r="J634" s="599">
        <v>173</v>
      </c>
      <c r="K634" s="590" t="s">
        <v>236</v>
      </c>
      <c r="L634" s="584">
        <f>M634+N634+O634+P634+Q634+M635+N635+O635+Q635</f>
        <v>2458002.14</v>
      </c>
      <c r="M634" s="585">
        <v>593648</v>
      </c>
      <c r="N634" s="586"/>
      <c r="O634" s="736">
        <v>7335.14</v>
      </c>
      <c r="P634" s="586"/>
      <c r="Q634" s="586"/>
      <c r="R634" s="582">
        <f>M634/G634</f>
        <v>531.46642793196065</v>
      </c>
      <c r="S634" s="601"/>
      <c r="T634" s="709"/>
      <c r="U634" s="709"/>
      <c r="V634" s="589"/>
      <c r="W634" s="709"/>
      <c r="X634" s="709"/>
      <c r="Y634" s="709"/>
      <c r="Z634" s="709"/>
    </row>
    <row r="635" spans="1:26" s="78" customFormat="1" ht="37.5" hidden="1">
      <c r="A635" s="764"/>
      <c r="B635" s="592"/>
      <c r="C635" s="744"/>
      <c r="D635" s="619"/>
      <c r="E635" s="619"/>
      <c r="F635" s="594"/>
      <c r="G635" s="619"/>
      <c r="H635" s="599"/>
      <c r="I635" s="599"/>
      <c r="J635" s="599"/>
      <c r="K635" s="590" t="s">
        <v>237</v>
      </c>
      <c r="L635" s="584"/>
      <c r="M635" s="585">
        <v>1851465</v>
      </c>
      <c r="N635" s="586"/>
      <c r="O635" s="736">
        <v>5554</v>
      </c>
      <c r="P635" s="586"/>
      <c r="Q635" s="586"/>
      <c r="R635" s="582"/>
      <c r="S635" s="595"/>
      <c r="T635" s="709"/>
      <c r="U635" s="709"/>
      <c r="V635" s="589"/>
      <c r="W635" s="709"/>
      <c r="X635" s="709"/>
      <c r="Y635" s="709"/>
      <c r="Z635" s="709"/>
    </row>
    <row r="636" spans="1:26" s="78" customFormat="1" ht="37.5" hidden="1">
      <c r="A636" s="764">
        <f>A634+1</f>
        <v>33</v>
      </c>
      <c r="B636" s="592" t="s">
        <v>886</v>
      </c>
      <c r="C636" s="744" t="s">
        <v>221</v>
      </c>
      <c r="D636" s="619">
        <v>9998.2999999999993</v>
      </c>
      <c r="E636" s="619">
        <v>1953</v>
      </c>
      <c r="F636" s="619" t="s">
        <v>222</v>
      </c>
      <c r="G636" s="619">
        <v>909</v>
      </c>
      <c r="H636" s="599">
        <v>5</v>
      </c>
      <c r="I636" s="599">
        <v>3</v>
      </c>
      <c r="J636" s="599">
        <v>60</v>
      </c>
      <c r="K636" s="590" t="s">
        <v>237</v>
      </c>
      <c r="L636" s="584">
        <f>M636+N636+O636+P636+Q636</f>
        <v>852453.61</v>
      </c>
      <c r="M636" s="585">
        <v>847976.11</v>
      </c>
      <c r="N636" s="586"/>
      <c r="O636" s="736">
        <v>4477.5</v>
      </c>
      <c r="P636" s="586"/>
      <c r="Q636" s="586"/>
      <c r="R636" s="582">
        <f>M636/J636</f>
        <v>14132.935166666666</v>
      </c>
      <c r="S636" s="709"/>
      <c r="T636" s="709"/>
      <c r="U636" s="586"/>
      <c r="V636" s="589"/>
      <c r="W636" s="709"/>
      <c r="X636" s="709"/>
      <c r="Y636" s="709"/>
      <c r="Z636" s="709"/>
    </row>
    <row r="637" spans="1:26" s="78" customFormat="1" hidden="1">
      <c r="A637" s="764">
        <f t="shared" si="81"/>
        <v>34</v>
      </c>
      <c r="B637" s="592" t="s">
        <v>887</v>
      </c>
      <c r="C637" s="744" t="s">
        <v>221</v>
      </c>
      <c r="D637" s="619">
        <v>12267</v>
      </c>
      <c r="E637" s="619">
        <v>2500</v>
      </c>
      <c r="F637" s="619" t="s">
        <v>233</v>
      </c>
      <c r="G637" s="619">
        <v>1244</v>
      </c>
      <c r="H637" s="599">
        <v>5</v>
      </c>
      <c r="I637" s="599">
        <v>1</v>
      </c>
      <c r="J637" s="599">
        <v>68</v>
      </c>
      <c r="K637" s="667" t="s">
        <v>33</v>
      </c>
      <c r="L637" s="584">
        <f>M637+N637+O637+P637+Q637</f>
        <v>2717600.95</v>
      </c>
      <c r="M637" s="585">
        <v>2709432</v>
      </c>
      <c r="N637" s="586"/>
      <c r="O637" s="736">
        <v>8168.95</v>
      </c>
      <c r="P637" s="586"/>
      <c r="Q637" s="586"/>
      <c r="R637" s="582">
        <f>M637/G637</f>
        <v>2178</v>
      </c>
      <c r="S637" s="709"/>
      <c r="T637" s="709"/>
      <c r="U637" s="709"/>
      <c r="V637" s="589"/>
      <c r="W637" s="709"/>
      <c r="X637" s="709"/>
      <c r="Y637" s="709"/>
      <c r="Z637" s="709"/>
    </row>
    <row r="638" spans="1:26" s="78" customFormat="1" hidden="1">
      <c r="A638" s="764">
        <f t="shared" si="81"/>
        <v>35</v>
      </c>
      <c r="B638" s="592" t="s">
        <v>888</v>
      </c>
      <c r="C638" s="744" t="s">
        <v>221</v>
      </c>
      <c r="D638" s="619">
        <v>12995</v>
      </c>
      <c r="E638" s="619">
        <v>2640</v>
      </c>
      <c r="F638" s="619" t="s">
        <v>233</v>
      </c>
      <c r="G638" s="619">
        <v>905</v>
      </c>
      <c r="H638" s="599">
        <v>9</v>
      </c>
      <c r="I638" s="599">
        <v>1</v>
      </c>
      <c r="J638" s="599">
        <v>50</v>
      </c>
      <c r="K638" s="735" t="s">
        <v>33</v>
      </c>
      <c r="L638" s="584">
        <f>M638+N638+O638+P638+Q638+M639+N639+O639+Q639</f>
        <v>1989551.14</v>
      </c>
      <c r="M638" s="585">
        <v>1126595</v>
      </c>
      <c r="N638" s="586"/>
      <c r="O638" s="736">
        <v>5943.14</v>
      </c>
      <c r="P638" s="586"/>
      <c r="Q638" s="586"/>
      <c r="R638" s="582">
        <f>M638/G638</f>
        <v>1244.8563535911603</v>
      </c>
      <c r="S638" s="709"/>
      <c r="T638" s="709"/>
      <c r="U638" s="709"/>
      <c r="V638" s="589"/>
      <c r="W638" s="709"/>
      <c r="X638" s="709"/>
      <c r="Y638" s="709"/>
      <c r="Z638" s="709"/>
    </row>
    <row r="639" spans="1:26" s="78" customFormat="1" ht="37.5" hidden="1">
      <c r="A639" s="764"/>
      <c r="B639" s="592"/>
      <c r="C639" s="744"/>
      <c r="D639" s="619"/>
      <c r="E639" s="619"/>
      <c r="F639" s="619"/>
      <c r="G639" s="619"/>
      <c r="H639" s="599"/>
      <c r="I639" s="599"/>
      <c r="J639" s="599"/>
      <c r="K639" s="735" t="s">
        <v>237</v>
      </c>
      <c r="L639" s="584"/>
      <c r="M639" s="585">
        <v>854450</v>
      </c>
      <c r="N639" s="586"/>
      <c r="O639" s="736">
        <v>2563</v>
      </c>
      <c r="P639" s="586"/>
      <c r="Q639" s="586"/>
      <c r="R639" s="582"/>
      <c r="S639" s="709"/>
      <c r="T639" s="709"/>
      <c r="U639" s="709"/>
      <c r="V639" s="589"/>
      <c r="W639" s="709"/>
      <c r="X639" s="709"/>
      <c r="Y639" s="709"/>
      <c r="Z639" s="709"/>
    </row>
    <row r="640" spans="1:26" s="78" customFormat="1" hidden="1">
      <c r="A640" s="764">
        <f>A638+1</f>
        <v>36</v>
      </c>
      <c r="B640" s="1346" t="s">
        <v>889</v>
      </c>
      <c r="C640" s="744" t="s">
        <v>221</v>
      </c>
      <c r="D640" s="619">
        <v>35654</v>
      </c>
      <c r="E640" s="619">
        <v>3220</v>
      </c>
      <c r="F640" s="619" t="s">
        <v>222</v>
      </c>
      <c r="G640" s="619">
        <v>2575</v>
      </c>
      <c r="H640" s="599">
        <v>6</v>
      </c>
      <c r="I640" s="599">
        <v>6</v>
      </c>
      <c r="J640" s="599">
        <v>82</v>
      </c>
      <c r="K640" s="735" t="s">
        <v>224</v>
      </c>
      <c r="L640" s="1348">
        <f>M640+N640+O640+P640+Q640+M641+N641+O641+Q641</f>
        <v>3734985</v>
      </c>
      <c r="M640" s="741">
        <v>1638360</v>
      </c>
      <c r="N640" s="742">
        <v>24600</v>
      </c>
      <c r="O640" s="743"/>
      <c r="P640" s="742"/>
      <c r="Q640" s="586"/>
      <c r="R640" s="744">
        <f>M640/J640</f>
        <v>19980</v>
      </c>
      <c r="S640" s="709"/>
      <c r="T640" s="709"/>
      <c r="U640" s="709"/>
      <c r="V640" s="589"/>
      <c r="W640" s="709"/>
      <c r="X640" s="709"/>
      <c r="Y640" s="709"/>
      <c r="Z640" s="709"/>
    </row>
    <row r="641" spans="1:26" s="78" customFormat="1" ht="37.5" hidden="1">
      <c r="A641" s="764"/>
      <c r="B641" s="1346"/>
      <c r="C641" s="744"/>
      <c r="D641" s="619"/>
      <c r="E641" s="619"/>
      <c r="F641" s="619"/>
      <c r="G641" s="619"/>
      <c r="H641" s="599"/>
      <c r="I641" s="599"/>
      <c r="J641" s="599"/>
      <c r="K641" s="735" t="s">
        <v>219</v>
      </c>
      <c r="L641" s="1348"/>
      <c r="M641" s="741">
        <v>1990000</v>
      </c>
      <c r="N641" s="742">
        <v>82025</v>
      </c>
      <c r="O641" s="743"/>
      <c r="P641" s="742"/>
      <c r="Q641" s="586"/>
      <c r="R641" s="744">
        <v>2000000</v>
      </c>
      <c r="S641" s="709"/>
      <c r="T641" s="709"/>
      <c r="U641" s="709"/>
      <c r="V641" s="589"/>
      <c r="W641" s="709"/>
      <c r="X641" s="709"/>
      <c r="Y641" s="709"/>
      <c r="Z641" s="709"/>
    </row>
    <row r="642" spans="1:26" s="78" customFormat="1" hidden="1">
      <c r="A642" s="764">
        <f>A640+1</f>
        <v>37</v>
      </c>
      <c r="B642" s="592" t="s">
        <v>890</v>
      </c>
      <c r="C642" s="744" t="s">
        <v>221</v>
      </c>
      <c r="D642" s="619">
        <v>36256</v>
      </c>
      <c r="E642" s="619">
        <v>3220</v>
      </c>
      <c r="F642" s="619" t="s">
        <v>222</v>
      </c>
      <c r="G642" s="619">
        <v>2482</v>
      </c>
      <c r="H642" s="599">
        <v>5</v>
      </c>
      <c r="I642" s="599">
        <v>6</v>
      </c>
      <c r="J642" s="599">
        <v>89</v>
      </c>
      <c r="K642" s="590" t="s">
        <v>224</v>
      </c>
      <c r="L642" s="584">
        <f t="shared" ref="L642:L668" si="83">M642+N642+O642+P642+Q642</f>
        <v>1804920</v>
      </c>
      <c r="M642" s="741">
        <v>1778220</v>
      </c>
      <c r="N642" s="742">
        <v>26700</v>
      </c>
      <c r="O642" s="743"/>
      <c r="P642" s="742"/>
      <c r="Q642" s="586"/>
      <c r="R642" s="744">
        <f>M642/J642</f>
        <v>19980</v>
      </c>
      <c r="S642" s="709"/>
      <c r="T642" s="709"/>
      <c r="U642" s="709"/>
      <c r="V642" s="589"/>
      <c r="W642" s="709"/>
      <c r="X642" s="709"/>
      <c r="Y642" s="709"/>
      <c r="Z642" s="709"/>
    </row>
    <row r="643" spans="1:26" s="78" customFormat="1" hidden="1">
      <c r="A643" s="764">
        <f t="shared" si="81"/>
        <v>38</v>
      </c>
      <c r="B643" s="592" t="s">
        <v>891</v>
      </c>
      <c r="C643" s="744" t="s">
        <v>221</v>
      </c>
      <c r="D643" s="619">
        <v>13984</v>
      </c>
      <c r="E643" s="619">
        <v>2113</v>
      </c>
      <c r="F643" s="619" t="s">
        <v>222</v>
      </c>
      <c r="G643" s="619">
        <v>1515</v>
      </c>
      <c r="H643" s="599">
        <v>4</v>
      </c>
      <c r="I643" s="599">
        <v>4</v>
      </c>
      <c r="J643" s="599">
        <v>48</v>
      </c>
      <c r="K643" s="590" t="s">
        <v>238</v>
      </c>
      <c r="L643" s="584">
        <f t="shared" si="83"/>
        <v>3275550</v>
      </c>
      <c r="M643" s="607">
        <v>3246750</v>
      </c>
      <c r="N643" s="586">
        <v>28800</v>
      </c>
      <c r="O643" s="598"/>
      <c r="P643" s="597"/>
      <c r="Q643" s="586"/>
      <c r="R643" s="599">
        <f>M643/J643</f>
        <v>67640.625</v>
      </c>
      <c r="S643" s="709"/>
      <c r="T643" s="709"/>
      <c r="U643" s="709"/>
      <c r="V643" s="589"/>
      <c r="W643" s="709"/>
      <c r="X643" s="709"/>
      <c r="Y643" s="709"/>
      <c r="Z643" s="709"/>
    </row>
    <row r="644" spans="1:26" s="78" customFormat="1" ht="37.5" hidden="1">
      <c r="A644" s="764">
        <f t="shared" si="81"/>
        <v>39</v>
      </c>
      <c r="B644" s="592" t="s">
        <v>892</v>
      </c>
      <c r="C644" s="594" t="s">
        <v>239</v>
      </c>
      <c r="D644" s="619">
        <v>7995</v>
      </c>
      <c r="E644" s="619">
        <v>1004</v>
      </c>
      <c r="F644" s="594" t="s">
        <v>222</v>
      </c>
      <c r="G644" s="619">
        <v>836</v>
      </c>
      <c r="H644" s="599">
        <v>3</v>
      </c>
      <c r="I644" s="599">
        <v>3</v>
      </c>
      <c r="J644" s="599">
        <v>20</v>
      </c>
      <c r="K644" s="590" t="s">
        <v>30</v>
      </c>
      <c r="L644" s="584">
        <f t="shared" si="83"/>
        <v>500992.5</v>
      </c>
      <c r="M644" s="585">
        <v>499500</v>
      </c>
      <c r="N644" s="586"/>
      <c r="O644" s="736">
        <v>1492.5</v>
      </c>
      <c r="P644" s="586"/>
      <c r="Q644" s="586"/>
      <c r="R644" s="582">
        <f>M644/J644</f>
        <v>24975</v>
      </c>
      <c r="S644" s="601"/>
      <c r="T644" s="709"/>
      <c r="U644" s="709"/>
      <c r="V644" s="589"/>
      <c r="W644" s="709"/>
      <c r="X644" s="709"/>
      <c r="Y644" s="709"/>
      <c r="Z644" s="709"/>
    </row>
    <row r="645" spans="1:26" s="78" customFormat="1" hidden="1">
      <c r="A645" s="764">
        <f t="shared" si="81"/>
        <v>40</v>
      </c>
      <c r="B645" s="592" t="s">
        <v>893</v>
      </c>
      <c r="C645" s="744" t="s">
        <v>221</v>
      </c>
      <c r="D645" s="619">
        <v>12561</v>
      </c>
      <c r="E645" s="619">
        <v>2440</v>
      </c>
      <c r="F645" s="619" t="s">
        <v>222</v>
      </c>
      <c r="G645" s="619">
        <v>1150</v>
      </c>
      <c r="H645" s="599">
        <v>5</v>
      </c>
      <c r="I645" s="599">
        <v>4</v>
      </c>
      <c r="J645" s="599">
        <v>76</v>
      </c>
      <c r="K645" s="590" t="s">
        <v>238</v>
      </c>
      <c r="L645" s="584">
        <f t="shared" si="83"/>
        <v>3299520</v>
      </c>
      <c r="M645" s="607">
        <v>3276720</v>
      </c>
      <c r="N645" s="586">
        <v>22800</v>
      </c>
      <c r="O645" s="598"/>
      <c r="P645" s="597"/>
      <c r="Q645" s="586"/>
      <c r="R645" s="599">
        <f>M645/J645</f>
        <v>43114.73684210526</v>
      </c>
      <c r="S645" s="709"/>
      <c r="T645" s="709"/>
      <c r="U645" s="709"/>
      <c r="V645" s="589"/>
      <c r="W645" s="709"/>
      <c r="X645" s="709"/>
      <c r="Y645" s="709"/>
      <c r="Z645" s="709"/>
    </row>
    <row r="646" spans="1:26" s="78" customFormat="1" hidden="1">
      <c r="A646" s="764">
        <f t="shared" si="81"/>
        <v>41</v>
      </c>
      <c r="B646" s="592" t="s">
        <v>894</v>
      </c>
      <c r="C646" s="744" t="s">
        <v>221</v>
      </c>
      <c r="D646" s="619">
        <v>12125</v>
      </c>
      <c r="E646" s="619">
        <v>2580</v>
      </c>
      <c r="F646" s="619" t="s">
        <v>233</v>
      </c>
      <c r="G646" s="619">
        <v>945</v>
      </c>
      <c r="H646" s="599">
        <v>5</v>
      </c>
      <c r="I646" s="599">
        <v>4</v>
      </c>
      <c r="J646" s="599">
        <v>60</v>
      </c>
      <c r="K646" s="590" t="s">
        <v>33</v>
      </c>
      <c r="L646" s="584">
        <f t="shared" si="83"/>
        <v>2064415.82</v>
      </c>
      <c r="M646" s="585">
        <v>2058210</v>
      </c>
      <c r="N646" s="586"/>
      <c r="O646" s="736">
        <v>6205.82</v>
      </c>
      <c r="P646" s="586"/>
      <c r="Q646" s="586"/>
      <c r="R646" s="582">
        <f>M646/G646</f>
        <v>2178</v>
      </c>
      <c r="S646" s="709"/>
      <c r="T646" s="709"/>
      <c r="U646" s="709"/>
      <c r="V646" s="589"/>
      <c r="W646" s="709"/>
      <c r="X646" s="709"/>
      <c r="Y646" s="709"/>
      <c r="Z646" s="709"/>
    </row>
    <row r="647" spans="1:26" s="78" customFormat="1" ht="37.5" hidden="1">
      <c r="A647" s="764">
        <f t="shared" si="81"/>
        <v>42</v>
      </c>
      <c r="B647" s="592" t="s">
        <v>895</v>
      </c>
      <c r="C647" s="744" t="s">
        <v>221</v>
      </c>
      <c r="D647" s="619">
        <v>18052</v>
      </c>
      <c r="E647" s="619">
        <v>3376</v>
      </c>
      <c r="F647" s="619" t="s">
        <v>222</v>
      </c>
      <c r="G647" s="619">
        <v>1634</v>
      </c>
      <c r="H647" s="599">
        <v>5</v>
      </c>
      <c r="I647" s="599">
        <v>6</v>
      </c>
      <c r="J647" s="599">
        <v>100</v>
      </c>
      <c r="K647" s="590" t="s">
        <v>237</v>
      </c>
      <c r="L647" s="584">
        <f t="shared" si="83"/>
        <v>2504962.5</v>
      </c>
      <c r="M647" s="585">
        <v>2497500</v>
      </c>
      <c r="N647" s="586"/>
      <c r="O647" s="736">
        <v>7462.5</v>
      </c>
      <c r="P647" s="586"/>
      <c r="Q647" s="586"/>
      <c r="R647" s="582">
        <f>M647/J647</f>
        <v>24975</v>
      </c>
      <c r="S647" s="709"/>
      <c r="T647" s="709"/>
      <c r="U647" s="709"/>
      <c r="V647" s="589"/>
      <c r="W647" s="709"/>
      <c r="X647" s="709"/>
      <c r="Y647" s="709"/>
      <c r="Z647" s="709"/>
    </row>
    <row r="648" spans="1:26" s="529" customFormat="1" hidden="1">
      <c r="A648" s="764">
        <f t="shared" si="81"/>
        <v>43</v>
      </c>
      <c r="B648" s="592" t="s">
        <v>896</v>
      </c>
      <c r="C648" s="744" t="s">
        <v>221</v>
      </c>
      <c r="D648" s="619">
        <v>38158</v>
      </c>
      <c r="E648" s="619">
        <v>7510</v>
      </c>
      <c r="F648" s="619" t="s">
        <v>233</v>
      </c>
      <c r="G648" s="619">
        <v>1097</v>
      </c>
      <c r="H648" s="599">
        <v>9</v>
      </c>
      <c r="I648" s="599">
        <v>1</v>
      </c>
      <c r="J648" s="599">
        <v>102</v>
      </c>
      <c r="K648" s="667" t="s">
        <v>33</v>
      </c>
      <c r="L648" s="584">
        <f t="shared" si="83"/>
        <v>2632624.61</v>
      </c>
      <c r="M648" s="585">
        <f>2389266+236154.81</f>
        <v>2625420.81</v>
      </c>
      <c r="N648" s="586"/>
      <c r="O648" s="736">
        <v>7203.8</v>
      </c>
      <c r="P648" s="586"/>
      <c r="Q648" s="586"/>
      <c r="R648" s="582">
        <f>M648/G648</f>
        <v>2393.2732999088425</v>
      </c>
      <c r="S648" s="709"/>
      <c r="T648" s="771"/>
      <c r="U648" s="773"/>
      <c r="V648" s="589"/>
      <c r="W648" s="771"/>
      <c r="X648" s="771"/>
      <c r="Y648" s="771"/>
      <c r="Z648" s="771"/>
    </row>
    <row r="649" spans="1:26" s="75" customFormat="1" hidden="1">
      <c r="A649" s="764">
        <f t="shared" si="81"/>
        <v>44</v>
      </c>
      <c r="B649" s="592" t="s">
        <v>897</v>
      </c>
      <c r="C649" s="744" t="s">
        <v>221</v>
      </c>
      <c r="D649" s="619">
        <v>18650</v>
      </c>
      <c r="E649" s="619">
        <v>3020</v>
      </c>
      <c r="F649" s="619" t="s">
        <v>233</v>
      </c>
      <c r="G649" s="619">
        <v>961</v>
      </c>
      <c r="H649" s="599">
        <v>9</v>
      </c>
      <c r="I649" s="599">
        <v>1</v>
      </c>
      <c r="J649" s="599">
        <v>143</v>
      </c>
      <c r="K649" s="667" t="s">
        <v>33</v>
      </c>
      <c r="L649" s="584">
        <f t="shared" si="83"/>
        <v>2109940.29</v>
      </c>
      <c r="M649" s="585">
        <v>2103629</v>
      </c>
      <c r="N649" s="586"/>
      <c r="O649" s="736">
        <v>6311.29</v>
      </c>
      <c r="P649" s="586"/>
      <c r="Q649" s="586"/>
      <c r="R649" s="582">
        <f>M649/G649</f>
        <v>2189</v>
      </c>
      <c r="S649" s="709"/>
      <c r="T649" s="601"/>
      <c r="U649" s="709"/>
      <c r="V649" s="589"/>
      <c r="W649" s="601"/>
      <c r="X649" s="601"/>
      <c r="Y649" s="601"/>
      <c r="Z649" s="601"/>
    </row>
    <row r="650" spans="1:26" s="75" customFormat="1" hidden="1">
      <c r="A650" s="764">
        <f t="shared" si="81"/>
        <v>45</v>
      </c>
      <c r="B650" s="592" t="s">
        <v>898</v>
      </c>
      <c r="C650" s="744" t="s">
        <v>221</v>
      </c>
      <c r="D650" s="619">
        <v>18567</v>
      </c>
      <c r="E650" s="619">
        <v>3020</v>
      </c>
      <c r="F650" s="619" t="s">
        <v>233</v>
      </c>
      <c r="G650" s="619">
        <v>961</v>
      </c>
      <c r="H650" s="599">
        <v>9</v>
      </c>
      <c r="I650" s="599">
        <v>1</v>
      </c>
      <c r="J650" s="599">
        <v>136</v>
      </c>
      <c r="K650" s="590" t="s">
        <v>33</v>
      </c>
      <c r="L650" s="584">
        <f t="shared" si="83"/>
        <v>2109940.29</v>
      </c>
      <c r="M650" s="585">
        <v>2103629</v>
      </c>
      <c r="N650" s="586"/>
      <c r="O650" s="736">
        <v>6311.29</v>
      </c>
      <c r="P650" s="586"/>
      <c r="Q650" s="586"/>
      <c r="R650" s="582">
        <f>M650/G650</f>
        <v>2189</v>
      </c>
      <c r="S650" s="709"/>
      <c r="T650" s="601"/>
      <c r="U650" s="709"/>
      <c r="V650" s="589"/>
      <c r="W650" s="601"/>
      <c r="X650" s="601"/>
      <c r="Y650" s="601"/>
      <c r="Z650" s="601"/>
    </row>
    <row r="651" spans="1:26" s="75" customFormat="1" ht="37.5" hidden="1">
      <c r="A651" s="764">
        <f t="shared" si="81"/>
        <v>46</v>
      </c>
      <c r="B651" s="592" t="s">
        <v>899</v>
      </c>
      <c r="C651" s="744" t="s">
        <v>221</v>
      </c>
      <c r="D651" s="619">
        <v>5425.5</v>
      </c>
      <c r="E651" s="619">
        <v>2170.1999999999998</v>
      </c>
      <c r="F651" s="594" t="s">
        <v>233</v>
      </c>
      <c r="G651" s="619">
        <v>983</v>
      </c>
      <c r="H651" s="599">
        <v>5</v>
      </c>
      <c r="I651" s="599">
        <v>1</v>
      </c>
      <c r="J651" s="599">
        <v>32</v>
      </c>
      <c r="K651" s="590" t="s">
        <v>236</v>
      </c>
      <c r="L651" s="584">
        <f t="shared" si="83"/>
        <v>1977487.58</v>
      </c>
      <c r="M651" s="585">
        <v>1971032.02</v>
      </c>
      <c r="N651" s="586"/>
      <c r="O651" s="736">
        <v>6455.56</v>
      </c>
      <c r="P651" s="586"/>
      <c r="Q651" s="586"/>
      <c r="R651" s="582">
        <f>M651/G651</f>
        <v>2005.1190437436419</v>
      </c>
      <c r="S651" s="601"/>
      <c r="T651" s="601"/>
      <c r="U651" s="586"/>
      <c r="V651" s="589"/>
      <c r="W651" s="601"/>
      <c r="X651" s="601"/>
      <c r="Y651" s="601"/>
      <c r="Z651" s="601"/>
    </row>
    <row r="652" spans="1:26" s="75" customFormat="1" ht="37.5" hidden="1">
      <c r="A652" s="764">
        <f t="shared" si="81"/>
        <v>47</v>
      </c>
      <c r="B652" s="592" t="s">
        <v>900</v>
      </c>
      <c r="C652" s="744" t="s">
        <v>239</v>
      </c>
      <c r="D652" s="619">
        <v>5834</v>
      </c>
      <c r="E652" s="619">
        <v>720</v>
      </c>
      <c r="F652" s="619" t="s">
        <v>222</v>
      </c>
      <c r="G652" s="619">
        <v>1264</v>
      </c>
      <c r="H652" s="599">
        <v>2</v>
      </c>
      <c r="I652" s="599">
        <v>3</v>
      </c>
      <c r="J652" s="599">
        <v>15</v>
      </c>
      <c r="K652" s="590" t="s">
        <v>237</v>
      </c>
      <c r="L652" s="584">
        <f t="shared" si="83"/>
        <v>375744.38</v>
      </c>
      <c r="M652" s="585">
        <v>374625</v>
      </c>
      <c r="N652" s="586"/>
      <c r="O652" s="736">
        <v>1119.3800000000001</v>
      </c>
      <c r="P652" s="586"/>
      <c r="Q652" s="586"/>
      <c r="R652" s="582">
        <f>M652/J652</f>
        <v>24975</v>
      </c>
      <c r="S652" s="709"/>
      <c r="T652" s="601"/>
      <c r="U652" s="709"/>
      <c r="V652" s="589"/>
      <c r="W652" s="601"/>
      <c r="X652" s="601"/>
      <c r="Y652" s="601"/>
      <c r="Z652" s="601"/>
    </row>
    <row r="653" spans="1:26" s="75" customFormat="1" hidden="1">
      <c r="A653" s="764">
        <f t="shared" si="81"/>
        <v>48</v>
      </c>
      <c r="B653" s="592" t="s">
        <v>901</v>
      </c>
      <c r="C653" s="744" t="s">
        <v>221</v>
      </c>
      <c r="D653" s="619">
        <v>12504</v>
      </c>
      <c r="E653" s="619">
        <v>1631</v>
      </c>
      <c r="F653" s="619" t="s">
        <v>233</v>
      </c>
      <c r="G653" s="619">
        <v>817</v>
      </c>
      <c r="H653" s="599">
        <v>5</v>
      </c>
      <c r="I653" s="599">
        <v>4</v>
      </c>
      <c r="J653" s="599">
        <v>69</v>
      </c>
      <c r="K653" s="590" t="s">
        <v>33</v>
      </c>
      <c r="L653" s="584">
        <f t="shared" si="83"/>
        <v>1776023.51</v>
      </c>
      <c r="M653" s="585">
        <v>1770658.47</v>
      </c>
      <c r="N653" s="586"/>
      <c r="O653" s="736">
        <v>5365.04</v>
      </c>
      <c r="P653" s="586"/>
      <c r="Q653" s="586"/>
      <c r="R653" s="582">
        <f>M653/G653</f>
        <v>2167.2686291309669</v>
      </c>
      <c r="S653" s="709"/>
      <c r="T653" s="601"/>
      <c r="U653" s="586"/>
      <c r="V653" s="589"/>
      <c r="W653" s="601"/>
      <c r="X653" s="601"/>
      <c r="Y653" s="601"/>
      <c r="Z653" s="601"/>
    </row>
    <row r="654" spans="1:26" s="75" customFormat="1" hidden="1">
      <c r="A654" s="764">
        <f t="shared" si="81"/>
        <v>49</v>
      </c>
      <c r="B654" s="592" t="s">
        <v>902</v>
      </c>
      <c r="C654" s="594" t="s">
        <v>239</v>
      </c>
      <c r="D654" s="619">
        <f>E654*3</f>
        <v>1872</v>
      </c>
      <c r="E654" s="619">
        <f>(40+12)*2*3*2</f>
        <v>624</v>
      </c>
      <c r="F654" s="594" t="s">
        <v>222</v>
      </c>
      <c r="G654" s="619">
        <f>(42*13)*1.2</f>
        <v>655.19999999999993</v>
      </c>
      <c r="H654" s="599">
        <v>2</v>
      </c>
      <c r="I654" s="599">
        <v>2</v>
      </c>
      <c r="J654" s="599">
        <v>12</v>
      </c>
      <c r="K654" s="590" t="s">
        <v>238</v>
      </c>
      <c r="L654" s="584">
        <f t="shared" si="83"/>
        <v>1153460.4099999999</v>
      </c>
      <c r="M654" s="596">
        <v>1126460.4099999999</v>
      </c>
      <c r="N654" s="586">
        <v>27000</v>
      </c>
      <c r="O654" s="598"/>
      <c r="P654" s="597"/>
      <c r="Q654" s="586"/>
      <c r="R654" s="599">
        <f t="shared" ref="R654:R659" si="84">M654/J654</f>
        <v>93871.700833333321</v>
      </c>
      <c r="S654" s="601"/>
      <c r="T654" s="601"/>
      <c r="U654" s="709"/>
      <c r="V654" s="589"/>
      <c r="W654" s="601"/>
      <c r="X654" s="601"/>
      <c r="Y654" s="601"/>
      <c r="Z654" s="601"/>
    </row>
    <row r="655" spans="1:26" s="75" customFormat="1" hidden="1">
      <c r="A655" s="764">
        <f t="shared" si="81"/>
        <v>50</v>
      </c>
      <c r="B655" s="592" t="s">
        <v>903</v>
      </c>
      <c r="C655" s="744" t="s">
        <v>221</v>
      </c>
      <c r="D655" s="619">
        <v>13440</v>
      </c>
      <c r="E655" s="619">
        <v>2524</v>
      </c>
      <c r="F655" s="594" t="s">
        <v>233</v>
      </c>
      <c r="G655" s="619">
        <v>960</v>
      </c>
      <c r="H655" s="599">
        <v>5</v>
      </c>
      <c r="I655" s="599">
        <v>1</v>
      </c>
      <c r="J655" s="599">
        <v>154</v>
      </c>
      <c r="K655" s="590" t="s">
        <v>224</v>
      </c>
      <c r="L655" s="584">
        <f t="shared" si="83"/>
        <v>3107720</v>
      </c>
      <c r="M655" s="741">
        <v>3076920</v>
      </c>
      <c r="N655" s="742">
        <v>30800</v>
      </c>
      <c r="O655" s="743"/>
      <c r="P655" s="742"/>
      <c r="Q655" s="586"/>
      <c r="R655" s="744">
        <f t="shared" si="84"/>
        <v>19980</v>
      </c>
      <c r="S655" s="601"/>
      <c r="T655" s="601"/>
      <c r="U655" s="709"/>
      <c r="V655" s="589"/>
      <c r="W655" s="601"/>
      <c r="X655" s="601"/>
      <c r="Y655" s="601"/>
      <c r="Z655" s="601"/>
    </row>
    <row r="656" spans="1:26" s="75" customFormat="1" hidden="1">
      <c r="A656" s="764">
        <f t="shared" si="81"/>
        <v>51</v>
      </c>
      <c r="B656" s="592" t="s">
        <v>904</v>
      </c>
      <c r="C656" s="744" t="s">
        <v>221</v>
      </c>
      <c r="D656" s="619">
        <v>11754</v>
      </c>
      <c r="E656" s="619">
        <v>2406</v>
      </c>
      <c r="F656" s="594" t="s">
        <v>222</v>
      </c>
      <c r="G656" s="619">
        <v>1062</v>
      </c>
      <c r="H656" s="599">
        <v>5</v>
      </c>
      <c r="I656" s="599">
        <v>4</v>
      </c>
      <c r="J656" s="599">
        <v>80</v>
      </c>
      <c r="K656" s="590" t="s">
        <v>224</v>
      </c>
      <c r="L656" s="584">
        <f t="shared" si="83"/>
        <v>908831.28</v>
      </c>
      <c r="M656" s="741">
        <v>884831.28</v>
      </c>
      <c r="N656" s="742">
        <v>24000</v>
      </c>
      <c r="O656" s="743"/>
      <c r="P656" s="742"/>
      <c r="Q656" s="586"/>
      <c r="R656" s="744">
        <f t="shared" si="84"/>
        <v>11060.391</v>
      </c>
      <c r="S656" s="601"/>
      <c r="T656" s="601"/>
      <c r="U656" s="709"/>
      <c r="V656" s="589"/>
      <c r="W656" s="601"/>
      <c r="X656" s="601"/>
      <c r="Y656" s="601"/>
      <c r="Z656" s="601"/>
    </row>
    <row r="657" spans="1:26" s="75" customFormat="1" ht="37.5" hidden="1">
      <c r="A657" s="764">
        <f t="shared" si="81"/>
        <v>52</v>
      </c>
      <c r="B657" s="592" t="s">
        <v>905</v>
      </c>
      <c r="C657" s="744" t="s">
        <v>221</v>
      </c>
      <c r="D657" s="619">
        <v>28539</v>
      </c>
      <c r="E657" s="619">
        <v>3741</v>
      </c>
      <c r="F657" s="619" t="s">
        <v>222</v>
      </c>
      <c r="G657" s="619">
        <v>2173</v>
      </c>
      <c r="H657" s="599">
        <v>5</v>
      </c>
      <c r="I657" s="599">
        <v>8</v>
      </c>
      <c r="J657" s="599">
        <v>127</v>
      </c>
      <c r="K657" s="590" t="s">
        <v>237</v>
      </c>
      <c r="L657" s="584">
        <f t="shared" si="83"/>
        <v>3181302.38</v>
      </c>
      <c r="M657" s="585">
        <v>3171825</v>
      </c>
      <c r="N657" s="586"/>
      <c r="O657" s="736">
        <v>9477.3799999999992</v>
      </c>
      <c r="P657" s="586"/>
      <c r="Q657" s="586"/>
      <c r="R657" s="582">
        <f t="shared" si="84"/>
        <v>24975</v>
      </c>
      <c r="S657" s="709"/>
      <c r="T657" s="601"/>
      <c r="U657" s="709"/>
      <c r="V657" s="589"/>
      <c r="W657" s="601"/>
      <c r="X657" s="601"/>
      <c r="Y657" s="601"/>
      <c r="Z657" s="601"/>
    </row>
    <row r="658" spans="1:26" s="75" customFormat="1" hidden="1">
      <c r="A658" s="764">
        <f t="shared" si="81"/>
        <v>53</v>
      </c>
      <c r="B658" s="592" t="s">
        <v>906</v>
      </c>
      <c r="C658" s="744" t="s">
        <v>221</v>
      </c>
      <c r="D658" s="619">
        <v>12009</v>
      </c>
      <c r="E658" s="619">
        <v>2404</v>
      </c>
      <c r="F658" s="594" t="s">
        <v>222</v>
      </c>
      <c r="G658" s="619">
        <v>1091</v>
      </c>
      <c r="H658" s="599">
        <v>5</v>
      </c>
      <c r="I658" s="599">
        <v>4</v>
      </c>
      <c r="J658" s="599">
        <v>64</v>
      </c>
      <c r="K658" s="590" t="s">
        <v>224</v>
      </c>
      <c r="L658" s="584">
        <f t="shared" si="83"/>
        <v>798523.29</v>
      </c>
      <c r="M658" s="741">
        <v>772923.29</v>
      </c>
      <c r="N658" s="742">
        <v>25600</v>
      </c>
      <c r="O658" s="743"/>
      <c r="P658" s="742"/>
      <c r="Q658" s="586"/>
      <c r="R658" s="744">
        <f t="shared" si="84"/>
        <v>12076.926406250001</v>
      </c>
      <c r="S658" s="601"/>
      <c r="T658" s="601"/>
      <c r="U658" s="586"/>
      <c r="V658" s="589"/>
      <c r="W658" s="601"/>
      <c r="X658" s="601"/>
      <c r="Y658" s="601"/>
      <c r="Z658" s="601"/>
    </row>
    <row r="659" spans="1:26" s="75" customFormat="1" ht="37.5" hidden="1">
      <c r="A659" s="764">
        <f t="shared" si="81"/>
        <v>54</v>
      </c>
      <c r="B659" s="592" t="s">
        <v>907</v>
      </c>
      <c r="C659" s="744" t="s">
        <v>221</v>
      </c>
      <c r="D659" s="619">
        <v>17919</v>
      </c>
      <c r="E659" s="619">
        <v>2406</v>
      </c>
      <c r="F659" s="619" t="s">
        <v>222</v>
      </c>
      <c r="G659" s="619">
        <v>1613</v>
      </c>
      <c r="H659" s="599">
        <v>5</v>
      </c>
      <c r="I659" s="599">
        <v>6</v>
      </c>
      <c r="J659" s="599">
        <v>100</v>
      </c>
      <c r="K659" s="590" t="s">
        <v>237</v>
      </c>
      <c r="L659" s="584">
        <f t="shared" si="83"/>
        <v>1723433.3</v>
      </c>
      <c r="M659" s="585">
        <v>1715970.8</v>
      </c>
      <c r="N659" s="586"/>
      <c r="O659" s="736">
        <v>7462.5</v>
      </c>
      <c r="P659" s="586"/>
      <c r="Q659" s="586"/>
      <c r="R659" s="582">
        <f t="shared" si="84"/>
        <v>17159.707999999999</v>
      </c>
      <c r="S659" s="709"/>
      <c r="T659" s="601"/>
      <c r="U659" s="709"/>
      <c r="V659" s="589"/>
      <c r="W659" s="601"/>
      <c r="X659" s="601"/>
      <c r="Y659" s="601"/>
      <c r="Z659" s="601"/>
    </row>
    <row r="660" spans="1:26" s="75" customFormat="1" ht="37.5" hidden="1">
      <c r="A660" s="764">
        <f t="shared" si="81"/>
        <v>55</v>
      </c>
      <c r="B660" s="592" t="s">
        <v>908</v>
      </c>
      <c r="C660" s="744" t="s">
        <v>221</v>
      </c>
      <c r="D660" s="619">
        <v>35104</v>
      </c>
      <c r="E660" s="619" t="s">
        <v>436</v>
      </c>
      <c r="F660" s="594" t="s">
        <v>222</v>
      </c>
      <c r="G660" s="619">
        <v>1918</v>
      </c>
      <c r="H660" s="599">
        <v>5</v>
      </c>
      <c r="I660" s="599">
        <v>5</v>
      </c>
      <c r="J660" s="599">
        <v>68</v>
      </c>
      <c r="K660" s="590" t="s">
        <v>240</v>
      </c>
      <c r="L660" s="584">
        <f t="shared" si="83"/>
        <v>6012975</v>
      </c>
      <c r="M660" s="585">
        <v>5965025</v>
      </c>
      <c r="N660" s="586">
        <v>47950</v>
      </c>
      <c r="O660" s="587"/>
      <c r="P660" s="586"/>
      <c r="Q660" s="586"/>
      <c r="R660" s="582">
        <v>3125.6517205422315</v>
      </c>
      <c r="S660" s="601"/>
      <c r="T660" s="601"/>
      <c r="U660" s="709"/>
      <c r="V660" s="589"/>
      <c r="W660" s="601"/>
      <c r="X660" s="601"/>
      <c r="Y660" s="601"/>
      <c r="Z660" s="601"/>
    </row>
    <row r="661" spans="1:26" s="75" customFormat="1" ht="37.5" hidden="1">
      <c r="A661" s="764">
        <f>A660+1</f>
        <v>56</v>
      </c>
      <c r="B661" s="592" t="s">
        <v>909</v>
      </c>
      <c r="C661" s="744" t="s">
        <v>221</v>
      </c>
      <c r="D661" s="619">
        <v>9216</v>
      </c>
      <c r="E661" s="619">
        <v>1645</v>
      </c>
      <c r="F661" s="619" t="s">
        <v>222</v>
      </c>
      <c r="G661" s="619">
        <v>1147</v>
      </c>
      <c r="H661" s="599">
        <v>4</v>
      </c>
      <c r="I661" s="599">
        <v>4</v>
      </c>
      <c r="J661" s="599">
        <v>60</v>
      </c>
      <c r="K661" s="590" t="s">
        <v>30</v>
      </c>
      <c r="L661" s="584">
        <f t="shared" si="83"/>
        <v>1006368.6900000001</v>
      </c>
      <c r="M661" s="585">
        <v>1001891.1900000001</v>
      </c>
      <c r="N661" s="586"/>
      <c r="O661" s="736">
        <v>4477.5</v>
      </c>
      <c r="P661" s="586"/>
      <c r="Q661" s="586"/>
      <c r="R661" s="582">
        <f>M661/J661</f>
        <v>16698.1865</v>
      </c>
      <c r="S661" s="776"/>
      <c r="T661" s="601"/>
      <c r="U661" s="586"/>
      <c r="V661" s="589"/>
      <c r="W661" s="601"/>
      <c r="X661" s="601"/>
      <c r="Y661" s="601"/>
      <c r="Z661" s="601"/>
    </row>
    <row r="662" spans="1:26" s="75" customFormat="1" ht="37.5" hidden="1">
      <c r="A662" s="764">
        <f>A661+1</f>
        <v>57</v>
      </c>
      <c r="B662" s="765" t="s">
        <v>910</v>
      </c>
      <c r="C662" s="766" t="s">
        <v>221</v>
      </c>
      <c r="D662" s="768">
        <v>13692</v>
      </c>
      <c r="E662" s="768">
        <v>2400</v>
      </c>
      <c r="F662" s="768" t="s">
        <v>222</v>
      </c>
      <c r="G662" s="768">
        <v>1141</v>
      </c>
      <c r="H662" s="766">
        <v>4</v>
      </c>
      <c r="I662" s="766">
        <v>4</v>
      </c>
      <c r="J662" s="770">
        <v>60</v>
      </c>
      <c r="K662" s="735" t="s">
        <v>237</v>
      </c>
      <c r="L662" s="584">
        <f t="shared" si="83"/>
        <v>1502977.5</v>
      </c>
      <c r="M662" s="585">
        <v>1498500</v>
      </c>
      <c r="N662" s="586"/>
      <c r="O662" s="736">
        <v>4477.5</v>
      </c>
      <c r="P662" s="586"/>
      <c r="Q662" s="586"/>
      <c r="R662" s="582">
        <f>M662/J662</f>
        <v>24975</v>
      </c>
      <c r="S662" s="709"/>
      <c r="T662" s="601"/>
      <c r="U662" s="709"/>
      <c r="V662" s="589"/>
      <c r="W662" s="601"/>
      <c r="X662" s="601"/>
      <c r="Y662" s="601"/>
      <c r="Z662" s="601"/>
    </row>
    <row r="663" spans="1:26" s="75" customFormat="1" ht="37.5" hidden="1">
      <c r="A663" s="764">
        <f t="shared" ref="A663:A668" si="85">A662+1</f>
        <v>58</v>
      </c>
      <c r="B663" s="765" t="s">
        <v>1859</v>
      </c>
      <c r="C663" s="766" t="s">
        <v>221</v>
      </c>
      <c r="D663" s="768">
        <v>19474</v>
      </c>
      <c r="E663" s="768">
        <v>2407</v>
      </c>
      <c r="F663" s="768" t="s">
        <v>233</v>
      </c>
      <c r="G663" s="768">
        <v>824</v>
      </c>
      <c r="H663" s="766">
        <v>9</v>
      </c>
      <c r="I663" s="766">
        <v>2</v>
      </c>
      <c r="J663" s="770">
        <v>72</v>
      </c>
      <c r="K663" s="735" t="s">
        <v>219</v>
      </c>
      <c r="L663" s="584">
        <f t="shared" si="83"/>
        <v>2072025</v>
      </c>
      <c r="M663" s="585">
        <v>1990000</v>
      </c>
      <c r="N663" s="586">
        <v>82025</v>
      </c>
      <c r="O663" s="736"/>
      <c r="P663" s="586"/>
      <c r="Q663" s="586"/>
      <c r="R663" s="582">
        <v>2000000</v>
      </c>
      <c r="S663" s="709"/>
      <c r="T663" s="601"/>
      <c r="U663" s="709"/>
      <c r="V663" s="589"/>
      <c r="W663" s="601"/>
      <c r="X663" s="601"/>
      <c r="Y663" s="601"/>
      <c r="Z663" s="601"/>
    </row>
    <row r="664" spans="1:26" s="75" customFormat="1" ht="37.5" hidden="1">
      <c r="A664" s="764">
        <f t="shared" si="85"/>
        <v>59</v>
      </c>
      <c r="B664" s="765" t="s">
        <v>1860</v>
      </c>
      <c r="C664" s="766" t="s">
        <v>217</v>
      </c>
      <c r="D664" s="768">
        <v>24192</v>
      </c>
      <c r="E664" s="768">
        <v>5184</v>
      </c>
      <c r="F664" s="768" t="s">
        <v>233</v>
      </c>
      <c r="G664" s="768">
        <v>1014</v>
      </c>
      <c r="H664" s="766">
        <v>9</v>
      </c>
      <c r="I664" s="766">
        <v>3</v>
      </c>
      <c r="J664" s="770">
        <v>108</v>
      </c>
      <c r="K664" s="735" t="s">
        <v>219</v>
      </c>
      <c r="L664" s="584">
        <f t="shared" si="83"/>
        <v>2072025</v>
      </c>
      <c r="M664" s="585">
        <v>1990000</v>
      </c>
      <c r="N664" s="586">
        <v>82025</v>
      </c>
      <c r="O664" s="736"/>
      <c r="P664" s="586"/>
      <c r="Q664" s="586"/>
      <c r="R664" s="582">
        <v>2000000</v>
      </c>
      <c r="S664" s="709"/>
      <c r="T664" s="601"/>
      <c r="U664" s="709"/>
      <c r="V664" s="589"/>
      <c r="W664" s="601"/>
      <c r="X664" s="601"/>
      <c r="Y664" s="601"/>
      <c r="Z664" s="601"/>
    </row>
    <row r="665" spans="1:26" s="75" customFormat="1" ht="37.5" hidden="1">
      <c r="A665" s="764">
        <f t="shared" si="85"/>
        <v>60</v>
      </c>
      <c r="B665" s="765" t="s">
        <v>1866</v>
      </c>
      <c r="C665" s="766" t="s">
        <v>221</v>
      </c>
      <c r="D665" s="768">
        <v>34393</v>
      </c>
      <c r="E665" s="768">
        <v>5396</v>
      </c>
      <c r="F665" s="768" t="s">
        <v>233</v>
      </c>
      <c r="G665" s="768">
        <v>865</v>
      </c>
      <c r="H665" s="766">
        <v>9</v>
      </c>
      <c r="I665" s="766">
        <v>2</v>
      </c>
      <c r="J665" s="770">
        <v>80</v>
      </c>
      <c r="K665" s="735" t="s">
        <v>219</v>
      </c>
      <c r="L665" s="584">
        <f t="shared" si="83"/>
        <v>2072025</v>
      </c>
      <c r="M665" s="585">
        <v>1990000</v>
      </c>
      <c r="N665" s="586">
        <v>82025</v>
      </c>
      <c r="O665" s="736"/>
      <c r="P665" s="586"/>
      <c r="Q665" s="586"/>
      <c r="R665" s="582">
        <v>2000000</v>
      </c>
      <c r="S665" s="709"/>
      <c r="T665" s="601"/>
      <c r="U665" s="709"/>
      <c r="V665" s="589"/>
      <c r="W665" s="601"/>
      <c r="X665" s="601"/>
      <c r="Y665" s="601"/>
      <c r="Z665" s="601"/>
    </row>
    <row r="666" spans="1:26" s="75" customFormat="1" ht="37.5" hidden="1">
      <c r="A666" s="764">
        <f t="shared" si="85"/>
        <v>61</v>
      </c>
      <c r="B666" s="765" t="s">
        <v>1873</v>
      </c>
      <c r="C666" s="766" t="s">
        <v>221</v>
      </c>
      <c r="D666" s="768">
        <v>74088</v>
      </c>
      <c r="E666" s="768">
        <v>10702</v>
      </c>
      <c r="F666" s="768" t="s">
        <v>233</v>
      </c>
      <c r="G666" s="768">
        <v>2744</v>
      </c>
      <c r="H666" s="766">
        <v>9</v>
      </c>
      <c r="I666" s="766">
        <v>8</v>
      </c>
      <c r="J666" s="770">
        <v>256</v>
      </c>
      <c r="K666" s="735" t="s">
        <v>219</v>
      </c>
      <c r="L666" s="584">
        <f t="shared" si="83"/>
        <v>4082531.25</v>
      </c>
      <c r="M666" s="585">
        <v>3980000</v>
      </c>
      <c r="N666" s="586">
        <v>102531.25</v>
      </c>
      <c r="O666" s="736"/>
      <c r="P666" s="586"/>
      <c r="Q666" s="586"/>
      <c r="R666" s="582">
        <v>2000000</v>
      </c>
      <c r="S666" s="709"/>
      <c r="T666" s="601"/>
      <c r="U666" s="709"/>
      <c r="V666" s="589"/>
      <c r="W666" s="601"/>
      <c r="X666" s="601"/>
      <c r="Y666" s="601"/>
      <c r="Z666" s="601"/>
    </row>
    <row r="667" spans="1:26" s="75" customFormat="1" ht="37.5" hidden="1">
      <c r="A667" s="764">
        <f t="shared" si="85"/>
        <v>62</v>
      </c>
      <c r="B667" s="765" t="s">
        <v>3609</v>
      </c>
      <c r="C667" s="766" t="s">
        <v>239</v>
      </c>
      <c r="D667" s="768">
        <v>2964</v>
      </c>
      <c r="E667" s="768">
        <v>830</v>
      </c>
      <c r="F667" s="768" t="s">
        <v>222</v>
      </c>
      <c r="G667" s="768">
        <v>650</v>
      </c>
      <c r="H667" s="766">
        <v>3</v>
      </c>
      <c r="I667" s="766">
        <v>1</v>
      </c>
      <c r="J667" s="770">
        <v>11</v>
      </c>
      <c r="K667" s="735" t="s">
        <v>236</v>
      </c>
      <c r="L667" s="584">
        <f t="shared" si="83"/>
        <v>1326000</v>
      </c>
      <c r="M667" s="585">
        <v>1293500</v>
      </c>
      <c r="N667" s="586">
        <v>32500</v>
      </c>
      <c r="O667" s="736"/>
      <c r="P667" s="586"/>
      <c r="Q667" s="586"/>
      <c r="R667" s="582">
        <f>M667/E667</f>
        <v>1558.433734939759</v>
      </c>
      <c r="S667" s="709"/>
      <c r="T667" s="601"/>
      <c r="U667" s="709"/>
      <c r="V667" s="589"/>
      <c r="W667" s="601"/>
      <c r="X667" s="601"/>
      <c r="Y667" s="601"/>
      <c r="Z667" s="601"/>
    </row>
    <row r="668" spans="1:26" s="75" customFormat="1" ht="37.5" hidden="1">
      <c r="A668" s="764">
        <f t="shared" si="85"/>
        <v>63</v>
      </c>
      <c r="B668" s="765" t="s">
        <v>3610</v>
      </c>
      <c r="C668" s="766" t="s">
        <v>239</v>
      </c>
      <c r="D668" s="768">
        <v>2986</v>
      </c>
      <c r="E668" s="768">
        <v>830</v>
      </c>
      <c r="F668" s="768" t="s">
        <v>222</v>
      </c>
      <c r="G668" s="768">
        <v>650</v>
      </c>
      <c r="H668" s="766">
        <v>3</v>
      </c>
      <c r="I668" s="766">
        <v>1</v>
      </c>
      <c r="J668" s="770">
        <v>12</v>
      </c>
      <c r="K668" s="735" t="s">
        <v>236</v>
      </c>
      <c r="L668" s="584">
        <f t="shared" si="83"/>
        <v>1326000</v>
      </c>
      <c r="M668" s="585">
        <v>1293500</v>
      </c>
      <c r="N668" s="586">
        <v>32500</v>
      </c>
      <c r="O668" s="736"/>
      <c r="P668" s="586"/>
      <c r="Q668" s="586"/>
      <c r="R668" s="582">
        <f>M668/E668</f>
        <v>1558.433734939759</v>
      </c>
      <c r="S668" s="709"/>
      <c r="T668" s="601"/>
      <c r="U668" s="709"/>
      <c r="V668" s="589"/>
      <c r="W668" s="601"/>
      <c r="X668" s="601"/>
      <c r="Y668" s="601"/>
      <c r="Z668" s="601"/>
    </row>
    <row r="669" spans="1:26" s="28" customFormat="1" hidden="1">
      <c r="A669" s="1349" t="s">
        <v>39</v>
      </c>
      <c r="B669" s="1349"/>
      <c r="C669" s="586" t="s">
        <v>28</v>
      </c>
      <c r="D669" s="646">
        <f>SUM(D598:D668)</f>
        <v>1215339.24</v>
      </c>
      <c r="E669" s="646">
        <f>SUM(E598:E668)</f>
        <v>179151.08000000002</v>
      </c>
      <c r="F669" s="646" t="s">
        <v>28</v>
      </c>
      <c r="G669" s="646">
        <f>SUM(G598:G668)</f>
        <v>73108.2</v>
      </c>
      <c r="H669" s="582" t="s">
        <v>28</v>
      </c>
      <c r="I669" s="582" t="s">
        <v>28</v>
      </c>
      <c r="J669" s="646">
        <f>SUM(J598:J668)</f>
        <v>5534</v>
      </c>
      <c r="K669" s="588" t="s">
        <v>28</v>
      </c>
      <c r="L669" s="584">
        <f t="shared" ref="L669:Q669" si="86">SUM(L598:L668)</f>
        <v>142576079.43000001</v>
      </c>
      <c r="M669" s="585">
        <f t="shared" si="86"/>
        <v>140583203.26999998</v>
      </c>
      <c r="N669" s="586">
        <f t="shared" si="86"/>
        <v>1758605</v>
      </c>
      <c r="O669" s="587">
        <f t="shared" si="86"/>
        <v>234271.16000000006</v>
      </c>
      <c r="P669" s="586">
        <f t="shared" si="86"/>
        <v>0</v>
      </c>
      <c r="Q669" s="586">
        <f t="shared" si="86"/>
        <v>0</v>
      </c>
      <c r="R669" s="582" t="s">
        <v>28</v>
      </c>
      <c r="S669" s="645">
        <f>L669-M669-N669-O669-P669-Q669</f>
        <v>2.61643435806036E-8</v>
      </c>
      <c r="T669" s="645"/>
      <c r="U669" s="591"/>
      <c r="V669" s="589"/>
      <c r="W669" s="592"/>
      <c r="X669" s="592"/>
      <c r="Y669" s="592"/>
      <c r="Z669" s="592"/>
    </row>
    <row r="670" spans="1:26" s="28" customFormat="1" hidden="1">
      <c r="A670" s="1347" t="s">
        <v>42</v>
      </c>
      <c r="B670" s="1347"/>
      <c r="C670" s="1347"/>
      <c r="D670" s="1347"/>
      <c r="E670" s="1347"/>
      <c r="F670" s="1347"/>
      <c r="G670" s="1347"/>
      <c r="H670" s="1347"/>
      <c r="I670" s="1347"/>
      <c r="J670" s="1347"/>
      <c r="K670" s="1347"/>
      <c r="L670" s="1347"/>
      <c r="M670" s="1347"/>
      <c r="N670" s="1347"/>
      <c r="O670" s="1347"/>
      <c r="P670" s="1347"/>
      <c r="Q670" s="1347"/>
      <c r="R670" s="1347"/>
      <c r="S670" s="592"/>
      <c r="T670" s="645"/>
      <c r="U670" s="591"/>
      <c r="V670" s="589"/>
      <c r="W670" s="592"/>
      <c r="X670" s="592"/>
      <c r="Y670" s="592"/>
      <c r="Z670" s="592"/>
    </row>
    <row r="671" spans="1:26" s="90" customFormat="1" ht="75" hidden="1">
      <c r="A671" s="590">
        <v>1</v>
      </c>
      <c r="B671" s="592" t="s">
        <v>911</v>
      </c>
      <c r="C671" s="594" t="s">
        <v>217</v>
      </c>
      <c r="D671" s="646">
        <f t="shared" ref="D671:D676" si="87">E671*3</f>
        <v>1728</v>
      </c>
      <c r="E671" s="619">
        <f>(36+12)*2*I671*3</f>
        <v>576</v>
      </c>
      <c r="F671" s="646" t="s">
        <v>241</v>
      </c>
      <c r="G671" s="619">
        <v>678</v>
      </c>
      <c r="H671" s="599">
        <v>2</v>
      </c>
      <c r="I671" s="599">
        <v>2</v>
      </c>
      <c r="J671" s="599">
        <v>16</v>
      </c>
      <c r="K671" s="590" t="s">
        <v>242</v>
      </c>
      <c r="L671" s="584">
        <f t="shared" ref="L671:L676" si="88">M671+N671+O671+P671+Q671</f>
        <v>1821379.95</v>
      </c>
      <c r="M671" s="585">
        <v>1787326.04</v>
      </c>
      <c r="N671" s="586">
        <v>34053.910000000003</v>
      </c>
      <c r="O671" s="587"/>
      <c r="P671" s="586"/>
      <c r="Q671" s="586"/>
      <c r="R671" s="582">
        <f>M671/G671</f>
        <v>2636.1741002949852</v>
      </c>
      <c r="S671" s="748"/>
      <c r="T671" s="748"/>
      <c r="U671" s="737"/>
      <c r="V671" s="589"/>
      <c r="W671" s="748"/>
      <c r="X671" s="748"/>
      <c r="Y671" s="748"/>
      <c r="Z671" s="748"/>
    </row>
    <row r="672" spans="1:26" s="90" customFormat="1" ht="75" hidden="1">
      <c r="A672" s="590">
        <v>2</v>
      </c>
      <c r="B672" s="592" t="s">
        <v>912</v>
      </c>
      <c r="C672" s="744" t="s">
        <v>221</v>
      </c>
      <c r="D672" s="646">
        <f t="shared" si="87"/>
        <v>1728</v>
      </c>
      <c r="E672" s="619">
        <f>(36+12)*2*I672*3</f>
        <v>576</v>
      </c>
      <c r="F672" s="646" t="s">
        <v>241</v>
      </c>
      <c r="G672" s="619">
        <v>667</v>
      </c>
      <c r="H672" s="599">
        <v>2</v>
      </c>
      <c r="I672" s="599">
        <v>2</v>
      </c>
      <c r="J672" s="599">
        <v>16</v>
      </c>
      <c r="K672" s="590" t="s">
        <v>242</v>
      </c>
      <c r="L672" s="584">
        <f t="shared" si="88"/>
        <v>1710173.78</v>
      </c>
      <c r="M672" s="585">
        <v>1676670.32</v>
      </c>
      <c r="N672" s="586">
        <v>33503.46</v>
      </c>
      <c r="O672" s="587"/>
      <c r="P672" s="586"/>
      <c r="Q672" s="586"/>
      <c r="R672" s="582">
        <f>M672/G672</f>
        <v>2513.7486056971516</v>
      </c>
      <c r="S672" s="748"/>
      <c r="T672" s="748"/>
      <c r="U672" s="737"/>
      <c r="V672" s="589"/>
      <c r="W672" s="748"/>
      <c r="X672" s="748"/>
      <c r="Y672" s="748"/>
      <c r="Z672" s="748"/>
    </row>
    <row r="673" spans="1:26" s="90" customFormat="1" ht="75" hidden="1">
      <c r="A673" s="590">
        <v>3</v>
      </c>
      <c r="B673" s="592" t="s">
        <v>913</v>
      </c>
      <c r="C673" s="744" t="s">
        <v>221</v>
      </c>
      <c r="D673" s="646">
        <v>1188</v>
      </c>
      <c r="E673" s="619">
        <v>396</v>
      </c>
      <c r="F673" s="646" t="s">
        <v>241</v>
      </c>
      <c r="G673" s="619">
        <v>428</v>
      </c>
      <c r="H673" s="599">
        <v>2</v>
      </c>
      <c r="I673" s="599">
        <v>1</v>
      </c>
      <c r="J673" s="599">
        <v>8</v>
      </c>
      <c r="K673" s="590" t="s">
        <v>243</v>
      </c>
      <c r="L673" s="584">
        <f t="shared" si="88"/>
        <v>95187.24</v>
      </c>
      <c r="M673" s="585">
        <v>94709.64</v>
      </c>
      <c r="N673" s="586"/>
      <c r="O673" s="736">
        <v>477.6</v>
      </c>
      <c r="P673" s="586"/>
      <c r="Q673" s="586"/>
      <c r="R673" s="582">
        <f>M673/J673</f>
        <v>11838.705</v>
      </c>
      <c r="S673" s="748"/>
      <c r="T673" s="748"/>
      <c r="U673" s="737"/>
      <c r="V673" s="589"/>
      <c r="W673" s="748"/>
      <c r="X673" s="748"/>
      <c r="Y673" s="748"/>
      <c r="Z673" s="748"/>
    </row>
    <row r="674" spans="1:26" s="90" customFormat="1" ht="75" hidden="1">
      <c r="A674" s="590">
        <v>4</v>
      </c>
      <c r="B674" s="592" t="s">
        <v>914</v>
      </c>
      <c r="C674" s="744" t="s">
        <v>221</v>
      </c>
      <c r="D674" s="646">
        <v>864</v>
      </c>
      <c r="E674" s="619">
        <v>288</v>
      </c>
      <c r="F674" s="646" t="s">
        <v>241</v>
      </c>
      <c r="G674" s="619">
        <v>428</v>
      </c>
      <c r="H674" s="599">
        <v>2</v>
      </c>
      <c r="I674" s="599">
        <v>1</v>
      </c>
      <c r="J674" s="599">
        <v>8</v>
      </c>
      <c r="K674" s="590" t="s">
        <v>243</v>
      </c>
      <c r="L674" s="584">
        <f t="shared" si="88"/>
        <v>65658.490000000005</v>
      </c>
      <c r="M674" s="585">
        <v>65180.89</v>
      </c>
      <c r="N674" s="586"/>
      <c r="O674" s="736">
        <v>477.6</v>
      </c>
      <c r="P674" s="586"/>
      <c r="Q674" s="586"/>
      <c r="R674" s="582">
        <f>M674/J674</f>
        <v>8147.6112499999999</v>
      </c>
      <c r="S674" s="748"/>
      <c r="T674" s="748"/>
      <c r="U674" s="737"/>
      <c r="V674" s="589"/>
      <c r="W674" s="748"/>
      <c r="X674" s="748"/>
      <c r="Y674" s="748"/>
      <c r="Z674" s="748"/>
    </row>
    <row r="675" spans="1:26" s="90" customFormat="1" ht="75" hidden="1">
      <c r="A675" s="590">
        <v>5</v>
      </c>
      <c r="B675" s="592" t="s">
        <v>915</v>
      </c>
      <c r="C675" s="744" t="s">
        <v>221</v>
      </c>
      <c r="D675" s="646">
        <v>1188</v>
      </c>
      <c r="E675" s="619">
        <v>396</v>
      </c>
      <c r="F675" s="646" t="s">
        <v>241</v>
      </c>
      <c r="G675" s="619">
        <v>428</v>
      </c>
      <c r="H675" s="599">
        <v>2</v>
      </c>
      <c r="I675" s="599">
        <v>1</v>
      </c>
      <c r="J675" s="599">
        <v>8</v>
      </c>
      <c r="K675" s="590" t="s">
        <v>243</v>
      </c>
      <c r="L675" s="584">
        <f t="shared" si="88"/>
        <v>60911.67</v>
      </c>
      <c r="M675" s="585">
        <v>60434.07</v>
      </c>
      <c r="N675" s="586"/>
      <c r="O675" s="736">
        <v>477.6</v>
      </c>
      <c r="P675" s="586"/>
      <c r="Q675" s="586"/>
      <c r="R675" s="582">
        <f>M675/J675</f>
        <v>7554.25875</v>
      </c>
      <c r="S675" s="748"/>
      <c r="T675" s="748"/>
      <c r="U675" s="737"/>
      <c r="V675" s="589"/>
      <c r="W675" s="748"/>
      <c r="X675" s="748"/>
      <c r="Y675" s="748"/>
      <c r="Z675" s="748"/>
    </row>
    <row r="676" spans="1:26" s="90" customFormat="1" ht="37.5" hidden="1">
      <c r="A676" s="590">
        <v>6</v>
      </c>
      <c r="B676" s="592" t="s">
        <v>916</v>
      </c>
      <c r="C676" s="594" t="s">
        <v>217</v>
      </c>
      <c r="D676" s="646">
        <f t="shared" si="87"/>
        <v>1908</v>
      </c>
      <c r="E676" s="646">
        <v>636</v>
      </c>
      <c r="F676" s="646" t="s">
        <v>241</v>
      </c>
      <c r="G676" s="646">
        <v>643</v>
      </c>
      <c r="H676" s="582">
        <v>2</v>
      </c>
      <c r="I676" s="582">
        <v>2</v>
      </c>
      <c r="J676" s="582">
        <v>12</v>
      </c>
      <c r="K676" s="590" t="s">
        <v>394</v>
      </c>
      <c r="L676" s="584">
        <f t="shared" si="88"/>
        <v>1613667.15</v>
      </c>
      <c r="M676" s="585">
        <v>1589841</v>
      </c>
      <c r="N676" s="586">
        <v>23826.15</v>
      </c>
      <c r="O676" s="587"/>
      <c r="P676" s="586"/>
      <c r="Q676" s="586"/>
      <c r="R676" s="599">
        <f>M676/E676</f>
        <v>2499.75</v>
      </c>
      <c r="S676" s="777"/>
      <c r="T676" s="778"/>
      <c r="U676" s="737"/>
      <c r="V676" s="589"/>
      <c r="W676" s="748"/>
      <c r="X676" s="748"/>
      <c r="Y676" s="748"/>
      <c r="Z676" s="748"/>
    </row>
    <row r="677" spans="1:26" s="437" customFormat="1" hidden="1">
      <c r="A677" s="1367" t="s">
        <v>43</v>
      </c>
      <c r="B677" s="1367"/>
      <c r="C677" s="593" t="s">
        <v>28</v>
      </c>
      <c r="D677" s="779">
        <f>SUM(D671:D676)</f>
        <v>8604</v>
      </c>
      <c r="E677" s="779">
        <f>SUM(E671:E676)</f>
        <v>2868</v>
      </c>
      <c r="F677" s="646" t="s">
        <v>28</v>
      </c>
      <c r="G677" s="779">
        <f>SUM(G671:G676)</f>
        <v>3272</v>
      </c>
      <c r="H677" s="582" t="s">
        <v>28</v>
      </c>
      <c r="I677" s="582" t="s">
        <v>28</v>
      </c>
      <c r="J677" s="780">
        <f>SUM(J671:J676)</f>
        <v>68</v>
      </c>
      <c r="K677" s="590" t="s">
        <v>28</v>
      </c>
      <c r="L677" s="781">
        <f>SUM(L671:L676)</f>
        <v>5366978.28</v>
      </c>
      <c r="M677" s="782">
        <f>SUM(M671:M676)</f>
        <v>5274161.9600000009</v>
      </c>
      <c r="N677" s="783">
        <f>SUM(N671:N676)</f>
        <v>91383.51999999999</v>
      </c>
      <c r="O677" s="784">
        <f>SUM(O671:O676)</f>
        <v>1432.8000000000002</v>
      </c>
      <c r="P677" s="783"/>
      <c r="Q677" s="783">
        <f>SUM(Q671:Q676)</f>
        <v>0</v>
      </c>
      <c r="R677" s="582" t="s">
        <v>28</v>
      </c>
      <c r="S677" s="645">
        <f>L677-M677-N677-O677-P677-Q677</f>
        <v>-6.2300387071445584E-10</v>
      </c>
      <c r="T677" s="645"/>
      <c r="U677" s="591"/>
      <c r="V677" s="589"/>
      <c r="W677" s="785"/>
      <c r="X677" s="785"/>
      <c r="Y677" s="785"/>
      <c r="Z677" s="785"/>
    </row>
    <row r="678" spans="1:26" s="28" customFormat="1" hidden="1">
      <c r="A678" s="1347" t="s">
        <v>44</v>
      </c>
      <c r="B678" s="1347"/>
      <c r="C678" s="1347"/>
      <c r="D678" s="1347"/>
      <c r="E678" s="1347"/>
      <c r="F678" s="1347"/>
      <c r="G678" s="1347"/>
      <c r="H678" s="1347"/>
      <c r="I678" s="1347"/>
      <c r="J678" s="1347"/>
      <c r="K678" s="1347"/>
      <c r="L678" s="1347"/>
      <c r="M678" s="1347"/>
      <c r="N678" s="1347"/>
      <c r="O678" s="1347"/>
      <c r="P678" s="1347"/>
      <c r="Q678" s="1347"/>
      <c r="R678" s="1347"/>
      <c r="S678" s="592"/>
      <c r="T678" s="645"/>
      <c r="U678" s="591"/>
      <c r="V678" s="589"/>
      <c r="W678" s="592"/>
      <c r="X678" s="592"/>
      <c r="Y678" s="592"/>
      <c r="Z678" s="592"/>
    </row>
    <row r="679" spans="1:26" s="28" customFormat="1" hidden="1">
      <c r="A679" s="590">
        <v>1</v>
      </c>
      <c r="B679" s="592" t="s">
        <v>917</v>
      </c>
      <c r="C679" s="593" t="s">
        <v>221</v>
      </c>
      <c r="D679" s="646">
        <v>2760</v>
      </c>
      <c r="E679" s="646">
        <v>586.47</v>
      </c>
      <c r="F679" s="646" t="s">
        <v>222</v>
      </c>
      <c r="G679" s="646">
        <v>688</v>
      </c>
      <c r="H679" s="582">
        <v>2</v>
      </c>
      <c r="I679" s="582">
        <v>2</v>
      </c>
      <c r="J679" s="582">
        <v>16</v>
      </c>
      <c r="K679" s="590" t="s">
        <v>33</v>
      </c>
      <c r="L679" s="595">
        <f>M679+N679+O679+P679+Q679</f>
        <v>794057.52</v>
      </c>
      <c r="M679" s="585">
        <v>774765.46</v>
      </c>
      <c r="N679" s="586">
        <v>19292.060000000001</v>
      </c>
      <c r="O679" s="587"/>
      <c r="P679" s="586"/>
      <c r="Q679" s="586"/>
      <c r="R679" s="582">
        <f>M679/G679</f>
        <v>1126.1125872093023</v>
      </c>
      <c r="S679" s="592"/>
      <c r="T679" s="645"/>
      <c r="U679" s="591"/>
      <c r="V679" s="589"/>
      <c r="W679" s="592"/>
      <c r="X679" s="592"/>
      <c r="Y679" s="592"/>
      <c r="Z679" s="592"/>
    </row>
    <row r="680" spans="1:26" s="28" customFormat="1" hidden="1">
      <c r="A680" s="1349" t="s">
        <v>118</v>
      </c>
      <c r="B680" s="1349"/>
      <c r="C680" s="593" t="s">
        <v>28</v>
      </c>
      <c r="D680" s="646">
        <f>SUM(D679:D679)</f>
        <v>2760</v>
      </c>
      <c r="E680" s="646">
        <f>SUM(E679:E679)</f>
        <v>586.47</v>
      </c>
      <c r="F680" s="646" t="s">
        <v>28</v>
      </c>
      <c r="G680" s="646">
        <f>SUM(G679:G679)</f>
        <v>688</v>
      </c>
      <c r="H680" s="582" t="s">
        <v>28</v>
      </c>
      <c r="I680" s="582" t="s">
        <v>28</v>
      </c>
      <c r="J680" s="582">
        <f>SUM(J679:J679)</f>
        <v>16</v>
      </c>
      <c r="K680" s="590" t="s">
        <v>28</v>
      </c>
      <c r="L680" s="584">
        <f>SUM(L679:L679)</f>
        <v>794057.52</v>
      </c>
      <c r="M680" s="585">
        <f>SUM(M679:M679)</f>
        <v>774765.46</v>
      </c>
      <c r="N680" s="586">
        <f>SUM(N679:N679)</f>
        <v>19292.060000000001</v>
      </c>
      <c r="O680" s="587"/>
      <c r="P680" s="586"/>
      <c r="Q680" s="586">
        <f>SUM(Q679:Q679)</f>
        <v>0</v>
      </c>
      <c r="R680" s="582" t="s">
        <v>28</v>
      </c>
      <c r="S680" s="645">
        <f>L680-M680-N680-O680-P680-Q680</f>
        <v>5.4569682106375694E-11</v>
      </c>
      <c r="T680" s="778"/>
      <c r="U680" s="701"/>
      <c r="V680" s="589"/>
      <c r="W680" s="592"/>
      <c r="X680" s="592"/>
      <c r="Y680" s="592"/>
      <c r="Z680" s="592"/>
    </row>
    <row r="681" spans="1:26" s="28" customFormat="1" hidden="1">
      <c r="A681" s="1347" t="s">
        <v>45</v>
      </c>
      <c r="B681" s="1347"/>
      <c r="C681" s="1347"/>
      <c r="D681" s="1347"/>
      <c r="E681" s="1347"/>
      <c r="F681" s="1347"/>
      <c r="G681" s="1347"/>
      <c r="H681" s="1347"/>
      <c r="I681" s="1347"/>
      <c r="J681" s="1347"/>
      <c r="K681" s="1347"/>
      <c r="L681" s="1347"/>
      <c r="M681" s="1347"/>
      <c r="N681" s="1347"/>
      <c r="O681" s="1347"/>
      <c r="P681" s="1347"/>
      <c r="Q681" s="1347"/>
      <c r="R681" s="1347"/>
      <c r="S681" s="592"/>
      <c r="T681" s="645"/>
      <c r="U681" s="591"/>
      <c r="V681" s="589"/>
      <c r="W681" s="592"/>
      <c r="X681" s="592"/>
      <c r="Y681" s="592"/>
      <c r="Z681" s="592"/>
    </row>
    <row r="682" spans="1:26" s="28" customFormat="1" hidden="1">
      <c r="A682" s="590">
        <v>1</v>
      </c>
      <c r="B682" s="592" t="s">
        <v>918</v>
      </c>
      <c r="C682" s="593" t="str">
        <f>'[2]1.перечень МКД'!E581</f>
        <v>каменные, кирпичные</v>
      </c>
      <c r="D682" s="646">
        <f>E682*3</f>
        <v>2354.1000000000004</v>
      </c>
      <c r="E682" s="646">
        <v>784.7</v>
      </c>
      <c r="F682" s="646" t="s">
        <v>241</v>
      </c>
      <c r="G682" s="646">
        <v>667.86</v>
      </c>
      <c r="H682" s="582">
        <f>'[2]1.перечень МКД'!F581</f>
        <v>5</v>
      </c>
      <c r="I682" s="582">
        <f>'[2]1.перечень МКД'!G581</f>
        <v>8</v>
      </c>
      <c r="J682" s="582">
        <v>16</v>
      </c>
      <c r="K682" s="667" t="s">
        <v>33</v>
      </c>
      <c r="L682" s="595">
        <f>M682+N682+O682+P682+Q682</f>
        <v>1686221.53</v>
      </c>
      <c r="M682" s="585">
        <v>1661301.75</v>
      </c>
      <c r="N682" s="586">
        <v>24919.78</v>
      </c>
      <c r="O682" s="587"/>
      <c r="P682" s="586"/>
      <c r="Q682" s="586"/>
      <c r="R682" s="582">
        <f>M682/G682</f>
        <v>2487.5</v>
      </c>
      <c r="S682" s="592"/>
      <c r="T682" s="645"/>
      <c r="U682" s="591"/>
      <c r="V682" s="589"/>
      <c r="W682" s="592"/>
      <c r="X682" s="592"/>
      <c r="Y682" s="592"/>
      <c r="Z682" s="592"/>
    </row>
    <row r="683" spans="1:26" s="28" customFormat="1" ht="37.5" hidden="1">
      <c r="A683" s="590">
        <v>2</v>
      </c>
      <c r="B683" s="592" t="s">
        <v>919</v>
      </c>
      <c r="C683" s="593" t="str">
        <f>'[2]1.перечень МКД'!E582</f>
        <v>каменные, кирпичные</v>
      </c>
      <c r="D683" s="646">
        <f>E683*3</f>
        <v>1856.0099999999998</v>
      </c>
      <c r="E683" s="646">
        <v>618.66999999999996</v>
      </c>
      <c r="F683" s="646" t="s">
        <v>241</v>
      </c>
      <c r="G683" s="646">
        <v>635</v>
      </c>
      <c r="H683" s="582">
        <f>'[2]1.перечень МКД'!F582</f>
        <v>2</v>
      </c>
      <c r="I683" s="582">
        <f>'[2]1.перечень МКД'!G582</f>
        <v>1</v>
      </c>
      <c r="J683" s="582">
        <v>16</v>
      </c>
      <c r="K683" s="590" t="s">
        <v>30</v>
      </c>
      <c r="L683" s="595">
        <f>M683+N683+O683+P683+Q683</f>
        <v>238433.32</v>
      </c>
      <c r="M683" s="585">
        <v>237478.12</v>
      </c>
      <c r="N683" s="586"/>
      <c r="O683" s="736">
        <v>955.2</v>
      </c>
      <c r="P683" s="586"/>
      <c r="Q683" s="586"/>
      <c r="R683" s="582">
        <f>M683/J683</f>
        <v>14842.3825</v>
      </c>
      <c r="S683" s="592"/>
      <c r="T683" s="645"/>
      <c r="U683" s="586"/>
      <c r="V683" s="589"/>
      <c r="W683" s="592"/>
      <c r="X683" s="592"/>
      <c r="Y683" s="592"/>
      <c r="Z683" s="592"/>
    </row>
    <row r="684" spans="1:26" s="28" customFormat="1" ht="37.5" hidden="1">
      <c r="A684" s="590">
        <v>3</v>
      </c>
      <c r="B684" s="592" t="s">
        <v>920</v>
      </c>
      <c r="C684" s="593" t="str">
        <f>'[2]1.перечень МКД'!E583</f>
        <v>каменные, кирпичные</v>
      </c>
      <c r="D684" s="646">
        <f>E684*3</f>
        <v>2389.1999999999998</v>
      </c>
      <c r="E684" s="646">
        <v>796.4</v>
      </c>
      <c r="F684" s="646" t="s">
        <v>241</v>
      </c>
      <c r="G684" s="646">
        <v>826.8</v>
      </c>
      <c r="H684" s="582">
        <f>'[2]1.перечень МКД'!F583</f>
        <v>5</v>
      </c>
      <c r="I684" s="582">
        <f>'[2]1.перечень МКД'!G583</f>
        <v>4</v>
      </c>
      <c r="J684" s="582">
        <v>21</v>
      </c>
      <c r="K684" s="590" t="s">
        <v>30</v>
      </c>
      <c r="L684" s="595">
        <f>M684+N684+O684+P684+Q684</f>
        <v>386487.46</v>
      </c>
      <c r="M684" s="585">
        <v>385233.76</v>
      </c>
      <c r="N684" s="586"/>
      <c r="O684" s="736">
        <v>1253.7</v>
      </c>
      <c r="P684" s="586"/>
      <c r="Q684" s="586"/>
      <c r="R684" s="582">
        <f>M684/J684</f>
        <v>18344.464761904761</v>
      </c>
      <c r="S684" s="592"/>
      <c r="T684" s="645"/>
      <c r="U684" s="586"/>
      <c r="V684" s="589"/>
      <c r="W684" s="592"/>
      <c r="X684" s="592"/>
      <c r="Y684" s="592"/>
      <c r="Z684" s="592"/>
    </row>
    <row r="685" spans="1:26" s="28" customFormat="1" hidden="1">
      <c r="A685" s="1349" t="s">
        <v>47</v>
      </c>
      <c r="B685" s="1349"/>
      <c r="C685" s="786" t="s">
        <v>28</v>
      </c>
      <c r="D685" s="646">
        <f>SUM(D682:D684)</f>
        <v>6599.31</v>
      </c>
      <c r="E685" s="646">
        <f>SUM(E682:E684)</f>
        <v>2199.77</v>
      </c>
      <c r="F685" s="646" t="s">
        <v>28</v>
      </c>
      <c r="G685" s="646">
        <f>SUM(G682:G684)</f>
        <v>2129.66</v>
      </c>
      <c r="H685" s="582" t="s">
        <v>28</v>
      </c>
      <c r="I685" s="582" t="s">
        <v>28</v>
      </c>
      <c r="J685" s="582">
        <f>SUM(J682:J684)</f>
        <v>53</v>
      </c>
      <c r="K685" s="787" t="s">
        <v>28</v>
      </c>
      <c r="L685" s="584">
        <f>SUM(L682:L684)</f>
        <v>2311142.31</v>
      </c>
      <c r="M685" s="585">
        <f>SUM(M682:M684)</f>
        <v>2284013.63</v>
      </c>
      <c r="N685" s="586">
        <f>SUM(N682:N684)</f>
        <v>24919.78</v>
      </c>
      <c r="O685" s="587">
        <f>SUM(O682:O684)</f>
        <v>2208.9</v>
      </c>
      <c r="P685" s="586"/>
      <c r="Q685" s="586">
        <f>SUM(Q682:Q684)</f>
        <v>0</v>
      </c>
      <c r="R685" s="582" t="s">
        <v>28</v>
      </c>
      <c r="S685" s="645">
        <f>L685-M685-N685-O685-P685-Q685</f>
        <v>1.6871126717887819E-10</v>
      </c>
      <c r="T685" s="645"/>
      <c r="U685" s="701"/>
      <c r="V685" s="589"/>
      <c r="W685" s="592"/>
      <c r="X685" s="592"/>
      <c r="Y685" s="592"/>
      <c r="Z685" s="592"/>
    </row>
    <row r="686" spans="1:26" s="28" customFormat="1" hidden="1">
      <c r="A686" s="1347" t="s">
        <v>48</v>
      </c>
      <c r="B686" s="1347"/>
      <c r="C686" s="1347"/>
      <c r="D686" s="1347"/>
      <c r="E686" s="1347"/>
      <c r="F686" s="1347"/>
      <c r="G686" s="1347"/>
      <c r="H686" s="1347"/>
      <c r="I686" s="1347"/>
      <c r="J686" s="1347"/>
      <c r="K686" s="1347"/>
      <c r="L686" s="1347"/>
      <c r="M686" s="1347"/>
      <c r="N686" s="1347"/>
      <c r="O686" s="1347"/>
      <c r="P686" s="1347"/>
      <c r="Q686" s="1347"/>
      <c r="R686" s="1347"/>
      <c r="S686" s="592"/>
      <c r="T686" s="645"/>
      <c r="U686" s="591"/>
      <c r="V686" s="589"/>
      <c r="W686" s="592"/>
      <c r="X686" s="592"/>
      <c r="Y686" s="592"/>
      <c r="Z686" s="592"/>
    </row>
    <row r="687" spans="1:26" s="28" customFormat="1" hidden="1">
      <c r="A687" s="590">
        <v>1</v>
      </c>
      <c r="B687" s="592" t="s">
        <v>921</v>
      </c>
      <c r="C687" s="593" t="s">
        <v>221</v>
      </c>
      <c r="D687" s="646">
        <v>3591</v>
      </c>
      <c r="E687" s="646">
        <v>707</v>
      </c>
      <c r="F687" s="646" t="s">
        <v>230</v>
      </c>
      <c r="G687" s="646">
        <v>619</v>
      </c>
      <c r="H687" s="582">
        <v>2</v>
      </c>
      <c r="I687" s="582">
        <v>2</v>
      </c>
      <c r="J687" s="582">
        <v>8</v>
      </c>
      <c r="K687" s="590" t="s">
        <v>224</v>
      </c>
      <c r="L687" s="584">
        <f>M687+N687+O687+P687+Q687</f>
        <v>183080</v>
      </c>
      <c r="M687" s="585">
        <v>159200</v>
      </c>
      <c r="N687" s="586">
        <v>23880</v>
      </c>
      <c r="O687" s="587"/>
      <c r="P687" s="586"/>
      <c r="Q687" s="586"/>
      <c r="R687" s="582">
        <f>M687/J687</f>
        <v>19900</v>
      </c>
      <c r="S687" s="592"/>
      <c r="T687" s="645"/>
      <c r="U687" s="591"/>
      <c r="V687" s="589"/>
      <c r="W687" s="592"/>
      <c r="X687" s="592"/>
      <c r="Y687" s="592"/>
      <c r="Z687" s="592"/>
    </row>
    <row r="688" spans="1:26" s="28" customFormat="1" hidden="1">
      <c r="A688" s="590">
        <f>A687+1</f>
        <v>2</v>
      </c>
      <c r="B688" s="592" t="s">
        <v>922</v>
      </c>
      <c r="C688" s="593" t="s">
        <v>221</v>
      </c>
      <c r="D688" s="646">
        <v>2955</v>
      </c>
      <c r="E688" s="646">
        <v>611</v>
      </c>
      <c r="F688" s="646" t="s">
        <v>228</v>
      </c>
      <c r="G688" s="646">
        <v>509.44</v>
      </c>
      <c r="H688" s="582">
        <v>2</v>
      </c>
      <c r="I688" s="582">
        <v>2</v>
      </c>
      <c r="J688" s="582">
        <v>8</v>
      </c>
      <c r="K688" s="590" t="s">
        <v>224</v>
      </c>
      <c r="L688" s="584">
        <f>M688+N688+O688+P688+Q688</f>
        <v>183080</v>
      </c>
      <c r="M688" s="585">
        <v>159200</v>
      </c>
      <c r="N688" s="586">
        <v>23880</v>
      </c>
      <c r="O688" s="587"/>
      <c r="P688" s="597"/>
      <c r="Q688" s="586"/>
      <c r="R688" s="582">
        <f>M688/J688</f>
        <v>19900</v>
      </c>
      <c r="S688" s="592"/>
      <c r="T688" s="738"/>
      <c r="U688" s="591"/>
      <c r="V688" s="589"/>
      <c r="W688" s="592"/>
      <c r="X688" s="592"/>
      <c r="Y688" s="592"/>
      <c r="Z688" s="592"/>
    </row>
    <row r="689" spans="1:26" s="530" customFormat="1" ht="37.5" hidden="1">
      <c r="A689" s="590">
        <f>A688+1</f>
        <v>3</v>
      </c>
      <c r="B689" s="788" t="s">
        <v>923</v>
      </c>
      <c r="C689" s="744" t="s">
        <v>221</v>
      </c>
      <c r="D689" s="789">
        <v>2132</v>
      </c>
      <c r="E689" s="789">
        <v>480.82</v>
      </c>
      <c r="F689" s="789" t="s">
        <v>230</v>
      </c>
      <c r="G689" s="789">
        <v>367.5</v>
      </c>
      <c r="H689" s="744">
        <v>2</v>
      </c>
      <c r="I689" s="744">
        <v>2</v>
      </c>
      <c r="J689" s="744">
        <v>8</v>
      </c>
      <c r="K689" s="590" t="s">
        <v>30</v>
      </c>
      <c r="L689" s="584">
        <f>M689+N689+O689+P689+Q689</f>
        <v>172194.25</v>
      </c>
      <c r="M689" s="585">
        <f>J689*20000</f>
        <v>160000</v>
      </c>
      <c r="N689" s="742"/>
      <c r="O689" s="736">
        <f>477.6+642.51</f>
        <v>1120.1100000000001</v>
      </c>
      <c r="P689" s="753"/>
      <c r="Q689" s="586">
        <v>11074.14</v>
      </c>
      <c r="R689" s="744">
        <f>M689/J689</f>
        <v>20000</v>
      </c>
      <c r="S689" s="788"/>
      <c r="T689" s="790"/>
      <c r="U689" s="791"/>
      <c r="V689" s="589"/>
      <c r="W689" s="788"/>
      <c r="X689" s="788"/>
      <c r="Y689" s="788"/>
      <c r="Z689" s="788"/>
    </row>
    <row r="690" spans="1:26" s="28" customFormat="1" hidden="1">
      <c r="A690" s="1349" t="s">
        <v>119</v>
      </c>
      <c r="B690" s="1349"/>
      <c r="C690" s="786" t="s">
        <v>28</v>
      </c>
      <c r="D690" s="646">
        <f>SUM(D687:D689)</f>
        <v>8678</v>
      </c>
      <c r="E690" s="646">
        <f>SUM(E687:E689)</f>
        <v>1798.82</v>
      </c>
      <c r="F690" s="646" t="s">
        <v>28</v>
      </c>
      <c r="G690" s="646">
        <f>SUM(G687:G689)</f>
        <v>1495.94</v>
      </c>
      <c r="H690" s="582" t="s">
        <v>28</v>
      </c>
      <c r="I690" s="582" t="s">
        <v>28</v>
      </c>
      <c r="J690" s="582">
        <f>SUM(J687:J689)</f>
        <v>24</v>
      </c>
      <c r="K690" s="787" t="s">
        <v>28</v>
      </c>
      <c r="L690" s="584">
        <f>SUM(L687:L689)</f>
        <v>538354.25</v>
      </c>
      <c r="M690" s="585">
        <f>SUM(M687:M689)</f>
        <v>478400</v>
      </c>
      <c r="N690" s="586">
        <f>SUM(N687:N689)</f>
        <v>47760</v>
      </c>
      <c r="O690" s="587">
        <f>SUM(O687:O689)</f>
        <v>1120.1100000000001</v>
      </c>
      <c r="P690" s="586"/>
      <c r="Q690" s="586">
        <f>SUM(Q687:Q689)</f>
        <v>11074.14</v>
      </c>
      <c r="R690" s="582" t="s">
        <v>28</v>
      </c>
      <c r="S690" s="645">
        <f>L690-M690-N690-O690-P690-Q690</f>
        <v>0</v>
      </c>
      <c r="T690" s="778"/>
      <c r="U690" s="701"/>
      <c r="V690" s="589"/>
      <c r="W690" s="592"/>
      <c r="X690" s="592"/>
      <c r="Y690" s="592"/>
      <c r="Z690" s="592"/>
    </row>
    <row r="691" spans="1:26" s="28" customFormat="1" hidden="1">
      <c r="A691" s="1347" t="s">
        <v>49</v>
      </c>
      <c r="B691" s="1347"/>
      <c r="C691" s="1347"/>
      <c r="D691" s="1347"/>
      <c r="E691" s="1347"/>
      <c r="F691" s="1347"/>
      <c r="G691" s="1347"/>
      <c r="H691" s="1347"/>
      <c r="I691" s="1347"/>
      <c r="J691" s="1347"/>
      <c r="K691" s="1347"/>
      <c r="L691" s="1347"/>
      <c r="M691" s="1347"/>
      <c r="N691" s="1347"/>
      <c r="O691" s="1347"/>
      <c r="P691" s="1347"/>
      <c r="Q691" s="1347"/>
      <c r="R691" s="1347"/>
      <c r="S691" s="592"/>
      <c r="T691" s="645"/>
      <c r="U691" s="591"/>
      <c r="V691" s="589"/>
      <c r="W691" s="592"/>
      <c r="X691" s="592"/>
      <c r="Y691" s="592"/>
      <c r="Z691" s="592"/>
    </row>
    <row r="692" spans="1:26" s="246" customFormat="1" hidden="1">
      <c r="A692" s="679">
        <v>1</v>
      </c>
      <c r="B692" s="592" t="s">
        <v>924</v>
      </c>
      <c r="C692" s="593" t="s">
        <v>221</v>
      </c>
      <c r="D692" s="646">
        <v>3908</v>
      </c>
      <c r="E692" s="646">
        <v>1335.8</v>
      </c>
      <c r="F692" s="593" t="s">
        <v>230</v>
      </c>
      <c r="G692" s="646">
        <v>725.6</v>
      </c>
      <c r="H692" s="582">
        <v>3</v>
      </c>
      <c r="I692" s="582">
        <v>2</v>
      </c>
      <c r="J692" s="582">
        <v>24</v>
      </c>
      <c r="K692" s="792" t="s">
        <v>38</v>
      </c>
      <c r="L692" s="584">
        <f t="shared" ref="L692:L731" si="89">M692+N692+O692+Q692</f>
        <v>2636076.92</v>
      </c>
      <c r="M692" s="585">
        <v>2627305</v>
      </c>
      <c r="N692" s="586"/>
      <c r="O692" s="736">
        <v>8771.92</v>
      </c>
      <c r="P692" s="586"/>
      <c r="Q692" s="586"/>
      <c r="R692" s="599">
        <f>M692/E692</f>
        <v>1966.840095822728</v>
      </c>
      <c r="S692" s="591"/>
      <c r="T692" s="581"/>
      <c r="U692" s="793"/>
      <c r="V692" s="589"/>
      <c r="W692" s="591"/>
      <c r="X692" s="591"/>
      <c r="Y692" s="591"/>
      <c r="Z692" s="591"/>
    </row>
    <row r="693" spans="1:26" s="246" customFormat="1" ht="37.5" hidden="1">
      <c r="A693" s="679">
        <f>A692+1</f>
        <v>2</v>
      </c>
      <c r="B693" s="592" t="s">
        <v>925</v>
      </c>
      <c r="C693" s="593" t="s">
        <v>217</v>
      </c>
      <c r="D693" s="646">
        <v>16531</v>
      </c>
      <c r="E693" s="646">
        <v>3266</v>
      </c>
      <c r="F693" s="593" t="s">
        <v>223</v>
      </c>
      <c r="G693" s="646">
        <v>1440</v>
      </c>
      <c r="H693" s="582">
        <v>5</v>
      </c>
      <c r="I693" s="582">
        <v>6</v>
      </c>
      <c r="J693" s="582">
        <v>90</v>
      </c>
      <c r="K693" s="590" t="s">
        <v>247</v>
      </c>
      <c r="L693" s="584">
        <f t="shared" si="89"/>
        <v>3222526.32</v>
      </c>
      <c r="M693" s="585">
        <v>3212640</v>
      </c>
      <c r="N693" s="586"/>
      <c r="O693" s="736">
        <v>9886.32</v>
      </c>
      <c r="P693" s="586"/>
      <c r="Q693" s="586"/>
      <c r="R693" s="582">
        <f>M693/G693</f>
        <v>2231</v>
      </c>
      <c r="S693" s="591"/>
      <c r="T693" s="581"/>
      <c r="U693" s="793"/>
      <c r="V693" s="589"/>
      <c r="W693" s="591"/>
      <c r="X693" s="591"/>
      <c r="Y693" s="591"/>
      <c r="Z693" s="591"/>
    </row>
    <row r="694" spans="1:26" s="246" customFormat="1" ht="56.25" hidden="1">
      <c r="A694" s="679">
        <f t="shared" ref="A694:A731" si="90">A693+1</f>
        <v>3</v>
      </c>
      <c r="B694" s="592" t="s">
        <v>926</v>
      </c>
      <c r="C694" s="593" t="s">
        <v>221</v>
      </c>
      <c r="D694" s="646">
        <v>12790</v>
      </c>
      <c r="E694" s="646">
        <v>2367</v>
      </c>
      <c r="F694" s="593" t="s">
        <v>222</v>
      </c>
      <c r="G694" s="646">
        <v>1229</v>
      </c>
      <c r="H694" s="582">
        <v>5</v>
      </c>
      <c r="I694" s="582">
        <v>4</v>
      </c>
      <c r="J694" s="582">
        <v>70</v>
      </c>
      <c r="K694" s="590" t="s">
        <v>248</v>
      </c>
      <c r="L694" s="584">
        <f t="shared" si="89"/>
        <v>3867107.78</v>
      </c>
      <c r="M694" s="585">
        <v>3827976.42</v>
      </c>
      <c r="N694" s="586">
        <v>39131.360000000001</v>
      </c>
      <c r="O694" s="587"/>
      <c r="P694" s="586"/>
      <c r="Q694" s="586"/>
      <c r="R694" s="582">
        <f>M694/G694</f>
        <v>3114.7082343368593</v>
      </c>
      <c r="S694" s="591"/>
      <c r="T694" s="581"/>
      <c r="U694" s="793"/>
      <c r="V694" s="589"/>
      <c r="W694" s="591"/>
      <c r="X694" s="591"/>
      <c r="Y694" s="591"/>
      <c r="Z694" s="591"/>
    </row>
    <row r="695" spans="1:26" s="532" customFormat="1" ht="37.5" hidden="1">
      <c r="A695" s="679">
        <f t="shared" si="90"/>
        <v>4</v>
      </c>
      <c r="B695" s="616" t="s">
        <v>927</v>
      </c>
      <c r="C695" s="593" t="s">
        <v>221</v>
      </c>
      <c r="D695" s="789">
        <v>10524</v>
      </c>
      <c r="E695" s="789">
        <v>1945.4</v>
      </c>
      <c r="F695" s="593" t="s">
        <v>222</v>
      </c>
      <c r="G695" s="789">
        <v>1183</v>
      </c>
      <c r="H695" s="582">
        <v>5</v>
      </c>
      <c r="I695" s="582">
        <v>4</v>
      </c>
      <c r="J695" s="744">
        <v>52</v>
      </c>
      <c r="K695" s="794" t="s">
        <v>421</v>
      </c>
      <c r="L695" s="584">
        <f t="shared" si="89"/>
        <v>775675.70000000007</v>
      </c>
      <c r="M695" s="585">
        <v>773347.4</v>
      </c>
      <c r="N695" s="586"/>
      <c r="O695" s="736">
        <v>2328.3000000000002</v>
      </c>
      <c r="P695" s="586"/>
      <c r="Q695" s="586"/>
      <c r="R695" s="582">
        <f>M695/J695</f>
        <v>14872.065384615385</v>
      </c>
      <c r="S695" s="795"/>
      <c r="T695" s="581"/>
      <c r="U695" s="793"/>
      <c r="V695" s="589"/>
      <c r="W695" s="795"/>
      <c r="X695" s="795"/>
      <c r="Y695" s="795"/>
      <c r="Z695" s="795"/>
    </row>
    <row r="696" spans="1:26" s="246" customFormat="1" ht="56.25" hidden="1">
      <c r="A696" s="679">
        <f t="shared" si="90"/>
        <v>5</v>
      </c>
      <c r="B696" s="592" t="s">
        <v>928</v>
      </c>
      <c r="C696" s="796" t="s">
        <v>221</v>
      </c>
      <c r="D696" s="646">
        <v>9014</v>
      </c>
      <c r="E696" s="646">
        <v>1929</v>
      </c>
      <c r="F696" s="646" t="s">
        <v>249</v>
      </c>
      <c r="G696" s="646">
        <v>913</v>
      </c>
      <c r="H696" s="582">
        <v>2</v>
      </c>
      <c r="I696" s="582">
        <v>1</v>
      </c>
      <c r="J696" s="582">
        <v>17</v>
      </c>
      <c r="K696" s="590" t="s">
        <v>248</v>
      </c>
      <c r="L696" s="584">
        <f t="shared" si="89"/>
        <v>2892196.69</v>
      </c>
      <c r="M696" s="585">
        <v>2863126.77</v>
      </c>
      <c r="N696" s="586">
        <v>29069.919999999998</v>
      </c>
      <c r="O696" s="587"/>
      <c r="P696" s="586"/>
      <c r="Q696" s="586"/>
      <c r="R696" s="582">
        <f t="shared" ref="R696:R704" si="91">M696/G696</f>
        <v>3135.9548411829137</v>
      </c>
      <c r="S696" s="591"/>
      <c r="T696" s="581"/>
      <c r="U696" s="793"/>
      <c r="V696" s="589"/>
      <c r="W696" s="591"/>
      <c r="X696" s="591"/>
      <c r="Y696" s="591"/>
      <c r="Z696" s="591"/>
    </row>
    <row r="697" spans="1:26" s="246" customFormat="1" ht="37.5" hidden="1">
      <c r="A697" s="679">
        <f t="shared" si="90"/>
        <v>6</v>
      </c>
      <c r="B697" s="592" t="s">
        <v>929</v>
      </c>
      <c r="C697" s="593" t="s">
        <v>221</v>
      </c>
      <c r="D697" s="646">
        <v>11811</v>
      </c>
      <c r="E697" s="646">
        <v>2330.9</v>
      </c>
      <c r="F697" s="593" t="s">
        <v>223</v>
      </c>
      <c r="G697" s="646">
        <v>980</v>
      </c>
      <c r="H697" s="582">
        <v>5</v>
      </c>
      <c r="I697" s="582">
        <v>3</v>
      </c>
      <c r="J697" s="582">
        <v>60</v>
      </c>
      <c r="K697" s="590" t="s">
        <v>247</v>
      </c>
      <c r="L697" s="584">
        <f t="shared" si="89"/>
        <v>1776530.52</v>
      </c>
      <c r="M697" s="585">
        <v>1769802.33</v>
      </c>
      <c r="N697" s="586"/>
      <c r="O697" s="736">
        <v>6728.19</v>
      </c>
      <c r="P697" s="586"/>
      <c r="Q697" s="586"/>
      <c r="R697" s="582">
        <f t="shared" si="91"/>
        <v>1805.9207448979594</v>
      </c>
      <c r="S697" s="591"/>
      <c r="T697" s="581"/>
      <c r="U697" s="793"/>
      <c r="V697" s="589"/>
      <c r="W697" s="591"/>
      <c r="X697" s="591"/>
      <c r="Y697" s="591"/>
      <c r="Z697" s="591"/>
    </row>
    <row r="698" spans="1:26" s="246" customFormat="1" ht="37.5" hidden="1">
      <c r="A698" s="679">
        <f t="shared" si="90"/>
        <v>7</v>
      </c>
      <c r="B698" s="616" t="s">
        <v>930</v>
      </c>
      <c r="C698" s="796" t="s">
        <v>221</v>
      </c>
      <c r="D698" s="789">
        <v>30432</v>
      </c>
      <c r="E698" s="789">
        <v>5437.4</v>
      </c>
      <c r="F698" s="593" t="s">
        <v>223</v>
      </c>
      <c r="G698" s="789">
        <v>2101</v>
      </c>
      <c r="H698" s="582">
        <v>5</v>
      </c>
      <c r="I698" s="582">
        <v>9</v>
      </c>
      <c r="J698" s="744">
        <v>105</v>
      </c>
      <c r="K698" s="590" t="s">
        <v>247</v>
      </c>
      <c r="L698" s="584">
        <f t="shared" si="89"/>
        <v>3858969.51</v>
      </c>
      <c r="M698" s="585">
        <v>3844545</v>
      </c>
      <c r="N698" s="586"/>
      <c r="O698" s="736">
        <v>14424.51</v>
      </c>
      <c r="P698" s="586"/>
      <c r="Q698" s="586"/>
      <c r="R698" s="582">
        <f t="shared" si="91"/>
        <v>1829.8643503093765</v>
      </c>
      <c r="S698" s="591"/>
      <c r="T698" s="581"/>
      <c r="U698" s="793"/>
      <c r="V698" s="589"/>
      <c r="W698" s="591"/>
      <c r="X698" s="591"/>
      <c r="Y698" s="591"/>
      <c r="Z698" s="591"/>
    </row>
    <row r="699" spans="1:26" s="246" customFormat="1" ht="37.5" hidden="1">
      <c r="A699" s="679">
        <f t="shared" si="90"/>
        <v>8</v>
      </c>
      <c r="B699" s="592" t="s">
        <v>931</v>
      </c>
      <c r="C699" s="593" t="s">
        <v>217</v>
      </c>
      <c r="D699" s="789">
        <v>19035</v>
      </c>
      <c r="E699" s="789">
        <v>3349.5</v>
      </c>
      <c r="F699" s="593" t="s">
        <v>223</v>
      </c>
      <c r="G699" s="789">
        <v>1306</v>
      </c>
      <c r="H699" s="582">
        <v>5</v>
      </c>
      <c r="I699" s="582">
        <v>5</v>
      </c>
      <c r="J699" s="744">
        <v>100</v>
      </c>
      <c r="K699" s="590" t="s">
        <v>247</v>
      </c>
      <c r="L699" s="584">
        <f t="shared" si="89"/>
        <v>2922651.94</v>
      </c>
      <c r="M699" s="585">
        <v>2913686</v>
      </c>
      <c r="N699" s="586"/>
      <c r="O699" s="736">
        <v>8965.94</v>
      </c>
      <c r="P699" s="586"/>
      <c r="Q699" s="586"/>
      <c r="R699" s="582">
        <f t="shared" si="91"/>
        <v>2231</v>
      </c>
      <c r="S699" s="591"/>
      <c r="T699" s="581"/>
      <c r="U699" s="797"/>
      <c r="V699" s="589"/>
      <c r="W699" s="591"/>
      <c r="X699" s="591"/>
      <c r="Y699" s="591"/>
      <c r="Z699" s="591"/>
    </row>
    <row r="700" spans="1:26" s="246" customFormat="1" ht="56.25" hidden="1">
      <c r="A700" s="679">
        <f>A699+1</f>
        <v>9</v>
      </c>
      <c r="B700" s="592" t="s">
        <v>932</v>
      </c>
      <c r="C700" s="593" t="s">
        <v>221</v>
      </c>
      <c r="D700" s="646">
        <v>2421.3000000000002</v>
      </c>
      <c r="E700" s="646">
        <v>2421.3000000000002</v>
      </c>
      <c r="F700" s="593" t="s">
        <v>222</v>
      </c>
      <c r="G700" s="646">
        <v>1193</v>
      </c>
      <c r="H700" s="582">
        <v>5</v>
      </c>
      <c r="I700" s="582">
        <v>4</v>
      </c>
      <c r="J700" s="582">
        <v>80</v>
      </c>
      <c r="K700" s="590" t="s">
        <v>248</v>
      </c>
      <c r="L700" s="584">
        <f t="shared" si="89"/>
        <v>3771764.3600000003</v>
      </c>
      <c r="M700" s="585">
        <v>3733779.24</v>
      </c>
      <c r="N700" s="586">
        <v>37985.120000000003</v>
      </c>
      <c r="O700" s="587"/>
      <c r="P700" s="586"/>
      <c r="Q700" s="586"/>
      <c r="R700" s="582">
        <f t="shared" si="91"/>
        <v>3129.7395138306792</v>
      </c>
      <c r="S700" s="591"/>
      <c r="T700" s="581"/>
      <c r="U700" s="793"/>
      <c r="V700" s="589"/>
      <c r="W700" s="591"/>
      <c r="X700" s="591"/>
      <c r="Y700" s="591"/>
      <c r="Z700" s="591"/>
    </row>
    <row r="701" spans="1:26" s="246" customFormat="1" ht="56.25" hidden="1">
      <c r="A701" s="679">
        <f t="shared" si="90"/>
        <v>10</v>
      </c>
      <c r="B701" s="592" t="s">
        <v>933</v>
      </c>
      <c r="C701" s="593" t="s">
        <v>229</v>
      </c>
      <c r="D701" s="646">
        <v>1369</v>
      </c>
      <c r="E701" s="646">
        <v>428.9</v>
      </c>
      <c r="F701" s="593" t="s">
        <v>222</v>
      </c>
      <c r="G701" s="646">
        <v>473.2</v>
      </c>
      <c r="H701" s="582">
        <v>2</v>
      </c>
      <c r="I701" s="582">
        <v>2</v>
      </c>
      <c r="J701" s="582">
        <v>8</v>
      </c>
      <c r="K701" s="590" t="s">
        <v>248</v>
      </c>
      <c r="L701" s="584">
        <f t="shared" si="89"/>
        <v>985694.51</v>
      </c>
      <c r="M701" s="585">
        <v>963094.08</v>
      </c>
      <c r="N701" s="586">
        <v>22600.43</v>
      </c>
      <c r="O701" s="587"/>
      <c r="P701" s="586"/>
      <c r="Q701" s="586"/>
      <c r="R701" s="582">
        <f t="shared" si="91"/>
        <v>2035.2791208791209</v>
      </c>
      <c r="S701" s="591"/>
      <c r="T701" s="581"/>
      <c r="U701" s="793"/>
      <c r="V701" s="589"/>
      <c r="W701" s="591"/>
      <c r="X701" s="591"/>
      <c r="Y701" s="591"/>
      <c r="Z701" s="591"/>
    </row>
    <row r="702" spans="1:26" s="246" customFormat="1" ht="37.5" hidden="1">
      <c r="A702" s="679">
        <f t="shared" si="90"/>
        <v>11</v>
      </c>
      <c r="B702" s="616" t="s">
        <v>934</v>
      </c>
      <c r="C702" s="796" t="s">
        <v>221</v>
      </c>
      <c r="D702" s="646">
        <v>1185.4000000000001</v>
      </c>
      <c r="E702" s="646">
        <v>1222.5999999999999</v>
      </c>
      <c r="F702" s="593" t="s">
        <v>223</v>
      </c>
      <c r="G702" s="646">
        <v>1036</v>
      </c>
      <c r="H702" s="582">
        <v>2</v>
      </c>
      <c r="I702" s="582">
        <v>4</v>
      </c>
      <c r="J702" s="582">
        <v>24</v>
      </c>
      <c r="K702" s="792" t="s">
        <v>240</v>
      </c>
      <c r="L702" s="584">
        <f t="shared" si="89"/>
        <v>2511290.98</v>
      </c>
      <c r="M702" s="585">
        <v>2471089</v>
      </c>
      <c r="N702" s="586">
        <v>40201.980000000003</v>
      </c>
      <c r="O702" s="587"/>
      <c r="P702" s="586"/>
      <c r="Q702" s="586"/>
      <c r="R702" s="582">
        <f t="shared" si="91"/>
        <v>2385.2210424710424</v>
      </c>
      <c r="S702" s="591"/>
      <c r="T702" s="581"/>
      <c r="U702" s="793"/>
      <c r="V702" s="589"/>
      <c r="W702" s="591"/>
      <c r="X702" s="591"/>
      <c r="Y702" s="591"/>
      <c r="Z702" s="591"/>
    </row>
    <row r="703" spans="1:26" s="246" customFormat="1" ht="56.25" hidden="1">
      <c r="A703" s="679">
        <f t="shared" si="90"/>
        <v>12</v>
      </c>
      <c r="B703" s="592" t="s">
        <v>935</v>
      </c>
      <c r="C703" s="796" t="s">
        <v>221</v>
      </c>
      <c r="D703" s="646">
        <v>1165.5</v>
      </c>
      <c r="E703" s="646">
        <v>1344.3</v>
      </c>
      <c r="F703" s="593" t="s">
        <v>223</v>
      </c>
      <c r="G703" s="646">
        <v>729.7</v>
      </c>
      <c r="H703" s="582">
        <v>3</v>
      </c>
      <c r="I703" s="582">
        <v>2</v>
      </c>
      <c r="J703" s="582">
        <v>29</v>
      </c>
      <c r="K703" s="792" t="s">
        <v>250</v>
      </c>
      <c r="L703" s="584">
        <f t="shared" si="89"/>
        <v>2080958.42</v>
      </c>
      <c r="M703" s="585">
        <v>2038484.8599999999</v>
      </c>
      <c r="N703" s="586">
        <v>42473.56</v>
      </c>
      <c r="O703" s="587"/>
      <c r="P703" s="586"/>
      <c r="Q703" s="586"/>
      <c r="R703" s="582">
        <f t="shared" si="91"/>
        <v>2793.5930656434148</v>
      </c>
      <c r="S703" s="591"/>
      <c r="T703" s="592"/>
      <c r="U703" s="793"/>
      <c r="V703" s="589"/>
      <c r="W703" s="591"/>
      <c r="X703" s="591"/>
      <c r="Y703" s="591"/>
      <c r="Z703" s="591"/>
    </row>
    <row r="704" spans="1:26" s="246" customFormat="1" ht="37.5" hidden="1">
      <c r="A704" s="679">
        <f t="shared" si="90"/>
        <v>13</v>
      </c>
      <c r="B704" s="592" t="s">
        <v>936</v>
      </c>
      <c r="C704" s="593" t="s">
        <v>221</v>
      </c>
      <c r="D704" s="646">
        <v>26318</v>
      </c>
      <c r="E704" s="646">
        <v>4158.2</v>
      </c>
      <c r="F704" s="593" t="s">
        <v>227</v>
      </c>
      <c r="G704" s="646">
        <v>1694</v>
      </c>
      <c r="H704" s="582">
        <v>5</v>
      </c>
      <c r="I704" s="582">
        <v>7</v>
      </c>
      <c r="J704" s="582">
        <v>105</v>
      </c>
      <c r="K704" s="792" t="s">
        <v>240</v>
      </c>
      <c r="L704" s="584">
        <f t="shared" si="89"/>
        <v>6441269.8399999999</v>
      </c>
      <c r="M704" s="585">
        <v>6408402</v>
      </c>
      <c r="N704" s="586">
        <v>32867.839999999997</v>
      </c>
      <c r="O704" s="587"/>
      <c r="P704" s="586"/>
      <c r="Q704" s="586"/>
      <c r="R704" s="582">
        <f t="shared" si="91"/>
        <v>3783</v>
      </c>
      <c r="S704" s="591"/>
      <c r="T704" s="581"/>
      <c r="U704" s="793"/>
      <c r="V704" s="589"/>
      <c r="W704" s="591"/>
      <c r="X704" s="591"/>
      <c r="Y704" s="591"/>
      <c r="Z704" s="591"/>
    </row>
    <row r="705" spans="1:26" s="246" customFormat="1" hidden="1">
      <c r="A705" s="679">
        <f t="shared" si="90"/>
        <v>14</v>
      </c>
      <c r="B705" s="616" t="s">
        <v>937</v>
      </c>
      <c r="C705" s="593" t="s">
        <v>221</v>
      </c>
      <c r="D705" s="646">
        <v>5360</v>
      </c>
      <c r="E705" s="646">
        <v>1139.3</v>
      </c>
      <c r="F705" s="593" t="s">
        <v>222</v>
      </c>
      <c r="G705" s="646">
        <v>585</v>
      </c>
      <c r="H705" s="582">
        <v>4</v>
      </c>
      <c r="I705" s="582">
        <v>2</v>
      </c>
      <c r="J705" s="582">
        <v>32</v>
      </c>
      <c r="K705" s="794" t="s">
        <v>224</v>
      </c>
      <c r="L705" s="584">
        <f t="shared" si="89"/>
        <v>633472</v>
      </c>
      <c r="M705" s="741">
        <v>608000</v>
      </c>
      <c r="N705" s="586">
        <v>25472</v>
      </c>
      <c r="O705" s="587"/>
      <c r="P705" s="586"/>
      <c r="Q705" s="586"/>
      <c r="R705" s="582">
        <f>M705/J705</f>
        <v>19000</v>
      </c>
      <c r="S705" s="591"/>
      <c r="T705" s="790"/>
      <c r="U705" s="591"/>
      <c r="V705" s="589"/>
      <c r="W705" s="591"/>
      <c r="X705" s="591"/>
      <c r="Y705" s="591"/>
      <c r="Z705" s="591"/>
    </row>
    <row r="706" spans="1:26" s="246" customFormat="1" ht="56.25" hidden="1">
      <c r="A706" s="679">
        <f t="shared" si="90"/>
        <v>15</v>
      </c>
      <c r="B706" s="788" t="s">
        <v>4097</v>
      </c>
      <c r="C706" s="593" t="s">
        <v>221</v>
      </c>
      <c r="D706" s="789">
        <v>5860</v>
      </c>
      <c r="E706" s="789">
        <v>1198.8</v>
      </c>
      <c r="F706" s="593" t="s">
        <v>222</v>
      </c>
      <c r="G706" s="789">
        <v>896</v>
      </c>
      <c r="H706" s="744">
        <v>3</v>
      </c>
      <c r="I706" s="744">
        <v>3</v>
      </c>
      <c r="J706" s="744">
        <v>36</v>
      </c>
      <c r="K706" s="590" t="s">
        <v>248</v>
      </c>
      <c r="L706" s="584">
        <f t="shared" si="89"/>
        <v>2812246.52</v>
      </c>
      <c r="M706" s="585">
        <v>2783717.88</v>
      </c>
      <c r="N706" s="586">
        <v>28528.639999999999</v>
      </c>
      <c r="O706" s="587"/>
      <c r="P706" s="586"/>
      <c r="Q706" s="586"/>
      <c r="R706" s="582">
        <f>M706/G706</f>
        <v>3106.8279910714286</v>
      </c>
      <c r="S706" s="591"/>
      <c r="T706" s="592"/>
      <c r="U706" s="793"/>
      <c r="V706" s="589"/>
      <c r="W706" s="591"/>
      <c r="X706" s="591"/>
      <c r="Y706" s="591"/>
      <c r="Z706" s="591"/>
    </row>
    <row r="707" spans="1:26" s="246" customFormat="1" ht="56.25" hidden="1">
      <c r="A707" s="679">
        <f t="shared" si="90"/>
        <v>16</v>
      </c>
      <c r="B707" s="592" t="s">
        <v>4098</v>
      </c>
      <c r="C707" s="593" t="s">
        <v>221</v>
      </c>
      <c r="D707" s="646">
        <v>2396</v>
      </c>
      <c r="E707" s="646">
        <v>560</v>
      </c>
      <c r="F707" s="593" t="s">
        <v>222</v>
      </c>
      <c r="G707" s="646">
        <v>432</v>
      </c>
      <c r="H707" s="582">
        <v>2</v>
      </c>
      <c r="I707" s="582">
        <v>2</v>
      </c>
      <c r="J707" s="582">
        <v>8</v>
      </c>
      <c r="K707" s="590" t="s">
        <v>248</v>
      </c>
      <c r="L707" s="584">
        <f t="shared" si="89"/>
        <v>1112971.23</v>
      </c>
      <c r="M707" s="585">
        <v>1085461.47</v>
      </c>
      <c r="N707" s="586">
        <v>27509.759999999998</v>
      </c>
      <c r="O707" s="587"/>
      <c r="P707" s="586"/>
      <c r="Q707" s="586"/>
      <c r="R707" s="582">
        <f>M707/G707</f>
        <v>2512.6422916666666</v>
      </c>
      <c r="S707" s="591"/>
      <c r="T707" s="581"/>
      <c r="U707" s="793"/>
      <c r="V707" s="589"/>
      <c r="W707" s="591"/>
      <c r="X707" s="591"/>
      <c r="Y707" s="591"/>
      <c r="Z707" s="591"/>
    </row>
    <row r="708" spans="1:26" s="246" customFormat="1" ht="37.5" hidden="1">
      <c r="A708" s="679">
        <f t="shared" si="90"/>
        <v>17</v>
      </c>
      <c r="B708" s="592" t="s">
        <v>4099</v>
      </c>
      <c r="C708" s="593" t="s">
        <v>221</v>
      </c>
      <c r="D708" s="798">
        <v>10440</v>
      </c>
      <c r="E708" s="798">
        <v>1948</v>
      </c>
      <c r="F708" s="593" t="s">
        <v>222</v>
      </c>
      <c r="G708" s="646">
        <v>1131</v>
      </c>
      <c r="H708" s="582">
        <v>4</v>
      </c>
      <c r="I708" s="582">
        <v>4</v>
      </c>
      <c r="J708" s="582">
        <v>63</v>
      </c>
      <c r="K708" s="794" t="s">
        <v>421</v>
      </c>
      <c r="L708" s="584">
        <f t="shared" si="89"/>
        <v>902277.55999999994</v>
      </c>
      <c r="M708" s="585">
        <v>899456.73</v>
      </c>
      <c r="N708" s="586"/>
      <c r="O708" s="736">
        <v>2820.83</v>
      </c>
      <c r="P708" s="586"/>
      <c r="Q708" s="586"/>
      <c r="R708" s="582">
        <f>M708/J708</f>
        <v>14277.090952380951</v>
      </c>
      <c r="S708" s="591"/>
      <c r="T708" s="581"/>
      <c r="U708" s="793"/>
      <c r="V708" s="589"/>
      <c r="W708" s="591"/>
      <c r="X708" s="591"/>
      <c r="Y708" s="591"/>
      <c r="Z708" s="591"/>
    </row>
    <row r="709" spans="1:26" s="246" customFormat="1" ht="37.5" hidden="1">
      <c r="A709" s="679">
        <f t="shared" si="90"/>
        <v>18</v>
      </c>
      <c r="B709" s="592" t="s">
        <v>4100</v>
      </c>
      <c r="C709" s="593" t="s">
        <v>221</v>
      </c>
      <c r="D709" s="798">
        <v>15261</v>
      </c>
      <c r="E709" s="798">
        <v>3069.2</v>
      </c>
      <c r="F709" s="593" t="s">
        <v>223</v>
      </c>
      <c r="G709" s="646">
        <v>1200.4000000000001</v>
      </c>
      <c r="H709" s="582">
        <v>5</v>
      </c>
      <c r="I709" s="582">
        <v>4</v>
      </c>
      <c r="J709" s="582">
        <v>48</v>
      </c>
      <c r="K709" s="590" t="s">
        <v>247</v>
      </c>
      <c r="L709" s="584">
        <f t="shared" si="89"/>
        <v>1583722.07</v>
      </c>
      <c r="M709" s="585">
        <v>1575480.49</v>
      </c>
      <c r="N709" s="586"/>
      <c r="O709" s="736">
        <v>8241.58</v>
      </c>
      <c r="P709" s="586"/>
      <c r="Q709" s="586"/>
      <c r="R709" s="582">
        <f>M709/G709</f>
        <v>1312.4629206931022</v>
      </c>
      <c r="S709" s="591"/>
      <c r="T709" s="581"/>
      <c r="U709" s="793"/>
      <c r="V709" s="589"/>
      <c r="W709" s="591"/>
      <c r="X709" s="591"/>
      <c r="Y709" s="591"/>
      <c r="Z709" s="591"/>
    </row>
    <row r="710" spans="1:26" s="246" customFormat="1" ht="37.5" hidden="1">
      <c r="A710" s="679">
        <f t="shared" si="90"/>
        <v>19</v>
      </c>
      <c r="B710" s="592" t="s">
        <v>4101</v>
      </c>
      <c r="C710" s="593" t="s">
        <v>217</v>
      </c>
      <c r="D710" s="646">
        <v>14027</v>
      </c>
      <c r="E710" s="646">
        <v>3075.6</v>
      </c>
      <c r="F710" s="593" t="s">
        <v>223</v>
      </c>
      <c r="G710" s="646">
        <v>1212.8</v>
      </c>
      <c r="H710" s="582">
        <v>5</v>
      </c>
      <c r="I710" s="582">
        <v>4</v>
      </c>
      <c r="J710" s="582">
        <v>80</v>
      </c>
      <c r="K710" s="590" t="s">
        <v>247</v>
      </c>
      <c r="L710" s="584">
        <f t="shared" si="89"/>
        <v>2133028.8000000003</v>
      </c>
      <c r="M710" s="585">
        <v>2124702.64</v>
      </c>
      <c r="N710" s="586"/>
      <c r="O710" s="736">
        <v>8326.16</v>
      </c>
      <c r="P710" s="586"/>
      <c r="Q710" s="586"/>
      <c r="R710" s="582">
        <f>M710/G710</f>
        <v>1751.8986147757257</v>
      </c>
      <c r="S710" s="591"/>
      <c r="T710" s="581"/>
      <c r="U710" s="793"/>
      <c r="V710" s="589"/>
      <c r="W710" s="591"/>
      <c r="X710" s="591"/>
      <c r="Y710" s="591"/>
      <c r="Z710" s="591"/>
    </row>
    <row r="711" spans="1:26" s="246" customFormat="1" ht="37.5" hidden="1">
      <c r="A711" s="679">
        <f t="shared" si="90"/>
        <v>20</v>
      </c>
      <c r="B711" s="592" t="s">
        <v>4102</v>
      </c>
      <c r="C711" s="593" t="s">
        <v>221</v>
      </c>
      <c r="D711" s="646">
        <v>4570</v>
      </c>
      <c r="E711" s="646">
        <v>1072.7</v>
      </c>
      <c r="F711" s="593" t="s">
        <v>222</v>
      </c>
      <c r="G711" s="646">
        <v>873.6</v>
      </c>
      <c r="H711" s="582">
        <v>2</v>
      </c>
      <c r="I711" s="582">
        <v>3</v>
      </c>
      <c r="J711" s="582">
        <v>14</v>
      </c>
      <c r="K711" s="794" t="s">
        <v>421</v>
      </c>
      <c r="L711" s="584">
        <f t="shared" si="89"/>
        <v>210416.85</v>
      </c>
      <c r="M711" s="585">
        <v>209790</v>
      </c>
      <c r="N711" s="586"/>
      <c r="O711" s="736">
        <v>626.85</v>
      </c>
      <c r="P711" s="586"/>
      <c r="Q711" s="586"/>
      <c r="R711" s="582">
        <f>M711/J711</f>
        <v>14985</v>
      </c>
      <c r="S711" s="591"/>
      <c r="T711" s="592"/>
      <c r="U711" s="793"/>
      <c r="V711" s="589"/>
      <c r="W711" s="591"/>
      <c r="X711" s="591"/>
      <c r="Y711" s="591"/>
      <c r="Z711" s="591"/>
    </row>
    <row r="712" spans="1:26" s="246" customFormat="1" ht="37.5" hidden="1">
      <c r="A712" s="679">
        <f t="shared" si="90"/>
        <v>21</v>
      </c>
      <c r="B712" s="592" t="s">
        <v>4103</v>
      </c>
      <c r="C712" s="582" t="s">
        <v>221</v>
      </c>
      <c r="D712" s="646">
        <v>2965.25</v>
      </c>
      <c r="E712" s="646">
        <v>1186.0999999999999</v>
      </c>
      <c r="F712" s="593" t="s">
        <v>223</v>
      </c>
      <c r="G712" s="646">
        <v>783.8</v>
      </c>
      <c r="H712" s="582">
        <v>3</v>
      </c>
      <c r="I712" s="582">
        <v>3</v>
      </c>
      <c r="J712" s="582">
        <v>27</v>
      </c>
      <c r="K712" s="590" t="s">
        <v>247</v>
      </c>
      <c r="L712" s="584">
        <f t="shared" si="89"/>
        <v>1754038.76</v>
      </c>
      <c r="M712" s="585">
        <v>1748657.8</v>
      </c>
      <c r="N712" s="586"/>
      <c r="O712" s="736">
        <v>5380.96</v>
      </c>
      <c r="P712" s="586"/>
      <c r="Q712" s="586"/>
      <c r="R712" s="582">
        <f>M712/G712</f>
        <v>2231</v>
      </c>
      <c r="S712" s="591"/>
      <c r="T712" s="592"/>
      <c r="U712" s="793"/>
      <c r="V712" s="589"/>
      <c r="W712" s="591"/>
      <c r="X712" s="591"/>
      <c r="Y712" s="591"/>
      <c r="Z712" s="591"/>
    </row>
    <row r="713" spans="1:26" s="246" customFormat="1" ht="37.5" hidden="1">
      <c r="A713" s="679">
        <f t="shared" si="90"/>
        <v>22</v>
      </c>
      <c r="B713" s="788" t="s">
        <v>4104</v>
      </c>
      <c r="C713" s="593" t="s">
        <v>221</v>
      </c>
      <c r="D713" s="789">
        <v>2060</v>
      </c>
      <c r="E713" s="789">
        <v>683.2</v>
      </c>
      <c r="F713" s="742" t="s">
        <v>251</v>
      </c>
      <c r="G713" s="789">
        <v>382.6</v>
      </c>
      <c r="H713" s="744">
        <v>2</v>
      </c>
      <c r="I713" s="744">
        <v>2</v>
      </c>
      <c r="J713" s="744">
        <v>8</v>
      </c>
      <c r="K713" s="794" t="s">
        <v>421</v>
      </c>
      <c r="L713" s="584">
        <f t="shared" si="89"/>
        <v>120238.2</v>
      </c>
      <c r="M713" s="585">
        <v>119880</v>
      </c>
      <c r="N713" s="586"/>
      <c r="O713" s="736">
        <v>358.2</v>
      </c>
      <c r="P713" s="586"/>
      <c r="Q713" s="586"/>
      <c r="R713" s="582">
        <f>M713/J713</f>
        <v>14985</v>
      </c>
      <c r="S713" s="591"/>
      <c r="T713" s="592"/>
      <c r="U713" s="793"/>
      <c r="V713" s="589"/>
      <c r="W713" s="591"/>
      <c r="X713" s="591"/>
      <c r="Y713" s="591"/>
      <c r="Z713" s="591"/>
    </row>
    <row r="714" spans="1:26" s="246" customFormat="1" ht="56.25" hidden="1">
      <c r="A714" s="679">
        <f t="shared" si="90"/>
        <v>23</v>
      </c>
      <c r="B714" s="592" t="s">
        <v>4105</v>
      </c>
      <c r="C714" s="593" t="s">
        <v>221</v>
      </c>
      <c r="D714" s="798">
        <v>2001</v>
      </c>
      <c r="E714" s="798">
        <v>515.5</v>
      </c>
      <c r="F714" s="593" t="s">
        <v>222</v>
      </c>
      <c r="G714" s="646">
        <v>382.6</v>
      </c>
      <c r="H714" s="582">
        <v>2</v>
      </c>
      <c r="I714" s="582">
        <v>2</v>
      </c>
      <c r="J714" s="582">
        <v>8</v>
      </c>
      <c r="K714" s="590" t="s">
        <v>248</v>
      </c>
      <c r="L714" s="584">
        <f t="shared" si="89"/>
        <v>1009867.3099999999</v>
      </c>
      <c r="M714" s="585">
        <v>985503.74</v>
      </c>
      <c r="N714" s="586">
        <v>24363.57</v>
      </c>
      <c r="O714" s="587"/>
      <c r="P714" s="586"/>
      <c r="Q714" s="586"/>
      <c r="R714" s="582">
        <f>M714/G714</f>
        <v>2575.8069524307371</v>
      </c>
      <c r="S714" s="591"/>
      <c r="T714" s="592"/>
      <c r="U714" s="793"/>
      <c r="V714" s="589"/>
      <c r="W714" s="591"/>
      <c r="X714" s="591"/>
      <c r="Y714" s="591"/>
      <c r="Z714" s="591"/>
    </row>
    <row r="715" spans="1:26" s="246" customFormat="1" ht="56.25" hidden="1">
      <c r="A715" s="679">
        <f t="shared" si="90"/>
        <v>24</v>
      </c>
      <c r="B715" s="592" t="s">
        <v>4106</v>
      </c>
      <c r="C715" s="593" t="s">
        <v>221</v>
      </c>
      <c r="D715" s="646">
        <v>5330</v>
      </c>
      <c r="E715" s="646">
        <v>1105.3</v>
      </c>
      <c r="F715" s="593" t="s">
        <v>222</v>
      </c>
      <c r="G715" s="646">
        <v>923.7</v>
      </c>
      <c r="H715" s="582">
        <v>2</v>
      </c>
      <c r="I715" s="582">
        <v>3</v>
      </c>
      <c r="J715" s="582">
        <v>18</v>
      </c>
      <c r="K715" s="590" t="s">
        <v>248</v>
      </c>
      <c r="L715" s="584">
        <f t="shared" si="89"/>
        <v>2925210.1399999997</v>
      </c>
      <c r="M715" s="585">
        <v>2895799.9299999997</v>
      </c>
      <c r="N715" s="586">
        <v>29410.21</v>
      </c>
      <c r="O715" s="587"/>
      <c r="P715" s="586"/>
      <c r="Q715" s="586"/>
      <c r="R715" s="582">
        <f>M715/G715</f>
        <v>3135.0004655191074</v>
      </c>
      <c r="S715" s="591"/>
      <c r="T715" s="592"/>
      <c r="U715" s="793"/>
      <c r="V715" s="589"/>
      <c r="W715" s="591"/>
      <c r="X715" s="591"/>
      <c r="Y715" s="591"/>
      <c r="Z715" s="591"/>
    </row>
    <row r="716" spans="1:26" s="246" customFormat="1" ht="37.5" hidden="1">
      <c r="A716" s="679">
        <f t="shared" si="90"/>
        <v>25</v>
      </c>
      <c r="B716" s="592" t="s">
        <v>4107</v>
      </c>
      <c r="C716" s="593" t="s">
        <v>221</v>
      </c>
      <c r="D716" s="646">
        <v>2352</v>
      </c>
      <c r="E716" s="646">
        <v>645.4</v>
      </c>
      <c r="F716" s="593" t="s">
        <v>222</v>
      </c>
      <c r="G716" s="646">
        <v>436.8</v>
      </c>
      <c r="H716" s="582">
        <v>2</v>
      </c>
      <c r="I716" s="582">
        <v>2</v>
      </c>
      <c r="J716" s="582">
        <v>8</v>
      </c>
      <c r="K716" s="794" t="s">
        <v>421</v>
      </c>
      <c r="L716" s="584">
        <f t="shared" si="89"/>
        <v>120238.2</v>
      </c>
      <c r="M716" s="585">
        <v>119880</v>
      </c>
      <c r="N716" s="586"/>
      <c r="O716" s="736">
        <v>358.2</v>
      </c>
      <c r="P716" s="586"/>
      <c r="Q716" s="586"/>
      <c r="R716" s="582">
        <f>M716/J716</f>
        <v>14985</v>
      </c>
      <c r="S716" s="591"/>
      <c r="T716" s="592"/>
      <c r="U716" s="793"/>
      <c r="V716" s="589"/>
      <c r="W716" s="591"/>
      <c r="X716" s="591"/>
      <c r="Y716" s="591"/>
      <c r="Z716" s="591"/>
    </row>
    <row r="717" spans="1:26" s="246" customFormat="1" ht="37.5" hidden="1">
      <c r="A717" s="679">
        <f t="shared" si="90"/>
        <v>26</v>
      </c>
      <c r="B717" s="592" t="s">
        <v>4108</v>
      </c>
      <c r="C717" s="593" t="s">
        <v>221</v>
      </c>
      <c r="D717" s="646">
        <v>2052</v>
      </c>
      <c r="E717" s="646">
        <v>529.20000000000005</v>
      </c>
      <c r="F717" s="593" t="s">
        <v>230</v>
      </c>
      <c r="G717" s="646">
        <v>381.1</v>
      </c>
      <c r="H717" s="582">
        <v>2</v>
      </c>
      <c r="I717" s="582">
        <v>2</v>
      </c>
      <c r="J717" s="582">
        <v>8</v>
      </c>
      <c r="K717" s="794" t="s">
        <v>421</v>
      </c>
      <c r="L717" s="584">
        <f t="shared" si="89"/>
        <v>119811.2</v>
      </c>
      <c r="M717" s="585">
        <v>119453</v>
      </c>
      <c r="N717" s="586"/>
      <c r="O717" s="736">
        <v>358.2</v>
      </c>
      <c r="P717" s="586"/>
      <c r="Q717" s="586"/>
      <c r="R717" s="582">
        <f>M717/J717</f>
        <v>14931.625</v>
      </c>
      <c r="S717" s="591"/>
      <c r="T717" s="592"/>
      <c r="U717" s="793"/>
      <c r="V717" s="589"/>
      <c r="W717" s="591"/>
      <c r="X717" s="591"/>
      <c r="Y717" s="591"/>
      <c r="Z717" s="591"/>
    </row>
    <row r="718" spans="1:26" s="246" customFormat="1" ht="56.25" hidden="1">
      <c r="A718" s="679">
        <f t="shared" si="90"/>
        <v>27</v>
      </c>
      <c r="B718" s="592" t="s">
        <v>4109</v>
      </c>
      <c r="C718" s="593" t="s">
        <v>221</v>
      </c>
      <c r="D718" s="646">
        <v>2078</v>
      </c>
      <c r="E718" s="646">
        <v>537.20000000000005</v>
      </c>
      <c r="F718" s="593" t="s">
        <v>222</v>
      </c>
      <c r="G718" s="646">
        <v>380.5</v>
      </c>
      <c r="H718" s="582">
        <v>2</v>
      </c>
      <c r="I718" s="582">
        <v>2</v>
      </c>
      <c r="J718" s="582">
        <v>8</v>
      </c>
      <c r="K718" s="590" t="s">
        <v>248</v>
      </c>
      <c r="L718" s="584">
        <f t="shared" si="89"/>
        <v>1151215.0900000001</v>
      </c>
      <c r="M718" s="585">
        <v>1126984.8500000001</v>
      </c>
      <c r="N718" s="586">
        <v>24230.240000000002</v>
      </c>
      <c r="O718" s="587"/>
      <c r="P718" s="586"/>
      <c r="Q718" s="586"/>
      <c r="R718" s="582">
        <f>M718/G718</f>
        <v>2961.8524310118269</v>
      </c>
      <c r="S718" s="591"/>
      <c r="T718" s="592"/>
      <c r="U718" s="793"/>
      <c r="V718" s="589"/>
      <c r="W718" s="591"/>
      <c r="X718" s="591"/>
      <c r="Y718" s="591"/>
      <c r="Z718" s="591"/>
    </row>
    <row r="719" spans="1:26" s="246" customFormat="1" ht="37.5" hidden="1">
      <c r="A719" s="679">
        <f t="shared" si="90"/>
        <v>28</v>
      </c>
      <c r="B719" s="592" t="s">
        <v>4110</v>
      </c>
      <c r="C719" s="593" t="s">
        <v>217</v>
      </c>
      <c r="D719" s="646">
        <v>19503</v>
      </c>
      <c r="E719" s="646">
        <v>3783.1</v>
      </c>
      <c r="F719" s="593" t="s">
        <v>223</v>
      </c>
      <c r="G719" s="646">
        <v>1403.1</v>
      </c>
      <c r="H719" s="582">
        <v>5</v>
      </c>
      <c r="I719" s="582">
        <v>7</v>
      </c>
      <c r="J719" s="582">
        <v>103</v>
      </c>
      <c r="K719" s="590" t="s">
        <v>247</v>
      </c>
      <c r="L719" s="584">
        <f t="shared" si="89"/>
        <v>3691974.9</v>
      </c>
      <c r="M719" s="585">
        <v>3678572.25</v>
      </c>
      <c r="N719" s="586"/>
      <c r="O719" s="736">
        <v>13402.65</v>
      </c>
      <c r="P719" s="586"/>
      <c r="Q719" s="586"/>
      <c r="R719" s="582">
        <f>M719/G719</f>
        <v>2621.746311738294</v>
      </c>
      <c r="S719" s="591"/>
      <c r="T719" s="592"/>
      <c r="U719" s="793"/>
      <c r="V719" s="589"/>
      <c r="W719" s="591"/>
      <c r="X719" s="591"/>
      <c r="Y719" s="591"/>
      <c r="Z719" s="591"/>
    </row>
    <row r="720" spans="1:26" s="246" customFormat="1" ht="56.25" hidden="1">
      <c r="A720" s="679">
        <f t="shared" si="90"/>
        <v>29</v>
      </c>
      <c r="B720" s="592" t="s">
        <v>4111</v>
      </c>
      <c r="C720" s="593" t="s">
        <v>221</v>
      </c>
      <c r="D720" s="646">
        <v>2500</v>
      </c>
      <c r="E720" s="646">
        <v>607.20000000000005</v>
      </c>
      <c r="F720" s="593" t="s">
        <v>222</v>
      </c>
      <c r="G720" s="646">
        <v>542</v>
      </c>
      <c r="H720" s="582">
        <v>2</v>
      </c>
      <c r="I720" s="582">
        <v>2</v>
      </c>
      <c r="J720" s="582">
        <v>12</v>
      </c>
      <c r="K720" s="590" t="s">
        <v>248</v>
      </c>
      <c r="L720" s="584">
        <f t="shared" si="89"/>
        <v>1426248.74</v>
      </c>
      <c r="M720" s="585">
        <v>1391734.18</v>
      </c>
      <c r="N720" s="586">
        <v>34514.559999999998</v>
      </c>
      <c r="O720" s="587"/>
      <c r="P720" s="586"/>
      <c r="Q720" s="586"/>
      <c r="R720" s="582">
        <f>M720/G720</f>
        <v>2567.7752398523985</v>
      </c>
      <c r="S720" s="591"/>
      <c r="T720" s="592"/>
      <c r="U720" s="793"/>
      <c r="V720" s="589"/>
      <c r="W720" s="591"/>
      <c r="X720" s="591"/>
      <c r="Y720" s="591"/>
      <c r="Z720" s="591"/>
    </row>
    <row r="721" spans="1:26" s="246" customFormat="1" ht="37.5" hidden="1">
      <c r="A721" s="679">
        <f t="shared" si="90"/>
        <v>30</v>
      </c>
      <c r="B721" s="592" t="s">
        <v>4112</v>
      </c>
      <c r="C721" s="593" t="s">
        <v>221</v>
      </c>
      <c r="D721" s="646">
        <v>6455</v>
      </c>
      <c r="E721" s="646">
        <v>1697.13</v>
      </c>
      <c r="F721" s="593" t="s">
        <v>223</v>
      </c>
      <c r="G721" s="646">
        <v>982.4</v>
      </c>
      <c r="H721" s="582">
        <v>3</v>
      </c>
      <c r="I721" s="582">
        <v>3</v>
      </c>
      <c r="J721" s="582">
        <v>36</v>
      </c>
      <c r="K721" s="590" t="s">
        <v>247</v>
      </c>
      <c r="L721" s="584">
        <f t="shared" si="89"/>
        <v>2022769.6500000001</v>
      </c>
      <c r="M721" s="585">
        <v>2016024.54</v>
      </c>
      <c r="N721" s="586"/>
      <c r="O721" s="736">
        <v>6745.11</v>
      </c>
      <c r="P721" s="586"/>
      <c r="Q721" s="586"/>
      <c r="R721" s="582">
        <f>M721/G721</f>
        <v>2052.1422434853421</v>
      </c>
      <c r="S721" s="591"/>
      <c r="T721" s="592"/>
      <c r="U721" s="793"/>
      <c r="V721" s="589"/>
      <c r="W721" s="591"/>
      <c r="X721" s="591"/>
      <c r="Y721" s="591"/>
      <c r="Z721" s="591"/>
    </row>
    <row r="722" spans="1:26" s="246" customFormat="1" ht="37.5" hidden="1">
      <c r="A722" s="679">
        <f t="shared" si="90"/>
        <v>31</v>
      </c>
      <c r="B722" s="788" t="s">
        <v>4113</v>
      </c>
      <c r="C722" s="593" t="s">
        <v>221</v>
      </c>
      <c r="D722" s="789">
        <v>2363</v>
      </c>
      <c r="E722" s="789">
        <v>572.4</v>
      </c>
      <c r="F722" s="593" t="s">
        <v>222</v>
      </c>
      <c r="G722" s="789">
        <v>424</v>
      </c>
      <c r="H722" s="744">
        <v>2</v>
      </c>
      <c r="I722" s="744">
        <v>2</v>
      </c>
      <c r="J722" s="744">
        <v>8</v>
      </c>
      <c r="K722" s="794" t="s">
        <v>421</v>
      </c>
      <c r="L722" s="584">
        <f t="shared" si="89"/>
        <v>119758.2</v>
      </c>
      <c r="M722" s="585">
        <v>119400</v>
      </c>
      <c r="N722" s="586"/>
      <c r="O722" s="736">
        <v>358.2</v>
      </c>
      <c r="P722" s="586"/>
      <c r="Q722" s="586"/>
      <c r="R722" s="582">
        <f>M722/J722</f>
        <v>14925</v>
      </c>
      <c r="S722" s="591"/>
      <c r="T722" s="592"/>
      <c r="U722" s="793"/>
      <c r="V722" s="589"/>
      <c r="W722" s="591"/>
      <c r="X722" s="591"/>
      <c r="Y722" s="591"/>
      <c r="Z722" s="591"/>
    </row>
    <row r="723" spans="1:26" s="246" customFormat="1" ht="37.5" hidden="1">
      <c r="A723" s="679">
        <f t="shared" si="90"/>
        <v>32</v>
      </c>
      <c r="B723" s="592" t="s">
        <v>4114</v>
      </c>
      <c r="C723" s="593" t="s">
        <v>221</v>
      </c>
      <c r="D723" s="646">
        <v>2684</v>
      </c>
      <c r="E723" s="646">
        <v>582.6</v>
      </c>
      <c r="F723" s="593" t="s">
        <v>222</v>
      </c>
      <c r="G723" s="646">
        <v>562.5</v>
      </c>
      <c r="H723" s="582">
        <v>2</v>
      </c>
      <c r="I723" s="582">
        <v>2</v>
      </c>
      <c r="J723" s="582">
        <v>16</v>
      </c>
      <c r="K723" s="794" t="s">
        <v>421</v>
      </c>
      <c r="L723" s="584">
        <f t="shared" si="89"/>
        <v>239577.25</v>
      </c>
      <c r="M723" s="585">
        <v>238860.85</v>
      </c>
      <c r="N723" s="586"/>
      <c r="O723" s="736">
        <v>716.4</v>
      </c>
      <c r="P723" s="586"/>
      <c r="Q723" s="586"/>
      <c r="R723" s="582">
        <f>M723/J723</f>
        <v>14928.803125</v>
      </c>
      <c r="S723" s="591"/>
      <c r="T723" s="592"/>
      <c r="U723" s="793"/>
      <c r="V723" s="589"/>
      <c r="W723" s="591"/>
      <c r="X723" s="591"/>
      <c r="Y723" s="591"/>
      <c r="Z723" s="591"/>
    </row>
    <row r="724" spans="1:26" s="246" customFormat="1" ht="37.5" hidden="1">
      <c r="A724" s="679">
        <f t="shared" si="90"/>
        <v>33</v>
      </c>
      <c r="B724" s="788" t="s">
        <v>4115</v>
      </c>
      <c r="C724" s="593" t="s">
        <v>221</v>
      </c>
      <c r="D724" s="789">
        <v>2462</v>
      </c>
      <c r="E724" s="789">
        <v>516.20000000000005</v>
      </c>
      <c r="F724" s="742" t="s">
        <v>223</v>
      </c>
      <c r="G724" s="789">
        <v>471.9</v>
      </c>
      <c r="H724" s="744">
        <v>2</v>
      </c>
      <c r="I724" s="744">
        <v>2</v>
      </c>
      <c r="J724" s="744">
        <v>12</v>
      </c>
      <c r="K724" s="792" t="s">
        <v>240</v>
      </c>
      <c r="L724" s="584">
        <f t="shared" si="89"/>
        <v>1162706.3699999999</v>
      </c>
      <c r="M724" s="585">
        <v>1135238.3999999999</v>
      </c>
      <c r="N724" s="586">
        <v>27467.97</v>
      </c>
      <c r="O724" s="587"/>
      <c r="P724" s="742"/>
      <c r="Q724" s="586"/>
      <c r="R724" s="582">
        <f>M724/G724</f>
        <v>2405.6757787666879</v>
      </c>
      <c r="S724" s="591"/>
      <c r="T724" s="592"/>
      <c r="U724" s="793"/>
      <c r="V724" s="589"/>
      <c r="W724" s="591"/>
      <c r="X724" s="591"/>
      <c r="Y724" s="591"/>
      <c r="Z724" s="591"/>
    </row>
    <row r="725" spans="1:26" s="246" customFormat="1" ht="37.5" hidden="1">
      <c r="A725" s="679">
        <f t="shared" si="90"/>
        <v>34</v>
      </c>
      <c r="B725" s="788" t="s">
        <v>4116</v>
      </c>
      <c r="C725" s="593" t="s">
        <v>221</v>
      </c>
      <c r="D725" s="789">
        <v>2160</v>
      </c>
      <c r="E725" s="789">
        <v>586.1</v>
      </c>
      <c r="F725" s="593" t="s">
        <v>222</v>
      </c>
      <c r="G725" s="789">
        <v>422.2</v>
      </c>
      <c r="H725" s="744">
        <v>2</v>
      </c>
      <c r="I725" s="744">
        <v>2</v>
      </c>
      <c r="J725" s="744">
        <v>8</v>
      </c>
      <c r="K725" s="794" t="s">
        <v>421</v>
      </c>
      <c r="L725" s="584">
        <f t="shared" si="89"/>
        <v>120018.64</v>
      </c>
      <c r="M725" s="585">
        <v>119660.44</v>
      </c>
      <c r="N725" s="586"/>
      <c r="O725" s="736">
        <v>358.2</v>
      </c>
      <c r="P725" s="586"/>
      <c r="Q725" s="586"/>
      <c r="R725" s="582">
        <f>M725/J725</f>
        <v>14957.555</v>
      </c>
      <c r="S725" s="591"/>
      <c r="T725" s="592"/>
      <c r="U725" s="793"/>
      <c r="V725" s="589"/>
      <c r="W725" s="591"/>
      <c r="X725" s="591"/>
      <c r="Y725" s="591"/>
      <c r="Z725" s="591"/>
    </row>
    <row r="726" spans="1:26" s="246" customFormat="1" ht="56.25" hidden="1">
      <c r="A726" s="679">
        <f t="shared" si="90"/>
        <v>35</v>
      </c>
      <c r="B726" s="592" t="s">
        <v>938</v>
      </c>
      <c r="C726" s="593" t="s">
        <v>221</v>
      </c>
      <c r="D726" s="646">
        <v>1446</v>
      </c>
      <c r="E726" s="646">
        <v>380</v>
      </c>
      <c r="F726" s="593" t="s">
        <v>222</v>
      </c>
      <c r="G726" s="646">
        <v>680</v>
      </c>
      <c r="H726" s="582">
        <v>2</v>
      </c>
      <c r="I726" s="582">
        <v>2</v>
      </c>
      <c r="J726" s="582">
        <v>8</v>
      </c>
      <c r="K726" s="590" t="s">
        <v>248</v>
      </c>
      <c r="L726" s="584">
        <f t="shared" si="89"/>
        <v>2131129.35</v>
      </c>
      <c r="M726" s="585">
        <v>2099160</v>
      </c>
      <c r="N726" s="586">
        <v>31969.35</v>
      </c>
      <c r="O726" s="587"/>
      <c r="P726" s="586"/>
      <c r="Q726" s="586"/>
      <c r="R726" s="582">
        <f>M726/G726</f>
        <v>3087</v>
      </c>
      <c r="S726" s="591"/>
      <c r="T726" s="592"/>
      <c r="U726" s="793"/>
      <c r="V726" s="589"/>
      <c r="W726" s="591"/>
      <c r="X726" s="591"/>
      <c r="Y726" s="591"/>
      <c r="Z726" s="591"/>
    </row>
    <row r="727" spans="1:26" s="246" customFormat="1" ht="56.25" hidden="1">
      <c r="A727" s="679">
        <f t="shared" si="90"/>
        <v>36</v>
      </c>
      <c r="B727" s="592" t="s">
        <v>939</v>
      </c>
      <c r="C727" s="593" t="s">
        <v>221</v>
      </c>
      <c r="D727" s="646">
        <v>2550</v>
      </c>
      <c r="E727" s="646">
        <v>480</v>
      </c>
      <c r="F727" s="593" t="s">
        <v>222</v>
      </c>
      <c r="G727" s="646">
        <v>720</v>
      </c>
      <c r="H727" s="582">
        <v>2</v>
      </c>
      <c r="I727" s="582">
        <v>2</v>
      </c>
      <c r="J727" s="582">
        <v>16</v>
      </c>
      <c r="K727" s="590" t="s">
        <v>248</v>
      </c>
      <c r="L727" s="584">
        <f t="shared" si="89"/>
        <v>2161364.58</v>
      </c>
      <c r="M727" s="585">
        <v>2128036.06</v>
      </c>
      <c r="N727" s="586">
        <v>33328.519999999997</v>
      </c>
      <c r="O727" s="587"/>
      <c r="P727" s="586"/>
      <c r="Q727" s="586"/>
      <c r="R727" s="582">
        <f>M727/G727</f>
        <v>2955.6056388888892</v>
      </c>
      <c r="S727" s="591"/>
      <c r="T727" s="592"/>
      <c r="U727" s="793"/>
      <c r="V727" s="589"/>
      <c r="W727" s="591"/>
      <c r="X727" s="591"/>
      <c r="Y727" s="591"/>
      <c r="Z727" s="591"/>
    </row>
    <row r="728" spans="1:26" s="246" customFormat="1" ht="56.25" hidden="1">
      <c r="A728" s="679">
        <f t="shared" si="90"/>
        <v>37</v>
      </c>
      <c r="B728" s="592" t="s">
        <v>940</v>
      </c>
      <c r="C728" s="593" t="s">
        <v>221</v>
      </c>
      <c r="D728" s="646">
        <v>2832</v>
      </c>
      <c r="E728" s="646">
        <v>1000</v>
      </c>
      <c r="F728" s="593" t="s">
        <v>222</v>
      </c>
      <c r="G728" s="646">
        <v>884</v>
      </c>
      <c r="H728" s="582">
        <v>2</v>
      </c>
      <c r="I728" s="582">
        <v>2</v>
      </c>
      <c r="J728" s="582">
        <v>16</v>
      </c>
      <c r="K728" s="590" t="s">
        <v>248</v>
      </c>
      <c r="L728" s="584">
        <f t="shared" si="89"/>
        <v>2579756.98</v>
      </c>
      <c r="M728" s="585">
        <v>2552490</v>
      </c>
      <c r="N728" s="586">
        <v>27266.98</v>
      </c>
      <c r="O728" s="587"/>
      <c r="P728" s="586"/>
      <c r="Q728" s="586"/>
      <c r="R728" s="582">
        <f>M728/G728</f>
        <v>2887.4321266968327</v>
      </c>
      <c r="S728" s="591"/>
      <c r="T728" s="592"/>
      <c r="U728" s="793"/>
      <c r="V728" s="589"/>
      <c r="W728" s="591"/>
      <c r="X728" s="591"/>
      <c r="Y728" s="591"/>
      <c r="Z728" s="591"/>
    </row>
    <row r="729" spans="1:26" s="246" customFormat="1" hidden="1">
      <c r="A729" s="679">
        <f t="shared" si="90"/>
        <v>38</v>
      </c>
      <c r="B729" s="592" t="s">
        <v>3656</v>
      </c>
      <c r="C729" s="593" t="s">
        <v>221</v>
      </c>
      <c r="D729" s="646">
        <v>14096</v>
      </c>
      <c r="E729" s="646">
        <v>2118</v>
      </c>
      <c r="F729" s="593" t="s">
        <v>223</v>
      </c>
      <c r="G729" s="646">
        <v>680</v>
      </c>
      <c r="H729" s="582">
        <v>5</v>
      </c>
      <c r="I729" s="582">
        <v>4</v>
      </c>
      <c r="J729" s="582">
        <v>71</v>
      </c>
      <c r="K729" s="590" t="s">
        <v>224</v>
      </c>
      <c r="L729" s="584">
        <f t="shared" si="89"/>
        <v>1447710.38</v>
      </c>
      <c r="M729" s="585">
        <v>1412900</v>
      </c>
      <c r="N729" s="586">
        <v>22399.74</v>
      </c>
      <c r="O729" s="587"/>
      <c r="P729" s="586"/>
      <c r="Q729" s="586">
        <v>12410.64</v>
      </c>
      <c r="R729" s="582">
        <f>M729/J729</f>
        <v>19900</v>
      </c>
      <c r="S729" s="591"/>
      <c r="T729" s="592"/>
      <c r="U729" s="793"/>
      <c r="V729" s="589"/>
      <c r="W729" s="591"/>
      <c r="X729" s="591"/>
      <c r="Y729" s="591"/>
      <c r="Z729" s="591"/>
    </row>
    <row r="730" spans="1:26" s="246" customFormat="1" hidden="1">
      <c r="A730" s="679">
        <f t="shared" si="90"/>
        <v>39</v>
      </c>
      <c r="B730" s="592" t="s">
        <v>3658</v>
      </c>
      <c r="C730" s="593" t="s">
        <v>221</v>
      </c>
      <c r="D730" s="646">
        <v>7020</v>
      </c>
      <c r="E730" s="646">
        <v>1619.4</v>
      </c>
      <c r="F730" s="593" t="s">
        <v>228</v>
      </c>
      <c r="G730" s="646">
        <v>1756</v>
      </c>
      <c r="H730" s="582">
        <v>3</v>
      </c>
      <c r="I730" s="582">
        <v>3</v>
      </c>
      <c r="J730" s="582">
        <v>25</v>
      </c>
      <c r="K730" s="590" t="s">
        <v>224</v>
      </c>
      <c r="L730" s="584">
        <f t="shared" si="89"/>
        <v>515663.53</v>
      </c>
      <c r="M730" s="585">
        <v>497500</v>
      </c>
      <c r="N730" s="586">
        <v>12782.88</v>
      </c>
      <c r="O730" s="587"/>
      <c r="P730" s="586"/>
      <c r="Q730" s="586">
        <v>5380.65</v>
      </c>
      <c r="R730" s="582">
        <f>M730/J730</f>
        <v>19900</v>
      </c>
      <c r="S730" s="591"/>
      <c r="T730" s="592"/>
      <c r="U730" s="793"/>
      <c r="V730" s="589"/>
      <c r="W730" s="591"/>
      <c r="X730" s="591"/>
      <c r="Y730" s="591"/>
      <c r="Z730" s="591"/>
    </row>
    <row r="731" spans="1:26" s="246" customFormat="1" hidden="1">
      <c r="A731" s="679">
        <f t="shared" si="90"/>
        <v>40</v>
      </c>
      <c r="B731" s="592" t="s">
        <v>3659</v>
      </c>
      <c r="C731" s="593" t="s">
        <v>221</v>
      </c>
      <c r="D731" s="646">
        <v>5980</v>
      </c>
      <c r="E731" s="646">
        <v>1290.5999999999999</v>
      </c>
      <c r="F731" s="593" t="s">
        <v>228</v>
      </c>
      <c r="G731" s="646">
        <v>928</v>
      </c>
      <c r="H731" s="582">
        <v>4</v>
      </c>
      <c r="I731" s="582">
        <v>2</v>
      </c>
      <c r="J731" s="582">
        <v>32</v>
      </c>
      <c r="K731" s="590" t="s">
        <v>224</v>
      </c>
      <c r="L731" s="584">
        <f t="shared" si="89"/>
        <v>655946.6</v>
      </c>
      <c r="M731" s="585">
        <v>636800</v>
      </c>
      <c r="N731" s="586">
        <v>14693.58</v>
      </c>
      <c r="O731" s="631"/>
      <c r="P731" s="586"/>
      <c r="Q731" s="586">
        <v>4453.0200000000004</v>
      </c>
      <c r="R731" s="582">
        <f>M731/J731</f>
        <v>19900</v>
      </c>
      <c r="S731" s="591"/>
      <c r="T731" s="592"/>
      <c r="U731" s="793"/>
      <c r="V731" s="589"/>
      <c r="W731" s="591"/>
      <c r="X731" s="591"/>
      <c r="Y731" s="591"/>
      <c r="Z731" s="591"/>
    </row>
    <row r="732" spans="1:26" s="28" customFormat="1" hidden="1">
      <c r="A732" s="1361" t="s">
        <v>50</v>
      </c>
      <c r="B732" s="1361"/>
      <c r="C732" s="602" t="s">
        <v>28</v>
      </c>
      <c r="D732" s="646">
        <f>SUM(D692:D731)</f>
        <v>295307.45</v>
      </c>
      <c r="E732" s="646">
        <f>SUM(E692:E731)</f>
        <v>64034.529999999977</v>
      </c>
      <c r="F732" s="646" t="s">
        <v>28</v>
      </c>
      <c r="G732" s="646">
        <f>SUM(G692:G731)</f>
        <v>35461.5</v>
      </c>
      <c r="H732" s="582" t="s">
        <v>28</v>
      </c>
      <c r="I732" s="582" t="s">
        <v>28</v>
      </c>
      <c r="J732" s="582">
        <f>SUM(J692:J731)</f>
        <v>1493</v>
      </c>
      <c r="K732" s="679" t="s">
        <v>28</v>
      </c>
      <c r="L732" s="584">
        <f>SUM(L692:L731)</f>
        <v>72606092.590000004</v>
      </c>
      <c r="M732" s="585">
        <f>SUM(M692:M731)</f>
        <v>71876423.349999994</v>
      </c>
      <c r="N732" s="586">
        <f>SUM(N692:N731)</f>
        <v>608268.21</v>
      </c>
      <c r="O732" s="587">
        <f>SUM(O692:O731)</f>
        <v>99156.719999999987</v>
      </c>
      <c r="P732" s="586"/>
      <c r="Q732" s="586">
        <f>SUM(Q692:Q731)</f>
        <v>22244.31</v>
      </c>
      <c r="R732" s="582" t="s">
        <v>28</v>
      </c>
      <c r="S732" s="586">
        <f>L732-M732-N732-O732-P732-Q732</f>
        <v>9.5860741566866636E-9</v>
      </c>
      <c r="T732" s="645"/>
      <c r="U732" s="701"/>
      <c r="V732" s="589"/>
      <c r="W732" s="592"/>
      <c r="X732" s="592"/>
      <c r="Y732" s="592"/>
      <c r="Z732" s="592"/>
    </row>
    <row r="733" spans="1:26" s="28" customFormat="1" hidden="1">
      <c r="A733" s="1347" t="s">
        <v>51</v>
      </c>
      <c r="B733" s="1347"/>
      <c r="C733" s="1347"/>
      <c r="D733" s="1347"/>
      <c r="E733" s="1347"/>
      <c r="F733" s="1347"/>
      <c r="G733" s="1347"/>
      <c r="H733" s="1347"/>
      <c r="I733" s="1347"/>
      <c r="J733" s="1347"/>
      <c r="K733" s="1347"/>
      <c r="L733" s="1347"/>
      <c r="M733" s="1347"/>
      <c r="N733" s="1347"/>
      <c r="O733" s="1347"/>
      <c r="P733" s="1347"/>
      <c r="Q733" s="1347"/>
      <c r="R733" s="1347"/>
      <c r="S733" s="592"/>
      <c r="T733" s="645"/>
      <c r="U733" s="591"/>
      <c r="V733" s="589"/>
      <c r="W733" s="592"/>
      <c r="X733" s="592"/>
      <c r="Y733" s="592"/>
      <c r="Z733" s="592"/>
    </row>
    <row r="734" spans="1:26" s="28" customFormat="1" hidden="1">
      <c r="A734" s="590">
        <v>1</v>
      </c>
      <c r="B734" s="592" t="s">
        <v>941</v>
      </c>
      <c r="C734" s="593" t="s">
        <v>239</v>
      </c>
      <c r="D734" s="646">
        <v>2229</v>
      </c>
      <c r="E734" s="646">
        <v>588</v>
      </c>
      <c r="F734" s="646" t="s">
        <v>222</v>
      </c>
      <c r="G734" s="619">
        <v>551</v>
      </c>
      <c r="H734" s="582">
        <v>2</v>
      </c>
      <c r="I734" s="582">
        <v>2</v>
      </c>
      <c r="J734" s="582">
        <v>16</v>
      </c>
      <c r="K734" s="590" t="s">
        <v>33</v>
      </c>
      <c r="L734" s="595">
        <f>M734+N734+O734+P734+Q734</f>
        <v>1038067.22</v>
      </c>
      <c r="M734" s="585">
        <v>1017813</v>
      </c>
      <c r="N734" s="586">
        <v>20254.22</v>
      </c>
      <c r="O734" s="587"/>
      <c r="P734" s="586"/>
      <c r="Q734" s="586"/>
      <c r="R734" s="582">
        <f>M734/G734</f>
        <v>1847.2105263157894</v>
      </c>
      <c r="S734" s="592"/>
      <c r="T734" s="645"/>
      <c r="U734" s="591"/>
      <c r="V734" s="589"/>
      <c r="W734" s="592"/>
      <c r="X734" s="592"/>
      <c r="Y734" s="592"/>
      <c r="Z734" s="592"/>
    </row>
    <row r="735" spans="1:26" s="28" customFormat="1" hidden="1">
      <c r="A735" s="1349" t="s">
        <v>120</v>
      </c>
      <c r="B735" s="1349"/>
      <c r="C735" s="602" t="s">
        <v>28</v>
      </c>
      <c r="D735" s="646">
        <f>SUM(D734:D734)</f>
        <v>2229</v>
      </c>
      <c r="E735" s="646">
        <f>SUM(E734:E734)</f>
        <v>588</v>
      </c>
      <c r="F735" s="646" t="s">
        <v>28</v>
      </c>
      <c r="G735" s="646">
        <f>SUM(G734:G734)</f>
        <v>551</v>
      </c>
      <c r="H735" s="582" t="s">
        <v>28</v>
      </c>
      <c r="I735" s="582" t="s">
        <v>28</v>
      </c>
      <c r="J735" s="582">
        <f>SUM(J734:J734)</f>
        <v>16</v>
      </c>
      <c r="K735" s="679" t="s">
        <v>28</v>
      </c>
      <c r="L735" s="584">
        <f>SUM(L734:L734)</f>
        <v>1038067.22</v>
      </c>
      <c r="M735" s="585">
        <f>SUM(M734:M734)</f>
        <v>1017813</v>
      </c>
      <c r="N735" s="586">
        <f>SUM(N734:N734)</f>
        <v>20254.22</v>
      </c>
      <c r="O735" s="587"/>
      <c r="P735" s="586"/>
      <c r="Q735" s="586">
        <f>SUM(Q734:Q734)</f>
        <v>0</v>
      </c>
      <c r="R735" s="582" t="s">
        <v>28</v>
      </c>
      <c r="S735" s="586">
        <f>L735-M735-N735-O735-P735-Q735</f>
        <v>-2.9103830456733704E-11</v>
      </c>
      <c r="T735" s="778"/>
      <c r="U735" s="701"/>
      <c r="V735" s="589"/>
      <c r="W735" s="592"/>
      <c r="X735" s="592"/>
      <c r="Y735" s="592"/>
      <c r="Z735" s="592"/>
    </row>
    <row r="736" spans="1:26" s="28" customFormat="1" hidden="1">
      <c r="A736" s="1347" t="s">
        <v>52</v>
      </c>
      <c r="B736" s="1347"/>
      <c r="C736" s="1347"/>
      <c r="D736" s="1347"/>
      <c r="E736" s="1347"/>
      <c r="F736" s="1347"/>
      <c r="G736" s="1347"/>
      <c r="H736" s="1347"/>
      <c r="I736" s="1347"/>
      <c r="J736" s="1347"/>
      <c r="K736" s="1347"/>
      <c r="L736" s="1347"/>
      <c r="M736" s="1347"/>
      <c r="N736" s="1347"/>
      <c r="O736" s="1347"/>
      <c r="P736" s="1347"/>
      <c r="Q736" s="1347"/>
      <c r="R736" s="1347"/>
      <c r="S736" s="592"/>
      <c r="T736" s="645"/>
      <c r="U736" s="591"/>
      <c r="V736" s="589"/>
      <c r="W736" s="592"/>
      <c r="X736" s="592"/>
      <c r="Y736" s="592"/>
      <c r="Z736" s="592"/>
    </row>
    <row r="737" spans="1:26" s="92" customFormat="1" ht="37.5" hidden="1">
      <c r="A737" s="590">
        <v>1</v>
      </c>
      <c r="B737" s="592" t="s">
        <v>942</v>
      </c>
      <c r="C737" s="593" t="s">
        <v>221</v>
      </c>
      <c r="D737" s="619">
        <v>2635</v>
      </c>
      <c r="E737" s="619">
        <v>864</v>
      </c>
      <c r="F737" s="646" t="s">
        <v>222</v>
      </c>
      <c r="G737" s="619">
        <v>700</v>
      </c>
      <c r="H737" s="599">
        <v>2</v>
      </c>
      <c r="I737" s="599">
        <v>2</v>
      </c>
      <c r="J737" s="599">
        <v>16</v>
      </c>
      <c r="K737" s="590" t="s">
        <v>274</v>
      </c>
      <c r="L737" s="595">
        <f>M737+N737+O737+P737+Q737</f>
        <v>1480042.15</v>
      </c>
      <c r="M737" s="585">
        <v>1451135.41</v>
      </c>
      <c r="N737" s="586">
        <v>28906.74</v>
      </c>
      <c r="O737" s="587"/>
      <c r="P737" s="586"/>
      <c r="Q737" s="586"/>
      <c r="R737" s="582">
        <f>M737/G737</f>
        <v>2073.0505857142857</v>
      </c>
      <c r="S737" s="799"/>
      <c r="T737" s="799"/>
      <c r="U737" s="800"/>
      <c r="V737" s="589"/>
      <c r="W737" s="799"/>
      <c r="X737" s="799"/>
      <c r="Y737" s="799"/>
      <c r="Z737" s="799"/>
    </row>
    <row r="738" spans="1:26" s="92" customFormat="1" hidden="1">
      <c r="A738" s="590">
        <v>2</v>
      </c>
      <c r="B738" s="592" t="s">
        <v>943</v>
      </c>
      <c r="C738" s="594" t="s">
        <v>239</v>
      </c>
      <c r="D738" s="619">
        <v>2693</v>
      </c>
      <c r="E738" s="619">
        <v>810</v>
      </c>
      <c r="F738" s="646" t="s">
        <v>222</v>
      </c>
      <c r="G738" s="619">
        <v>677.7</v>
      </c>
      <c r="H738" s="599">
        <v>2</v>
      </c>
      <c r="I738" s="599">
        <v>2</v>
      </c>
      <c r="J738" s="599">
        <v>16</v>
      </c>
      <c r="K738" s="590" t="s">
        <v>33</v>
      </c>
      <c r="L738" s="584">
        <f>M738+N738+O738+Q738</f>
        <v>1381017.06</v>
      </c>
      <c r="M738" s="585">
        <v>1354044.6</v>
      </c>
      <c r="N738" s="586">
        <v>26972.46</v>
      </c>
      <c r="O738" s="587"/>
      <c r="P738" s="586"/>
      <c r="Q738" s="586"/>
      <c r="R738" s="582">
        <f>M738/G738</f>
        <v>1998</v>
      </c>
      <c r="S738" s="799"/>
      <c r="T738" s="799"/>
      <c r="U738" s="800"/>
      <c r="V738" s="589"/>
      <c r="W738" s="799"/>
      <c r="X738" s="799"/>
      <c r="Y738" s="799"/>
      <c r="Z738" s="799"/>
    </row>
    <row r="739" spans="1:26" s="28" customFormat="1" hidden="1">
      <c r="A739" s="1349" t="s">
        <v>53</v>
      </c>
      <c r="B739" s="1349"/>
      <c r="C739" s="602" t="s">
        <v>28</v>
      </c>
      <c r="D739" s="646">
        <f>SUM(D737:D738)</f>
        <v>5328</v>
      </c>
      <c r="E739" s="646">
        <f>SUM(E737:E738)</f>
        <v>1674</v>
      </c>
      <c r="F739" s="646" t="s">
        <v>28</v>
      </c>
      <c r="G739" s="646">
        <f>SUM(G737:G738)</f>
        <v>1377.7</v>
      </c>
      <c r="H739" s="582" t="s">
        <v>28</v>
      </c>
      <c r="I739" s="582" t="s">
        <v>28</v>
      </c>
      <c r="J739" s="582">
        <f>SUM(J737:J738)</f>
        <v>32</v>
      </c>
      <c r="K739" s="679" t="s">
        <v>28</v>
      </c>
      <c r="L739" s="584">
        <f>SUM(L737:L738)</f>
        <v>2861059.21</v>
      </c>
      <c r="M739" s="585">
        <f>SUM(M737:M738)</f>
        <v>2805180.01</v>
      </c>
      <c r="N739" s="586">
        <f>SUM(N737:N738)</f>
        <v>55879.199999999997</v>
      </c>
      <c r="O739" s="587"/>
      <c r="P739" s="586"/>
      <c r="Q739" s="586">
        <f>SUM(Q737:Q738)</f>
        <v>0</v>
      </c>
      <c r="R739" s="582" t="s">
        <v>28</v>
      </c>
      <c r="S739" s="586">
        <f>L739-M739-N739-O739-P739-Q739</f>
        <v>1.8917489796876907E-10</v>
      </c>
      <c r="T739" s="645"/>
      <c r="U739" s="701"/>
      <c r="V739" s="589"/>
      <c r="W739" s="592"/>
      <c r="X739" s="592"/>
      <c r="Y739" s="592"/>
      <c r="Z739" s="592"/>
    </row>
    <row r="740" spans="1:26" s="28" customFormat="1" hidden="1">
      <c r="A740" s="1347" t="s">
        <v>54</v>
      </c>
      <c r="B740" s="1347"/>
      <c r="C740" s="1347"/>
      <c r="D740" s="1347"/>
      <c r="E740" s="1347"/>
      <c r="F740" s="1347"/>
      <c r="G740" s="1347"/>
      <c r="H740" s="1347"/>
      <c r="I740" s="1347"/>
      <c r="J740" s="1347"/>
      <c r="K740" s="1347"/>
      <c r="L740" s="1347"/>
      <c r="M740" s="1347"/>
      <c r="N740" s="1347"/>
      <c r="O740" s="1347"/>
      <c r="P740" s="1347"/>
      <c r="Q740" s="1347"/>
      <c r="R740" s="1347"/>
      <c r="S740" s="592"/>
      <c r="T740" s="645"/>
      <c r="U740" s="591"/>
      <c r="V740" s="589"/>
      <c r="W740" s="592"/>
      <c r="X740" s="592"/>
      <c r="Y740" s="592"/>
      <c r="Z740" s="592"/>
    </row>
    <row r="741" spans="1:26" s="28" customFormat="1" ht="37.5" hidden="1">
      <c r="A741" s="590">
        <v>1</v>
      </c>
      <c r="B741" s="592" t="s">
        <v>944</v>
      </c>
      <c r="C741" s="593" t="s">
        <v>221</v>
      </c>
      <c r="D741" s="646">
        <v>4118</v>
      </c>
      <c r="E741" s="646">
        <v>776</v>
      </c>
      <c r="F741" s="646" t="s">
        <v>230</v>
      </c>
      <c r="G741" s="646">
        <v>886</v>
      </c>
      <c r="H741" s="582">
        <v>2</v>
      </c>
      <c r="I741" s="582">
        <v>3</v>
      </c>
      <c r="J741" s="582">
        <v>23</v>
      </c>
      <c r="K741" s="590" t="s">
        <v>30</v>
      </c>
      <c r="L741" s="584">
        <f>M741+N741+O741+Q741</f>
        <v>461327.1</v>
      </c>
      <c r="M741" s="585">
        <v>459954</v>
      </c>
      <c r="N741" s="586"/>
      <c r="O741" s="736">
        <v>1373.1</v>
      </c>
      <c r="P741" s="586"/>
      <c r="Q741" s="586"/>
      <c r="R741" s="582">
        <f>M741/J741</f>
        <v>19998</v>
      </c>
      <c r="S741" s="592"/>
      <c r="T741" s="645"/>
      <c r="U741" s="591"/>
      <c r="V741" s="589"/>
      <c r="W741" s="592"/>
      <c r="X741" s="592"/>
      <c r="Y741" s="592"/>
      <c r="Z741" s="592"/>
    </row>
    <row r="742" spans="1:26" s="28" customFormat="1" hidden="1">
      <c r="A742" s="590">
        <f>A741+1</f>
        <v>2</v>
      </c>
      <c r="B742" s="592" t="s">
        <v>945</v>
      </c>
      <c r="C742" s="593" t="s">
        <v>221</v>
      </c>
      <c r="D742" s="646">
        <v>2861</v>
      </c>
      <c r="E742" s="646">
        <v>593</v>
      </c>
      <c r="F742" s="646" t="s">
        <v>222</v>
      </c>
      <c r="G742" s="646">
        <v>674</v>
      </c>
      <c r="H742" s="582">
        <v>2</v>
      </c>
      <c r="I742" s="582">
        <v>2</v>
      </c>
      <c r="J742" s="582">
        <v>16</v>
      </c>
      <c r="K742" s="590" t="s">
        <v>33</v>
      </c>
      <c r="L742" s="595">
        <f>M742+N742+O742+P742+Q742</f>
        <v>1419203.8399999999</v>
      </c>
      <c r="M742" s="585">
        <v>1385672.3399999999</v>
      </c>
      <c r="N742" s="586">
        <v>33531.5</v>
      </c>
      <c r="O742" s="587"/>
      <c r="P742" s="586"/>
      <c r="Q742" s="586"/>
      <c r="R742" s="582">
        <f>M742/G742</f>
        <v>2055.8936795252225</v>
      </c>
      <c r="S742" s="592"/>
      <c r="T742" s="645"/>
      <c r="U742" s="586"/>
      <c r="V742" s="589"/>
      <c r="W742" s="592"/>
      <c r="X742" s="592"/>
      <c r="Y742" s="592"/>
      <c r="Z742" s="592"/>
    </row>
    <row r="743" spans="1:26" s="71" customFormat="1" hidden="1">
      <c r="A743" s="590">
        <f t="shared" ref="A743:A761" si="92">A742+1</f>
        <v>3</v>
      </c>
      <c r="B743" s="616" t="s">
        <v>946</v>
      </c>
      <c r="C743" s="593" t="s">
        <v>221</v>
      </c>
      <c r="D743" s="646">
        <v>3652</v>
      </c>
      <c r="E743" s="646">
        <v>712</v>
      </c>
      <c r="F743" s="646" t="s">
        <v>222</v>
      </c>
      <c r="G743" s="646">
        <v>840</v>
      </c>
      <c r="H743" s="582">
        <v>2</v>
      </c>
      <c r="I743" s="582">
        <v>3</v>
      </c>
      <c r="J743" s="582">
        <v>18</v>
      </c>
      <c r="K743" s="590" t="s">
        <v>33</v>
      </c>
      <c r="L743" s="595">
        <f>M743+N743+O743+P743+Q743</f>
        <v>1615544.92</v>
      </c>
      <c r="M743" s="585">
        <v>1584202.42</v>
      </c>
      <c r="N743" s="586">
        <v>31342.5</v>
      </c>
      <c r="O743" s="587"/>
      <c r="P743" s="586"/>
      <c r="Q743" s="586"/>
      <c r="R743" s="582">
        <f>M743/G743</f>
        <v>1885.9552619047618</v>
      </c>
      <c r="S743" s="591"/>
      <c r="T743" s="737"/>
      <c r="U743" s="586"/>
      <c r="V743" s="589"/>
      <c r="W743" s="737"/>
      <c r="X743" s="737"/>
      <c r="Y743" s="737"/>
      <c r="Z743" s="737"/>
    </row>
    <row r="744" spans="1:26" s="28" customFormat="1" hidden="1">
      <c r="A744" s="590">
        <f t="shared" si="92"/>
        <v>4</v>
      </c>
      <c r="B744" s="592" t="s">
        <v>947</v>
      </c>
      <c r="C744" s="593" t="s">
        <v>221</v>
      </c>
      <c r="D744" s="646">
        <v>16964</v>
      </c>
      <c r="E744" s="646">
        <v>2811</v>
      </c>
      <c r="F744" s="646" t="s">
        <v>227</v>
      </c>
      <c r="G744" s="646">
        <v>1330</v>
      </c>
      <c r="H744" s="582">
        <v>5</v>
      </c>
      <c r="I744" s="582">
        <v>2</v>
      </c>
      <c r="J744" s="582">
        <v>79</v>
      </c>
      <c r="K744" s="590" t="s">
        <v>224</v>
      </c>
      <c r="L744" s="740">
        <f>M744+N744+O744+P744+Q744</f>
        <v>1587781.5</v>
      </c>
      <c r="M744" s="741">
        <v>1564200</v>
      </c>
      <c r="N744" s="742">
        <v>23581.5</v>
      </c>
      <c r="O744" s="743"/>
      <c r="P744" s="742"/>
      <c r="Q744" s="586"/>
      <c r="R744" s="744">
        <f>M744/J744</f>
        <v>19800</v>
      </c>
      <c r="S744" s="592"/>
      <c r="T744" s="645"/>
      <c r="U744" s="591"/>
      <c r="V744" s="589"/>
      <c r="W744" s="592"/>
      <c r="X744" s="592"/>
      <c r="Y744" s="592"/>
      <c r="Z744" s="592"/>
    </row>
    <row r="745" spans="1:26" s="28" customFormat="1" ht="37.5" hidden="1">
      <c r="A745" s="590">
        <f t="shared" si="92"/>
        <v>5</v>
      </c>
      <c r="B745" s="592" t="s">
        <v>948</v>
      </c>
      <c r="C745" s="593" t="s">
        <v>299</v>
      </c>
      <c r="D745" s="646">
        <v>2336</v>
      </c>
      <c r="E745" s="646">
        <v>544</v>
      </c>
      <c r="F745" s="593" t="s">
        <v>222</v>
      </c>
      <c r="G745" s="801">
        <v>680</v>
      </c>
      <c r="H745" s="593">
        <v>2</v>
      </c>
      <c r="I745" s="593">
        <v>2</v>
      </c>
      <c r="J745" s="593">
        <v>15</v>
      </c>
      <c r="K745" s="590" t="s">
        <v>33</v>
      </c>
      <c r="L745" s="595">
        <f>M745+N745+O745+P745+Q745</f>
        <v>1333050.46</v>
      </c>
      <c r="M745" s="585">
        <v>1307677.96</v>
      </c>
      <c r="N745" s="586">
        <v>25372.5</v>
      </c>
      <c r="O745" s="587"/>
      <c r="P745" s="586"/>
      <c r="Q745" s="586"/>
      <c r="R745" s="582">
        <f>M745/G745</f>
        <v>1923.0558235294118</v>
      </c>
      <c r="S745" s="592"/>
      <c r="T745" s="645"/>
      <c r="U745" s="586"/>
      <c r="V745" s="589"/>
      <c r="W745" s="592"/>
      <c r="X745" s="592"/>
      <c r="Y745" s="592"/>
      <c r="Z745" s="592"/>
    </row>
    <row r="746" spans="1:26" s="28" customFormat="1" hidden="1">
      <c r="A746" s="590">
        <f t="shared" si="92"/>
        <v>6</v>
      </c>
      <c r="B746" s="592" t="s">
        <v>949</v>
      </c>
      <c r="C746" s="593" t="s">
        <v>221</v>
      </c>
      <c r="D746" s="646">
        <v>12246</v>
      </c>
      <c r="E746" s="646">
        <v>2362</v>
      </c>
      <c r="F746" s="646" t="s">
        <v>227</v>
      </c>
      <c r="G746" s="646">
        <v>860</v>
      </c>
      <c r="H746" s="582">
        <v>5</v>
      </c>
      <c r="I746" s="582">
        <v>4</v>
      </c>
      <c r="J746" s="582">
        <v>60</v>
      </c>
      <c r="K746" s="590" t="s">
        <v>33</v>
      </c>
      <c r="L746" s="746">
        <f>M746+N746+O746+P746+Q746</f>
        <v>1897458.4200000002</v>
      </c>
      <c r="M746" s="745">
        <v>1891810.8</v>
      </c>
      <c r="N746" s="802"/>
      <c r="O746" s="736">
        <v>5647.62</v>
      </c>
      <c r="P746" s="802"/>
      <c r="Q746" s="586"/>
      <c r="R746" s="803">
        <f>M746/G746</f>
        <v>2199.7800000000002</v>
      </c>
      <c r="S746" s="592"/>
      <c r="T746" s="645"/>
      <c r="U746" s="591"/>
      <c r="V746" s="589"/>
      <c r="W746" s="592"/>
      <c r="X746" s="592"/>
      <c r="Y746" s="592"/>
      <c r="Z746" s="592"/>
    </row>
    <row r="747" spans="1:26" s="28" customFormat="1" hidden="1">
      <c r="A747" s="590">
        <f t="shared" si="92"/>
        <v>7</v>
      </c>
      <c r="B747" s="592" t="s">
        <v>950</v>
      </c>
      <c r="C747" s="593" t="s">
        <v>221</v>
      </c>
      <c r="D747" s="646">
        <v>4325</v>
      </c>
      <c r="E747" s="646">
        <v>895</v>
      </c>
      <c r="F747" s="646" t="s">
        <v>230</v>
      </c>
      <c r="G747" s="646">
        <v>650</v>
      </c>
      <c r="H747" s="582">
        <v>4</v>
      </c>
      <c r="I747" s="582">
        <v>2</v>
      </c>
      <c r="J747" s="582">
        <v>24</v>
      </c>
      <c r="K747" s="590" t="s">
        <v>238</v>
      </c>
      <c r="L747" s="584">
        <f>M747+N747+O747+Q747</f>
        <v>488539.44</v>
      </c>
      <c r="M747" s="585">
        <v>463465.44</v>
      </c>
      <c r="N747" s="586">
        <v>25074</v>
      </c>
      <c r="O747" s="587"/>
      <c r="P747" s="586"/>
      <c r="Q747" s="586"/>
      <c r="R747" s="582">
        <f>M747/J747</f>
        <v>19311.060000000001</v>
      </c>
      <c r="S747" s="592"/>
      <c r="T747" s="645"/>
      <c r="U747" s="591"/>
      <c r="V747" s="589"/>
      <c r="W747" s="592"/>
      <c r="X747" s="592"/>
      <c r="Y747" s="592"/>
      <c r="Z747" s="592"/>
    </row>
    <row r="748" spans="1:26" s="28" customFormat="1" hidden="1">
      <c r="A748" s="590">
        <f t="shared" si="92"/>
        <v>8</v>
      </c>
      <c r="B748" s="616" t="s">
        <v>951</v>
      </c>
      <c r="C748" s="593" t="s">
        <v>221</v>
      </c>
      <c r="D748" s="646">
        <v>17517</v>
      </c>
      <c r="E748" s="646">
        <v>3050</v>
      </c>
      <c r="F748" s="646" t="s">
        <v>227</v>
      </c>
      <c r="G748" s="646">
        <v>998.29809999999998</v>
      </c>
      <c r="H748" s="582">
        <v>5</v>
      </c>
      <c r="I748" s="582">
        <v>6</v>
      </c>
      <c r="J748" s="582">
        <v>77</v>
      </c>
      <c r="K748" s="590" t="s">
        <v>33</v>
      </c>
      <c r="L748" s="746">
        <f t="shared" ref="L748:L761" si="93">M748+N748+O748+P748+Q748</f>
        <v>2002356.3900000001</v>
      </c>
      <c r="M748" s="745">
        <v>1996396.34</v>
      </c>
      <c r="N748" s="802"/>
      <c r="O748" s="736">
        <v>5960.05</v>
      </c>
      <c r="P748" s="802"/>
      <c r="Q748" s="586"/>
      <c r="R748" s="803">
        <f t="shared" ref="R748:R754" si="94">M748/G748</f>
        <v>1999.7997992783921</v>
      </c>
      <c r="S748" s="592"/>
      <c r="T748" s="645"/>
      <c r="U748" s="591"/>
      <c r="V748" s="589"/>
      <c r="W748" s="592"/>
      <c r="X748" s="592"/>
      <c r="Y748" s="592"/>
      <c r="Z748" s="592"/>
    </row>
    <row r="749" spans="1:26" s="28" customFormat="1" hidden="1">
      <c r="A749" s="590">
        <f t="shared" si="92"/>
        <v>9</v>
      </c>
      <c r="B749" s="592" t="s">
        <v>952</v>
      </c>
      <c r="C749" s="593" t="s">
        <v>221</v>
      </c>
      <c r="D749" s="646">
        <v>2875</v>
      </c>
      <c r="E749" s="646">
        <v>598</v>
      </c>
      <c r="F749" s="646" t="s">
        <v>222</v>
      </c>
      <c r="G749" s="646">
        <v>660</v>
      </c>
      <c r="H749" s="582">
        <v>2</v>
      </c>
      <c r="I749" s="582">
        <v>2</v>
      </c>
      <c r="J749" s="582">
        <v>16</v>
      </c>
      <c r="K749" s="590" t="s">
        <v>33</v>
      </c>
      <c r="L749" s="595">
        <f t="shared" si="93"/>
        <v>1552390.17</v>
      </c>
      <c r="M749" s="585">
        <v>1519555.17</v>
      </c>
      <c r="N749" s="586">
        <v>32835</v>
      </c>
      <c r="O749" s="587"/>
      <c r="P749" s="586"/>
      <c r="Q749" s="586"/>
      <c r="R749" s="582">
        <f t="shared" si="94"/>
        <v>2302.3563181818181</v>
      </c>
      <c r="S749" s="592"/>
      <c r="T749" s="645"/>
      <c r="U749" s="586"/>
      <c r="V749" s="589"/>
      <c r="W749" s="592"/>
      <c r="X749" s="592"/>
      <c r="Y749" s="592"/>
      <c r="Z749" s="592"/>
    </row>
    <row r="750" spans="1:26" s="28" customFormat="1" hidden="1">
      <c r="A750" s="590">
        <f t="shared" si="92"/>
        <v>10</v>
      </c>
      <c r="B750" s="592" t="s">
        <v>953</v>
      </c>
      <c r="C750" s="593" t="s">
        <v>221</v>
      </c>
      <c r="D750" s="646">
        <v>2849</v>
      </c>
      <c r="E750" s="646">
        <v>590</v>
      </c>
      <c r="F750" s="646" t="s">
        <v>222</v>
      </c>
      <c r="G750" s="646">
        <v>676</v>
      </c>
      <c r="H750" s="582">
        <v>2</v>
      </c>
      <c r="I750" s="582">
        <v>2</v>
      </c>
      <c r="J750" s="582">
        <v>16</v>
      </c>
      <c r="K750" s="590" t="s">
        <v>33</v>
      </c>
      <c r="L750" s="595">
        <f t="shared" si="93"/>
        <v>1419089.1700000002</v>
      </c>
      <c r="M750" s="585">
        <v>1385458.1700000002</v>
      </c>
      <c r="N750" s="586">
        <v>33631</v>
      </c>
      <c r="O750" s="587"/>
      <c r="P750" s="586"/>
      <c r="Q750" s="586"/>
      <c r="R750" s="582">
        <f t="shared" si="94"/>
        <v>2049.4943343195268</v>
      </c>
      <c r="S750" s="592"/>
      <c r="T750" s="645"/>
      <c r="U750" s="591"/>
      <c r="V750" s="589"/>
      <c r="W750" s="592"/>
      <c r="X750" s="592"/>
      <c r="Y750" s="592"/>
      <c r="Z750" s="592"/>
    </row>
    <row r="751" spans="1:26" s="28" customFormat="1" hidden="1">
      <c r="A751" s="590">
        <f t="shared" si="92"/>
        <v>11</v>
      </c>
      <c r="B751" s="592" t="s">
        <v>954</v>
      </c>
      <c r="C751" s="593" t="s">
        <v>221</v>
      </c>
      <c r="D751" s="646">
        <v>3056</v>
      </c>
      <c r="E751" s="646">
        <v>618</v>
      </c>
      <c r="F751" s="646" t="s">
        <v>222</v>
      </c>
      <c r="G751" s="646">
        <v>710</v>
      </c>
      <c r="H751" s="582">
        <v>2</v>
      </c>
      <c r="I751" s="582">
        <v>2</v>
      </c>
      <c r="J751" s="582">
        <v>24</v>
      </c>
      <c r="K751" s="590" t="s">
        <v>33</v>
      </c>
      <c r="L751" s="595">
        <f t="shared" si="93"/>
        <v>1360705.4</v>
      </c>
      <c r="M751" s="585">
        <v>1334213.52</v>
      </c>
      <c r="N751" s="586">
        <v>26491.88</v>
      </c>
      <c r="O751" s="587"/>
      <c r="P751" s="586"/>
      <c r="Q751" s="586"/>
      <c r="R751" s="582">
        <f t="shared" si="94"/>
        <v>1879.1739718309859</v>
      </c>
      <c r="S751" s="592"/>
      <c r="T751" s="645"/>
      <c r="U751" s="586"/>
      <c r="V751" s="589"/>
      <c r="W751" s="592"/>
      <c r="X751" s="592"/>
      <c r="Y751" s="592"/>
      <c r="Z751" s="592"/>
    </row>
    <row r="752" spans="1:26" s="28" customFormat="1" hidden="1">
      <c r="A752" s="590">
        <f t="shared" si="92"/>
        <v>12</v>
      </c>
      <c r="B752" s="592" t="s">
        <v>956</v>
      </c>
      <c r="C752" s="593" t="s">
        <v>221</v>
      </c>
      <c r="D752" s="646">
        <v>2761</v>
      </c>
      <c r="E752" s="646">
        <v>959</v>
      </c>
      <c r="F752" s="646" t="s">
        <v>222</v>
      </c>
      <c r="G752" s="646">
        <v>574</v>
      </c>
      <c r="H752" s="582">
        <v>2</v>
      </c>
      <c r="I752" s="582">
        <v>2</v>
      </c>
      <c r="J752" s="582">
        <v>16</v>
      </c>
      <c r="K752" s="590" t="s">
        <v>33</v>
      </c>
      <c r="L752" s="595">
        <f t="shared" si="93"/>
        <v>1177032.6300000001</v>
      </c>
      <c r="M752" s="585">
        <v>1141337.01</v>
      </c>
      <c r="N752" s="586">
        <v>35695.620000000003</v>
      </c>
      <c r="O752" s="587"/>
      <c r="P752" s="586"/>
      <c r="Q752" s="586"/>
      <c r="R752" s="582">
        <f t="shared" si="94"/>
        <v>1988.3920034843206</v>
      </c>
      <c r="S752" s="592"/>
      <c r="T752" s="645"/>
      <c r="U752" s="591"/>
      <c r="V752" s="589"/>
      <c r="W752" s="592"/>
      <c r="X752" s="592"/>
      <c r="Y752" s="592"/>
      <c r="Z752" s="592"/>
    </row>
    <row r="753" spans="1:211" s="28" customFormat="1" hidden="1">
      <c r="A753" s="590">
        <f t="shared" si="92"/>
        <v>13</v>
      </c>
      <c r="B753" s="592" t="s">
        <v>957</v>
      </c>
      <c r="C753" s="593" t="s">
        <v>221</v>
      </c>
      <c r="D753" s="646">
        <v>1693</v>
      </c>
      <c r="E753" s="646">
        <v>436</v>
      </c>
      <c r="F753" s="646" t="s">
        <v>222</v>
      </c>
      <c r="G753" s="646">
        <v>380</v>
      </c>
      <c r="H753" s="582">
        <v>2</v>
      </c>
      <c r="I753" s="582">
        <v>2</v>
      </c>
      <c r="J753" s="582">
        <v>8</v>
      </c>
      <c r="K753" s="590" t="s">
        <v>33</v>
      </c>
      <c r="L753" s="595">
        <f t="shared" si="93"/>
        <v>1048733.5</v>
      </c>
      <c r="M753" s="623">
        <f>931000+89376</f>
        <v>1020376</v>
      </c>
      <c r="N753" s="586">
        <v>28357.5</v>
      </c>
      <c r="O753" s="587"/>
      <c r="P753" s="586"/>
      <c r="Q753" s="586"/>
      <c r="R753" s="582">
        <f t="shared" si="94"/>
        <v>2685.2</v>
      </c>
      <c r="S753" s="592"/>
      <c r="T753" s="645"/>
      <c r="U753" s="591"/>
      <c r="V753" s="589"/>
      <c r="W753" s="592"/>
      <c r="X753" s="592"/>
      <c r="Y753" s="592"/>
      <c r="Z753" s="592"/>
    </row>
    <row r="754" spans="1:211" s="28" customFormat="1" hidden="1">
      <c r="A754" s="590">
        <f t="shared" si="92"/>
        <v>14</v>
      </c>
      <c r="B754" s="592" t="s">
        <v>958</v>
      </c>
      <c r="C754" s="593" t="s">
        <v>221</v>
      </c>
      <c r="D754" s="646">
        <v>5301</v>
      </c>
      <c r="E754" s="646">
        <v>1524</v>
      </c>
      <c r="F754" s="646" t="s">
        <v>227</v>
      </c>
      <c r="G754" s="646">
        <v>700</v>
      </c>
      <c r="H754" s="582">
        <v>2</v>
      </c>
      <c r="I754" s="582">
        <v>3</v>
      </c>
      <c r="J754" s="582">
        <v>24</v>
      </c>
      <c r="K754" s="590" t="s">
        <v>33</v>
      </c>
      <c r="L754" s="746">
        <f t="shared" si="93"/>
        <v>1544442.9</v>
      </c>
      <c r="M754" s="745">
        <v>1539846</v>
      </c>
      <c r="N754" s="802"/>
      <c r="O754" s="736">
        <v>4596.8999999999996</v>
      </c>
      <c r="P754" s="802"/>
      <c r="Q754" s="586"/>
      <c r="R754" s="803">
        <f t="shared" si="94"/>
        <v>2199.7800000000002</v>
      </c>
      <c r="S754" s="592"/>
      <c r="T754" s="645"/>
      <c r="U754" s="591"/>
      <c r="V754" s="589"/>
      <c r="W754" s="592"/>
      <c r="X754" s="592"/>
      <c r="Y754" s="592"/>
      <c r="Z754" s="592"/>
    </row>
    <row r="755" spans="1:211" s="28" customFormat="1" hidden="1">
      <c r="A755" s="590">
        <f t="shared" si="92"/>
        <v>15</v>
      </c>
      <c r="B755" s="592" t="s">
        <v>959</v>
      </c>
      <c r="C755" s="593" t="s">
        <v>221</v>
      </c>
      <c r="D755" s="646">
        <v>6296</v>
      </c>
      <c r="E755" s="646">
        <f>1736/2</f>
        <v>868</v>
      </c>
      <c r="F755" s="646" t="s">
        <v>227</v>
      </c>
      <c r="G755" s="646">
        <v>620</v>
      </c>
      <c r="H755" s="582">
        <v>4</v>
      </c>
      <c r="I755" s="582">
        <v>2</v>
      </c>
      <c r="J755" s="582">
        <v>32</v>
      </c>
      <c r="K755" s="590" t="s">
        <v>226</v>
      </c>
      <c r="L755" s="740">
        <f t="shared" si="93"/>
        <v>3897763.07</v>
      </c>
      <c r="M755" s="804">
        <v>3871853.27</v>
      </c>
      <c r="N755" s="747">
        <v>25909.8</v>
      </c>
      <c r="O755" s="743"/>
      <c r="P755" s="747"/>
      <c r="Q755" s="586"/>
      <c r="R755" s="599">
        <f>M755/E755</f>
        <v>4460.6604493087561</v>
      </c>
      <c r="S755" s="592"/>
      <c r="T755" s="645"/>
      <c r="U755" s="591"/>
      <c r="V755" s="589"/>
      <c r="W755" s="592"/>
      <c r="X755" s="592"/>
      <c r="Y755" s="592"/>
      <c r="Z755" s="592"/>
    </row>
    <row r="756" spans="1:211" s="28" customFormat="1" hidden="1">
      <c r="A756" s="590">
        <f t="shared" si="92"/>
        <v>16</v>
      </c>
      <c r="B756" s="592" t="s">
        <v>960</v>
      </c>
      <c r="C756" s="593" t="s">
        <v>221</v>
      </c>
      <c r="D756" s="646">
        <v>2560</v>
      </c>
      <c r="E756" s="646">
        <v>743</v>
      </c>
      <c r="F756" s="646" t="s">
        <v>222</v>
      </c>
      <c r="G756" s="646">
        <v>570</v>
      </c>
      <c r="H756" s="582">
        <v>2</v>
      </c>
      <c r="I756" s="582">
        <v>2</v>
      </c>
      <c r="J756" s="582">
        <v>12</v>
      </c>
      <c r="K756" s="590" t="s">
        <v>33</v>
      </c>
      <c r="L756" s="595">
        <f t="shared" si="93"/>
        <v>1451932.5</v>
      </c>
      <c r="M756" s="585">
        <v>1423575</v>
      </c>
      <c r="N756" s="586">
        <v>28357.5</v>
      </c>
      <c r="O756" s="587"/>
      <c r="P756" s="586"/>
      <c r="Q756" s="586"/>
      <c r="R756" s="582">
        <f>M756/G756</f>
        <v>2497.5</v>
      </c>
      <c r="S756" s="592"/>
      <c r="T756" s="645"/>
      <c r="U756" s="591"/>
      <c r="V756" s="589"/>
      <c r="W756" s="592"/>
      <c r="X756" s="592"/>
      <c r="Y756" s="592"/>
      <c r="Z756" s="592"/>
    </row>
    <row r="757" spans="1:211" s="28" customFormat="1" hidden="1">
      <c r="A757" s="590">
        <f t="shared" si="92"/>
        <v>17</v>
      </c>
      <c r="B757" s="592" t="s">
        <v>961</v>
      </c>
      <c r="C757" s="593" t="s">
        <v>221</v>
      </c>
      <c r="D757" s="646">
        <v>2673</v>
      </c>
      <c r="E757" s="646">
        <v>615</v>
      </c>
      <c r="F757" s="646" t="s">
        <v>222</v>
      </c>
      <c r="G757" s="646">
        <v>660</v>
      </c>
      <c r="H757" s="582">
        <v>2</v>
      </c>
      <c r="I757" s="582">
        <v>2</v>
      </c>
      <c r="J757" s="582">
        <v>16</v>
      </c>
      <c r="K757" s="590" t="s">
        <v>33</v>
      </c>
      <c r="L757" s="595">
        <f t="shared" si="93"/>
        <v>1789964.15</v>
      </c>
      <c r="M757" s="585">
        <v>1763034.48</v>
      </c>
      <c r="N757" s="586">
        <v>26929.67</v>
      </c>
      <c r="O757" s="587"/>
      <c r="P757" s="586"/>
      <c r="Q757" s="586"/>
      <c r="R757" s="582">
        <f>M757/G757</f>
        <v>2671.2643636363637</v>
      </c>
      <c r="S757" s="592"/>
      <c r="T757" s="645"/>
      <c r="U757" s="586"/>
      <c r="V757" s="589"/>
      <c r="W757" s="592"/>
      <c r="X757" s="592"/>
      <c r="Y757" s="592"/>
      <c r="Z757" s="592"/>
    </row>
    <row r="758" spans="1:211" s="28" customFormat="1" hidden="1">
      <c r="A758" s="590">
        <f t="shared" si="92"/>
        <v>18</v>
      </c>
      <c r="B758" s="592" t="s">
        <v>962</v>
      </c>
      <c r="C758" s="593" t="s">
        <v>221</v>
      </c>
      <c r="D758" s="646">
        <v>1947.96</v>
      </c>
      <c r="E758" s="646">
        <v>649.32000000000005</v>
      </c>
      <c r="F758" s="646" t="s">
        <v>222</v>
      </c>
      <c r="G758" s="646">
        <v>670</v>
      </c>
      <c r="H758" s="582">
        <v>2</v>
      </c>
      <c r="I758" s="582">
        <v>2</v>
      </c>
      <c r="J758" s="582">
        <v>16</v>
      </c>
      <c r="K758" s="590" t="s">
        <v>33</v>
      </c>
      <c r="L758" s="595">
        <f t="shared" si="93"/>
        <v>1477571.6800000002</v>
      </c>
      <c r="M758" s="585">
        <v>1450232.06</v>
      </c>
      <c r="N758" s="586">
        <v>27339.62</v>
      </c>
      <c r="O758" s="587"/>
      <c r="P758" s="586"/>
      <c r="Q758" s="586"/>
      <c r="R758" s="582">
        <f>M758/G758</f>
        <v>2164.5254626865672</v>
      </c>
      <c r="S758" s="592"/>
      <c r="T758" s="645"/>
      <c r="U758" s="591"/>
      <c r="V758" s="589"/>
      <c r="W758" s="592"/>
      <c r="X758" s="592"/>
      <c r="Y758" s="592"/>
      <c r="Z758" s="592"/>
    </row>
    <row r="759" spans="1:211" s="28" customFormat="1" hidden="1">
      <c r="A759" s="590">
        <f t="shared" si="92"/>
        <v>19</v>
      </c>
      <c r="B759" s="592" t="s">
        <v>963</v>
      </c>
      <c r="C759" s="593" t="s">
        <v>221</v>
      </c>
      <c r="D759" s="646">
        <v>2680</v>
      </c>
      <c r="E759" s="646">
        <v>924</v>
      </c>
      <c r="F759" s="646" t="s">
        <v>222</v>
      </c>
      <c r="G759" s="646">
        <v>722.17200000000003</v>
      </c>
      <c r="H759" s="582">
        <v>2</v>
      </c>
      <c r="I759" s="582">
        <v>2</v>
      </c>
      <c r="J759" s="582">
        <v>16</v>
      </c>
      <c r="K759" s="590" t="s">
        <v>33</v>
      </c>
      <c r="L759" s="595">
        <f t="shared" si="93"/>
        <v>1421039.27</v>
      </c>
      <c r="M759" s="585">
        <v>1394093.67</v>
      </c>
      <c r="N759" s="586">
        <v>26945.599999999999</v>
      </c>
      <c r="O759" s="587"/>
      <c r="P759" s="586"/>
      <c r="Q759" s="586"/>
      <c r="R759" s="582">
        <f>M759/G759</f>
        <v>1930.4177813595652</v>
      </c>
      <c r="S759" s="592"/>
      <c r="T759" s="645"/>
      <c r="U759" s="591"/>
      <c r="V759" s="589"/>
      <c r="W759" s="592"/>
      <c r="X759" s="592"/>
      <c r="Y759" s="592"/>
      <c r="Z759" s="592"/>
    </row>
    <row r="760" spans="1:211" s="28" customFormat="1" hidden="1">
      <c r="A760" s="590">
        <f t="shared" si="92"/>
        <v>20</v>
      </c>
      <c r="B760" s="592" t="s">
        <v>3611</v>
      </c>
      <c r="C760" s="561" t="s">
        <v>221</v>
      </c>
      <c r="D760" s="805">
        <v>12810</v>
      </c>
      <c r="E760" s="805">
        <v>2460</v>
      </c>
      <c r="F760" s="805" t="s">
        <v>222</v>
      </c>
      <c r="G760" s="805">
        <v>980</v>
      </c>
      <c r="H760" s="561">
        <v>5</v>
      </c>
      <c r="I760" s="561">
        <v>4</v>
      </c>
      <c r="J760" s="561">
        <v>63</v>
      </c>
      <c r="K760" s="590" t="s">
        <v>224</v>
      </c>
      <c r="L760" s="595">
        <f t="shared" si="93"/>
        <v>1286033.4000000001</v>
      </c>
      <c r="M760" s="585">
        <v>1253700</v>
      </c>
      <c r="N760" s="586">
        <v>21918.6</v>
      </c>
      <c r="O760" s="587"/>
      <c r="P760" s="586"/>
      <c r="Q760" s="586">
        <v>10414.799999999999</v>
      </c>
      <c r="R760" s="582">
        <f>M760/J760</f>
        <v>19900</v>
      </c>
      <c r="S760" s="592"/>
      <c r="T760" s="645"/>
      <c r="U760" s="591"/>
      <c r="V760" s="589"/>
      <c r="W760" s="592"/>
      <c r="X760" s="592"/>
      <c r="Y760" s="592"/>
      <c r="Z760" s="592"/>
    </row>
    <row r="761" spans="1:211" s="28" customFormat="1" hidden="1">
      <c r="A761" s="590">
        <f t="shared" si="92"/>
        <v>21</v>
      </c>
      <c r="B761" s="592" t="s">
        <v>3612</v>
      </c>
      <c r="C761" s="593" t="s">
        <v>221</v>
      </c>
      <c r="D761" s="646">
        <v>2736</v>
      </c>
      <c r="E761" s="646">
        <v>575</v>
      </c>
      <c r="F761" s="646" t="s">
        <v>222</v>
      </c>
      <c r="G761" s="646">
        <v>680.4</v>
      </c>
      <c r="H761" s="582">
        <v>2</v>
      </c>
      <c r="I761" s="582">
        <v>2</v>
      </c>
      <c r="J761" s="582">
        <v>16</v>
      </c>
      <c r="K761" s="590" t="s">
        <v>33</v>
      </c>
      <c r="L761" s="595">
        <f t="shared" si="93"/>
        <v>1845527.8499999999</v>
      </c>
      <c r="M761" s="585">
        <v>1819389.5999999999</v>
      </c>
      <c r="N761" s="586">
        <v>26138.25</v>
      </c>
      <c r="O761" s="587"/>
      <c r="P761" s="586"/>
      <c r="Q761" s="586"/>
      <c r="R761" s="582">
        <f>M761/E761</f>
        <v>3164.1558260869565</v>
      </c>
      <c r="S761" s="592"/>
      <c r="T761" s="645"/>
      <c r="U761" s="586"/>
      <c r="V761" s="589"/>
      <c r="W761" s="592"/>
      <c r="X761" s="592"/>
      <c r="Y761" s="592"/>
      <c r="Z761" s="592"/>
    </row>
    <row r="762" spans="1:211" s="28" customFormat="1" hidden="1">
      <c r="A762" s="1362" t="s">
        <v>121</v>
      </c>
      <c r="B762" s="1362"/>
      <c r="C762" s="586" t="s">
        <v>28</v>
      </c>
      <c r="D762" s="646">
        <f>SUM(D741:D761)</f>
        <v>114256.96000000001</v>
      </c>
      <c r="E762" s="646">
        <f>SUM(E741:E761)</f>
        <v>23302.32</v>
      </c>
      <c r="F762" s="646" t="s">
        <v>28</v>
      </c>
      <c r="G762" s="646">
        <f>SUM(G741:G761)</f>
        <v>15520.8701</v>
      </c>
      <c r="H762" s="582" t="s">
        <v>28</v>
      </c>
      <c r="I762" s="582" t="s">
        <v>28</v>
      </c>
      <c r="J762" s="582">
        <f>SUM(J741:J761)</f>
        <v>587</v>
      </c>
      <c r="K762" s="588" t="s">
        <v>28</v>
      </c>
      <c r="L762" s="584">
        <f>SUM(L741:L761)</f>
        <v>32077487.759999998</v>
      </c>
      <c r="M762" s="585">
        <f>SUM(M741:M761)</f>
        <v>31570043.25</v>
      </c>
      <c r="N762" s="586">
        <f>SUM(N741:N761)</f>
        <v>479452.03999999992</v>
      </c>
      <c r="O762" s="587">
        <f>SUM(O741:O761)</f>
        <v>17577.669999999998</v>
      </c>
      <c r="P762" s="586"/>
      <c r="Q762" s="586">
        <f>SUM(Q741:Q761)</f>
        <v>10414.799999999999</v>
      </c>
      <c r="R762" s="582" t="s">
        <v>28</v>
      </c>
      <c r="S762" s="586">
        <f>L762-M762-N762-O762-P762-Q762</f>
        <v>-2.0045263227075338E-9</v>
      </c>
      <c r="T762" s="645"/>
      <c r="U762" s="701"/>
      <c r="V762" s="589"/>
      <c r="W762" s="592"/>
      <c r="X762" s="592"/>
      <c r="Y762" s="592"/>
      <c r="Z762" s="592"/>
    </row>
    <row r="763" spans="1:211" s="28" customFormat="1" hidden="1">
      <c r="A763" s="1347" t="s">
        <v>55</v>
      </c>
      <c r="B763" s="1347"/>
      <c r="C763" s="1347"/>
      <c r="D763" s="1347"/>
      <c r="E763" s="1347"/>
      <c r="F763" s="1347"/>
      <c r="G763" s="1347"/>
      <c r="H763" s="1347"/>
      <c r="I763" s="1347"/>
      <c r="J763" s="1347"/>
      <c r="K763" s="1347"/>
      <c r="L763" s="1347"/>
      <c r="M763" s="1347"/>
      <c r="N763" s="1347"/>
      <c r="O763" s="1347"/>
      <c r="P763" s="1347"/>
      <c r="Q763" s="1347"/>
      <c r="R763" s="1347"/>
      <c r="S763" s="592"/>
      <c r="T763" s="645"/>
      <c r="U763" s="591"/>
      <c r="V763" s="589"/>
      <c r="W763" s="592"/>
      <c r="X763" s="592"/>
      <c r="Y763" s="592"/>
      <c r="Z763" s="592"/>
    </row>
    <row r="764" spans="1:211" s="533" customFormat="1" ht="37.5" hidden="1">
      <c r="A764" s="792">
        <v>1</v>
      </c>
      <c r="B764" s="806" t="s">
        <v>964</v>
      </c>
      <c r="C764" s="744" t="s">
        <v>221</v>
      </c>
      <c r="D764" s="807">
        <v>2622</v>
      </c>
      <c r="E764" s="807">
        <v>560</v>
      </c>
      <c r="F764" s="807" t="s">
        <v>222</v>
      </c>
      <c r="G764" s="807">
        <v>581</v>
      </c>
      <c r="H764" s="808">
        <v>2</v>
      </c>
      <c r="I764" s="808">
        <v>2</v>
      </c>
      <c r="J764" s="808">
        <v>16</v>
      </c>
      <c r="K764" s="590" t="s">
        <v>274</v>
      </c>
      <c r="L764" s="746">
        <f>M764+N764+O764+P764+Q764</f>
        <v>1345955.88</v>
      </c>
      <c r="M764" s="745">
        <v>1319617.24</v>
      </c>
      <c r="N764" s="802">
        <v>26338.639999999999</v>
      </c>
      <c r="O764" s="809"/>
      <c r="P764" s="747"/>
      <c r="Q764" s="586"/>
      <c r="R764" s="803">
        <f>M764/G764</f>
        <v>2271.2861273666094</v>
      </c>
      <c r="S764" s="810"/>
      <c r="T764" s="810"/>
      <c r="U764" s="811"/>
      <c r="V764" s="589"/>
      <c r="W764" s="810"/>
      <c r="X764" s="810"/>
      <c r="Y764" s="810"/>
      <c r="Z764" s="810"/>
    </row>
    <row r="765" spans="1:211" s="533" customFormat="1" ht="37.5" hidden="1">
      <c r="A765" s="792">
        <v>2</v>
      </c>
      <c r="B765" s="806" t="s">
        <v>965</v>
      </c>
      <c r="C765" s="744" t="s">
        <v>221</v>
      </c>
      <c r="D765" s="807">
        <v>2503</v>
      </c>
      <c r="E765" s="807">
        <v>546</v>
      </c>
      <c r="F765" s="807" t="s">
        <v>222</v>
      </c>
      <c r="G765" s="807">
        <v>768</v>
      </c>
      <c r="H765" s="808">
        <v>2</v>
      </c>
      <c r="I765" s="808">
        <v>2</v>
      </c>
      <c r="J765" s="808">
        <v>16</v>
      </c>
      <c r="K765" s="590" t="s">
        <v>274</v>
      </c>
      <c r="L765" s="746">
        <f>M765+N765+O765+P765+Q765</f>
        <v>1770444.04</v>
      </c>
      <c r="M765" s="745">
        <v>1744332.26</v>
      </c>
      <c r="N765" s="802">
        <v>26111.78</v>
      </c>
      <c r="O765" s="809"/>
      <c r="P765" s="747"/>
      <c r="Q765" s="586"/>
      <c r="R765" s="803">
        <f>M765/G765</f>
        <v>2271.2659635416667</v>
      </c>
      <c r="S765" s="810"/>
      <c r="T765" s="810"/>
      <c r="U765" s="811"/>
      <c r="V765" s="589"/>
      <c r="W765" s="810"/>
      <c r="X765" s="810"/>
      <c r="Y765" s="810"/>
      <c r="Z765" s="810"/>
    </row>
    <row r="766" spans="1:211" s="28" customFormat="1" hidden="1">
      <c r="A766" s="1349" t="s">
        <v>56</v>
      </c>
      <c r="B766" s="1349"/>
      <c r="C766" s="586" t="s">
        <v>28</v>
      </c>
      <c r="D766" s="646">
        <f>SUM(D764:D765)</f>
        <v>5125</v>
      </c>
      <c r="E766" s="646">
        <f>SUM(E764:E765)</f>
        <v>1106</v>
      </c>
      <c r="F766" s="602" t="s">
        <v>28</v>
      </c>
      <c r="G766" s="646">
        <f>SUM(G764:G765)</f>
        <v>1349</v>
      </c>
      <c r="H766" s="582" t="s">
        <v>28</v>
      </c>
      <c r="I766" s="582" t="s">
        <v>28</v>
      </c>
      <c r="J766" s="582">
        <f>SUM(J764:J765)</f>
        <v>32</v>
      </c>
      <c r="K766" s="588" t="s">
        <v>28</v>
      </c>
      <c r="L766" s="584">
        <f>SUM(L764:L765)</f>
        <v>3116399.92</v>
      </c>
      <c r="M766" s="585">
        <f>SUM(M764:M765)</f>
        <v>3063949.5</v>
      </c>
      <c r="N766" s="586">
        <f>SUM(N764:N765)</f>
        <v>52450.42</v>
      </c>
      <c r="O766" s="587"/>
      <c r="P766" s="586"/>
      <c r="Q766" s="586">
        <f>SUM(Q764:Q765)</f>
        <v>0</v>
      </c>
      <c r="R766" s="582" t="s">
        <v>28</v>
      </c>
      <c r="S766" s="645"/>
      <c r="T766" s="645"/>
      <c r="U766" s="701"/>
      <c r="V766" s="589"/>
      <c r="W766" s="592"/>
      <c r="X766" s="592"/>
      <c r="Y766" s="592"/>
      <c r="Z766" s="592"/>
    </row>
    <row r="767" spans="1:211" s="28" customFormat="1" hidden="1">
      <c r="A767" s="1347" t="s">
        <v>32</v>
      </c>
      <c r="B767" s="1347"/>
      <c r="C767" s="1347"/>
      <c r="D767" s="1347"/>
      <c r="E767" s="1347"/>
      <c r="F767" s="1347"/>
      <c r="G767" s="1347"/>
      <c r="H767" s="1347"/>
      <c r="I767" s="1347"/>
      <c r="J767" s="1347"/>
      <c r="K767" s="1347"/>
      <c r="L767" s="1347"/>
      <c r="M767" s="1347"/>
      <c r="N767" s="1347"/>
      <c r="O767" s="1347"/>
      <c r="P767" s="1347"/>
      <c r="Q767" s="1347"/>
      <c r="R767" s="1347"/>
      <c r="S767" s="592"/>
      <c r="T767" s="645"/>
      <c r="U767" s="591"/>
      <c r="V767" s="589"/>
      <c r="W767" s="592"/>
      <c r="X767" s="592"/>
      <c r="Y767" s="592"/>
      <c r="Z767" s="592"/>
    </row>
    <row r="768" spans="1:211" s="90" customFormat="1" hidden="1">
      <c r="A768" s="812">
        <v>1</v>
      </c>
      <c r="B768" s="813" t="s">
        <v>966</v>
      </c>
      <c r="C768" s="814" t="s">
        <v>217</v>
      </c>
      <c r="D768" s="815">
        <f t="shared" ref="D768:D780" si="95">E768*2.5</f>
        <v>1330</v>
      </c>
      <c r="E768" s="816">
        <v>532</v>
      </c>
      <c r="F768" s="815" t="s">
        <v>227</v>
      </c>
      <c r="G768" s="739">
        <v>700</v>
      </c>
      <c r="H768" s="803">
        <v>2</v>
      </c>
      <c r="I768" s="803">
        <v>3</v>
      </c>
      <c r="J768" s="803">
        <v>22</v>
      </c>
      <c r="K768" s="812" t="s">
        <v>33</v>
      </c>
      <c r="L768" s="746">
        <f t="shared" ref="L768:L783" si="96">M768+N768+O768+P768+Q768</f>
        <v>1182382.04</v>
      </c>
      <c r="M768" s="745">
        <v>1177806.04</v>
      </c>
      <c r="N768" s="802"/>
      <c r="O768" s="736">
        <v>4576</v>
      </c>
      <c r="P768" s="802"/>
      <c r="Q768" s="586"/>
      <c r="R768" s="803">
        <f>M768/G768</f>
        <v>1682.5800571428572</v>
      </c>
      <c r="S768" s="817"/>
      <c r="T768" s="817"/>
      <c r="U768" s="818"/>
      <c r="V768" s="589"/>
      <c r="W768" s="817"/>
      <c r="X768" s="817"/>
      <c r="Y768" s="817"/>
      <c r="Z768" s="817"/>
      <c r="AA768" s="534"/>
      <c r="AB768" s="534"/>
      <c r="AC768" s="534"/>
      <c r="AD768" s="534"/>
      <c r="AE768" s="534"/>
      <c r="AF768" s="534"/>
      <c r="AG768" s="534"/>
      <c r="AH768" s="534"/>
      <c r="AI768" s="534"/>
      <c r="AJ768" s="534"/>
      <c r="AK768" s="534"/>
      <c r="AL768" s="534"/>
      <c r="AM768" s="534"/>
      <c r="AN768" s="534"/>
      <c r="AO768" s="534"/>
      <c r="AP768" s="534"/>
      <c r="AQ768" s="534"/>
      <c r="AR768" s="534"/>
      <c r="AS768" s="534"/>
      <c r="AT768" s="534"/>
      <c r="AU768" s="534"/>
      <c r="AV768" s="534"/>
      <c r="AW768" s="534"/>
      <c r="AX768" s="534"/>
      <c r="AY768" s="534"/>
      <c r="AZ768" s="534"/>
      <c r="BA768" s="534"/>
      <c r="BB768" s="534"/>
      <c r="BC768" s="534"/>
      <c r="BD768" s="534"/>
      <c r="BE768" s="534"/>
      <c r="BF768" s="534"/>
      <c r="BG768" s="534"/>
      <c r="BH768" s="534"/>
      <c r="BI768" s="534"/>
      <c r="BJ768" s="534"/>
      <c r="BK768" s="534"/>
      <c r="BL768" s="534"/>
      <c r="BM768" s="534"/>
      <c r="BN768" s="534"/>
      <c r="BO768" s="534"/>
      <c r="BP768" s="534"/>
      <c r="BQ768" s="534"/>
      <c r="BR768" s="534"/>
      <c r="BS768" s="534"/>
      <c r="BT768" s="534"/>
      <c r="BU768" s="534"/>
      <c r="BV768" s="534"/>
      <c r="BW768" s="534"/>
      <c r="BX768" s="534"/>
      <c r="BY768" s="534"/>
      <c r="BZ768" s="534"/>
      <c r="CA768" s="534"/>
      <c r="CB768" s="534"/>
      <c r="CC768" s="534"/>
      <c r="CD768" s="534"/>
      <c r="CE768" s="534"/>
      <c r="CF768" s="534"/>
      <c r="CG768" s="534"/>
      <c r="CH768" s="534"/>
      <c r="CI768" s="534"/>
      <c r="CJ768" s="534"/>
      <c r="CK768" s="534"/>
      <c r="CL768" s="534"/>
      <c r="CM768" s="534"/>
      <c r="CN768" s="534"/>
      <c r="CO768" s="534"/>
      <c r="CP768" s="534"/>
      <c r="CQ768" s="534"/>
      <c r="CR768" s="534"/>
      <c r="CS768" s="534"/>
      <c r="CT768" s="534"/>
      <c r="CU768" s="534"/>
      <c r="CV768" s="534"/>
      <c r="CW768" s="534"/>
      <c r="CX768" s="534"/>
      <c r="CY768" s="534"/>
      <c r="CZ768" s="534"/>
      <c r="DA768" s="534"/>
      <c r="DB768" s="534"/>
      <c r="DC768" s="534"/>
      <c r="DD768" s="534"/>
      <c r="DE768" s="534"/>
      <c r="DF768" s="534"/>
      <c r="DG768" s="534"/>
      <c r="DH768" s="534"/>
      <c r="DI768" s="534"/>
      <c r="DJ768" s="534"/>
      <c r="DK768" s="534"/>
      <c r="DL768" s="534"/>
      <c r="DM768" s="534"/>
      <c r="DN768" s="534"/>
      <c r="DO768" s="534"/>
      <c r="DP768" s="534"/>
      <c r="DQ768" s="534"/>
      <c r="DR768" s="534"/>
      <c r="DS768" s="534"/>
      <c r="DT768" s="534"/>
      <c r="DU768" s="534"/>
      <c r="DV768" s="534"/>
      <c r="DW768" s="534"/>
      <c r="DX768" s="534"/>
      <c r="DY768" s="534"/>
      <c r="DZ768" s="534"/>
      <c r="EA768" s="534"/>
      <c r="EB768" s="534"/>
      <c r="EC768" s="534"/>
      <c r="ED768" s="534"/>
      <c r="EE768" s="534"/>
      <c r="EF768" s="534"/>
      <c r="EG768" s="534"/>
      <c r="EH768" s="534"/>
      <c r="EI768" s="534"/>
      <c r="EJ768" s="534"/>
      <c r="EK768" s="534"/>
      <c r="EL768" s="534"/>
      <c r="EM768" s="534"/>
      <c r="EN768" s="534"/>
      <c r="EO768" s="534"/>
      <c r="EP768" s="534"/>
      <c r="EQ768" s="534"/>
      <c r="ER768" s="534"/>
      <c r="ES768" s="534"/>
      <c r="ET768" s="534"/>
      <c r="EU768" s="534"/>
      <c r="EV768" s="534"/>
      <c r="EW768" s="534"/>
      <c r="EX768" s="534"/>
      <c r="EY768" s="534"/>
      <c r="EZ768" s="534"/>
      <c r="FA768" s="534"/>
      <c r="FB768" s="534"/>
      <c r="FC768" s="534"/>
      <c r="FD768" s="534"/>
      <c r="FE768" s="534"/>
      <c r="FF768" s="534"/>
      <c r="FG768" s="534"/>
      <c r="FH768" s="534"/>
      <c r="FI768" s="534"/>
      <c r="FJ768" s="534"/>
      <c r="FK768" s="534"/>
      <c r="FL768" s="534"/>
      <c r="FM768" s="534"/>
      <c r="FN768" s="534"/>
      <c r="FO768" s="534"/>
      <c r="FP768" s="534"/>
      <c r="FQ768" s="534"/>
      <c r="FR768" s="534"/>
      <c r="FS768" s="534"/>
      <c r="FT768" s="534"/>
      <c r="FU768" s="534"/>
      <c r="FV768" s="534"/>
      <c r="FW768" s="534"/>
      <c r="FX768" s="534"/>
      <c r="FY768" s="534"/>
      <c r="FZ768" s="534"/>
      <c r="GA768" s="534"/>
      <c r="GB768" s="534"/>
      <c r="GC768" s="534"/>
      <c r="GD768" s="534"/>
      <c r="GE768" s="534"/>
      <c r="GF768" s="534"/>
      <c r="GG768" s="534"/>
      <c r="GH768" s="534"/>
      <c r="GI768" s="534"/>
      <c r="GJ768" s="534"/>
      <c r="GK768" s="534"/>
      <c r="GL768" s="534"/>
      <c r="GM768" s="534"/>
      <c r="GN768" s="534"/>
      <c r="GO768" s="534"/>
      <c r="GP768" s="534"/>
      <c r="GQ768" s="534"/>
      <c r="GR768" s="534"/>
      <c r="GS768" s="534"/>
      <c r="GT768" s="534"/>
      <c r="GU768" s="534"/>
      <c r="GV768" s="534"/>
      <c r="GW768" s="534"/>
      <c r="GX768" s="534"/>
      <c r="GY768" s="534"/>
      <c r="GZ768" s="534"/>
      <c r="HA768" s="534"/>
      <c r="HB768" s="534"/>
      <c r="HC768" s="534"/>
    </row>
    <row r="769" spans="1:211" s="90" customFormat="1" hidden="1">
      <c r="A769" s="812">
        <f t="shared" ref="A769:A783" si="97">A768+1</f>
        <v>2</v>
      </c>
      <c r="B769" s="813" t="s">
        <v>967</v>
      </c>
      <c r="C769" s="814" t="s">
        <v>217</v>
      </c>
      <c r="D769" s="815">
        <f t="shared" si="95"/>
        <v>6375</v>
      </c>
      <c r="E769" s="816">
        <v>2550</v>
      </c>
      <c r="F769" s="815" t="s">
        <v>227</v>
      </c>
      <c r="G769" s="739">
        <v>1286</v>
      </c>
      <c r="H769" s="803">
        <v>5</v>
      </c>
      <c r="I769" s="803">
        <v>2</v>
      </c>
      <c r="J769" s="803">
        <v>144</v>
      </c>
      <c r="K769" s="812" t="s">
        <v>33</v>
      </c>
      <c r="L769" s="746">
        <f t="shared" si="96"/>
        <v>2821930.42</v>
      </c>
      <c r="M769" s="745">
        <v>2813523.66</v>
      </c>
      <c r="N769" s="802"/>
      <c r="O769" s="736">
        <v>8406.76</v>
      </c>
      <c r="P769" s="802"/>
      <c r="Q769" s="586"/>
      <c r="R769" s="803">
        <f>M769/G769</f>
        <v>2187.81</v>
      </c>
      <c r="S769" s="817"/>
      <c r="T769" s="817"/>
      <c r="U769" s="818"/>
      <c r="V769" s="589"/>
      <c r="W769" s="817"/>
      <c r="X769" s="817"/>
      <c r="Y769" s="817"/>
      <c r="Z769" s="817"/>
      <c r="AA769" s="534"/>
      <c r="AB769" s="534"/>
      <c r="AC769" s="534"/>
      <c r="AD769" s="534"/>
      <c r="AE769" s="534"/>
      <c r="AF769" s="534"/>
      <c r="AG769" s="534"/>
      <c r="AH769" s="534"/>
      <c r="AI769" s="534"/>
      <c r="AJ769" s="534"/>
      <c r="AK769" s="534"/>
      <c r="AL769" s="534"/>
      <c r="AM769" s="534"/>
      <c r="AN769" s="534"/>
      <c r="AO769" s="534"/>
      <c r="AP769" s="534"/>
      <c r="AQ769" s="534"/>
      <c r="AR769" s="534"/>
      <c r="AS769" s="534"/>
      <c r="AT769" s="534"/>
      <c r="AU769" s="534"/>
      <c r="AV769" s="534"/>
      <c r="AW769" s="534"/>
      <c r="AX769" s="534"/>
      <c r="AY769" s="534"/>
      <c r="AZ769" s="534"/>
      <c r="BA769" s="534"/>
      <c r="BB769" s="534"/>
      <c r="BC769" s="534"/>
      <c r="BD769" s="534"/>
      <c r="BE769" s="534"/>
      <c r="BF769" s="534"/>
      <c r="BG769" s="534"/>
      <c r="BH769" s="534"/>
      <c r="BI769" s="534"/>
      <c r="BJ769" s="534"/>
      <c r="BK769" s="534"/>
      <c r="BL769" s="534"/>
      <c r="BM769" s="534"/>
      <c r="BN769" s="534"/>
      <c r="BO769" s="534"/>
      <c r="BP769" s="534"/>
      <c r="BQ769" s="534"/>
      <c r="BR769" s="534"/>
      <c r="BS769" s="534"/>
      <c r="BT769" s="534"/>
      <c r="BU769" s="534"/>
      <c r="BV769" s="534"/>
      <c r="BW769" s="534"/>
      <c r="BX769" s="534"/>
      <c r="BY769" s="534"/>
      <c r="BZ769" s="534"/>
      <c r="CA769" s="534"/>
      <c r="CB769" s="534"/>
      <c r="CC769" s="534"/>
      <c r="CD769" s="534"/>
      <c r="CE769" s="534"/>
      <c r="CF769" s="534"/>
      <c r="CG769" s="534"/>
      <c r="CH769" s="534"/>
      <c r="CI769" s="534"/>
      <c r="CJ769" s="534"/>
      <c r="CK769" s="534"/>
      <c r="CL769" s="534"/>
      <c r="CM769" s="534"/>
      <c r="CN769" s="534"/>
      <c r="CO769" s="534"/>
      <c r="CP769" s="534"/>
      <c r="CQ769" s="534"/>
      <c r="CR769" s="534"/>
      <c r="CS769" s="534"/>
      <c r="CT769" s="534"/>
      <c r="CU769" s="534"/>
      <c r="CV769" s="534"/>
      <c r="CW769" s="534"/>
      <c r="CX769" s="534"/>
      <c r="CY769" s="534"/>
      <c r="CZ769" s="534"/>
      <c r="DA769" s="534"/>
      <c r="DB769" s="534"/>
      <c r="DC769" s="534"/>
      <c r="DD769" s="534"/>
      <c r="DE769" s="534"/>
      <c r="DF769" s="534"/>
      <c r="DG769" s="534"/>
      <c r="DH769" s="534"/>
      <c r="DI769" s="534"/>
      <c r="DJ769" s="534"/>
      <c r="DK769" s="534"/>
      <c r="DL769" s="534"/>
      <c r="DM769" s="534"/>
      <c r="DN769" s="534"/>
      <c r="DO769" s="534"/>
      <c r="DP769" s="534"/>
      <c r="DQ769" s="534"/>
      <c r="DR769" s="534"/>
      <c r="DS769" s="534"/>
      <c r="DT769" s="534"/>
      <c r="DU769" s="534"/>
      <c r="DV769" s="534"/>
      <c r="DW769" s="534"/>
      <c r="DX769" s="534"/>
      <c r="DY769" s="534"/>
      <c r="DZ769" s="534"/>
      <c r="EA769" s="534"/>
      <c r="EB769" s="534"/>
      <c r="EC769" s="534"/>
      <c r="ED769" s="534"/>
      <c r="EE769" s="534"/>
      <c r="EF769" s="534"/>
      <c r="EG769" s="534"/>
      <c r="EH769" s="534"/>
      <c r="EI769" s="534"/>
      <c r="EJ769" s="534"/>
      <c r="EK769" s="534"/>
      <c r="EL769" s="534"/>
      <c r="EM769" s="534"/>
      <c r="EN769" s="534"/>
      <c r="EO769" s="534"/>
      <c r="EP769" s="534"/>
      <c r="EQ769" s="534"/>
      <c r="ER769" s="534"/>
      <c r="ES769" s="534"/>
      <c r="ET769" s="534"/>
      <c r="EU769" s="534"/>
      <c r="EV769" s="534"/>
      <c r="EW769" s="534"/>
      <c r="EX769" s="534"/>
      <c r="EY769" s="534"/>
      <c r="EZ769" s="534"/>
      <c r="FA769" s="534"/>
      <c r="FB769" s="534"/>
      <c r="FC769" s="534"/>
      <c r="FD769" s="534"/>
      <c r="FE769" s="534"/>
      <c r="FF769" s="534"/>
      <c r="FG769" s="534"/>
      <c r="FH769" s="534"/>
      <c r="FI769" s="534"/>
      <c r="FJ769" s="534"/>
      <c r="FK769" s="534"/>
      <c r="FL769" s="534"/>
      <c r="FM769" s="534"/>
      <c r="FN769" s="534"/>
      <c r="FO769" s="534"/>
      <c r="FP769" s="534"/>
      <c r="FQ769" s="534"/>
      <c r="FR769" s="534"/>
      <c r="FS769" s="534"/>
      <c r="FT769" s="534"/>
      <c r="FU769" s="534"/>
      <c r="FV769" s="534"/>
      <c r="FW769" s="534"/>
      <c r="FX769" s="534"/>
      <c r="FY769" s="534"/>
      <c r="FZ769" s="534"/>
      <c r="GA769" s="534"/>
      <c r="GB769" s="534"/>
      <c r="GC769" s="534"/>
      <c r="GD769" s="534"/>
      <c r="GE769" s="534"/>
      <c r="GF769" s="534"/>
      <c r="GG769" s="534"/>
      <c r="GH769" s="534"/>
      <c r="GI769" s="534"/>
      <c r="GJ769" s="534"/>
      <c r="GK769" s="534"/>
      <c r="GL769" s="534"/>
      <c r="GM769" s="534"/>
      <c r="GN769" s="534"/>
      <c r="GO769" s="534"/>
      <c r="GP769" s="534"/>
      <c r="GQ769" s="534"/>
      <c r="GR769" s="534"/>
      <c r="GS769" s="534"/>
      <c r="GT769" s="534"/>
      <c r="GU769" s="534"/>
      <c r="GV769" s="534"/>
      <c r="GW769" s="534"/>
      <c r="GX769" s="534"/>
      <c r="GY769" s="534"/>
      <c r="GZ769" s="534"/>
      <c r="HA769" s="534"/>
      <c r="HB769" s="534"/>
      <c r="HC769" s="534"/>
    </row>
    <row r="770" spans="1:211" s="90" customFormat="1" ht="37.5" hidden="1">
      <c r="A770" s="812">
        <f t="shared" si="97"/>
        <v>3</v>
      </c>
      <c r="B770" s="813" t="s">
        <v>968</v>
      </c>
      <c r="C770" s="814" t="s">
        <v>217</v>
      </c>
      <c r="D770" s="815">
        <f t="shared" si="95"/>
        <v>5332.5</v>
      </c>
      <c r="E770" s="619">
        <f>(26.5+13)*2*3*9</f>
        <v>2133</v>
      </c>
      <c r="F770" s="819" t="s">
        <v>253</v>
      </c>
      <c r="G770" s="815">
        <v>924.8</v>
      </c>
      <c r="H770" s="819">
        <v>9</v>
      </c>
      <c r="I770" s="819">
        <v>2</v>
      </c>
      <c r="J770" s="819">
        <v>108</v>
      </c>
      <c r="K770" s="590" t="s">
        <v>219</v>
      </c>
      <c r="L770" s="746">
        <f t="shared" si="96"/>
        <v>1990000</v>
      </c>
      <c r="M770" s="596">
        <v>1990000</v>
      </c>
      <c r="N770" s="820"/>
      <c r="O770" s="587"/>
      <c r="P770" s="586"/>
      <c r="Q770" s="586"/>
      <c r="R770" s="582">
        <f>M770</f>
        <v>1990000</v>
      </c>
      <c r="S770" s="597">
        <v>85000</v>
      </c>
      <c r="T770" s="821" t="s">
        <v>254</v>
      </c>
      <c r="U770" s="818"/>
      <c r="V770" s="589"/>
      <c r="W770" s="817"/>
      <c r="X770" s="817"/>
      <c r="Y770" s="817"/>
      <c r="Z770" s="817"/>
      <c r="AA770" s="534"/>
      <c r="AB770" s="534"/>
      <c r="AC770" s="534"/>
      <c r="AD770" s="534"/>
      <c r="AE770" s="534"/>
      <c r="AF770" s="534"/>
      <c r="AG770" s="534"/>
      <c r="AH770" s="534"/>
      <c r="AI770" s="534"/>
      <c r="AJ770" s="534"/>
      <c r="AK770" s="534"/>
      <c r="AL770" s="534"/>
      <c r="AM770" s="534"/>
      <c r="AN770" s="534"/>
      <c r="AO770" s="534"/>
      <c r="AP770" s="534"/>
      <c r="AQ770" s="534"/>
      <c r="AR770" s="534"/>
      <c r="AS770" s="534"/>
      <c r="AT770" s="534"/>
      <c r="AU770" s="534"/>
      <c r="AV770" s="534"/>
      <c r="AW770" s="534"/>
      <c r="AX770" s="534"/>
      <c r="AY770" s="534"/>
      <c r="AZ770" s="534"/>
      <c r="BA770" s="534"/>
      <c r="BB770" s="534"/>
      <c r="BC770" s="534"/>
      <c r="BD770" s="534"/>
      <c r="BE770" s="534"/>
      <c r="BF770" s="534"/>
      <c r="BG770" s="534"/>
      <c r="BH770" s="534"/>
      <c r="BI770" s="534"/>
      <c r="BJ770" s="534"/>
      <c r="BK770" s="534"/>
      <c r="BL770" s="534"/>
      <c r="BM770" s="534"/>
      <c r="BN770" s="534"/>
      <c r="BO770" s="534"/>
      <c r="BP770" s="534"/>
      <c r="BQ770" s="534"/>
      <c r="BR770" s="534"/>
      <c r="BS770" s="534"/>
      <c r="BT770" s="534"/>
      <c r="BU770" s="534"/>
      <c r="BV770" s="534"/>
      <c r="BW770" s="534"/>
      <c r="BX770" s="534"/>
      <c r="BY770" s="534"/>
      <c r="BZ770" s="534"/>
      <c r="CA770" s="534"/>
      <c r="CB770" s="534"/>
      <c r="CC770" s="534"/>
      <c r="CD770" s="534"/>
      <c r="CE770" s="534"/>
      <c r="CF770" s="534"/>
      <c r="CG770" s="534"/>
      <c r="CH770" s="534"/>
      <c r="CI770" s="534"/>
      <c r="CJ770" s="534"/>
      <c r="CK770" s="534"/>
      <c r="CL770" s="534"/>
      <c r="CM770" s="534"/>
      <c r="CN770" s="534"/>
      <c r="CO770" s="534"/>
      <c r="CP770" s="534"/>
      <c r="CQ770" s="534"/>
      <c r="CR770" s="534"/>
      <c r="CS770" s="534"/>
      <c r="CT770" s="534"/>
      <c r="CU770" s="534"/>
      <c r="CV770" s="534"/>
      <c r="CW770" s="534"/>
      <c r="CX770" s="534"/>
      <c r="CY770" s="534"/>
      <c r="CZ770" s="534"/>
      <c r="DA770" s="534"/>
      <c r="DB770" s="534"/>
      <c r="DC770" s="534"/>
      <c r="DD770" s="534"/>
      <c r="DE770" s="534"/>
      <c r="DF770" s="534"/>
      <c r="DG770" s="534"/>
      <c r="DH770" s="534"/>
      <c r="DI770" s="534"/>
      <c r="DJ770" s="534"/>
      <c r="DK770" s="534"/>
      <c r="DL770" s="534"/>
      <c r="DM770" s="534"/>
      <c r="DN770" s="534"/>
      <c r="DO770" s="534"/>
      <c r="DP770" s="534"/>
      <c r="DQ770" s="534"/>
      <c r="DR770" s="534"/>
      <c r="DS770" s="534"/>
      <c r="DT770" s="534"/>
      <c r="DU770" s="534"/>
      <c r="DV770" s="534"/>
      <c r="DW770" s="534"/>
      <c r="DX770" s="534"/>
      <c r="DY770" s="534"/>
      <c r="DZ770" s="534"/>
      <c r="EA770" s="534"/>
      <c r="EB770" s="534"/>
      <c r="EC770" s="534"/>
      <c r="ED770" s="534"/>
      <c r="EE770" s="534"/>
      <c r="EF770" s="534"/>
      <c r="EG770" s="534"/>
      <c r="EH770" s="534"/>
      <c r="EI770" s="534"/>
      <c r="EJ770" s="534"/>
      <c r="EK770" s="534"/>
      <c r="EL770" s="534"/>
      <c r="EM770" s="534"/>
      <c r="EN770" s="534"/>
      <c r="EO770" s="534"/>
      <c r="EP770" s="534"/>
      <c r="EQ770" s="534"/>
      <c r="ER770" s="534"/>
      <c r="ES770" s="534"/>
      <c r="ET770" s="534"/>
      <c r="EU770" s="534"/>
      <c r="EV770" s="534"/>
      <c r="EW770" s="534"/>
      <c r="EX770" s="534"/>
      <c r="EY770" s="534"/>
      <c r="EZ770" s="534"/>
      <c r="FA770" s="534"/>
      <c r="FB770" s="534"/>
      <c r="FC770" s="534"/>
      <c r="FD770" s="534"/>
      <c r="FE770" s="534"/>
      <c r="FF770" s="534"/>
      <c r="FG770" s="534"/>
      <c r="FH770" s="534"/>
      <c r="FI770" s="534"/>
      <c r="FJ770" s="534"/>
      <c r="FK770" s="534"/>
      <c r="FL770" s="534"/>
      <c r="FM770" s="534"/>
      <c r="FN770" s="534"/>
      <c r="FO770" s="534"/>
      <c r="FP770" s="534"/>
      <c r="FQ770" s="534"/>
      <c r="FR770" s="534"/>
      <c r="FS770" s="534"/>
      <c r="FT770" s="534"/>
      <c r="FU770" s="534"/>
      <c r="FV770" s="534"/>
      <c r="FW770" s="534"/>
      <c r="FX770" s="534"/>
      <c r="FY770" s="534"/>
      <c r="FZ770" s="534"/>
      <c r="GA770" s="534"/>
      <c r="GB770" s="534"/>
      <c r="GC770" s="534"/>
      <c r="GD770" s="534"/>
      <c r="GE770" s="534"/>
      <c r="GF770" s="534"/>
      <c r="GG770" s="534"/>
      <c r="GH770" s="534"/>
      <c r="GI770" s="534"/>
      <c r="GJ770" s="534"/>
      <c r="GK770" s="534"/>
      <c r="GL770" s="534"/>
      <c r="GM770" s="534"/>
      <c r="GN770" s="534"/>
      <c r="GO770" s="534"/>
      <c r="GP770" s="534"/>
      <c r="GQ770" s="534"/>
      <c r="GR770" s="534"/>
      <c r="GS770" s="534"/>
      <c r="GT770" s="534"/>
      <c r="GU770" s="534"/>
      <c r="GV770" s="534"/>
      <c r="GW770" s="534"/>
      <c r="GX770" s="534"/>
      <c r="GY770" s="534"/>
      <c r="GZ770" s="534"/>
      <c r="HA770" s="534"/>
      <c r="HB770" s="534"/>
      <c r="HC770" s="534"/>
    </row>
    <row r="771" spans="1:211" s="90" customFormat="1" hidden="1">
      <c r="A771" s="812">
        <f t="shared" si="97"/>
        <v>4</v>
      </c>
      <c r="B771" s="813" t="s">
        <v>969</v>
      </c>
      <c r="C771" s="814" t="s">
        <v>221</v>
      </c>
      <c r="D771" s="815">
        <f t="shared" si="95"/>
        <v>6547.5</v>
      </c>
      <c r="E771" s="816">
        <v>2619</v>
      </c>
      <c r="F771" s="815" t="s">
        <v>227</v>
      </c>
      <c r="G771" s="739">
        <v>690</v>
      </c>
      <c r="H771" s="803">
        <v>9</v>
      </c>
      <c r="I771" s="803">
        <v>2</v>
      </c>
      <c r="J771" s="803">
        <v>108</v>
      </c>
      <c r="K771" s="812" t="s">
        <v>33</v>
      </c>
      <c r="L771" s="746">
        <f t="shared" si="96"/>
        <v>1521013.23</v>
      </c>
      <c r="M771" s="745">
        <v>1516482</v>
      </c>
      <c r="N771" s="802"/>
      <c r="O771" s="736">
        <v>4531.2299999999996</v>
      </c>
      <c r="P771" s="802"/>
      <c r="Q771" s="586"/>
      <c r="R771" s="803">
        <f>M771/G771</f>
        <v>2197.8000000000002</v>
      </c>
      <c r="S771" s="817"/>
      <c r="T771" s="817"/>
      <c r="U771" s="818"/>
      <c r="V771" s="589"/>
      <c r="W771" s="817"/>
      <c r="X771" s="817"/>
      <c r="Y771" s="817"/>
      <c r="Z771" s="817"/>
      <c r="AA771" s="534"/>
      <c r="AB771" s="534"/>
      <c r="AC771" s="534"/>
      <c r="AD771" s="534"/>
      <c r="AE771" s="534"/>
      <c r="AF771" s="534"/>
      <c r="AG771" s="534"/>
      <c r="AH771" s="534"/>
      <c r="AI771" s="534"/>
      <c r="AJ771" s="534"/>
      <c r="AK771" s="534"/>
      <c r="AL771" s="534"/>
      <c r="AM771" s="534"/>
      <c r="AN771" s="534"/>
      <c r="AO771" s="534"/>
      <c r="AP771" s="534"/>
      <c r="AQ771" s="534"/>
      <c r="AR771" s="534"/>
      <c r="AS771" s="534"/>
      <c r="AT771" s="534"/>
      <c r="AU771" s="534"/>
      <c r="AV771" s="534"/>
      <c r="AW771" s="534"/>
      <c r="AX771" s="534"/>
      <c r="AY771" s="534"/>
      <c r="AZ771" s="534"/>
      <c r="BA771" s="534"/>
      <c r="BB771" s="534"/>
      <c r="BC771" s="534"/>
      <c r="BD771" s="534"/>
      <c r="BE771" s="534"/>
      <c r="BF771" s="534"/>
      <c r="BG771" s="534"/>
      <c r="BH771" s="534"/>
      <c r="BI771" s="534"/>
      <c r="BJ771" s="534"/>
      <c r="BK771" s="534"/>
      <c r="BL771" s="534"/>
      <c r="BM771" s="534"/>
      <c r="BN771" s="534"/>
      <c r="BO771" s="534"/>
      <c r="BP771" s="534"/>
      <c r="BQ771" s="534"/>
      <c r="BR771" s="534"/>
      <c r="BS771" s="534"/>
      <c r="BT771" s="534"/>
      <c r="BU771" s="534"/>
      <c r="BV771" s="534"/>
      <c r="BW771" s="534"/>
      <c r="BX771" s="534"/>
      <c r="BY771" s="534"/>
      <c r="BZ771" s="534"/>
      <c r="CA771" s="534"/>
      <c r="CB771" s="534"/>
      <c r="CC771" s="534"/>
      <c r="CD771" s="534"/>
      <c r="CE771" s="534"/>
      <c r="CF771" s="534"/>
      <c r="CG771" s="534"/>
      <c r="CH771" s="534"/>
      <c r="CI771" s="534"/>
      <c r="CJ771" s="534"/>
      <c r="CK771" s="534"/>
      <c r="CL771" s="534"/>
      <c r="CM771" s="534"/>
      <c r="CN771" s="534"/>
      <c r="CO771" s="534"/>
      <c r="CP771" s="534"/>
      <c r="CQ771" s="534"/>
      <c r="CR771" s="534"/>
      <c r="CS771" s="534"/>
      <c r="CT771" s="534"/>
      <c r="CU771" s="534"/>
      <c r="CV771" s="534"/>
      <c r="CW771" s="534"/>
      <c r="CX771" s="534"/>
      <c r="CY771" s="534"/>
      <c r="CZ771" s="534"/>
      <c r="DA771" s="534"/>
      <c r="DB771" s="534"/>
      <c r="DC771" s="534"/>
      <c r="DD771" s="534"/>
      <c r="DE771" s="534"/>
      <c r="DF771" s="534"/>
      <c r="DG771" s="534"/>
      <c r="DH771" s="534"/>
      <c r="DI771" s="534"/>
      <c r="DJ771" s="534"/>
      <c r="DK771" s="534"/>
      <c r="DL771" s="534"/>
      <c r="DM771" s="534"/>
      <c r="DN771" s="534"/>
      <c r="DO771" s="534"/>
      <c r="DP771" s="534"/>
      <c r="DQ771" s="534"/>
      <c r="DR771" s="534"/>
      <c r="DS771" s="534"/>
      <c r="DT771" s="534"/>
      <c r="DU771" s="534"/>
      <c r="DV771" s="534"/>
      <c r="DW771" s="534"/>
      <c r="DX771" s="534"/>
      <c r="DY771" s="534"/>
      <c r="DZ771" s="534"/>
      <c r="EA771" s="534"/>
      <c r="EB771" s="534"/>
      <c r="EC771" s="534"/>
      <c r="ED771" s="534"/>
      <c r="EE771" s="534"/>
      <c r="EF771" s="534"/>
      <c r="EG771" s="534"/>
      <c r="EH771" s="534"/>
      <c r="EI771" s="534"/>
      <c r="EJ771" s="534"/>
      <c r="EK771" s="534"/>
      <c r="EL771" s="534"/>
      <c r="EM771" s="534"/>
      <c r="EN771" s="534"/>
      <c r="EO771" s="534"/>
      <c r="EP771" s="534"/>
      <c r="EQ771" s="534"/>
      <c r="ER771" s="534"/>
      <c r="ES771" s="534"/>
      <c r="ET771" s="534"/>
      <c r="EU771" s="534"/>
      <c r="EV771" s="534"/>
      <c r="EW771" s="534"/>
      <c r="EX771" s="534"/>
      <c r="EY771" s="534"/>
      <c r="EZ771" s="534"/>
      <c r="FA771" s="534"/>
      <c r="FB771" s="534"/>
      <c r="FC771" s="534"/>
      <c r="FD771" s="534"/>
      <c r="FE771" s="534"/>
      <c r="FF771" s="534"/>
      <c r="FG771" s="534"/>
      <c r="FH771" s="534"/>
      <c r="FI771" s="534"/>
      <c r="FJ771" s="534"/>
      <c r="FK771" s="534"/>
      <c r="FL771" s="534"/>
      <c r="FM771" s="534"/>
      <c r="FN771" s="534"/>
      <c r="FO771" s="534"/>
      <c r="FP771" s="534"/>
      <c r="FQ771" s="534"/>
      <c r="FR771" s="534"/>
      <c r="FS771" s="534"/>
      <c r="FT771" s="534"/>
      <c r="FU771" s="534"/>
      <c r="FV771" s="534"/>
      <c r="FW771" s="534"/>
      <c r="FX771" s="534"/>
      <c r="FY771" s="534"/>
      <c r="FZ771" s="534"/>
      <c r="GA771" s="534"/>
      <c r="GB771" s="534"/>
      <c r="GC771" s="534"/>
      <c r="GD771" s="534"/>
      <c r="GE771" s="534"/>
      <c r="GF771" s="534"/>
      <c r="GG771" s="534"/>
      <c r="GH771" s="534"/>
      <c r="GI771" s="534"/>
      <c r="GJ771" s="534"/>
      <c r="GK771" s="534"/>
      <c r="GL771" s="534"/>
      <c r="GM771" s="534"/>
      <c r="GN771" s="534"/>
      <c r="GO771" s="534"/>
      <c r="GP771" s="534"/>
      <c r="GQ771" s="534"/>
      <c r="GR771" s="534"/>
      <c r="GS771" s="534"/>
      <c r="GT771" s="534"/>
      <c r="GU771" s="534"/>
      <c r="GV771" s="534"/>
      <c r="GW771" s="534"/>
      <c r="GX771" s="534"/>
      <c r="GY771" s="534"/>
      <c r="GZ771" s="534"/>
      <c r="HA771" s="534"/>
      <c r="HB771" s="534"/>
      <c r="HC771" s="534"/>
    </row>
    <row r="772" spans="1:211" s="90" customFormat="1" ht="37.5" hidden="1">
      <c r="A772" s="812">
        <f t="shared" si="97"/>
        <v>5</v>
      </c>
      <c r="B772" s="813" t="s">
        <v>970</v>
      </c>
      <c r="C772" s="814" t="s">
        <v>217</v>
      </c>
      <c r="D772" s="815">
        <f t="shared" si="95"/>
        <v>5400</v>
      </c>
      <c r="E772" s="619">
        <f>(27+13)*2*3*9</f>
        <v>2160</v>
      </c>
      <c r="F772" s="819" t="s">
        <v>253</v>
      </c>
      <c r="G772" s="815">
        <v>938.7</v>
      </c>
      <c r="H772" s="819">
        <v>9</v>
      </c>
      <c r="I772" s="819">
        <v>2</v>
      </c>
      <c r="J772" s="819">
        <v>144</v>
      </c>
      <c r="K772" s="590" t="s">
        <v>219</v>
      </c>
      <c r="L772" s="584">
        <f t="shared" si="96"/>
        <v>3980000</v>
      </c>
      <c r="M772" s="596">
        <v>3980000</v>
      </c>
      <c r="N772" s="597"/>
      <c r="O772" s="587"/>
      <c r="P772" s="586"/>
      <c r="Q772" s="586"/>
      <c r="R772" s="582">
        <f>M772/I772</f>
        <v>1990000</v>
      </c>
      <c r="S772" s="597">
        <v>85000</v>
      </c>
      <c r="T772" s="821" t="s">
        <v>254</v>
      </c>
      <c r="U772" s="818"/>
      <c r="V772" s="589"/>
      <c r="W772" s="817"/>
      <c r="X772" s="817"/>
      <c r="Y772" s="817"/>
      <c r="Z772" s="817"/>
      <c r="AA772" s="534"/>
      <c r="AB772" s="534"/>
      <c r="AC772" s="534"/>
      <c r="AD772" s="534"/>
      <c r="AE772" s="534"/>
      <c r="AF772" s="534"/>
      <c r="AG772" s="534"/>
      <c r="AH772" s="534"/>
      <c r="AI772" s="534"/>
      <c r="AJ772" s="534"/>
      <c r="AK772" s="534"/>
      <c r="AL772" s="534"/>
      <c r="AM772" s="534"/>
      <c r="AN772" s="534"/>
      <c r="AO772" s="534"/>
      <c r="AP772" s="534"/>
      <c r="AQ772" s="534"/>
      <c r="AR772" s="534"/>
      <c r="AS772" s="534"/>
      <c r="AT772" s="534"/>
      <c r="AU772" s="534"/>
      <c r="AV772" s="534"/>
      <c r="AW772" s="534"/>
      <c r="AX772" s="534"/>
      <c r="AY772" s="534"/>
      <c r="AZ772" s="534"/>
      <c r="BA772" s="534"/>
      <c r="BB772" s="534"/>
      <c r="BC772" s="534"/>
      <c r="BD772" s="534"/>
      <c r="BE772" s="534"/>
      <c r="BF772" s="534"/>
      <c r="BG772" s="534"/>
      <c r="BH772" s="534"/>
      <c r="BI772" s="534"/>
      <c r="BJ772" s="534"/>
      <c r="BK772" s="534"/>
      <c r="BL772" s="534"/>
      <c r="BM772" s="534"/>
      <c r="BN772" s="534"/>
      <c r="BO772" s="534"/>
      <c r="BP772" s="534"/>
      <c r="BQ772" s="534"/>
      <c r="BR772" s="534"/>
      <c r="BS772" s="534"/>
      <c r="BT772" s="534"/>
      <c r="BU772" s="534"/>
      <c r="BV772" s="534"/>
      <c r="BW772" s="534"/>
      <c r="BX772" s="534"/>
      <c r="BY772" s="534"/>
      <c r="BZ772" s="534"/>
      <c r="CA772" s="534"/>
      <c r="CB772" s="534"/>
      <c r="CC772" s="534"/>
      <c r="CD772" s="534"/>
      <c r="CE772" s="534"/>
      <c r="CF772" s="534"/>
      <c r="CG772" s="534"/>
      <c r="CH772" s="534"/>
      <c r="CI772" s="534"/>
      <c r="CJ772" s="534"/>
      <c r="CK772" s="534"/>
      <c r="CL772" s="534"/>
      <c r="CM772" s="534"/>
      <c r="CN772" s="534"/>
      <c r="CO772" s="534"/>
      <c r="CP772" s="534"/>
      <c r="CQ772" s="534"/>
      <c r="CR772" s="534"/>
      <c r="CS772" s="534"/>
      <c r="CT772" s="534"/>
      <c r="CU772" s="534"/>
      <c r="CV772" s="534"/>
      <c r="CW772" s="534"/>
      <c r="CX772" s="534"/>
      <c r="CY772" s="534"/>
      <c r="CZ772" s="534"/>
      <c r="DA772" s="534"/>
      <c r="DB772" s="534"/>
      <c r="DC772" s="534"/>
      <c r="DD772" s="534"/>
      <c r="DE772" s="534"/>
      <c r="DF772" s="534"/>
      <c r="DG772" s="534"/>
      <c r="DH772" s="534"/>
      <c r="DI772" s="534"/>
      <c r="DJ772" s="534"/>
      <c r="DK772" s="534"/>
      <c r="DL772" s="534"/>
      <c r="DM772" s="534"/>
      <c r="DN772" s="534"/>
      <c r="DO772" s="534"/>
      <c r="DP772" s="534"/>
      <c r="DQ772" s="534"/>
      <c r="DR772" s="534"/>
      <c r="DS772" s="534"/>
      <c r="DT772" s="534"/>
      <c r="DU772" s="534"/>
      <c r="DV772" s="534"/>
      <c r="DW772" s="534"/>
      <c r="DX772" s="534"/>
      <c r="DY772" s="534"/>
      <c r="DZ772" s="534"/>
      <c r="EA772" s="534"/>
      <c r="EB772" s="534"/>
      <c r="EC772" s="534"/>
      <c r="ED772" s="534"/>
      <c r="EE772" s="534"/>
      <c r="EF772" s="534"/>
      <c r="EG772" s="534"/>
      <c r="EH772" s="534"/>
      <c r="EI772" s="534"/>
      <c r="EJ772" s="534"/>
      <c r="EK772" s="534"/>
      <c r="EL772" s="534"/>
      <c r="EM772" s="534"/>
      <c r="EN772" s="534"/>
      <c r="EO772" s="534"/>
      <c r="EP772" s="534"/>
      <c r="EQ772" s="534"/>
      <c r="ER772" s="534"/>
      <c r="ES772" s="534"/>
      <c r="ET772" s="534"/>
      <c r="EU772" s="534"/>
      <c r="EV772" s="534"/>
      <c r="EW772" s="534"/>
      <c r="EX772" s="534"/>
      <c r="EY772" s="534"/>
      <c r="EZ772" s="534"/>
      <c r="FA772" s="534"/>
      <c r="FB772" s="534"/>
      <c r="FC772" s="534"/>
      <c r="FD772" s="534"/>
      <c r="FE772" s="534"/>
      <c r="FF772" s="534"/>
      <c r="FG772" s="534"/>
      <c r="FH772" s="534"/>
      <c r="FI772" s="534"/>
      <c r="FJ772" s="534"/>
      <c r="FK772" s="534"/>
      <c r="FL772" s="534"/>
      <c r="FM772" s="534"/>
      <c r="FN772" s="534"/>
      <c r="FO772" s="534"/>
      <c r="FP772" s="534"/>
      <c r="FQ772" s="534"/>
      <c r="FR772" s="534"/>
      <c r="FS772" s="534"/>
      <c r="FT772" s="534"/>
      <c r="FU772" s="534"/>
      <c r="FV772" s="534"/>
      <c r="FW772" s="534"/>
      <c r="FX772" s="534"/>
      <c r="FY772" s="534"/>
      <c r="FZ772" s="534"/>
      <c r="GA772" s="534"/>
      <c r="GB772" s="534"/>
      <c r="GC772" s="534"/>
      <c r="GD772" s="534"/>
      <c r="GE772" s="534"/>
      <c r="GF772" s="534"/>
      <c r="GG772" s="534"/>
      <c r="GH772" s="534"/>
      <c r="GI772" s="534"/>
      <c r="GJ772" s="534"/>
      <c r="GK772" s="534"/>
      <c r="GL772" s="534"/>
      <c r="GM772" s="534"/>
      <c r="GN772" s="534"/>
      <c r="GO772" s="534"/>
      <c r="GP772" s="534"/>
      <c r="GQ772" s="534"/>
      <c r="GR772" s="534"/>
      <c r="GS772" s="534"/>
      <c r="GT772" s="534"/>
      <c r="GU772" s="534"/>
      <c r="GV772" s="534"/>
      <c r="GW772" s="534"/>
      <c r="GX772" s="534"/>
      <c r="GY772" s="534"/>
      <c r="GZ772" s="534"/>
      <c r="HA772" s="534"/>
      <c r="HB772" s="534"/>
      <c r="HC772" s="534"/>
    </row>
    <row r="773" spans="1:211" s="90" customFormat="1" hidden="1">
      <c r="A773" s="812">
        <f t="shared" si="97"/>
        <v>6</v>
      </c>
      <c r="B773" s="813" t="s">
        <v>971</v>
      </c>
      <c r="C773" s="814" t="s">
        <v>221</v>
      </c>
      <c r="D773" s="815">
        <f t="shared" si="95"/>
        <v>1130</v>
      </c>
      <c r="E773" s="816">
        <v>452</v>
      </c>
      <c r="F773" s="815" t="s">
        <v>222</v>
      </c>
      <c r="G773" s="739">
        <v>650</v>
      </c>
      <c r="H773" s="803">
        <v>2</v>
      </c>
      <c r="I773" s="803">
        <v>2</v>
      </c>
      <c r="J773" s="803">
        <v>16</v>
      </c>
      <c r="K773" s="812" t="s">
        <v>33</v>
      </c>
      <c r="L773" s="746">
        <f t="shared" si="96"/>
        <v>1515907.58</v>
      </c>
      <c r="M773" s="745">
        <v>1493505</v>
      </c>
      <c r="N773" s="802">
        <v>22402.58</v>
      </c>
      <c r="O773" s="822"/>
      <c r="P773" s="802"/>
      <c r="Q773" s="586"/>
      <c r="R773" s="803">
        <f t="shared" ref="R773:R781" si="98">M773/G773</f>
        <v>2297.6999999999998</v>
      </c>
      <c r="S773" s="817"/>
      <c r="T773" s="817"/>
      <c r="U773" s="818"/>
      <c r="V773" s="589"/>
      <c r="W773" s="817"/>
      <c r="X773" s="817"/>
      <c r="Y773" s="817"/>
      <c r="Z773" s="817"/>
      <c r="AA773" s="534"/>
      <c r="AB773" s="534"/>
      <c r="AC773" s="534"/>
      <c r="AD773" s="534"/>
      <c r="AE773" s="534"/>
      <c r="AF773" s="534"/>
      <c r="AG773" s="534"/>
      <c r="AH773" s="534"/>
      <c r="AI773" s="534"/>
      <c r="AJ773" s="534"/>
      <c r="AK773" s="534"/>
      <c r="AL773" s="534"/>
      <c r="AM773" s="534"/>
      <c r="AN773" s="534"/>
      <c r="AO773" s="534"/>
      <c r="AP773" s="534"/>
      <c r="AQ773" s="534"/>
      <c r="AR773" s="534"/>
      <c r="AS773" s="534"/>
      <c r="AT773" s="534"/>
      <c r="AU773" s="534"/>
      <c r="AV773" s="534"/>
      <c r="AW773" s="534"/>
      <c r="AX773" s="534"/>
      <c r="AY773" s="534"/>
      <c r="AZ773" s="534"/>
      <c r="BA773" s="534"/>
      <c r="BB773" s="534"/>
      <c r="BC773" s="534"/>
      <c r="BD773" s="534"/>
      <c r="BE773" s="534"/>
      <c r="BF773" s="534"/>
      <c r="BG773" s="534"/>
      <c r="BH773" s="534"/>
      <c r="BI773" s="534"/>
      <c r="BJ773" s="534"/>
      <c r="BK773" s="534"/>
      <c r="BL773" s="534"/>
      <c r="BM773" s="534"/>
      <c r="BN773" s="534"/>
      <c r="BO773" s="534"/>
      <c r="BP773" s="534"/>
      <c r="BQ773" s="534"/>
      <c r="BR773" s="534"/>
      <c r="BS773" s="534"/>
      <c r="BT773" s="534"/>
      <c r="BU773" s="534"/>
      <c r="BV773" s="534"/>
      <c r="BW773" s="534"/>
      <c r="BX773" s="534"/>
      <c r="BY773" s="534"/>
      <c r="BZ773" s="534"/>
      <c r="CA773" s="534"/>
      <c r="CB773" s="534"/>
      <c r="CC773" s="534"/>
      <c r="CD773" s="534"/>
      <c r="CE773" s="534"/>
      <c r="CF773" s="534"/>
      <c r="CG773" s="534"/>
      <c r="CH773" s="534"/>
      <c r="CI773" s="534"/>
      <c r="CJ773" s="534"/>
      <c r="CK773" s="534"/>
      <c r="CL773" s="534"/>
      <c r="CM773" s="534"/>
      <c r="CN773" s="534"/>
      <c r="CO773" s="534"/>
      <c r="CP773" s="534"/>
      <c r="CQ773" s="534"/>
      <c r="CR773" s="534"/>
      <c r="CS773" s="534"/>
      <c r="CT773" s="534"/>
      <c r="CU773" s="534"/>
      <c r="CV773" s="534"/>
      <c r="CW773" s="534"/>
      <c r="CX773" s="534"/>
      <c r="CY773" s="534"/>
      <c r="CZ773" s="534"/>
      <c r="DA773" s="534"/>
      <c r="DB773" s="534"/>
      <c r="DC773" s="534"/>
      <c r="DD773" s="534"/>
      <c r="DE773" s="534"/>
      <c r="DF773" s="534"/>
      <c r="DG773" s="534"/>
      <c r="DH773" s="534"/>
      <c r="DI773" s="534"/>
      <c r="DJ773" s="534"/>
      <c r="DK773" s="534"/>
      <c r="DL773" s="534"/>
      <c r="DM773" s="534"/>
      <c r="DN773" s="534"/>
      <c r="DO773" s="534"/>
      <c r="DP773" s="534"/>
      <c r="DQ773" s="534"/>
      <c r="DR773" s="534"/>
      <c r="DS773" s="534"/>
      <c r="DT773" s="534"/>
      <c r="DU773" s="534"/>
      <c r="DV773" s="534"/>
      <c r="DW773" s="534"/>
      <c r="DX773" s="534"/>
      <c r="DY773" s="534"/>
      <c r="DZ773" s="534"/>
      <c r="EA773" s="534"/>
      <c r="EB773" s="534"/>
      <c r="EC773" s="534"/>
      <c r="ED773" s="534"/>
      <c r="EE773" s="534"/>
      <c r="EF773" s="534"/>
      <c r="EG773" s="534"/>
      <c r="EH773" s="534"/>
      <c r="EI773" s="534"/>
      <c r="EJ773" s="534"/>
      <c r="EK773" s="534"/>
      <c r="EL773" s="534"/>
      <c r="EM773" s="534"/>
      <c r="EN773" s="534"/>
      <c r="EO773" s="534"/>
      <c r="EP773" s="534"/>
      <c r="EQ773" s="534"/>
      <c r="ER773" s="534"/>
      <c r="ES773" s="534"/>
      <c r="ET773" s="534"/>
      <c r="EU773" s="534"/>
      <c r="EV773" s="534"/>
      <c r="EW773" s="534"/>
      <c r="EX773" s="534"/>
      <c r="EY773" s="534"/>
      <c r="EZ773" s="534"/>
      <c r="FA773" s="534"/>
      <c r="FB773" s="534"/>
      <c r="FC773" s="534"/>
      <c r="FD773" s="534"/>
      <c r="FE773" s="534"/>
      <c r="FF773" s="534"/>
      <c r="FG773" s="534"/>
      <c r="FH773" s="534"/>
      <c r="FI773" s="534"/>
      <c r="FJ773" s="534"/>
      <c r="FK773" s="534"/>
      <c r="FL773" s="534"/>
      <c r="FM773" s="534"/>
      <c r="FN773" s="534"/>
      <c r="FO773" s="534"/>
      <c r="FP773" s="534"/>
      <c r="FQ773" s="534"/>
      <c r="FR773" s="534"/>
      <c r="FS773" s="534"/>
      <c r="FT773" s="534"/>
      <c r="FU773" s="534"/>
      <c r="FV773" s="534"/>
      <c r="FW773" s="534"/>
      <c r="FX773" s="534"/>
      <c r="FY773" s="534"/>
      <c r="FZ773" s="534"/>
      <c r="GA773" s="534"/>
      <c r="GB773" s="534"/>
      <c r="GC773" s="534"/>
      <c r="GD773" s="534"/>
      <c r="GE773" s="534"/>
      <c r="GF773" s="534"/>
      <c r="GG773" s="534"/>
      <c r="GH773" s="534"/>
      <c r="GI773" s="534"/>
      <c r="GJ773" s="534"/>
      <c r="GK773" s="534"/>
      <c r="GL773" s="534"/>
      <c r="GM773" s="534"/>
      <c r="GN773" s="534"/>
      <c r="GO773" s="534"/>
      <c r="GP773" s="534"/>
      <c r="GQ773" s="534"/>
      <c r="GR773" s="534"/>
      <c r="GS773" s="534"/>
      <c r="GT773" s="534"/>
      <c r="GU773" s="534"/>
      <c r="GV773" s="534"/>
      <c r="GW773" s="534"/>
      <c r="GX773" s="534"/>
      <c r="GY773" s="534"/>
      <c r="GZ773" s="534"/>
      <c r="HA773" s="534"/>
      <c r="HB773" s="534"/>
      <c r="HC773" s="534"/>
    </row>
    <row r="774" spans="1:211" s="90" customFormat="1" hidden="1">
      <c r="A774" s="812">
        <f t="shared" si="97"/>
        <v>7</v>
      </c>
      <c r="B774" s="813" t="s">
        <v>972</v>
      </c>
      <c r="C774" s="814" t="s">
        <v>221</v>
      </c>
      <c r="D774" s="815">
        <f t="shared" si="95"/>
        <v>1650</v>
      </c>
      <c r="E774" s="815">
        <v>660</v>
      </c>
      <c r="F774" s="815" t="s">
        <v>222</v>
      </c>
      <c r="G774" s="815">
        <v>730</v>
      </c>
      <c r="H774" s="819">
        <v>2</v>
      </c>
      <c r="I774" s="819">
        <v>2</v>
      </c>
      <c r="J774" s="819">
        <v>12</v>
      </c>
      <c r="K774" s="812" t="s">
        <v>33</v>
      </c>
      <c r="L774" s="746">
        <f t="shared" si="96"/>
        <v>1387014.04</v>
      </c>
      <c r="M774" s="745">
        <v>1361854.22</v>
      </c>
      <c r="N774" s="802">
        <v>25159.82</v>
      </c>
      <c r="O774" s="809"/>
      <c r="P774" s="747"/>
      <c r="Q774" s="586"/>
      <c r="R774" s="803">
        <f t="shared" si="98"/>
        <v>1865.5537260273973</v>
      </c>
      <c r="S774" s="817"/>
      <c r="T774" s="817"/>
      <c r="U774" s="818"/>
      <c r="V774" s="589"/>
      <c r="W774" s="817"/>
      <c r="X774" s="817"/>
      <c r="Y774" s="817"/>
      <c r="Z774" s="817"/>
      <c r="AA774" s="534"/>
      <c r="AB774" s="534"/>
      <c r="AC774" s="534"/>
      <c r="AD774" s="534"/>
      <c r="AE774" s="534"/>
      <c r="AF774" s="534"/>
      <c r="AG774" s="534"/>
      <c r="AH774" s="534"/>
      <c r="AI774" s="534"/>
      <c r="AJ774" s="534"/>
      <c r="AK774" s="534"/>
      <c r="AL774" s="534"/>
      <c r="AM774" s="534"/>
      <c r="AN774" s="534"/>
      <c r="AO774" s="534"/>
      <c r="AP774" s="534"/>
      <c r="AQ774" s="534"/>
      <c r="AR774" s="534"/>
      <c r="AS774" s="534"/>
      <c r="AT774" s="534"/>
      <c r="AU774" s="534"/>
      <c r="AV774" s="534"/>
      <c r="AW774" s="534"/>
      <c r="AX774" s="534"/>
      <c r="AY774" s="534"/>
      <c r="AZ774" s="534"/>
      <c r="BA774" s="534"/>
      <c r="BB774" s="534"/>
      <c r="BC774" s="534"/>
      <c r="BD774" s="534"/>
      <c r="BE774" s="534"/>
      <c r="BF774" s="534"/>
      <c r="BG774" s="534"/>
      <c r="BH774" s="534"/>
      <c r="BI774" s="534"/>
      <c r="BJ774" s="534"/>
      <c r="BK774" s="534"/>
      <c r="BL774" s="534"/>
      <c r="BM774" s="534"/>
      <c r="BN774" s="534"/>
      <c r="BO774" s="534"/>
      <c r="BP774" s="534"/>
      <c r="BQ774" s="534"/>
      <c r="BR774" s="534"/>
      <c r="BS774" s="534"/>
      <c r="BT774" s="534"/>
      <c r="BU774" s="534"/>
      <c r="BV774" s="534"/>
      <c r="BW774" s="534"/>
      <c r="BX774" s="534"/>
      <c r="BY774" s="534"/>
      <c r="BZ774" s="534"/>
      <c r="CA774" s="534"/>
      <c r="CB774" s="534"/>
      <c r="CC774" s="534"/>
      <c r="CD774" s="534"/>
      <c r="CE774" s="534"/>
      <c r="CF774" s="534"/>
      <c r="CG774" s="534"/>
      <c r="CH774" s="534"/>
      <c r="CI774" s="534"/>
      <c r="CJ774" s="534"/>
      <c r="CK774" s="534"/>
      <c r="CL774" s="534"/>
      <c r="CM774" s="534"/>
      <c r="CN774" s="534"/>
      <c r="CO774" s="534"/>
      <c r="CP774" s="534"/>
      <c r="CQ774" s="534"/>
      <c r="CR774" s="534"/>
      <c r="CS774" s="534"/>
      <c r="CT774" s="534"/>
      <c r="CU774" s="534"/>
      <c r="CV774" s="534"/>
      <c r="CW774" s="534"/>
      <c r="CX774" s="534"/>
      <c r="CY774" s="534"/>
      <c r="CZ774" s="534"/>
      <c r="DA774" s="534"/>
      <c r="DB774" s="534"/>
      <c r="DC774" s="534"/>
      <c r="DD774" s="534"/>
      <c r="DE774" s="534"/>
      <c r="DF774" s="534"/>
      <c r="DG774" s="534"/>
      <c r="DH774" s="534"/>
      <c r="DI774" s="534"/>
      <c r="DJ774" s="534"/>
      <c r="DK774" s="534"/>
      <c r="DL774" s="534"/>
      <c r="DM774" s="534"/>
      <c r="DN774" s="534"/>
      <c r="DO774" s="534"/>
      <c r="DP774" s="534"/>
      <c r="DQ774" s="534"/>
      <c r="DR774" s="534"/>
      <c r="DS774" s="534"/>
      <c r="DT774" s="534"/>
      <c r="DU774" s="534"/>
      <c r="DV774" s="534"/>
      <c r="DW774" s="534"/>
      <c r="DX774" s="534"/>
      <c r="DY774" s="534"/>
      <c r="DZ774" s="534"/>
      <c r="EA774" s="534"/>
      <c r="EB774" s="534"/>
      <c r="EC774" s="534"/>
      <c r="ED774" s="534"/>
      <c r="EE774" s="534"/>
      <c r="EF774" s="534"/>
      <c r="EG774" s="534"/>
      <c r="EH774" s="534"/>
      <c r="EI774" s="534"/>
      <c r="EJ774" s="534"/>
      <c r="EK774" s="534"/>
      <c r="EL774" s="534"/>
      <c r="EM774" s="534"/>
      <c r="EN774" s="534"/>
      <c r="EO774" s="534"/>
      <c r="EP774" s="534"/>
      <c r="EQ774" s="534"/>
      <c r="ER774" s="534"/>
      <c r="ES774" s="534"/>
      <c r="ET774" s="534"/>
      <c r="EU774" s="534"/>
      <c r="EV774" s="534"/>
      <c r="EW774" s="534"/>
      <c r="EX774" s="534"/>
      <c r="EY774" s="534"/>
      <c r="EZ774" s="534"/>
      <c r="FA774" s="534"/>
      <c r="FB774" s="534"/>
      <c r="FC774" s="534"/>
      <c r="FD774" s="534"/>
      <c r="FE774" s="534"/>
      <c r="FF774" s="534"/>
      <c r="FG774" s="534"/>
      <c r="FH774" s="534"/>
      <c r="FI774" s="534"/>
      <c r="FJ774" s="534"/>
      <c r="FK774" s="534"/>
      <c r="FL774" s="534"/>
      <c r="FM774" s="534"/>
      <c r="FN774" s="534"/>
      <c r="FO774" s="534"/>
      <c r="FP774" s="534"/>
      <c r="FQ774" s="534"/>
      <c r="FR774" s="534"/>
      <c r="FS774" s="534"/>
      <c r="FT774" s="534"/>
      <c r="FU774" s="534"/>
      <c r="FV774" s="534"/>
      <c r="FW774" s="534"/>
      <c r="FX774" s="534"/>
      <c r="FY774" s="534"/>
      <c r="FZ774" s="534"/>
      <c r="GA774" s="534"/>
      <c r="GB774" s="534"/>
      <c r="GC774" s="534"/>
      <c r="GD774" s="534"/>
      <c r="GE774" s="534"/>
      <c r="GF774" s="534"/>
      <c r="GG774" s="534"/>
      <c r="GH774" s="534"/>
      <c r="GI774" s="534"/>
      <c r="GJ774" s="534"/>
      <c r="GK774" s="534"/>
      <c r="GL774" s="534"/>
      <c r="GM774" s="534"/>
      <c r="GN774" s="534"/>
      <c r="GO774" s="534"/>
      <c r="GP774" s="534"/>
      <c r="GQ774" s="534"/>
      <c r="GR774" s="534"/>
      <c r="GS774" s="534"/>
      <c r="GT774" s="534"/>
      <c r="GU774" s="534"/>
      <c r="GV774" s="534"/>
      <c r="GW774" s="534"/>
      <c r="GX774" s="534"/>
      <c r="GY774" s="534"/>
      <c r="GZ774" s="534"/>
      <c r="HA774" s="534"/>
      <c r="HB774" s="534"/>
      <c r="HC774" s="534"/>
    </row>
    <row r="775" spans="1:211" s="90" customFormat="1" hidden="1">
      <c r="A775" s="812">
        <f t="shared" si="97"/>
        <v>8</v>
      </c>
      <c r="B775" s="813" t="s">
        <v>973</v>
      </c>
      <c r="C775" s="814" t="s">
        <v>221</v>
      </c>
      <c r="D775" s="815">
        <f t="shared" si="95"/>
        <v>1650</v>
      </c>
      <c r="E775" s="815">
        <v>660</v>
      </c>
      <c r="F775" s="815" t="s">
        <v>222</v>
      </c>
      <c r="G775" s="815">
        <v>730</v>
      </c>
      <c r="H775" s="819">
        <v>2</v>
      </c>
      <c r="I775" s="819">
        <v>2</v>
      </c>
      <c r="J775" s="819">
        <v>18</v>
      </c>
      <c r="K775" s="812" t="s">
        <v>33</v>
      </c>
      <c r="L775" s="746">
        <f t="shared" si="96"/>
        <v>1603897.9400000002</v>
      </c>
      <c r="M775" s="745">
        <v>1578738.12</v>
      </c>
      <c r="N775" s="802">
        <v>25159.82</v>
      </c>
      <c r="O775" s="809"/>
      <c r="P775" s="747"/>
      <c r="Q775" s="586"/>
      <c r="R775" s="803">
        <f t="shared" si="98"/>
        <v>2162.6549589041097</v>
      </c>
      <c r="S775" s="817"/>
      <c r="T775" s="817"/>
      <c r="U775" s="818"/>
      <c r="V775" s="589"/>
      <c r="W775" s="817"/>
      <c r="X775" s="817"/>
      <c r="Y775" s="817"/>
      <c r="Z775" s="817"/>
      <c r="AA775" s="534"/>
      <c r="AB775" s="534"/>
      <c r="AC775" s="534"/>
      <c r="AD775" s="534"/>
      <c r="AE775" s="534"/>
      <c r="AF775" s="534"/>
      <c r="AG775" s="534"/>
      <c r="AH775" s="534"/>
      <c r="AI775" s="534"/>
      <c r="AJ775" s="534"/>
      <c r="AK775" s="534"/>
      <c r="AL775" s="534"/>
      <c r="AM775" s="534"/>
      <c r="AN775" s="534"/>
      <c r="AO775" s="534"/>
      <c r="AP775" s="534"/>
      <c r="AQ775" s="534"/>
      <c r="AR775" s="534"/>
      <c r="AS775" s="534"/>
      <c r="AT775" s="534"/>
      <c r="AU775" s="534"/>
      <c r="AV775" s="534"/>
      <c r="AW775" s="534"/>
      <c r="AX775" s="534"/>
      <c r="AY775" s="534"/>
      <c r="AZ775" s="534"/>
      <c r="BA775" s="534"/>
      <c r="BB775" s="534"/>
      <c r="BC775" s="534"/>
      <c r="BD775" s="534"/>
      <c r="BE775" s="534"/>
      <c r="BF775" s="534"/>
      <c r="BG775" s="534"/>
      <c r="BH775" s="534"/>
      <c r="BI775" s="534"/>
      <c r="BJ775" s="534"/>
      <c r="BK775" s="534"/>
      <c r="BL775" s="534"/>
      <c r="BM775" s="534"/>
      <c r="BN775" s="534"/>
      <c r="BO775" s="534"/>
      <c r="BP775" s="534"/>
      <c r="BQ775" s="534"/>
      <c r="BR775" s="534"/>
      <c r="BS775" s="534"/>
      <c r="BT775" s="534"/>
      <c r="BU775" s="534"/>
      <c r="BV775" s="534"/>
      <c r="BW775" s="534"/>
      <c r="BX775" s="534"/>
      <c r="BY775" s="534"/>
      <c r="BZ775" s="534"/>
      <c r="CA775" s="534"/>
      <c r="CB775" s="534"/>
      <c r="CC775" s="534"/>
      <c r="CD775" s="534"/>
      <c r="CE775" s="534"/>
      <c r="CF775" s="534"/>
      <c r="CG775" s="534"/>
      <c r="CH775" s="534"/>
      <c r="CI775" s="534"/>
      <c r="CJ775" s="534"/>
      <c r="CK775" s="534"/>
      <c r="CL775" s="534"/>
      <c r="CM775" s="534"/>
      <c r="CN775" s="534"/>
      <c r="CO775" s="534"/>
      <c r="CP775" s="534"/>
      <c r="CQ775" s="534"/>
      <c r="CR775" s="534"/>
      <c r="CS775" s="534"/>
      <c r="CT775" s="534"/>
      <c r="CU775" s="534"/>
      <c r="CV775" s="534"/>
      <c r="CW775" s="534"/>
      <c r="CX775" s="534"/>
      <c r="CY775" s="534"/>
      <c r="CZ775" s="534"/>
      <c r="DA775" s="534"/>
      <c r="DB775" s="534"/>
      <c r="DC775" s="534"/>
      <c r="DD775" s="534"/>
      <c r="DE775" s="534"/>
      <c r="DF775" s="534"/>
      <c r="DG775" s="534"/>
      <c r="DH775" s="534"/>
      <c r="DI775" s="534"/>
      <c r="DJ775" s="534"/>
      <c r="DK775" s="534"/>
      <c r="DL775" s="534"/>
      <c r="DM775" s="534"/>
      <c r="DN775" s="534"/>
      <c r="DO775" s="534"/>
      <c r="DP775" s="534"/>
      <c r="DQ775" s="534"/>
      <c r="DR775" s="534"/>
      <c r="DS775" s="534"/>
      <c r="DT775" s="534"/>
      <c r="DU775" s="534"/>
      <c r="DV775" s="534"/>
      <c r="DW775" s="534"/>
      <c r="DX775" s="534"/>
      <c r="DY775" s="534"/>
      <c r="DZ775" s="534"/>
      <c r="EA775" s="534"/>
      <c r="EB775" s="534"/>
      <c r="EC775" s="534"/>
      <c r="ED775" s="534"/>
      <c r="EE775" s="534"/>
      <c r="EF775" s="534"/>
      <c r="EG775" s="534"/>
      <c r="EH775" s="534"/>
      <c r="EI775" s="534"/>
      <c r="EJ775" s="534"/>
      <c r="EK775" s="534"/>
      <c r="EL775" s="534"/>
      <c r="EM775" s="534"/>
      <c r="EN775" s="534"/>
      <c r="EO775" s="534"/>
      <c r="EP775" s="534"/>
      <c r="EQ775" s="534"/>
      <c r="ER775" s="534"/>
      <c r="ES775" s="534"/>
      <c r="ET775" s="534"/>
      <c r="EU775" s="534"/>
      <c r="EV775" s="534"/>
      <c r="EW775" s="534"/>
      <c r="EX775" s="534"/>
      <c r="EY775" s="534"/>
      <c r="EZ775" s="534"/>
      <c r="FA775" s="534"/>
      <c r="FB775" s="534"/>
      <c r="FC775" s="534"/>
      <c r="FD775" s="534"/>
      <c r="FE775" s="534"/>
      <c r="FF775" s="534"/>
      <c r="FG775" s="534"/>
      <c r="FH775" s="534"/>
      <c r="FI775" s="534"/>
      <c r="FJ775" s="534"/>
      <c r="FK775" s="534"/>
      <c r="FL775" s="534"/>
      <c r="FM775" s="534"/>
      <c r="FN775" s="534"/>
      <c r="FO775" s="534"/>
      <c r="FP775" s="534"/>
      <c r="FQ775" s="534"/>
      <c r="FR775" s="534"/>
      <c r="FS775" s="534"/>
      <c r="FT775" s="534"/>
      <c r="FU775" s="534"/>
      <c r="FV775" s="534"/>
      <c r="FW775" s="534"/>
      <c r="FX775" s="534"/>
      <c r="FY775" s="534"/>
      <c r="FZ775" s="534"/>
      <c r="GA775" s="534"/>
      <c r="GB775" s="534"/>
      <c r="GC775" s="534"/>
      <c r="GD775" s="534"/>
      <c r="GE775" s="534"/>
      <c r="GF775" s="534"/>
      <c r="GG775" s="534"/>
      <c r="GH775" s="534"/>
      <c r="GI775" s="534"/>
      <c r="GJ775" s="534"/>
      <c r="GK775" s="534"/>
      <c r="GL775" s="534"/>
      <c r="GM775" s="534"/>
      <c r="GN775" s="534"/>
      <c r="GO775" s="534"/>
      <c r="GP775" s="534"/>
      <c r="GQ775" s="534"/>
      <c r="GR775" s="534"/>
      <c r="GS775" s="534"/>
      <c r="GT775" s="534"/>
      <c r="GU775" s="534"/>
      <c r="GV775" s="534"/>
      <c r="GW775" s="534"/>
      <c r="GX775" s="534"/>
      <c r="GY775" s="534"/>
      <c r="GZ775" s="534"/>
      <c r="HA775" s="534"/>
      <c r="HB775" s="534"/>
      <c r="HC775" s="534"/>
    </row>
    <row r="776" spans="1:211" s="90" customFormat="1" hidden="1">
      <c r="A776" s="812">
        <f t="shared" si="97"/>
        <v>9</v>
      </c>
      <c r="B776" s="813" t="s">
        <v>974</v>
      </c>
      <c r="C776" s="814" t="s">
        <v>217</v>
      </c>
      <c r="D776" s="815">
        <f t="shared" si="95"/>
        <v>5615</v>
      </c>
      <c r="E776" s="816">
        <v>2246</v>
      </c>
      <c r="F776" s="815" t="s">
        <v>227</v>
      </c>
      <c r="G776" s="739">
        <v>800</v>
      </c>
      <c r="H776" s="803">
        <v>5</v>
      </c>
      <c r="I776" s="803">
        <v>4</v>
      </c>
      <c r="J776" s="803">
        <v>60</v>
      </c>
      <c r="K776" s="812" t="s">
        <v>33</v>
      </c>
      <c r="L776" s="746">
        <f t="shared" si="96"/>
        <v>1373080.6600000001</v>
      </c>
      <c r="M776" s="745">
        <v>1367827.06</v>
      </c>
      <c r="N776" s="802"/>
      <c r="O776" s="736">
        <v>5253.6</v>
      </c>
      <c r="P776" s="802"/>
      <c r="Q776" s="586"/>
      <c r="R776" s="803">
        <f t="shared" si="98"/>
        <v>1709.783825</v>
      </c>
      <c r="S776" s="817"/>
      <c r="T776" s="817"/>
      <c r="U776" s="818"/>
      <c r="V776" s="589"/>
      <c r="W776" s="817"/>
      <c r="X776" s="817"/>
      <c r="Y776" s="817"/>
      <c r="Z776" s="817"/>
      <c r="AA776" s="534"/>
      <c r="AB776" s="534"/>
      <c r="AC776" s="534"/>
      <c r="AD776" s="534"/>
      <c r="AE776" s="534"/>
      <c r="AF776" s="534"/>
      <c r="AG776" s="534"/>
      <c r="AH776" s="534"/>
      <c r="AI776" s="534"/>
      <c r="AJ776" s="534"/>
      <c r="AK776" s="534"/>
      <c r="AL776" s="534"/>
      <c r="AM776" s="534"/>
      <c r="AN776" s="534"/>
      <c r="AO776" s="534"/>
      <c r="AP776" s="534"/>
      <c r="AQ776" s="534"/>
      <c r="AR776" s="534"/>
      <c r="AS776" s="534"/>
      <c r="AT776" s="534"/>
      <c r="AU776" s="534"/>
      <c r="AV776" s="534"/>
      <c r="AW776" s="534"/>
      <c r="AX776" s="534"/>
      <c r="AY776" s="534"/>
      <c r="AZ776" s="534"/>
      <c r="BA776" s="534"/>
      <c r="BB776" s="534"/>
      <c r="BC776" s="534"/>
      <c r="BD776" s="534"/>
      <c r="BE776" s="534"/>
      <c r="BF776" s="534"/>
      <c r="BG776" s="534"/>
      <c r="BH776" s="534"/>
      <c r="BI776" s="534"/>
      <c r="BJ776" s="534"/>
      <c r="BK776" s="534"/>
      <c r="BL776" s="534"/>
      <c r="BM776" s="534"/>
      <c r="BN776" s="534"/>
      <c r="BO776" s="534"/>
      <c r="BP776" s="534"/>
      <c r="BQ776" s="534"/>
      <c r="BR776" s="534"/>
      <c r="BS776" s="534"/>
      <c r="BT776" s="534"/>
      <c r="BU776" s="534"/>
      <c r="BV776" s="534"/>
      <c r="BW776" s="534"/>
      <c r="BX776" s="534"/>
      <c r="BY776" s="534"/>
      <c r="BZ776" s="534"/>
      <c r="CA776" s="534"/>
      <c r="CB776" s="534"/>
      <c r="CC776" s="534"/>
      <c r="CD776" s="534"/>
      <c r="CE776" s="534"/>
      <c r="CF776" s="534"/>
      <c r="CG776" s="534"/>
      <c r="CH776" s="534"/>
      <c r="CI776" s="534"/>
      <c r="CJ776" s="534"/>
      <c r="CK776" s="534"/>
      <c r="CL776" s="534"/>
      <c r="CM776" s="534"/>
      <c r="CN776" s="534"/>
      <c r="CO776" s="534"/>
      <c r="CP776" s="534"/>
      <c r="CQ776" s="534"/>
      <c r="CR776" s="534"/>
      <c r="CS776" s="534"/>
      <c r="CT776" s="534"/>
      <c r="CU776" s="534"/>
      <c r="CV776" s="534"/>
      <c r="CW776" s="534"/>
      <c r="CX776" s="534"/>
      <c r="CY776" s="534"/>
      <c r="CZ776" s="534"/>
      <c r="DA776" s="534"/>
      <c r="DB776" s="534"/>
      <c r="DC776" s="534"/>
      <c r="DD776" s="534"/>
      <c r="DE776" s="534"/>
      <c r="DF776" s="534"/>
      <c r="DG776" s="534"/>
      <c r="DH776" s="534"/>
      <c r="DI776" s="534"/>
      <c r="DJ776" s="534"/>
      <c r="DK776" s="534"/>
      <c r="DL776" s="534"/>
      <c r="DM776" s="534"/>
      <c r="DN776" s="534"/>
      <c r="DO776" s="534"/>
      <c r="DP776" s="534"/>
      <c r="DQ776" s="534"/>
      <c r="DR776" s="534"/>
      <c r="DS776" s="534"/>
      <c r="DT776" s="534"/>
      <c r="DU776" s="534"/>
      <c r="DV776" s="534"/>
      <c r="DW776" s="534"/>
      <c r="DX776" s="534"/>
      <c r="DY776" s="534"/>
      <c r="DZ776" s="534"/>
      <c r="EA776" s="534"/>
      <c r="EB776" s="534"/>
      <c r="EC776" s="534"/>
      <c r="ED776" s="534"/>
      <c r="EE776" s="534"/>
      <c r="EF776" s="534"/>
      <c r="EG776" s="534"/>
      <c r="EH776" s="534"/>
      <c r="EI776" s="534"/>
      <c r="EJ776" s="534"/>
      <c r="EK776" s="534"/>
      <c r="EL776" s="534"/>
      <c r="EM776" s="534"/>
      <c r="EN776" s="534"/>
      <c r="EO776" s="534"/>
      <c r="EP776" s="534"/>
      <c r="EQ776" s="534"/>
      <c r="ER776" s="534"/>
      <c r="ES776" s="534"/>
      <c r="ET776" s="534"/>
      <c r="EU776" s="534"/>
      <c r="EV776" s="534"/>
      <c r="EW776" s="534"/>
      <c r="EX776" s="534"/>
      <c r="EY776" s="534"/>
      <c r="EZ776" s="534"/>
      <c r="FA776" s="534"/>
      <c r="FB776" s="534"/>
      <c r="FC776" s="534"/>
      <c r="FD776" s="534"/>
      <c r="FE776" s="534"/>
      <c r="FF776" s="534"/>
      <c r="FG776" s="534"/>
      <c r="FH776" s="534"/>
      <c r="FI776" s="534"/>
      <c r="FJ776" s="534"/>
      <c r="FK776" s="534"/>
      <c r="FL776" s="534"/>
      <c r="FM776" s="534"/>
      <c r="FN776" s="534"/>
      <c r="FO776" s="534"/>
      <c r="FP776" s="534"/>
      <c r="FQ776" s="534"/>
      <c r="FR776" s="534"/>
      <c r="FS776" s="534"/>
      <c r="FT776" s="534"/>
      <c r="FU776" s="534"/>
      <c r="FV776" s="534"/>
      <c r="FW776" s="534"/>
      <c r="FX776" s="534"/>
      <c r="FY776" s="534"/>
      <c r="FZ776" s="534"/>
      <c r="GA776" s="534"/>
      <c r="GB776" s="534"/>
      <c r="GC776" s="534"/>
      <c r="GD776" s="534"/>
      <c r="GE776" s="534"/>
      <c r="GF776" s="534"/>
      <c r="GG776" s="534"/>
      <c r="GH776" s="534"/>
      <c r="GI776" s="534"/>
      <c r="GJ776" s="534"/>
      <c r="GK776" s="534"/>
      <c r="GL776" s="534"/>
      <c r="GM776" s="534"/>
      <c r="GN776" s="534"/>
      <c r="GO776" s="534"/>
      <c r="GP776" s="534"/>
      <c r="GQ776" s="534"/>
      <c r="GR776" s="534"/>
      <c r="GS776" s="534"/>
      <c r="GT776" s="534"/>
      <c r="GU776" s="534"/>
      <c r="GV776" s="534"/>
      <c r="GW776" s="534"/>
      <c r="GX776" s="534"/>
      <c r="GY776" s="534"/>
      <c r="GZ776" s="534"/>
      <c r="HA776" s="534"/>
      <c r="HB776" s="534"/>
      <c r="HC776" s="534"/>
    </row>
    <row r="777" spans="1:211" s="535" customFormat="1" hidden="1">
      <c r="A777" s="812">
        <f t="shared" si="97"/>
        <v>10</v>
      </c>
      <c r="B777" s="813" t="s">
        <v>975</v>
      </c>
      <c r="C777" s="814" t="s">
        <v>217</v>
      </c>
      <c r="D777" s="815">
        <f t="shared" si="95"/>
        <v>6300</v>
      </c>
      <c r="E777" s="816">
        <v>2520</v>
      </c>
      <c r="F777" s="815" t="s">
        <v>227</v>
      </c>
      <c r="G777" s="739">
        <v>1130</v>
      </c>
      <c r="H777" s="803">
        <v>5</v>
      </c>
      <c r="I777" s="803">
        <v>6</v>
      </c>
      <c r="J777" s="803">
        <v>90</v>
      </c>
      <c r="K777" s="812" t="s">
        <v>33</v>
      </c>
      <c r="L777" s="746">
        <f t="shared" si="96"/>
        <v>2484546.1799999997</v>
      </c>
      <c r="M777" s="745">
        <v>2477144.38</v>
      </c>
      <c r="N777" s="802"/>
      <c r="O777" s="736">
        <v>7401.8</v>
      </c>
      <c r="P777" s="802"/>
      <c r="Q777" s="586"/>
      <c r="R777" s="803">
        <f t="shared" si="98"/>
        <v>2192.1631681415929</v>
      </c>
      <c r="S777" s="823"/>
      <c r="T777" s="823"/>
      <c r="U777" s="824"/>
      <c r="V777" s="589"/>
      <c r="W777" s="823"/>
      <c r="X777" s="823"/>
      <c r="Y777" s="823"/>
      <c r="Z777" s="823"/>
    </row>
    <row r="778" spans="1:211" s="535" customFormat="1" hidden="1">
      <c r="A778" s="812">
        <f t="shared" si="97"/>
        <v>11</v>
      </c>
      <c r="B778" s="813" t="s">
        <v>976</v>
      </c>
      <c r="C778" s="814" t="s">
        <v>221</v>
      </c>
      <c r="D778" s="815">
        <f t="shared" si="95"/>
        <v>1650</v>
      </c>
      <c r="E778" s="815">
        <v>660</v>
      </c>
      <c r="F778" s="815" t="s">
        <v>222</v>
      </c>
      <c r="G778" s="815">
        <v>820</v>
      </c>
      <c r="H778" s="819">
        <v>3</v>
      </c>
      <c r="I778" s="819">
        <v>2</v>
      </c>
      <c r="J778" s="819">
        <v>18</v>
      </c>
      <c r="K778" s="812" t="s">
        <v>33</v>
      </c>
      <c r="L778" s="746">
        <f t="shared" si="96"/>
        <v>1912375.71</v>
      </c>
      <c r="M778" s="745">
        <v>1884114</v>
      </c>
      <c r="N778" s="802">
        <v>28261.71</v>
      </c>
      <c r="O778" s="809"/>
      <c r="P778" s="747"/>
      <c r="Q778" s="586"/>
      <c r="R778" s="803">
        <f t="shared" si="98"/>
        <v>2297.6999999999998</v>
      </c>
      <c r="S778" s="823"/>
      <c r="T778" s="823"/>
      <c r="U778" s="824"/>
      <c r="V778" s="589"/>
      <c r="W778" s="823"/>
      <c r="X778" s="823"/>
      <c r="Y778" s="823"/>
      <c r="Z778" s="823"/>
    </row>
    <row r="779" spans="1:211" s="535" customFormat="1" hidden="1">
      <c r="A779" s="812">
        <f t="shared" si="97"/>
        <v>12</v>
      </c>
      <c r="B779" s="813" t="s">
        <v>977</v>
      </c>
      <c r="C779" s="814" t="s">
        <v>217</v>
      </c>
      <c r="D779" s="815">
        <f t="shared" si="95"/>
        <v>1620</v>
      </c>
      <c r="E779" s="816">
        <v>648</v>
      </c>
      <c r="F779" s="815" t="s">
        <v>222</v>
      </c>
      <c r="G779" s="816">
        <v>903</v>
      </c>
      <c r="H779" s="803">
        <v>3</v>
      </c>
      <c r="I779" s="803">
        <v>2</v>
      </c>
      <c r="J779" s="803">
        <v>56</v>
      </c>
      <c r="K779" s="812" t="s">
        <v>33</v>
      </c>
      <c r="L779" s="746">
        <f t="shared" si="96"/>
        <v>2105945.94</v>
      </c>
      <c r="M779" s="745">
        <v>2074823.1</v>
      </c>
      <c r="N779" s="802">
        <v>31122.84</v>
      </c>
      <c r="O779" s="822"/>
      <c r="P779" s="802"/>
      <c r="Q779" s="586"/>
      <c r="R779" s="803">
        <f t="shared" si="98"/>
        <v>2297.7000000000003</v>
      </c>
      <c r="S779" s="823"/>
      <c r="T779" s="823"/>
      <c r="U779" s="824"/>
      <c r="V779" s="589"/>
      <c r="W779" s="823"/>
      <c r="X779" s="823"/>
      <c r="Y779" s="823"/>
      <c r="Z779" s="823"/>
    </row>
    <row r="780" spans="1:211" s="535" customFormat="1" hidden="1">
      <c r="A780" s="812">
        <f t="shared" si="97"/>
        <v>13</v>
      </c>
      <c r="B780" s="813" t="s">
        <v>978</v>
      </c>
      <c r="C780" s="814" t="s">
        <v>217</v>
      </c>
      <c r="D780" s="815">
        <f t="shared" si="95"/>
        <v>1600</v>
      </c>
      <c r="E780" s="816">
        <v>640</v>
      </c>
      <c r="F780" s="815" t="s">
        <v>222</v>
      </c>
      <c r="G780" s="816">
        <v>620</v>
      </c>
      <c r="H780" s="803">
        <v>2</v>
      </c>
      <c r="I780" s="803">
        <v>2</v>
      </c>
      <c r="J780" s="803">
        <v>16</v>
      </c>
      <c r="K780" s="812" t="s">
        <v>33</v>
      </c>
      <c r="L780" s="746">
        <f t="shared" si="96"/>
        <v>1453065.48</v>
      </c>
      <c r="M780" s="745">
        <v>1424574</v>
      </c>
      <c r="N780" s="802">
        <v>28491.48</v>
      </c>
      <c r="O780" s="822"/>
      <c r="P780" s="802"/>
      <c r="Q780" s="586"/>
      <c r="R780" s="803">
        <f t="shared" si="98"/>
        <v>2297.6999999999998</v>
      </c>
      <c r="S780" s="823"/>
      <c r="T780" s="823"/>
      <c r="U780" s="824"/>
      <c r="V780" s="589"/>
      <c r="W780" s="823"/>
      <c r="X780" s="823"/>
      <c r="Y780" s="823"/>
      <c r="Z780" s="823"/>
    </row>
    <row r="781" spans="1:211" s="535" customFormat="1" hidden="1">
      <c r="A781" s="812">
        <f t="shared" si="97"/>
        <v>14</v>
      </c>
      <c r="B781" s="813" t="s">
        <v>979</v>
      </c>
      <c r="C781" s="814" t="s">
        <v>221</v>
      </c>
      <c r="D781" s="815">
        <f>E781*2.5</f>
        <v>933.6</v>
      </c>
      <c r="E781" s="815">
        <v>373.44</v>
      </c>
      <c r="F781" s="815" t="s">
        <v>222</v>
      </c>
      <c r="G781" s="815">
        <v>352.2</v>
      </c>
      <c r="H781" s="819">
        <v>2</v>
      </c>
      <c r="I781" s="819">
        <v>1</v>
      </c>
      <c r="J781" s="819">
        <v>8</v>
      </c>
      <c r="K781" s="812" t="s">
        <v>33</v>
      </c>
      <c r="L781" s="746">
        <f t="shared" si="96"/>
        <v>830287.39999999991</v>
      </c>
      <c r="M781" s="745">
        <v>806009.7</v>
      </c>
      <c r="N781" s="802">
        <v>24277.7</v>
      </c>
      <c r="O781" s="809"/>
      <c r="P781" s="747"/>
      <c r="Q781" s="586"/>
      <c r="R781" s="803">
        <f t="shared" si="98"/>
        <v>2288.5</v>
      </c>
      <c r="S781" s="823"/>
      <c r="T781" s="823"/>
      <c r="U781" s="824"/>
      <c r="V781" s="589"/>
      <c r="W781" s="823"/>
      <c r="X781" s="823"/>
      <c r="Y781" s="823"/>
      <c r="Z781" s="823"/>
    </row>
    <row r="782" spans="1:211" s="535" customFormat="1" ht="37.5" hidden="1">
      <c r="A782" s="812">
        <f t="shared" si="97"/>
        <v>15</v>
      </c>
      <c r="B782" s="581" t="s">
        <v>1956</v>
      </c>
      <c r="C782" s="814" t="s">
        <v>217</v>
      </c>
      <c r="D782" s="815">
        <f>E782*2.5</f>
        <v>5332.5</v>
      </c>
      <c r="E782" s="619">
        <f>(26.5+13)*2*3*9</f>
        <v>2133</v>
      </c>
      <c r="F782" s="819" t="s">
        <v>253</v>
      </c>
      <c r="G782" s="815">
        <v>625.70000000000005</v>
      </c>
      <c r="H782" s="819">
        <v>9</v>
      </c>
      <c r="I782" s="819">
        <v>2</v>
      </c>
      <c r="J782" s="819">
        <v>72</v>
      </c>
      <c r="K782" s="812" t="s">
        <v>219</v>
      </c>
      <c r="L782" s="746">
        <f t="shared" si="96"/>
        <v>1990000</v>
      </c>
      <c r="M782" s="596">
        <v>1990000</v>
      </c>
      <c r="N782" s="597"/>
      <c r="O782" s="587"/>
      <c r="P782" s="586"/>
      <c r="Q782" s="586"/>
      <c r="R782" s="582">
        <f>M782</f>
        <v>1990000</v>
      </c>
      <c r="S782" s="823"/>
      <c r="T782" s="823" t="s">
        <v>3613</v>
      </c>
      <c r="U782" s="824"/>
      <c r="V782" s="589"/>
      <c r="W782" s="823"/>
      <c r="X782" s="823"/>
      <c r="Y782" s="823"/>
      <c r="Z782" s="823"/>
    </row>
    <row r="783" spans="1:211" s="535" customFormat="1" hidden="1">
      <c r="A783" s="812">
        <f t="shared" si="97"/>
        <v>16</v>
      </c>
      <c r="B783" s="581" t="s">
        <v>3617</v>
      </c>
      <c r="C783" s="814" t="s">
        <v>217</v>
      </c>
      <c r="D783" s="815">
        <v>6844.9500000000007</v>
      </c>
      <c r="E783" s="619">
        <v>2281.65</v>
      </c>
      <c r="F783" s="819" t="s">
        <v>227</v>
      </c>
      <c r="G783" s="815">
        <v>1440</v>
      </c>
      <c r="H783" s="819">
        <v>5</v>
      </c>
      <c r="I783" s="819">
        <v>6</v>
      </c>
      <c r="J783" s="819">
        <v>90</v>
      </c>
      <c r="K783" s="812" t="s">
        <v>33</v>
      </c>
      <c r="L783" s="746">
        <f t="shared" si="96"/>
        <v>3163354.92</v>
      </c>
      <c r="M783" s="596">
        <v>3136320</v>
      </c>
      <c r="N783" s="597"/>
      <c r="O783" s="587">
        <v>7234.92</v>
      </c>
      <c r="P783" s="586"/>
      <c r="Q783" s="586">
        <v>19800</v>
      </c>
      <c r="R783" s="582">
        <f>M783/G783</f>
        <v>2178</v>
      </c>
      <c r="S783" s="823"/>
      <c r="T783" s="825"/>
      <c r="U783" s="824"/>
      <c r="V783" s="589"/>
      <c r="W783" s="823"/>
      <c r="X783" s="823"/>
      <c r="Y783" s="823"/>
      <c r="Z783" s="823"/>
    </row>
    <row r="784" spans="1:211" s="28" customFormat="1" hidden="1">
      <c r="A784" s="1389" t="s">
        <v>34</v>
      </c>
      <c r="B784" s="1389"/>
      <c r="C784" s="586" t="s">
        <v>28</v>
      </c>
      <c r="D784" s="646">
        <f>SUM(D768:D783)</f>
        <v>59311.05</v>
      </c>
      <c r="E784" s="646">
        <f>SUM(E768:E783)</f>
        <v>23268.09</v>
      </c>
      <c r="F784" s="646" t="s">
        <v>28</v>
      </c>
      <c r="G784" s="646">
        <f>SUM(G768:G783)</f>
        <v>13340.400000000001</v>
      </c>
      <c r="H784" s="582" t="s">
        <v>28</v>
      </c>
      <c r="I784" s="582" t="s">
        <v>28</v>
      </c>
      <c r="J784" s="582">
        <f>SUM(J768:J783)</f>
        <v>982</v>
      </c>
      <c r="K784" s="588" t="s">
        <v>28</v>
      </c>
      <c r="L784" s="584">
        <f>SUM(L768:L783)</f>
        <v>31314801.539999999</v>
      </c>
      <c r="M784" s="585">
        <f>SUM(M768:M783)</f>
        <v>31072721.279999997</v>
      </c>
      <c r="N784" s="586">
        <f>SUM(N768:N783)</f>
        <v>184875.95</v>
      </c>
      <c r="O784" s="587">
        <f>SUM(O768:O783)</f>
        <v>37404.31</v>
      </c>
      <c r="P784" s="586"/>
      <c r="Q784" s="586">
        <f>SUM(Q768:Q783)</f>
        <v>19800</v>
      </c>
      <c r="R784" s="582" t="s">
        <v>28</v>
      </c>
      <c r="S784" s="586">
        <f>L784-M784-N784-O784-P784-Q784</f>
        <v>1.6298145055770874E-9</v>
      </c>
      <c r="T784" s="645"/>
      <c r="U784" s="701"/>
      <c r="V784" s="589"/>
      <c r="W784" s="592"/>
      <c r="X784" s="592"/>
      <c r="Y784" s="592"/>
      <c r="Z784" s="592"/>
    </row>
    <row r="785" spans="1:26" s="28" customFormat="1" hidden="1">
      <c r="A785" s="1347" t="s">
        <v>57</v>
      </c>
      <c r="B785" s="1347"/>
      <c r="C785" s="1347"/>
      <c r="D785" s="1347"/>
      <c r="E785" s="1347"/>
      <c r="F785" s="1347"/>
      <c r="G785" s="1347"/>
      <c r="H785" s="1347"/>
      <c r="I785" s="1347"/>
      <c r="J785" s="1347"/>
      <c r="K785" s="1347"/>
      <c r="L785" s="1347"/>
      <c r="M785" s="1347"/>
      <c r="N785" s="1347"/>
      <c r="O785" s="1347"/>
      <c r="P785" s="1347"/>
      <c r="Q785" s="1347"/>
      <c r="R785" s="1347"/>
      <c r="S785" s="592"/>
      <c r="T785" s="645"/>
      <c r="U785" s="591"/>
      <c r="V785" s="589"/>
      <c r="W785" s="592"/>
      <c r="X785" s="592"/>
      <c r="Y785" s="592"/>
      <c r="Z785" s="592"/>
    </row>
    <row r="786" spans="1:26" s="28" customFormat="1" ht="37.5" hidden="1">
      <c r="A786" s="590">
        <v>1</v>
      </c>
      <c r="B786" s="592" t="s">
        <v>980</v>
      </c>
      <c r="C786" s="593" t="s">
        <v>221</v>
      </c>
      <c r="D786" s="646">
        <v>1432</v>
      </c>
      <c r="E786" s="646">
        <v>358</v>
      </c>
      <c r="F786" s="646" t="s">
        <v>222</v>
      </c>
      <c r="G786" s="646">
        <v>340</v>
      </c>
      <c r="H786" s="582">
        <v>2</v>
      </c>
      <c r="I786" s="582">
        <v>1</v>
      </c>
      <c r="J786" s="582">
        <v>8</v>
      </c>
      <c r="K786" s="590" t="s">
        <v>255</v>
      </c>
      <c r="L786" s="584">
        <f>M786+N786+O786+P786+Q786</f>
        <v>737510.98</v>
      </c>
      <c r="M786" s="585">
        <v>712688.72</v>
      </c>
      <c r="N786" s="586">
        <v>24822.26</v>
      </c>
      <c r="O786" s="587"/>
      <c r="P786" s="586"/>
      <c r="Q786" s="586"/>
      <c r="R786" s="582">
        <f>M786/G786</f>
        <v>2096.1432941176472</v>
      </c>
      <c r="S786" s="592"/>
      <c r="T786" s="645"/>
      <c r="U786" s="591"/>
      <c r="V786" s="589"/>
      <c r="W786" s="592"/>
      <c r="X786" s="592"/>
      <c r="Y786" s="592"/>
      <c r="Z786" s="592"/>
    </row>
    <row r="787" spans="1:26" s="28" customFormat="1" ht="37.5" hidden="1">
      <c r="A787" s="590">
        <v>2</v>
      </c>
      <c r="B787" s="592" t="s">
        <v>981</v>
      </c>
      <c r="C787" s="593" t="s">
        <v>221</v>
      </c>
      <c r="D787" s="646">
        <v>973.6</v>
      </c>
      <c r="E787" s="646">
        <v>256.2</v>
      </c>
      <c r="F787" s="646" t="s">
        <v>222</v>
      </c>
      <c r="G787" s="646">
        <v>338</v>
      </c>
      <c r="H787" s="582">
        <v>2</v>
      </c>
      <c r="I787" s="582">
        <v>1</v>
      </c>
      <c r="J787" s="582">
        <v>8</v>
      </c>
      <c r="K787" s="590" t="s">
        <v>255</v>
      </c>
      <c r="L787" s="584">
        <f>M787+N787+O787+P787+Q787</f>
        <v>736710.43</v>
      </c>
      <c r="M787" s="585">
        <v>708509.14</v>
      </c>
      <c r="N787" s="586">
        <v>28201.29</v>
      </c>
      <c r="O787" s="587"/>
      <c r="P787" s="586"/>
      <c r="Q787" s="586"/>
      <c r="R787" s="582">
        <f>M787/G787</f>
        <v>2096.1808875739644</v>
      </c>
      <c r="S787" s="592"/>
      <c r="T787" s="645"/>
      <c r="U787" s="591"/>
      <c r="V787" s="589"/>
      <c r="W787" s="592"/>
      <c r="X787" s="592"/>
      <c r="Y787" s="592"/>
      <c r="Z787" s="592"/>
    </row>
    <row r="788" spans="1:26" s="28" customFormat="1" ht="37.5" hidden="1">
      <c r="A788" s="590">
        <v>3</v>
      </c>
      <c r="B788" s="592" t="s">
        <v>982</v>
      </c>
      <c r="C788" s="593" t="s">
        <v>221</v>
      </c>
      <c r="D788" s="646">
        <v>1524.9</v>
      </c>
      <c r="E788" s="646">
        <v>391</v>
      </c>
      <c r="F788" s="646" t="s">
        <v>222</v>
      </c>
      <c r="G788" s="646">
        <v>676</v>
      </c>
      <c r="H788" s="582">
        <v>2</v>
      </c>
      <c r="I788" s="582">
        <v>2</v>
      </c>
      <c r="J788" s="582">
        <v>18</v>
      </c>
      <c r="K788" s="590" t="s">
        <v>255</v>
      </c>
      <c r="L788" s="584">
        <f>M788+N788+O788+P788+Q788</f>
        <v>1442996</v>
      </c>
      <c r="M788" s="585">
        <v>1414837.5</v>
      </c>
      <c r="N788" s="586">
        <v>28158.5</v>
      </c>
      <c r="O788" s="587"/>
      <c r="P788" s="586"/>
      <c r="Q788" s="586"/>
      <c r="R788" s="582">
        <f>M788/G788</f>
        <v>2092.9548816568049</v>
      </c>
      <c r="S788" s="592"/>
      <c r="T788" s="645"/>
      <c r="U788" s="591"/>
      <c r="V788" s="589"/>
      <c r="W788" s="592"/>
      <c r="X788" s="592"/>
      <c r="Y788" s="592"/>
      <c r="Z788" s="592"/>
    </row>
    <row r="789" spans="1:26" s="28" customFormat="1" hidden="1">
      <c r="A789" s="1349" t="s">
        <v>58</v>
      </c>
      <c r="B789" s="1349"/>
      <c r="C789" s="586" t="s">
        <v>28</v>
      </c>
      <c r="D789" s="646">
        <f>SUM(D786:D788)</f>
        <v>3930.5</v>
      </c>
      <c r="E789" s="646">
        <f>SUM(E786:E788)</f>
        <v>1005.2</v>
      </c>
      <c r="F789" s="646" t="s">
        <v>28</v>
      </c>
      <c r="G789" s="646">
        <f>SUM(G786:G788)</f>
        <v>1354</v>
      </c>
      <c r="H789" s="582" t="s">
        <v>28</v>
      </c>
      <c r="I789" s="582" t="s">
        <v>28</v>
      </c>
      <c r="J789" s="582">
        <f>SUM(J786:J788)</f>
        <v>34</v>
      </c>
      <c r="K789" s="588" t="s">
        <v>28</v>
      </c>
      <c r="L789" s="584">
        <f>SUM(L786:L788)</f>
        <v>2917217.41</v>
      </c>
      <c r="M789" s="585">
        <f>SUM(M786:M788)</f>
        <v>2836035.36</v>
      </c>
      <c r="N789" s="586">
        <f>SUM(N786:N788)</f>
        <v>81182.05</v>
      </c>
      <c r="O789" s="587"/>
      <c r="P789" s="586"/>
      <c r="Q789" s="586">
        <f>SUM(Q786:Q788)</f>
        <v>0</v>
      </c>
      <c r="R789" s="582" t="s">
        <v>28</v>
      </c>
      <c r="S789" s="586">
        <f>L789-M789-N789-O789-P789-Q789</f>
        <v>2.7648638933897018E-10</v>
      </c>
      <c r="T789" s="645"/>
      <c r="U789" s="701"/>
      <c r="V789" s="589"/>
      <c r="W789" s="592"/>
      <c r="X789" s="592"/>
      <c r="Y789" s="592"/>
      <c r="Z789" s="592"/>
    </row>
    <row r="790" spans="1:26" s="28" customFormat="1" hidden="1">
      <c r="A790" s="1347" t="s">
        <v>59</v>
      </c>
      <c r="B790" s="1347"/>
      <c r="C790" s="1347"/>
      <c r="D790" s="1347"/>
      <c r="E790" s="1347"/>
      <c r="F790" s="1347"/>
      <c r="G790" s="1347"/>
      <c r="H790" s="1347"/>
      <c r="I790" s="1347"/>
      <c r="J790" s="1347"/>
      <c r="K790" s="1347"/>
      <c r="L790" s="1347"/>
      <c r="M790" s="1347"/>
      <c r="N790" s="1347"/>
      <c r="O790" s="1347"/>
      <c r="P790" s="1347"/>
      <c r="Q790" s="1347"/>
      <c r="R790" s="1347"/>
      <c r="S790" s="592"/>
      <c r="T790" s="645"/>
      <c r="U790" s="591"/>
      <c r="V790" s="589"/>
      <c r="W790" s="592"/>
      <c r="X790" s="592"/>
      <c r="Y790" s="592"/>
      <c r="Z790" s="592"/>
    </row>
    <row r="791" spans="1:26" s="28" customFormat="1" ht="37.5" hidden="1">
      <c r="A791" s="826">
        <v>1</v>
      </c>
      <c r="B791" s="827" t="s">
        <v>983</v>
      </c>
      <c r="C791" s="828" t="s">
        <v>221</v>
      </c>
      <c r="D791" s="829">
        <f>E791*3</f>
        <v>1227.6000000000001</v>
      </c>
      <c r="E791" s="646">
        <f>((21.7+12.4)*2)*3*H791</f>
        <v>409.20000000000005</v>
      </c>
      <c r="F791" s="646" t="s">
        <v>222</v>
      </c>
      <c r="G791" s="739">
        <v>810</v>
      </c>
      <c r="H791" s="830">
        <v>2</v>
      </c>
      <c r="I791" s="830">
        <v>3</v>
      </c>
      <c r="J791" s="830">
        <v>22</v>
      </c>
      <c r="K791" s="831" t="s">
        <v>3877</v>
      </c>
      <c r="L791" s="746">
        <f>M791+N791+O791+P791+Q791</f>
        <v>2237001.7800000003</v>
      </c>
      <c r="M791" s="745">
        <v>2203942.91</v>
      </c>
      <c r="N791" s="802">
        <v>33058.870000000003</v>
      </c>
      <c r="O791" s="809"/>
      <c r="P791" s="747"/>
      <c r="Q791" s="586"/>
      <c r="R791" s="803">
        <f>M791/G791</f>
        <v>2720.9171728395063</v>
      </c>
      <c r="S791" s="592"/>
      <c r="T791" s="645"/>
      <c r="U791" s="591"/>
      <c r="V791" s="589"/>
      <c r="W791" s="592"/>
      <c r="X791" s="592"/>
      <c r="Y791" s="592"/>
      <c r="Z791" s="592"/>
    </row>
    <row r="792" spans="1:26" s="28" customFormat="1" hidden="1">
      <c r="A792" s="1349" t="s">
        <v>60</v>
      </c>
      <c r="B792" s="1349"/>
      <c r="C792" s="586" t="s">
        <v>28</v>
      </c>
      <c r="D792" s="646">
        <f>SUM(D791:D791)</f>
        <v>1227.6000000000001</v>
      </c>
      <c r="E792" s="646">
        <f>SUM(E791:E791)</f>
        <v>409.20000000000005</v>
      </c>
      <c r="F792" s="646" t="s">
        <v>28</v>
      </c>
      <c r="G792" s="646">
        <f>SUM(G791:G791)</f>
        <v>810</v>
      </c>
      <c r="H792" s="582" t="s">
        <v>28</v>
      </c>
      <c r="I792" s="582" t="s">
        <v>28</v>
      </c>
      <c r="J792" s="582">
        <f>SUM(J791:J791)</f>
        <v>22</v>
      </c>
      <c r="K792" s="588" t="s">
        <v>28</v>
      </c>
      <c r="L792" s="584">
        <f>SUM(L791:L791)</f>
        <v>2237001.7800000003</v>
      </c>
      <c r="M792" s="585">
        <f>SUM(M791:M791)</f>
        <v>2203942.91</v>
      </c>
      <c r="N792" s="586">
        <f>SUM(N791:N791)</f>
        <v>33058.870000000003</v>
      </c>
      <c r="O792" s="587"/>
      <c r="P792" s="586"/>
      <c r="Q792" s="586">
        <f>SUM(Q791:Q791)</f>
        <v>0</v>
      </c>
      <c r="R792" s="582" t="s">
        <v>28</v>
      </c>
      <c r="S792" s="586">
        <f>L792-M792-N792-O792-P792-Q792</f>
        <v>1.0913936421275139E-10</v>
      </c>
      <c r="T792" s="645"/>
      <c r="U792" s="701"/>
      <c r="V792" s="589"/>
      <c r="W792" s="592"/>
      <c r="X792" s="592"/>
      <c r="Y792" s="592"/>
      <c r="Z792" s="592"/>
    </row>
    <row r="793" spans="1:26" s="28" customFormat="1" hidden="1">
      <c r="A793" s="1347" t="s">
        <v>61</v>
      </c>
      <c r="B793" s="1347"/>
      <c r="C793" s="1347"/>
      <c r="D793" s="1347"/>
      <c r="E793" s="1347"/>
      <c r="F793" s="1347"/>
      <c r="G793" s="1347"/>
      <c r="H793" s="1347"/>
      <c r="I793" s="1347"/>
      <c r="J793" s="1347"/>
      <c r="K793" s="1347"/>
      <c r="L793" s="1347"/>
      <c r="M793" s="1347"/>
      <c r="N793" s="1347"/>
      <c r="O793" s="1347"/>
      <c r="P793" s="1347"/>
      <c r="Q793" s="1347"/>
      <c r="R793" s="1347"/>
      <c r="S793" s="592"/>
      <c r="T793" s="645"/>
      <c r="U793" s="591"/>
      <c r="V793" s="589"/>
      <c r="W793" s="592"/>
      <c r="X793" s="592"/>
      <c r="Y793" s="592"/>
      <c r="Z793" s="592"/>
    </row>
    <row r="794" spans="1:26" s="71" customFormat="1" ht="56.25" hidden="1">
      <c r="A794" s="667">
        <v>1</v>
      </c>
      <c r="B794" s="592" t="s">
        <v>984</v>
      </c>
      <c r="C794" s="593" t="s">
        <v>239</v>
      </c>
      <c r="D794" s="619">
        <f>E794*2.8</f>
        <v>935.19999999999993</v>
      </c>
      <c r="E794" s="619">
        <v>334</v>
      </c>
      <c r="F794" s="646" t="s">
        <v>222</v>
      </c>
      <c r="G794" s="619">
        <f>(20*I794)*13*1.3</f>
        <v>1014</v>
      </c>
      <c r="H794" s="599">
        <v>2</v>
      </c>
      <c r="I794" s="599">
        <v>3</v>
      </c>
      <c r="J794" s="599">
        <v>20</v>
      </c>
      <c r="K794" s="590" t="s">
        <v>256</v>
      </c>
      <c r="L794" s="584">
        <f t="shared" ref="L794:L799" si="99">M794+N794+O794+P794+Q794</f>
        <v>2262353.1100000003</v>
      </c>
      <c r="M794" s="585">
        <v>2224518.2400000002</v>
      </c>
      <c r="N794" s="742">
        <v>37834.870000000003</v>
      </c>
      <c r="O794" s="587"/>
      <c r="P794" s="586"/>
      <c r="Q794" s="586"/>
      <c r="R794" s="599">
        <f t="shared" ref="R794:R799" si="100">M794/G794</f>
        <v>2193.8049704142013</v>
      </c>
      <c r="S794" s="737"/>
      <c r="T794" s="737"/>
      <c r="U794" s="586"/>
      <c r="V794" s="589"/>
      <c r="W794" s="737"/>
      <c r="X794" s="737"/>
      <c r="Y794" s="737"/>
      <c r="Z794" s="737"/>
    </row>
    <row r="795" spans="1:26" s="71" customFormat="1" ht="56.25" hidden="1">
      <c r="A795" s="667">
        <v>2</v>
      </c>
      <c r="B795" s="592" t="s">
        <v>985</v>
      </c>
      <c r="C795" s="593" t="s">
        <v>221</v>
      </c>
      <c r="D795" s="619">
        <v>2816</v>
      </c>
      <c r="E795" s="619">
        <v>586</v>
      </c>
      <c r="F795" s="646" t="s">
        <v>222</v>
      </c>
      <c r="G795" s="619">
        <f>(20*I795)*13*1.3</f>
        <v>676</v>
      </c>
      <c r="H795" s="599">
        <v>2</v>
      </c>
      <c r="I795" s="599">
        <v>2</v>
      </c>
      <c r="J795" s="599">
        <v>16</v>
      </c>
      <c r="K795" s="590" t="s">
        <v>257</v>
      </c>
      <c r="L795" s="584">
        <f t="shared" si="99"/>
        <v>1611594.78</v>
      </c>
      <c r="M795" s="585">
        <v>1586371.53</v>
      </c>
      <c r="N795" s="742">
        <v>25223.25</v>
      </c>
      <c r="O795" s="598"/>
      <c r="P795" s="597"/>
      <c r="Q795" s="586"/>
      <c r="R795" s="599">
        <f t="shared" si="100"/>
        <v>2346.7034467455624</v>
      </c>
      <c r="S795" s="737"/>
      <c r="T795" s="737"/>
      <c r="U795" s="737"/>
      <c r="V795" s="589"/>
      <c r="W795" s="737"/>
      <c r="X795" s="737"/>
      <c r="Y795" s="737"/>
      <c r="Z795" s="737"/>
    </row>
    <row r="796" spans="1:26" s="71" customFormat="1" ht="56.25" hidden="1">
      <c r="A796" s="667">
        <v>3</v>
      </c>
      <c r="B796" s="592" t="s">
        <v>986</v>
      </c>
      <c r="C796" s="593" t="s">
        <v>221</v>
      </c>
      <c r="D796" s="619">
        <v>2263</v>
      </c>
      <c r="E796" s="619">
        <v>660</v>
      </c>
      <c r="F796" s="646" t="s">
        <v>222</v>
      </c>
      <c r="G796" s="619">
        <v>810</v>
      </c>
      <c r="H796" s="599">
        <v>2</v>
      </c>
      <c r="I796" s="599">
        <v>2</v>
      </c>
      <c r="J796" s="599">
        <v>16</v>
      </c>
      <c r="K796" s="590" t="s">
        <v>256</v>
      </c>
      <c r="L796" s="584">
        <f t="shared" si="99"/>
        <v>1063468.19</v>
      </c>
      <c r="M796" s="585">
        <v>1033245.06</v>
      </c>
      <c r="N796" s="742">
        <v>30223.13</v>
      </c>
      <c r="O796" s="598"/>
      <c r="P796" s="597"/>
      <c r="Q796" s="586"/>
      <c r="R796" s="599">
        <f t="shared" si="100"/>
        <v>1275.6111851851851</v>
      </c>
      <c r="S796" s="737"/>
      <c r="T796" s="737"/>
      <c r="U796" s="737"/>
      <c r="V796" s="589"/>
      <c r="W796" s="737"/>
      <c r="X796" s="737"/>
      <c r="Y796" s="737"/>
      <c r="Z796" s="737"/>
    </row>
    <row r="797" spans="1:26" s="71" customFormat="1" ht="56.25" hidden="1">
      <c r="A797" s="667">
        <v>4</v>
      </c>
      <c r="B797" s="592" t="s">
        <v>987</v>
      </c>
      <c r="C797" s="593" t="s">
        <v>221</v>
      </c>
      <c r="D797" s="619">
        <v>1162</v>
      </c>
      <c r="E797" s="619">
        <v>333</v>
      </c>
      <c r="F797" s="646" t="s">
        <v>222</v>
      </c>
      <c r="G797" s="619">
        <f>(20*I797)*13*1.3</f>
        <v>338</v>
      </c>
      <c r="H797" s="599">
        <v>2</v>
      </c>
      <c r="I797" s="599">
        <v>1</v>
      </c>
      <c r="J797" s="599">
        <v>8</v>
      </c>
      <c r="K797" s="590" t="s">
        <v>256</v>
      </c>
      <c r="L797" s="584">
        <f t="shared" si="99"/>
        <v>724946.6</v>
      </c>
      <c r="M797" s="585">
        <v>699723.35</v>
      </c>
      <c r="N797" s="742">
        <v>25223.25</v>
      </c>
      <c r="O797" s="598"/>
      <c r="P797" s="597"/>
      <c r="Q797" s="586"/>
      <c r="R797" s="599">
        <f t="shared" si="100"/>
        <v>2070.187426035503</v>
      </c>
      <c r="S797" s="737"/>
      <c r="T797" s="737"/>
      <c r="U797" s="737"/>
      <c r="V797" s="589"/>
      <c r="W797" s="737"/>
      <c r="X797" s="737"/>
      <c r="Y797" s="737"/>
      <c r="Z797" s="737"/>
    </row>
    <row r="798" spans="1:26" s="71" customFormat="1" ht="56.25" hidden="1">
      <c r="A798" s="667">
        <v>5</v>
      </c>
      <c r="B798" s="592" t="s">
        <v>988</v>
      </c>
      <c r="C798" s="593" t="s">
        <v>221</v>
      </c>
      <c r="D798" s="619">
        <v>2262</v>
      </c>
      <c r="E798" s="619">
        <v>519</v>
      </c>
      <c r="F798" s="646" t="s">
        <v>222</v>
      </c>
      <c r="G798" s="619">
        <f>(20*I798)*13*1.3</f>
        <v>676</v>
      </c>
      <c r="H798" s="599">
        <v>2</v>
      </c>
      <c r="I798" s="599">
        <v>2</v>
      </c>
      <c r="J798" s="599">
        <v>11</v>
      </c>
      <c r="K798" s="590" t="s">
        <v>256</v>
      </c>
      <c r="L798" s="584">
        <f t="shared" si="99"/>
        <v>1509788.0599999998</v>
      </c>
      <c r="M798" s="585">
        <v>1484564.8099999998</v>
      </c>
      <c r="N798" s="742">
        <v>25223.25</v>
      </c>
      <c r="O798" s="598"/>
      <c r="P798" s="597"/>
      <c r="Q798" s="586"/>
      <c r="R798" s="599">
        <f t="shared" si="100"/>
        <v>2196.101789940828</v>
      </c>
      <c r="S798" s="737"/>
      <c r="T798" s="737"/>
      <c r="U798" s="586"/>
      <c r="V798" s="589"/>
      <c r="W798" s="737"/>
      <c r="X798" s="737"/>
      <c r="Y798" s="737"/>
      <c r="Z798" s="737"/>
    </row>
    <row r="799" spans="1:26" s="71" customFormat="1" ht="56.25" hidden="1">
      <c r="A799" s="590">
        <v>6</v>
      </c>
      <c r="B799" s="592" t="s">
        <v>989</v>
      </c>
      <c r="C799" s="593" t="s">
        <v>221</v>
      </c>
      <c r="D799" s="619">
        <v>3658</v>
      </c>
      <c r="E799" s="619">
        <v>736</v>
      </c>
      <c r="F799" s="646" t="s">
        <v>222</v>
      </c>
      <c r="G799" s="619">
        <f>(20*I799)*13*1.3</f>
        <v>1014</v>
      </c>
      <c r="H799" s="599">
        <v>2</v>
      </c>
      <c r="I799" s="599">
        <v>3</v>
      </c>
      <c r="J799" s="599">
        <v>22</v>
      </c>
      <c r="K799" s="590" t="s">
        <v>256</v>
      </c>
      <c r="L799" s="584">
        <f t="shared" si="99"/>
        <v>1918728.2000000004</v>
      </c>
      <c r="M799" s="585">
        <v>1880893.3300000003</v>
      </c>
      <c r="N799" s="742">
        <v>37834.870000000003</v>
      </c>
      <c r="O799" s="598"/>
      <c r="P799" s="597"/>
      <c r="Q799" s="586"/>
      <c r="R799" s="599">
        <f t="shared" si="100"/>
        <v>1854.9243885601581</v>
      </c>
      <c r="S799" s="737"/>
      <c r="T799" s="737"/>
      <c r="U799" s="586"/>
      <c r="V799" s="589"/>
      <c r="W799" s="737"/>
      <c r="X799" s="737"/>
      <c r="Y799" s="737"/>
      <c r="Z799" s="737"/>
    </row>
    <row r="800" spans="1:26" s="28" customFormat="1" hidden="1">
      <c r="A800" s="1349" t="s">
        <v>62</v>
      </c>
      <c r="B800" s="1349"/>
      <c r="C800" s="593" t="s">
        <v>28</v>
      </c>
      <c r="D800" s="646">
        <f>SUM(D794:D799)</f>
        <v>13096.2</v>
      </c>
      <c r="E800" s="646">
        <f>SUM(E794:E799)</f>
        <v>3168</v>
      </c>
      <c r="F800" s="646" t="s">
        <v>28</v>
      </c>
      <c r="G800" s="646">
        <f>SUM(G794:G799)</f>
        <v>4528</v>
      </c>
      <c r="H800" s="582" t="s">
        <v>28</v>
      </c>
      <c r="I800" s="582" t="s">
        <v>28</v>
      </c>
      <c r="J800" s="582">
        <f>SUM(J794:J799)</f>
        <v>93</v>
      </c>
      <c r="K800" s="590" t="s">
        <v>28</v>
      </c>
      <c r="L800" s="584">
        <f>SUM(L794:L799)</f>
        <v>9090878.9399999995</v>
      </c>
      <c r="M800" s="585">
        <f>SUM(M794:M799)</f>
        <v>8909316.3200000003</v>
      </c>
      <c r="N800" s="586">
        <f>SUM(N794:N799)</f>
        <v>181562.62</v>
      </c>
      <c r="O800" s="587"/>
      <c r="P800" s="586"/>
      <c r="Q800" s="586">
        <f>SUM(Q794:Q799)</f>
        <v>0</v>
      </c>
      <c r="R800" s="582" t="s">
        <v>28</v>
      </c>
      <c r="S800" s="586">
        <f>L800-M800-N800-O800-P800-Q800</f>
        <v>-8.149072527885437E-10</v>
      </c>
      <c r="T800" s="645"/>
      <c r="U800" s="701"/>
      <c r="V800" s="589"/>
      <c r="W800" s="592"/>
      <c r="X800" s="592"/>
      <c r="Y800" s="592"/>
      <c r="Z800" s="592"/>
    </row>
    <row r="801" spans="1:26" s="28" customFormat="1" hidden="1">
      <c r="A801" s="1347" t="s">
        <v>63</v>
      </c>
      <c r="B801" s="1347"/>
      <c r="C801" s="1347"/>
      <c r="D801" s="1347"/>
      <c r="E801" s="1347"/>
      <c r="F801" s="1347"/>
      <c r="G801" s="1347"/>
      <c r="H801" s="1347"/>
      <c r="I801" s="1347"/>
      <c r="J801" s="1347"/>
      <c r="K801" s="1347"/>
      <c r="L801" s="1347"/>
      <c r="M801" s="1347"/>
      <c r="N801" s="1347"/>
      <c r="O801" s="1347"/>
      <c r="P801" s="1347"/>
      <c r="Q801" s="1347"/>
      <c r="R801" s="1347"/>
      <c r="S801" s="592"/>
      <c r="T801" s="645"/>
      <c r="U801" s="591"/>
      <c r="V801" s="589"/>
      <c r="W801" s="592"/>
      <c r="X801" s="592"/>
      <c r="Y801" s="592"/>
      <c r="Z801" s="592"/>
    </row>
    <row r="802" spans="1:26" s="536" customFormat="1" hidden="1">
      <c r="A802" s="792">
        <v>1</v>
      </c>
      <c r="B802" s="788" t="s">
        <v>990</v>
      </c>
      <c r="C802" s="744" t="s">
        <v>221</v>
      </c>
      <c r="D802" s="789">
        <f>E802*2.6</f>
        <v>1841.45</v>
      </c>
      <c r="E802" s="789">
        <v>708.25</v>
      </c>
      <c r="F802" s="789" t="s">
        <v>222</v>
      </c>
      <c r="G802" s="739">
        <f>(20*I802)*12*1.2</f>
        <v>864</v>
      </c>
      <c r="H802" s="744">
        <v>2</v>
      </c>
      <c r="I802" s="744">
        <v>3</v>
      </c>
      <c r="J802" s="744">
        <v>22</v>
      </c>
      <c r="K802" s="792" t="s">
        <v>33</v>
      </c>
      <c r="L802" s="584">
        <f>M802+N802+O802+P802+Q802</f>
        <v>1313690.78</v>
      </c>
      <c r="M802" s="741">
        <v>1289459.54</v>
      </c>
      <c r="N802" s="742">
        <v>24231.24</v>
      </c>
      <c r="O802" s="743"/>
      <c r="P802" s="742"/>
      <c r="Q802" s="586"/>
      <c r="R802" s="744">
        <f>M802/G802</f>
        <v>1492.4300231481482</v>
      </c>
      <c r="S802" s="832"/>
      <c r="T802" s="832"/>
      <c r="U802" s="586"/>
      <c r="V802" s="589"/>
      <c r="W802" s="832"/>
      <c r="X802" s="832"/>
      <c r="Y802" s="832"/>
      <c r="Z802" s="832"/>
    </row>
    <row r="803" spans="1:26" s="536" customFormat="1" ht="37.5" hidden="1">
      <c r="A803" s="792">
        <v>2</v>
      </c>
      <c r="B803" s="788" t="s">
        <v>3489</v>
      </c>
      <c r="C803" s="744" t="s">
        <v>221</v>
      </c>
      <c r="D803" s="789">
        <v>3462.6</v>
      </c>
      <c r="E803" s="789">
        <v>624.30999999999995</v>
      </c>
      <c r="F803" s="789" t="s">
        <v>222</v>
      </c>
      <c r="G803" s="739">
        <v>864</v>
      </c>
      <c r="H803" s="744">
        <v>2</v>
      </c>
      <c r="I803" s="744">
        <v>3</v>
      </c>
      <c r="J803" s="744">
        <v>18</v>
      </c>
      <c r="K803" s="792" t="s">
        <v>30</v>
      </c>
      <c r="L803" s="584">
        <f>M803+N803+O803+P803+Q803</f>
        <v>342160.19999999995</v>
      </c>
      <c r="M803" s="741">
        <v>341085.6</v>
      </c>
      <c r="N803" s="742"/>
      <c r="O803" s="743">
        <v>1074.5999999999999</v>
      </c>
      <c r="P803" s="742"/>
      <c r="Q803" s="586"/>
      <c r="R803" s="744">
        <f>M803/J803</f>
        <v>18949.199999999997</v>
      </c>
      <c r="S803" s="832"/>
      <c r="T803" s="832"/>
      <c r="U803" s="586"/>
      <c r="V803" s="589"/>
      <c r="W803" s="832"/>
      <c r="X803" s="832"/>
      <c r="Y803" s="832"/>
      <c r="Z803" s="832"/>
    </row>
    <row r="804" spans="1:26" s="28" customFormat="1" hidden="1">
      <c r="A804" s="1349" t="s">
        <v>122</v>
      </c>
      <c r="B804" s="1349"/>
      <c r="C804" s="593" t="s">
        <v>28</v>
      </c>
      <c r="D804" s="646">
        <f>SUM(D802:D803)</f>
        <v>5304.05</v>
      </c>
      <c r="E804" s="646">
        <f>SUM(E802:E803)</f>
        <v>1332.56</v>
      </c>
      <c r="F804" s="646" t="s">
        <v>28</v>
      </c>
      <c r="G804" s="646">
        <f>SUM(G802:G803)</f>
        <v>1728</v>
      </c>
      <c r="H804" s="582" t="s">
        <v>28</v>
      </c>
      <c r="I804" s="582" t="s">
        <v>28</v>
      </c>
      <c r="J804" s="646">
        <f>SUM(J802:J803)</f>
        <v>40</v>
      </c>
      <c r="K804" s="590" t="s">
        <v>28</v>
      </c>
      <c r="L804" s="584">
        <f t="shared" ref="L804:Q804" si="101">SUM(L802:L803)</f>
        <v>1655850.98</v>
      </c>
      <c r="M804" s="585">
        <f t="shared" si="101"/>
        <v>1630545.1400000001</v>
      </c>
      <c r="N804" s="586">
        <f t="shared" si="101"/>
        <v>24231.24</v>
      </c>
      <c r="O804" s="587">
        <f t="shared" si="101"/>
        <v>1074.5999999999999</v>
      </c>
      <c r="P804" s="646">
        <f t="shared" si="101"/>
        <v>0</v>
      </c>
      <c r="Q804" s="586">
        <f t="shared" si="101"/>
        <v>0</v>
      </c>
      <c r="R804" s="582" t="s">
        <v>28</v>
      </c>
      <c r="S804" s="586">
        <f>L804-M804-N804-O804-P804-Q804</f>
        <v>-1.5052137314341962E-10</v>
      </c>
      <c r="T804" s="645"/>
      <c r="U804" s="701"/>
      <c r="V804" s="589"/>
      <c r="W804" s="592"/>
      <c r="X804" s="592"/>
      <c r="Y804" s="592"/>
      <c r="Z804" s="592"/>
    </row>
    <row r="805" spans="1:26" s="28" customFormat="1" hidden="1">
      <c r="A805" s="1347" t="s">
        <v>65</v>
      </c>
      <c r="B805" s="1347"/>
      <c r="C805" s="1347"/>
      <c r="D805" s="1347"/>
      <c r="E805" s="1347"/>
      <c r="F805" s="1347"/>
      <c r="G805" s="1347"/>
      <c r="H805" s="1347"/>
      <c r="I805" s="1347"/>
      <c r="J805" s="1347"/>
      <c r="K805" s="1347"/>
      <c r="L805" s="1347"/>
      <c r="M805" s="1347"/>
      <c r="N805" s="1347"/>
      <c r="O805" s="1347"/>
      <c r="P805" s="1347"/>
      <c r="Q805" s="1347"/>
      <c r="R805" s="1347"/>
      <c r="S805" s="592"/>
      <c r="T805" s="645"/>
      <c r="U805" s="591"/>
      <c r="V805" s="589"/>
      <c r="W805" s="592"/>
      <c r="X805" s="592"/>
      <c r="Y805" s="592"/>
      <c r="Z805" s="592"/>
    </row>
    <row r="806" spans="1:26" s="537" customFormat="1" hidden="1">
      <c r="A806" s="833">
        <v>1</v>
      </c>
      <c r="B806" s="834" t="s">
        <v>991</v>
      </c>
      <c r="C806" s="744" t="s">
        <v>221</v>
      </c>
      <c r="D806" s="739">
        <v>9478</v>
      </c>
      <c r="E806" s="739">
        <v>1732.2</v>
      </c>
      <c r="F806" s="646" t="s">
        <v>233</v>
      </c>
      <c r="G806" s="739">
        <v>615</v>
      </c>
      <c r="H806" s="835">
        <v>5</v>
      </c>
      <c r="I806" s="835">
        <v>4</v>
      </c>
      <c r="J806" s="835">
        <v>45</v>
      </c>
      <c r="K806" s="792" t="s">
        <v>238</v>
      </c>
      <c r="L806" s="740">
        <f t="shared" ref="L806:L818" si="102">M806+N806+O806+P806+Q806</f>
        <v>1375515</v>
      </c>
      <c r="M806" s="741">
        <v>1348650</v>
      </c>
      <c r="N806" s="742">
        <v>26865</v>
      </c>
      <c r="O806" s="743"/>
      <c r="P806" s="742"/>
      <c r="Q806" s="586"/>
      <c r="R806" s="744">
        <f>M806/J806</f>
        <v>29970</v>
      </c>
      <c r="S806" s="836"/>
      <c r="T806" s="837"/>
      <c r="U806" s="836"/>
      <c r="V806" s="589"/>
      <c r="W806" s="836"/>
      <c r="X806" s="836"/>
      <c r="Y806" s="836"/>
      <c r="Z806" s="836"/>
    </row>
    <row r="807" spans="1:26" s="537" customFormat="1" hidden="1">
      <c r="A807" s="833">
        <f>A806+1</f>
        <v>2</v>
      </c>
      <c r="B807" s="592" t="s">
        <v>992</v>
      </c>
      <c r="C807" s="744" t="s">
        <v>221</v>
      </c>
      <c r="D807" s="646">
        <v>13045</v>
      </c>
      <c r="E807" s="646">
        <v>2552</v>
      </c>
      <c r="F807" s="646" t="s">
        <v>233</v>
      </c>
      <c r="G807" s="646">
        <v>880.7</v>
      </c>
      <c r="H807" s="835">
        <v>5</v>
      </c>
      <c r="I807" s="835">
        <v>4</v>
      </c>
      <c r="J807" s="582">
        <v>64</v>
      </c>
      <c r="K807" s="792" t="s">
        <v>33</v>
      </c>
      <c r="L807" s="740">
        <f t="shared" si="102"/>
        <v>1933636.24</v>
      </c>
      <c r="M807" s="741">
        <v>1927852.3</v>
      </c>
      <c r="N807" s="742"/>
      <c r="O807" s="736">
        <v>5783.94</v>
      </c>
      <c r="P807" s="742"/>
      <c r="Q807" s="586"/>
      <c r="R807" s="744">
        <f t="shared" ref="R807:R814" si="103">M807/G807</f>
        <v>2189</v>
      </c>
      <c r="S807" s="836"/>
      <c r="T807" s="837"/>
      <c r="U807" s="836"/>
      <c r="V807" s="589"/>
      <c r="W807" s="836"/>
      <c r="X807" s="836"/>
      <c r="Y807" s="836"/>
      <c r="Z807" s="836"/>
    </row>
    <row r="808" spans="1:26" s="537" customFormat="1" ht="37.5" hidden="1">
      <c r="A808" s="833">
        <f t="shared" ref="A808:A831" si="104">A807+1</f>
        <v>3</v>
      </c>
      <c r="B808" s="834" t="s">
        <v>993</v>
      </c>
      <c r="C808" s="744" t="s">
        <v>221</v>
      </c>
      <c r="D808" s="789">
        <v>2779</v>
      </c>
      <c r="E808" s="789">
        <v>624.4</v>
      </c>
      <c r="F808" s="789" t="s">
        <v>222</v>
      </c>
      <c r="G808" s="789">
        <v>576</v>
      </c>
      <c r="H808" s="744">
        <v>2</v>
      </c>
      <c r="I808" s="744">
        <v>2</v>
      </c>
      <c r="J808" s="744">
        <v>16</v>
      </c>
      <c r="K808" s="590" t="s">
        <v>236</v>
      </c>
      <c r="L808" s="584">
        <f t="shared" si="102"/>
        <v>1467216</v>
      </c>
      <c r="M808" s="741">
        <v>1438560</v>
      </c>
      <c r="N808" s="586">
        <v>28656</v>
      </c>
      <c r="O808" s="743"/>
      <c r="P808" s="742"/>
      <c r="Q808" s="586"/>
      <c r="R808" s="744">
        <f t="shared" si="103"/>
        <v>2497.5</v>
      </c>
      <c r="S808" s="836" t="s">
        <v>3653</v>
      </c>
      <c r="T808" s="837"/>
      <c r="U808" s="586"/>
      <c r="V808" s="589"/>
      <c r="W808" s="836"/>
      <c r="X808" s="836"/>
      <c r="Y808" s="836"/>
      <c r="Z808" s="836"/>
    </row>
    <row r="809" spans="1:26" s="537" customFormat="1" hidden="1">
      <c r="A809" s="833">
        <f t="shared" si="104"/>
        <v>4</v>
      </c>
      <c r="B809" s="834" t="s">
        <v>994</v>
      </c>
      <c r="C809" s="744" t="s">
        <v>221</v>
      </c>
      <c r="D809" s="739">
        <v>1457</v>
      </c>
      <c r="E809" s="739">
        <v>372.96</v>
      </c>
      <c r="F809" s="807" t="s">
        <v>222</v>
      </c>
      <c r="G809" s="739">
        <v>340.8</v>
      </c>
      <c r="H809" s="835">
        <v>2</v>
      </c>
      <c r="I809" s="835">
        <v>1</v>
      </c>
      <c r="J809" s="835">
        <v>6</v>
      </c>
      <c r="K809" s="792" t="s">
        <v>33</v>
      </c>
      <c r="L809" s="740">
        <f t="shared" si="102"/>
        <v>986516.77</v>
      </c>
      <c r="M809" s="741">
        <v>953285.76</v>
      </c>
      <c r="N809" s="742">
        <v>33231.01</v>
      </c>
      <c r="O809" s="743"/>
      <c r="P809" s="742"/>
      <c r="Q809" s="586"/>
      <c r="R809" s="744">
        <f t="shared" si="103"/>
        <v>2797.2</v>
      </c>
      <c r="S809" s="836" t="s">
        <v>3653</v>
      </c>
      <c r="T809" s="837"/>
      <c r="U809" s="586"/>
      <c r="V809" s="589"/>
      <c r="W809" s="836"/>
      <c r="X809" s="836"/>
      <c r="Y809" s="836"/>
      <c r="Z809" s="836"/>
    </row>
    <row r="810" spans="1:26" s="537" customFormat="1" hidden="1">
      <c r="A810" s="833">
        <f t="shared" si="104"/>
        <v>5</v>
      </c>
      <c r="B810" s="834" t="s">
        <v>995</v>
      </c>
      <c r="C810" s="744" t="s">
        <v>221</v>
      </c>
      <c r="D810" s="739">
        <v>4081</v>
      </c>
      <c r="E810" s="739">
        <v>1019.1</v>
      </c>
      <c r="F810" s="646" t="s">
        <v>233</v>
      </c>
      <c r="G810" s="739">
        <v>324.48</v>
      </c>
      <c r="H810" s="835">
        <v>5</v>
      </c>
      <c r="I810" s="835">
        <v>1</v>
      </c>
      <c r="J810" s="835">
        <v>15</v>
      </c>
      <c r="K810" s="838" t="s">
        <v>252</v>
      </c>
      <c r="L810" s="740">
        <f t="shared" si="102"/>
        <v>1010520.27</v>
      </c>
      <c r="M810" s="741">
        <v>978234.51</v>
      </c>
      <c r="N810" s="742">
        <v>32285.759999999998</v>
      </c>
      <c r="O810" s="743"/>
      <c r="P810" s="742"/>
      <c r="Q810" s="586"/>
      <c r="R810" s="582">
        <f t="shared" si="103"/>
        <v>3014.7759800295858</v>
      </c>
      <c r="S810" s="836"/>
      <c r="T810" s="837"/>
      <c r="U810" s="836"/>
      <c r="V810" s="589"/>
      <c r="W810" s="836"/>
      <c r="X810" s="836"/>
      <c r="Y810" s="836"/>
      <c r="Z810" s="836"/>
    </row>
    <row r="811" spans="1:26" s="537" customFormat="1" hidden="1">
      <c r="A811" s="833">
        <f t="shared" si="104"/>
        <v>6</v>
      </c>
      <c r="B811" s="592" t="s">
        <v>996</v>
      </c>
      <c r="C811" s="744" t="s">
        <v>221</v>
      </c>
      <c r="D811" s="646">
        <v>12258</v>
      </c>
      <c r="E811" s="646">
        <v>2487</v>
      </c>
      <c r="F811" s="807" t="s">
        <v>222</v>
      </c>
      <c r="G811" s="646">
        <v>1683</v>
      </c>
      <c r="H811" s="835">
        <v>5</v>
      </c>
      <c r="I811" s="835">
        <v>4</v>
      </c>
      <c r="J811" s="582">
        <v>76</v>
      </c>
      <c r="K811" s="792" t="s">
        <v>33</v>
      </c>
      <c r="L811" s="740">
        <f t="shared" si="102"/>
        <v>4633176.59</v>
      </c>
      <c r="M811" s="741">
        <v>4595666.08</v>
      </c>
      <c r="N811" s="742">
        <v>37510.51</v>
      </c>
      <c r="O811" s="743"/>
      <c r="P811" s="742"/>
      <c r="Q811" s="586"/>
      <c r="R811" s="744">
        <f t="shared" si="103"/>
        <v>2730.6393820558528</v>
      </c>
      <c r="S811" s="836"/>
      <c r="T811" s="837"/>
      <c r="U811" s="836"/>
      <c r="V811" s="589"/>
      <c r="W811" s="836"/>
      <c r="X811" s="836"/>
      <c r="Y811" s="836"/>
      <c r="Z811" s="836"/>
    </row>
    <row r="812" spans="1:26" s="537" customFormat="1" hidden="1">
      <c r="A812" s="833">
        <f t="shared" si="104"/>
        <v>7</v>
      </c>
      <c r="B812" s="839" t="s">
        <v>997</v>
      </c>
      <c r="C812" s="744" t="s">
        <v>221</v>
      </c>
      <c r="D812" s="739">
        <v>27006</v>
      </c>
      <c r="E812" s="739">
        <v>3937.8</v>
      </c>
      <c r="F812" s="646" t="s">
        <v>233</v>
      </c>
      <c r="G812" s="739">
        <v>1731</v>
      </c>
      <c r="H812" s="835">
        <v>5</v>
      </c>
      <c r="I812" s="835">
        <v>7</v>
      </c>
      <c r="J812" s="835">
        <v>105</v>
      </c>
      <c r="K812" s="792" t="s">
        <v>33</v>
      </c>
      <c r="L812" s="740">
        <f t="shared" si="102"/>
        <v>3250333.39</v>
      </c>
      <c r="M812" s="741">
        <v>3238965.52</v>
      </c>
      <c r="N812" s="742"/>
      <c r="O812" s="736">
        <v>11367.87</v>
      </c>
      <c r="P812" s="742"/>
      <c r="Q812" s="586"/>
      <c r="R812" s="744">
        <f t="shared" si="103"/>
        <v>1871.1528134026573</v>
      </c>
      <c r="S812" s="836"/>
      <c r="T812" s="837"/>
      <c r="U812" s="586"/>
      <c r="V812" s="589"/>
      <c r="W812" s="836"/>
      <c r="X812" s="836"/>
      <c r="Y812" s="836"/>
      <c r="Z812" s="836"/>
    </row>
    <row r="813" spans="1:26" s="537" customFormat="1" hidden="1">
      <c r="A813" s="833">
        <f t="shared" si="104"/>
        <v>8</v>
      </c>
      <c r="B813" s="839" t="s">
        <v>998</v>
      </c>
      <c r="C813" s="744" t="s">
        <v>221</v>
      </c>
      <c r="D813" s="739">
        <v>7894</v>
      </c>
      <c r="E813" s="739">
        <v>1341.6</v>
      </c>
      <c r="F813" s="646" t="s">
        <v>233</v>
      </c>
      <c r="G813" s="739">
        <v>558</v>
      </c>
      <c r="H813" s="835">
        <v>5</v>
      </c>
      <c r="I813" s="835">
        <v>2</v>
      </c>
      <c r="J813" s="835">
        <v>30</v>
      </c>
      <c r="K813" s="792" t="s">
        <v>33</v>
      </c>
      <c r="L813" s="740">
        <f t="shared" si="102"/>
        <v>1225126.58</v>
      </c>
      <c r="M813" s="741">
        <v>1221462</v>
      </c>
      <c r="N813" s="742"/>
      <c r="O813" s="736">
        <v>3664.58</v>
      </c>
      <c r="P813" s="742"/>
      <c r="Q813" s="586"/>
      <c r="R813" s="744">
        <f t="shared" si="103"/>
        <v>2189</v>
      </c>
      <c r="S813" s="836"/>
      <c r="T813" s="837"/>
      <c r="U813" s="836"/>
      <c r="V813" s="589"/>
      <c r="W813" s="836"/>
      <c r="X813" s="836"/>
      <c r="Y813" s="836"/>
      <c r="Z813" s="836"/>
    </row>
    <row r="814" spans="1:26" s="537" customFormat="1" hidden="1">
      <c r="A814" s="833">
        <f t="shared" si="104"/>
        <v>9</v>
      </c>
      <c r="B814" s="834" t="s">
        <v>999</v>
      </c>
      <c r="C814" s="744" t="s">
        <v>221</v>
      </c>
      <c r="D814" s="739">
        <v>1085</v>
      </c>
      <c r="E814" s="739">
        <v>329.52</v>
      </c>
      <c r="F814" s="807" t="s">
        <v>222</v>
      </c>
      <c r="G814" s="739">
        <v>312</v>
      </c>
      <c r="H814" s="835">
        <v>2</v>
      </c>
      <c r="I814" s="835">
        <v>1</v>
      </c>
      <c r="J814" s="835">
        <v>4</v>
      </c>
      <c r="K814" s="792" t="s">
        <v>33</v>
      </c>
      <c r="L814" s="740">
        <f t="shared" si="102"/>
        <v>907495.68</v>
      </c>
      <c r="M814" s="741">
        <v>872726.4</v>
      </c>
      <c r="N814" s="742">
        <v>34769.279999999999</v>
      </c>
      <c r="O814" s="743"/>
      <c r="P814" s="742"/>
      <c r="Q814" s="586"/>
      <c r="R814" s="744">
        <f t="shared" si="103"/>
        <v>2797.2000000000003</v>
      </c>
      <c r="S814" s="836"/>
      <c r="T814" s="837"/>
      <c r="U814" s="836"/>
      <c r="V814" s="589"/>
      <c r="W814" s="836"/>
      <c r="X814" s="836"/>
      <c r="Y814" s="836"/>
      <c r="Z814" s="836"/>
    </row>
    <row r="815" spans="1:26" s="537" customFormat="1" hidden="1">
      <c r="A815" s="833">
        <f t="shared" si="104"/>
        <v>10</v>
      </c>
      <c r="B815" s="834" t="s">
        <v>1000</v>
      </c>
      <c r="C815" s="744" t="s">
        <v>221</v>
      </c>
      <c r="D815" s="739">
        <v>2331</v>
      </c>
      <c r="E815" s="739">
        <v>584.52</v>
      </c>
      <c r="F815" s="807" t="s">
        <v>222</v>
      </c>
      <c r="G815" s="739">
        <v>842.4</v>
      </c>
      <c r="H815" s="835">
        <v>2</v>
      </c>
      <c r="I815" s="835">
        <v>3</v>
      </c>
      <c r="J815" s="835">
        <v>12</v>
      </c>
      <c r="K815" s="590" t="s">
        <v>245</v>
      </c>
      <c r="L815" s="740">
        <f t="shared" si="102"/>
        <v>168484.68000000002</v>
      </c>
      <c r="M815" s="741">
        <v>167983.2</v>
      </c>
      <c r="N815" s="742"/>
      <c r="O815" s="736">
        <v>501.48</v>
      </c>
      <c r="P815" s="742"/>
      <c r="Q815" s="586"/>
      <c r="R815" s="744">
        <f>M815/J815</f>
        <v>13998.6</v>
      </c>
      <c r="S815" s="836"/>
      <c r="T815" s="837"/>
      <c r="U815" s="836"/>
      <c r="V815" s="589"/>
      <c r="W815" s="836"/>
      <c r="X815" s="836"/>
      <c r="Y815" s="836"/>
      <c r="Z815" s="836"/>
    </row>
    <row r="816" spans="1:26" s="537" customFormat="1" hidden="1">
      <c r="A816" s="833">
        <f t="shared" si="104"/>
        <v>11</v>
      </c>
      <c r="B816" s="839" t="s">
        <v>1001</v>
      </c>
      <c r="C816" s="744" t="s">
        <v>221</v>
      </c>
      <c r="D816" s="739">
        <v>15969</v>
      </c>
      <c r="E816" s="739">
        <v>2123.4</v>
      </c>
      <c r="F816" s="646" t="s">
        <v>233</v>
      </c>
      <c r="G816" s="739">
        <v>1006</v>
      </c>
      <c r="H816" s="835">
        <v>5</v>
      </c>
      <c r="I816" s="835">
        <v>4</v>
      </c>
      <c r="J816" s="835">
        <v>60</v>
      </c>
      <c r="K816" s="792" t="s">
        <v>33</v>
      </c>
      <c r="L816" s="740">
        <f t="shared" si="102"/>
        <v>2208740.7999999998</v>
      </c>
      <c r="M816" s="741">
        <v>2202134</v>
      </c>
      <c r="N816" s="742"/>
      <c r="O816" s="736">
        <v>6606.8</v>
      </c>
      <c r="P816" s="742"/>
      <c r="Q816" s="586"/>
      <c r="R816" s="744">
        <f>M816/G816</f>
        <v>2189</v>
      </c>
      <c r="S816" s="836"/>
      <c r="T816" s="837"/>
      <c r="U816" s="836"/>
      <c r="V816" s="589"/>
      <c r="W816" s="836"/>
      <c r="X816" s="836"/>
      <c r="Y816" s="836"/>
      <c r="Z816" s="836"/>
    </row>
    <row r="817" spans="1:26" s="537" customFormat="1" hidden="1">
      <c r="A817" s="833">
        <f t="shared" si="104"/>
        <v>12</v>
      </c>
      <c r="B817" s="592" t="s">
        <v>1002</v>
      </c>
      <c r="C817" s="744" t="s">
        <v>221</v>
      </c>
      <c r="D817" s="619">
        <v>13150</v>
      </c>
      <c r="E817" s="789">
        <v>2575.9999999999995</v>
      </c>
      <c r="F817" s="807" t="s">
        <v>222</v>
      </c>
      <c r="G817" s="789">
        <v>1217.8</v>
      </c>
      <c r="H817" s="835">
        <v>5</v>
      </c>
      <c r="I817" s="835">
        <v>4</v>
      </c>
      <c r="J817" s="599">
        <v>65</v>
      </c>
      <c r="K817" s="792" t="s">
        <v>33</v>
      </c>
      <c r="L817" s="740">
        <f t="shared" si="102"/>
        <v>3440357.6699999995</v>
      </c>
      <c r="M817" s="741">
        <v>3406430.1599999997</v>
      </c>
      <c r="N817" s="742">
        <v>33927.51</v>
      </c>
      <c r="O817" s="743"/>
      <c r="P817" s="742"/>
      <c r="Q817" s="586"/>
      <c r="R817" s="744">
        <f>M817/G817</f>
        <v>2797.2</v>
      </c>
      <c r="S817" s="836"/>
      <c r="T817" s="837"/>
      <c r="U817" s="586"/>
      <c r="V817" s="589"/>
      <c r="W817" s="836"/>
      <c r="X817" s="836"/>
      <c r="Y817" s="836"/>
      <c r="Z817" s="836"/>
    </row>
    <row r="818" spans="1:26" s="537" customFormat="1" hidden="1">
      <c r="A818" s="833">
        <f t="shared" si="104"/>
        <v>13</v>
      </c>
      <c r="B818" s="592" t="s">
        <v>1003</v>
      </c>
      <c r="C818" s="744" t="s">
        <v>221</v>
      </c>
      <c r="D818" s="619">
        <v>12791</v>
      </c>
      <c r="E818" s="789">
        <v>2575.9999999999995</v>
      </c>
      <c r="F818" s="807" t="s">
        <v>222</v>
      </c>
      <c r="G818" s="789">
        <v>1162.4000000000001</v>
      </c>
      <c r="H818" s="835">
        <v>5</v>
      </c>
      <c r="I818" s="835">
        <v>4</v>
      </c>
      <c r="J818" s="599">
        <v>70</v>
      </c>
      <c r="K818" s="792" t="s">
        <v>33</v>
      </c>
      <c r="L818" s="740">
        <f t="shared" si="102"/>
        <v>3608346.1399999997</v>
      </c>
      <c r="M818" s="741">
        <f>3251465.28+324496.6</f>
        <v>3575961.88</v>
      </c>
      <c r="N818" s="742">
        <v>32384.26</v>
      </c>
      <c r="O818" s="743"/>
      <c r="P818" s="742"/>
      <c r="Q818" s="586"/>
      <c r="R818" s="744">
        <f>M818/G818</f>
        <v>3076.3608740536815</v>
      </c>
      <c r="S818" s="836"/>
      <c r="T818" s="837"/>
      <c r="U818" s="836"/>
      <c r="V818" s="589"/>
      <c r="W818" s="836"/>
      <c r="X818" s="836"/>
      <c r="Y818" s="836"/>
      <c r="Z818" s="836"/>
    </row>
    <row r="819" spans="1:26" s="537" customFormat="1" hidden="1">
      <c r="A819" s="833">
        <f t="shared" si="104"/>
        <v>14</v>
      </c>
      <c r="B819" s="834" t="s">
        <v>1004</v>
      </c>
      <c r="C819" s="744" t="s">
        <v>221</v>
      </c>
      <c r="D819" s="739">
        <v>13037</v>
      </c>
      <c r="E819" s="739">
        <v>1018.2</v>
      </c>
      <c r="F819" s="646" t="s">
        <v>222</v>
      </c>
      <c r="G819" s="739">
        <v>1162.24</v>
      </c>
      <c r="H819" s="835">
        <v>5</v>
      </c>
      <c r="I819" s="835">
        <v>4</v>
      </c>
      <c r="J819" s="835">
        <v>60</v>
      </c>
      <c r="K819" s="792" t="s">
        <v>238</v>
      </c>
      <c r="L819" s="1351">
        <f>M819+N819+O819+P819+Q819+M820+N820+O820+P820+Q820</f>
        <v>1820676</v>
      </c>
      <c r="M819" s="741">
        <v>854000</v>
      </c>
      <c r="N819" s="742">
        <v>26865</v>
      </c>
      <c r="O819" s="743"/>
      <c r="P819" s="742"/>
      <c r="Q819" s="586"/>
      <c r="R819" s="744">
        <f>M819/J819</f>
        <v>14233.333333333334</v>
      </c>
      <c r="S819" s="836"/>
      <c r="T819" s="837"/>
      <c r="U819" s="836"/>
      <c r="V819" s="589"/>
      <c r="W819" s="836"/>
      <c r="X819" s="836"/>
      <c r="Y819" s="836"/>
      <c r="Z819" s="836"/>
    </row>
    <row r="820" spans="1:26" s="168" customFormat="1" hidden="1">
      <c r="A820" s="833"/>
      <c r="B820" s="834"/>
      <c r="C820" s="744"/>
      <c r="D820" s="739"/>
      <c r="E820" s="739"/>
      <c r="F820" s="646"/>
      <c r="G820" s="739"/>
      <c r="H820" s="835"/>
      <c r="I820" s="835"/>
      <c r="J820" s="835"/>
      <c r="K820" s="792" t="s">
        <v>245</v>
      </c>
      <c r="L820" s="1351"/>
      <c r="M820" s="741">
        <v>937000</v>
      </c>
      <c r="N820" s="742"/>
      <c r="O820" s="743">
        <v>2811</v>
      </c>
      <c r="P820" s="742"/>
      <c r="Q820" s="586"/>
      <c r="R820" s="744">
        <f>M820/J819</f>
        <v>15616.666666666666</v>
      </c>
      <c r="S820" s="836"/>
      <c r="T820" s="837"/>
      <c r="U820" s="836"/>
      <c r="V820" s="589"/>
      <c r="W820" s="836"/>
      <c r="X820" s="836"/>
      <c r="Y820" s="836"/>
      <c r="Z820" s="836"/>
    </row>
    <row r="821" spans="1:26" s="537" customFormat="1" hidden="1">
      <c r="A821" s="833">
        <f>A819+1</f>
        <v>15</v>
      </c>
      <c r="B821" s="592" t="s">
        <v>1005</v>
      </c>
      <c r="C821" s="744" t="s">
        <v>221</v>
      </c>
      <c r="D821" s="646">
        <v>15236</v>
      </c>
      <c r="E821" s="646">
        <v>2805</v>
      </c>
      <c r="F821" s="807" t="s">
        <v>233</v>
      </c>
      <c r="G821" s="646">
        <v>1165</v>
      </c>
      <c r="H821" s="835">
        <v>5</v>
      </c>
      <c r="I821" s="835">
        <v>5</v>
      </c>
      <c r="J821" s="582">
        <v>75</v>
      </c>
      <c r="K821" s="792" t="s">
        <v>33</v>
      </c>
      <c r="L821" s="740">
        <f t="shared" ref="L821:L831" si="105">M821+N821+O821+P821+Q821</f>
        <v>2570394.2600000002</v>
      </c>
      <c r="M821" s="741">
        <v>2562743.7000000002</v>
      </c>
      <c r="N821" s="742"/>
      <c r="O821" s="736">
        <v>7650.56</v>
      </c>
      <c r="P821" s="742"/>
      <c r="Q821" s="586"/>
      <c r="R821" s="744">
        <f>M821/G821</f>
        <v>2199.7800000000002</v>
      </c>
      <c r="S821" s="836"/>
      <c r="T821" s="837"/>
      <c r="U821" s="836"/>
      <c r="V821" s="589"/>
      <c r="W821" s="836"/>
      <c r="X821" s="836"/>
      <c r="Y821" s="836"/>
      <c r="Z821" s="836"/>
    </row>
    <row r="822" spans="1:26" s="537" customFormat="1" hidden="1">
      <c r="A822" s="833">
        <f t="shared" si="104"/>
        <v>16</v>
      </c>
      <c r="B822" s="840" t="s">
        <v>1006</v>
      </c>
      <c r="C822" s="744" t="s">
        <v>221</v>
      </c>
      <c r="D822" s="841">
        <v>7162</v>
      </c>
      <c r="E822" s="841">
        <v>1234</v>
      </c>
      <c r="F822" s="807" t="s">
        <v>222</v>
      </c>
      <c r="G822" s="619">
        <v>965</v>
      </c>
      <c r="H822" s="744">
        <v>3</v>
      </c>
      <c r="I822" s="744">
        <v>3</v>
      </c>
      <c r="J822" s="744">
        <v>33</v>
      </c>
      <c r="K822" s="792" t="s">
        <v>33</v>
      </c>
      <c r="L822" s="740">
        <f t="shared" si="105"/>
        <v>2726182.9</v>
      </c>
      <c r="M822" s="741">
        <v>2699298</v>
      </c>
      <c r="N822" s="742">
        <v>26884.9</v>
      </c>
      <c r="O822" s="743"/>
      <c r="P822" s="742"/>
      <c r="Q822" s="586"/>
      <c r="R822" s="744">
        <f>M822/G822</f>
        <v>2797.2</v>
      </c>
      <c r="S822" s="836"/>
      <c r="T822" s="837"/>
      <c r="U822" s="586"/>
      <c r="V822" s="589"/>
      <c r="W822" s="836"/>
      <c r="X822" s="836"/>
      <c r="Y822" s="836"/>
      <c r="Z822" s="836"/>
    </row>
    <row r="823" spans="1:26" s="537" customFormat="1" hidden="1">
      <c r="A823" s="833">
        <f t="shared" si="104"/>
        <v>17</v>
      </c>
      <c r="B823" s="840" t="s">
        <v>1007</v>
      </c>
      <c r="C823" s="744" t="s">
        <v>221</v>
      </c>
      <c r="D823" s="841">
        <v>2662</v>
      </c>
      <c r="E823" s="841">
        <v>602</v>
      </c>
      <c r="F823" s="807" t="s">
        <v>222</v>
      </c>
      <c r="G823" s="619">
        <v>576</v>
      </c>
      <c r="H823" s="744">
        <v>2</v>
      </c>
      <c r="I823" s="744">
        <v>2</v>
      </c>
      <c r="J823" s="744">
        <v>16</v>
      </c>
      <c r="K823" s="792" t="s">
        <v>33</v>
      </c>
      <c r="L823" s="740">
        <f t="shared" si="105"/>
        <v>1742709.3</v>
      </c>
      <c r="M823" s="741">
        <f>1611187.2+99427.38</f>
        <v>1710614.58</v>
      </c>
      <c r="N823" s="742">
        <v>32094.720000000001</v>
      </c>
      <c r="O823" s="743"/>
      <c r="P823" s="742"/>
      <c r="Q823" s="586"/>
      <c r="R823" s="744">
        <f>M823/G823</f>
        <v>2969.8169791666669</v>
      </c>
      <c r="S823" s="836"/>
      <c r="T823" s="837"/>
      <c r="U823" s="586"/>
      <c r="V823" s="589"/>
      <c r="W823" s="836"/>
      <c r="X823" s="836"/>
      <c r="Y823" s="836"/>
      <c r="Z823" s="836"/>
    </row>
    <row r="824" spans="1:26" s="537" customFormat="1" hidden="1">
      <c r="A824" s="833">
        <f t="shared" si="104"/>
        <v>18</v>
      </c>
      <c r="B824" s="592" t="s">
        <v>1008</v>
      </c>
      <c r="C824" s="744" t="s">
        <v>221</v>
      </c>
      <c r="D824" s="739">
        <v>1752</v>
      </c>
      <c r="E824" s="739">
        <v>760.2</v>
      </c>
      <c r="F824" s="807" t="s">
        <v>222</v>
      </c>
      <c r="G824" s="789">
        <v>802</v>
      </c>
      <c r="H824" s="744">
        <v>2</v>
      </c>
      <c r="I824" s="744">
        <v>3</v>
      </c>
      <c r="J824" s="744">
        <v>24</v>
      </c>
      <c r="K824" s="792" t="s">
        <v>238</v>
      </c>
      <c r="L824" s="740">
        <f t="shared" si="105"/>
        <v>744354</v>
      </c>
      <c r="M824" s="741">
        <v>719280</v>
      </c>
      <c r="N824" s="742">
        <v>25074</v>
      </c>
      <c r="O824" s="743"/>
      <c r="P824" s="742"/>
      <c r="Q824" s="586"/>
      <c r="R824" s="744">
        <f>M824/J824</f>
        <v>29970</v>
      </c>
      <c r="S824" s="836"/>
      <c r="T824" s="837"/>
      <c r="U824" s="836"/>
      <c r="V824" s="589"/>
      <c r="W824" s="836"/>
      <c r="X824" s="836"/>
      <c r="Y824" s="836"/>
      <c r="Z824" s="836"/>
    </row>
    <row r="825" spans="1:26" s="537" customFormat="1" hidden="1">
      <c r="A825" s="833">
        <f t="shared" si="104"/>
        <v>19</v>
      </c>
      <c r="B825" s="592" t="s">
        <v>1009</v>
      </c>
      <c r="C825" s="744" t="s">
        <v>221</v>
      </c>
      <c r="D825" s="739">
        <v>1066</v>
      </c>
      <c r="E825" s="739">
        <v>240</v>
      </c>
      <c r="F825" s="807" t="s">
        <v>222</v>
      </c>
      <c r="G825" s="789">
        <v>320</v>
      </c>
      <c r="H825" s="744">
        <v>2</v>
      </c>
      <c r="I825" s="744">
        <v>1</v>
      </c>
      <c r="J825" s="744">
        <v>4</v>
      </c>
      <c r="K825" s="792" t="s">
        <v>33</v>
      </c>
      <c r="L825" s="740">
        <f t="shared" si="105"/>
        <v>731315.19999999995</v>
      </c>
      <c r="M825" s="741">
        <v>703296</v>
      </c>
      <c r="N825" s="742">
        <v>28019.200000000001</v>
      </c>
      <c r="O825" s="743"/>
      <c r="P825" s="742"/>
      <c r="Q825" s="586"/>
      <c r="R825" s="744">
        <f>M825/G825</f>
        <v>2197.8000000000002</v>
      </c>
      <c r="S825" s="836"/>
      <c r="T825" s="837"/>
      <c r="U825" s="836"/>
      <c r="V825" s="589"/>
      <c r="W825" s="836"/>
      <c r="X825" s="836"/>
      <c r="Y825" s="836"/>
      <c r="Z825" s="836"/>
    </row>
    <row r="826" spans="1:26" s="537" customFormat="1" hidden="1">
      <c r="A826" s="833">
        <f t="shared" si="104"/>
        <v>20</v>
      </c>
      <c r="B826" s="592" t="s">
        <v>1010</v>
      </c>
      <c r="C826" s="744"/>
      <c r="D826" s="739">
        <v>936</v>
      </c>
      <c r="E826" s="739">
        <v>312</v>
      </c>
      <c r="F826" s="807" t="s">
        <v>222</v>
      </c>
      <c r="G826" s="789">
        <v>527</v>
      </c>
      <c r="H826" s="744">
        <v>2</v>
      </c>
      <c r="I826" s="744">
        <v>1</v>
      </c>
      <c r="J826" s="744">
        <v>15</v>
      </c>
      <c r="K826" s="792" t="s">
        <v>33</v>
      </c>
      <c r="L826" s="740">
        <f t="shared" si="105"/>
        <v>1302666.4999999998</v>
      </c>
      <c r="M826" s="741">
        <v>1281260.0699999998</v>
      </c>
      <c r="N826" s="742">
        <v>21406.43</v>
      </c>
      <c r="O826" s="743"/>
      <c r="P826" s="742"/>
      <c r="Q826" s="586"/>
      <c r="R826" s="744">
        <f>M826/G839</f>
        <v>2053.3013942307689</v>
      </c>
      <c r="S826" s="836"/>
      <c r="T826" s="837"/>
      <c r="U826" s="586"/>
      <c r="V826" s="589"/>
      <c r="W826" s="836"/>
      <c r="X826" s="836"/>
      <c r="Y826" s="836"/>
      <c r="Z826" s="836"/>
    </row>
    <row r="827" spans="1:26" s="246" customFormat="1" hidden="1">
      <c r="A827" s="833">
        <f t="shared" si="104"/>
        <v>21</v>
      </c>
      <c r="B827" s="592" t="s">
        <v>4095</v>
      </c>
      <c r="C827" s="744" t="s">
        <v>221</v>
      </c>
      <c r="D827" s="619">
        <v>2404</v>
      </c>
      <c r="E827" s="619">
        <v>480</v>
      </c>
      <c r="F827" s="807" t="s">
        <v>222</v>
      </c>
      <c r="G827" s="739">
        <v>561.6</v>
      </c>
      <c r="H827" s="582">
        <v>2</v>
      </c>
      <c r="I827" s="582">
        <v>2</v>
      </c>
      <c r="J827" s="582">
        <v>16</v>
      </c>
      <c r="K827" s="792" t="s">
        <v>33</v>
      </c>
      <c r="L827" s="740">
        <f t="shared" si="105"/>
        <v>1287396.1599999999</v>
      </c>
      <c r="M827" s="741">
        <v>1262250.52</v>
      </c>
      <c r="N827" s="742">
        <v>25145.64</v>
      </c>
      <c r="O827" s="587"/>
      <c r="P827" s="586"/>
      <c r="Q827" s="586"/>
      <c r="R827" s="744">
        <f>M827/G827</f>
        <v>2247.5970797720797</v>
      </c>
      <c r="S827" s="591"/>
      <c r="T827" s="837"/>
      <c r="U827" s="586"/>
      <c r="V827" s="589"/>
      <c r="W827" s="591"/>
      <c r="X827" s="591"/>
      <c r="Y827" s="591"/>
      <c r="Z827" s="591"/>
    </row>
    <row r="828" spans="1:26" s="246" customFormat="1" hidden="1">
      <c r="A828" s="833">
        <f t="shared" si="104"/>
        <v>22</v>
      </c>
      <c r="B828" s="592" t="s">
        <v>1011</v>
      </c>
      <c r="C828" s="744" t="s">
        <v>221</v>
      </c>
      <c r="D828" s="619">
        <v>1440</v>
      </c>
      <c r="E828" s="619">
        <v>480</v>
      </c>
      <c r="F828" s="807" t="s">
        <v>222</v>
      </c>
      <c r="G828" s="739">
        <v>528</v>
      </c>
      <c r="H828" s="582">
        <v>2</v>
      </c>
      <c r="I828" s="582">
        <v>2</v>
      </c>
      <c r="J828" s="582">
        <v>16</v>
      </c>
      <c r="K828" s="590" t="s">
        <v>224</v>
      </c>
      <c r="L828" s="740">
        <f t="shared" si="105"/>
        <v>268720.28999999998</v>
      </c>
      <c r="M828" s="741">
        <v>247069.09</v>
      </c>
      <c r="N828" s="742">
        <v>21651.200000000001</v>
      </c>
      <c r="O828" s="743"/>
      <c r="P828" s="742"/>
      <c r="Q828" s="586"/>
      <c r="R828" s="744">
        <f>M828/J828</f>
        <v>15441.818125</v>
      </c>
      <c r="S828" s="591"/>
      <c r="T828" s="837"/>
      <c r="U828" s="591"/>
      <c r="V828" s="589"/>
      <c r="W828" s="591"/>
      <c r="X828" s="591"/>
      <c r="Y828" s="591"/>
      <c r="Z828" s="591"/>
    </row>
    <row r="829" spans="1:26" s="246" customFormat="1" ht="37.5" hidden="1">
      <c r="A829" s="833">
        <f t="shared" si="104"/>
        <v>23</v>
      </c>
      <c r="B829" s="592" t="s">
        <v>3660</v>
      </c>
      <c r="C829" s="744" t="s">
        <v>221</v>
      </c>
      <c r="D829" s="619">
        <v>2890</v>
      </c>
      <c r="E829" s="619">
        <v>627</v>
      </c>
      <c r="F829" s="807" t="s">
        <v>222</v>
      </c>
      <c r="G829" s="739">
        <v>723</v>
      </c>
      <c r="H829" s="582">
        <v>2</v>
      </c>
      <c r="I829" s="582">
        <v>2</v>
      </c>
      <c r="J829" s="582">
        <v>16</v>
      </c>
      <c r="K829" s="590" t="s">
        <v>236</v>
      </c>
      <c r="L829" s="740">
        <f t="shared" si="105"/>
        <v>1724142.61</v>
      </c>
      <c r="M829" s="741">
        <v>1690655.86</v>
      </c>
      <c r="N829" s="742">
        <v>19477.259999999998</v>
      </c>
      <c r="O829" s="743"/>
      <c r="P829" s="742"/>
      <c r="Q829" s="586">
        <v>14009.49</v>
      </c>
      <c r="R829" s="744">
        <f>M829/G829</f>
        <v>2338.389847856155</v>
      </c>
      <c r="S829" s="591"/>
      <c r="T829" s="837"/>
      <c r="U829" s="591"/>
      <c r="V829" s="589"/>
      <c r="W829" s="591"/>
      <c r="X829" s="591"/>
      <c r="Y829" s="591"/>
      <c r="Z829" s="591"/>
    </row>
    <row r="830" spans="1:26" s="246" customFormat="1" ht="37.5" hidden="1">
      <c r="A830" s="833">
        <f t="shared" si="104"/>
        <v>24</v>
      </c>
      <c r="B830" s="592" t="s">
        <v>4213</v>
      </c>
      <c r="C830" s="744" t="s">
        <v>221</v>
      </c>
      <c r="D830" s="619">
        <v>2856</v>
      </c>
      <c r="E830" s="619">
        <v>625</v>
      </c>
      <c r="F830" s="807" t="s">
        <v>222</v>
      </c>
      <c r="G830" s="739">
        <v>748.8</v>
      </c>
      <c r="H830" s="582">
        <v>2</v>
      </c>
      <c r="I830" s="582">
        <v>2</v>
      </c>
      <c r="J830" s="582">
        <v>16</v>
      </c>
      <c r="K830" s="590" t="s">
        <v>236</v>
      </c>
      <c r="L830" s="740">
        <f t="shared" si="105"/>
        <v>1895906.97</v>
      </c>
      <c r="M830" s="741">
        <v>1862640</v>
      </c>
      <c r="N830" s="742">
        <v>19421.82</v>
      </c>
      <c r="O830" s="743"/>
      <c r="P830" s="742"/>
      <c r="Q830" s="586">
        <v>13845.15</v>
      </c>
      <c r="R830" s="744">
        <f>M830/G830</f>
        <v>2487.5</v>
      </c>
      <c r="S830" s="591"/>
      <c r="T830" s="837"/>
      <c r="U830" s="591"/>
      <c r="V830" s="589"/>
      <c r="W830" s="591"/>
      <c r="X830" s="591"/>
      <c r="Y830" s="591"/>
      <c r="Z830" s="591"/>
    </row>
    <row r="831" spans="1:26" s="246" customFormat="1" ht="37.5" hidden="1">
      <c r="A831" s="833">
        <f t="shared" si="104"/>
        <v>25</v>
      </c>
      <c r="B831" s="592" t="s">
        <v>3661</v>
      </c>
      <c r="C831" s="744" t="s">
        <v>221</v>
      </c>
      <c r="D831" s="619">
        <v>1082.4000000000001</v>
      </c>
      <c r="E831" s="619">
        <v>541.20000000000005</v>
      </c>
      <c r="F831" s="807" t="s">
        <v>222</v>
      </c>
      <c r="G831" s="739">
        <v>690</v>
      </c>
      <c r="H831" s="582">
        <v>2</v>
      </c>
      <c r="I831" s="582">
        <v>2</v>
      </c>
      <c r="J831" s="582">
        <v>16</v>
      </c>
      <c r="K831" s="590" t="s">
        <v>236</v>
      </c>
      <c r="L831" s="740">
        <f t="shared" si="105"/>
        <v>1484368.89</v>
      </c>
      <c r="M831" s="741">
        <v>1462605.72</v>
      </c>
      <c r="N831" s="742">
        <v>16516.169999999998</v>
      </c>
      <c r="O831" s="743"/>
      <c r="P831" s="742"/>
      <c r="Q831" s="586">
        <v>5247</v>
      </c>
      <c r="R831" s="744">
        <f>M831/G831</f>
        <v>2119.7184347826087</v>
      </c>
      <c r="S831" s="591"/>
      <c r="T831" s="837"/>
      <c r="U831" s="591"/>
      <c r="V831" s="589"/>
      <c r="W831" s="591"/>
      <c r="X831" s="591"/>
      <c r="Y831" s="591"/>
      <c r="Z831" s="591"/>
    </row>
    <row r="832" spans="1:26" s="28" customFormat="1" hidden="1">
      <c r="A832" s="1349" t="s">
        <v>66</v>
      </c>
      <c r="B832" s="1349"/>
      <c r="C832" s="593" t="s">
        <v>28</v>
      </c>
      <c r="D832" s="646">
        <f>SUM(D806:D831)</f>
        <v>175847.4</v>
      </c>
      <c r="E832" s="646">
        <f>SUM(E806:E831)</f>
        <v>31981.100000000002</v>
      </c>
      <c r="F832" s="646" t="s">
        <v>28</v>
      </c>
      <c r="G832" s="646">
        <f>SUM(G806:G831)</f>
        <v>20018.219999999998</v>
      </c>
      <c r="H832" s="582" t="s">
        <v>28</v>
      </c>
      <c r="I832" s="582" t="s">
        <v>28</v>
      </c>
      <c r="J832" s="582">
        <f>SUM(J806:J831)</f>
        <v>875</v>
      </c>
      <c r="K832" s="590" t="s">
        <v>28</v>
      </c>
      <c r="L832" s="584">
        <f>SUM(L806:L831)</f>
        <v>44514298.889999993</v>
      </c>
      <c r="M832" s="585">
        <f>SUM(M806:M831)</f>
        <v>43920625.350000001</v>
      </c>
      <c r="N832" s="586">
        <f>SUM(N806:N831)</f>
        <v>522185.6700000001</v>
      </c>
      <c r="O832" s="587">
        <f>SUM(O806:O831)</f>
        <v>38386.229999999996</v>
      </c>
      <c r="P832" s="586"/>
      <c r="Q832" s="586">
        <f>SUM(Q806:Q831)</f>
        <v>33101.64</v>
      </c>
      <c r="R832" s="582" t="s">
        <v>28</v>
      </c>
      <c r="S832" s="586">
        <f>L832-M832-N832-O832-P832-Q832</f>
        <v>-8.440110832452774E-9</v>
      </c>
      <c r="T832" s="645"/>
      <c r="U832" s="701"/>
      <c r="V832" s="589"/>
      <c r="W832" s="592"/>
      <c r="X832" s="592"/>
      <c r="Y832" s="592"/>
      <c r="Z832" s="592"/>
    </row>
    <row r="833" spans="1:26" s="28" customFormat="1" hidden="1">
      <c r="A833" s="1347" t="s">
        <v>67</v>
      </c>
      <c r="B833" s="1347"/>
      <c r="C833" s="1347"/>
      <c r="D833" s="1347"/>
      <c r="E833" s="1347"/>
      <c r="F833" s="1347"/>
      <c r="G833" s="1347"/>
      <c r="H833" s="1347"/>
      <c r="I833" s="1347"/>
      <c r="J833" s="1347"/>
      <c r="K833" s="1347"/>
      <c r="L833" s="1347"/>
      <c r="M833" s="1347"/>
      <c r="N833" s="1347"/>
      <c r="O833" s="1347"/>
      <c r="P833" s="1347"/>
      <c r="Q833" s="1347"/>
      <c r="R833" s="1347"/>
      <c r="S833" s="592"/>
      <c r="T833" s="645"/>
      <c r="U833" s="591"/>
      <c r="V833" s="589"/>
      <c r="W833" s="592"/>
      <c r="X833" s="592"/>
      <c r="Y833" s="592"/>
      <c r="Z833" s="592"/>
    </row>
    <row r="834" spans="1:26" s="90" customFormat="1" hidden="1">
      <c r="A834" s="590">
        <v>1</v>
      </c>
      <c r="B834" s="592" t="s">
        <v>1012</v>
      </c>
      <c r="C834" s="593" t="s">
        <v>221</v>
      </c>
      <c r="D834" s="619">
        <v>6600</v>
      </c>
      <c r="E834" s="646">
        <f>((27.7+19.4)*2)*3*H834</f>
        <v>565.19999999999993</v>
      </c>
      <c r="F834" s="619" t="s">
        <v>222</v>
      </c>
      <c r="G834" s="619">
        <f>(27.4*19.4)*1.2</f>
        <v>637.87199999999996</v>
      </c>
      <c r="H834" s="599">
        <v>2</v>
      </c>
      <c r="I834" s="599">
        <v>1</v>
      </c>
      <c r="J834" s="599">
        <v>13</v>
      </c>
      <c r="K834" s="792" t="s">
        <v>33</v>
      </c>
      <c r="L834" s="740">
        <f>M834+N834+O834+P834+Q834</f>
        <v>1499970.67</v>
      </c>
      <c r="M834" s="741">
        <f>1344081.57+129114.65</f>
        <v>1473196.22</v>
      </c>
      <c r="N834" s="742">
        <v>26774.45</v>
      </c>
      <c r="O834" s="743"/>
      <c r="P834" s="742"/>
      <c r="Q834" s="586"/>
      <c r="R834" s="744">
        <f>M834/G834</f>
        <v>2309.5483419871071</v>
      </c>
      <c r="S834" s="748">
        <v>2015</v>
      </c>
      <c r="T834" s="748"/>
      <c r="U834" s="737"/>
      <c r="V834" s="589"/>
      <c r="W834" s="748"/>
      <c r="X834" s="748"/>
      <c r="Y834" s="748"/>
      <c r="Z834" s="748"/>
    </row>
    <row r="835" spans="1:26" s="28" customFormat="1" hidden="1">
      <c r="A835" s="1349" t="s">
        <v>68</v>
      </c>
      <c r="B835" s="1349"/>
      <c r="C835" s="593" t="s">
        <v>28</v>
      </c>
      <c r="D835" s="646">
        <f>SUM(D834:D834)</f>
        <v>6600</v>
      </c>
      <c r="E835" s="646">
        <f>SUM(E834:E834)</f>
        <v>565.19999999999993</v>
      </c>
      <c r="F835" s="646" t="s">
        <v>28</v>
      </c>
      <c r="G835" s="646">
        <f>SUM(G834:G834)</f>
        <v>637.87199999999996</v>
      </c>
      <c r="H835" s="582" t="s">
        <v>28</v>
      </c>
      <c r="I835" s="582" t="s">
        <v>28</v>
      </c>
      <c r="J835" s="582">
        <f>SUM(J834:J834)</f>
        <v>13</v>
      </c>
      <c r="K835" s="590" t="s">
        <v>28</v>
      </c>
      <c r="L835" s="584">
        <f>SUM(L834:L834)</f>
        <v>1499970.67</v>
      </c>
      <c r="M835" s="585">
        <f>SUM(M834:M834)</f>
        <v>1473196.22</v>
      </c>
      <c r="N835" s="586">
        <f>SUM(N834:N834)</f>
        <v>26774.45</v>
      </c>
      <c r="O835" s="587"/>
      <c r="P835" s="586"/>
      <c r="Q835" s="586">
        <f>SUM(Q834:Q834)</f>
        <v>0</v>
      </c>
      <c r="R835" s="582" t="s">
        <v>28</v>
      </c>
      <c r="S835" s="586">
        <f>L835-M835-N835-O835-P835-Q835</f>
        <v>-4.7293724492192268E-11</v>
      </c>
      <c r="T835" s="645"/>
      <c r="U835" s="701"/>
      <c r="V835" s="589"/>
      <c r="W835" s="592"/>
      <c r="X835" s="592"/>
      <c r="Y835" s="592"/>
      <c r="Z835" s="592"/>
    </row>
    <row r="836" spans="1:26" s="28" customFormat="1" hidden="1">
      <c r="A836" s="1347" t="s">
        <v>92</v>
      </c>
      <c r="B836" s="1347"/>
      <c r="C836" s="1347"/>
      <c r="D836" s="1347"/>
      <c r="E836" s="1347"/>
      <c r="F836" s="1347"/>
      <c r="G836" s="1347"/>
      <c r="H836" s="1347"/>
      <c r="I836" s="1347"/>
      <c r="J836" s="1347"/>
      <c r="K836" s="1347"/>
      <c r="L836" s="1347"/>
      <c r="M836" s="1347"/>
      <c r="N836" s="1347"/>
      <c r="O836" s="1347"/>
      <c r="P836" s="1347"/>
      <c r="Q836" s="1347"/>
      <c r="R836" s="1347"/>
      <c r="S836" s="592"/>
      <c r="T836" s="645"/>
      <c r="U836" s="591"/>
      <c r="V836" s="589"/>
      <c r="W836" s="592"/>
      <c r="X836" s="592"/>
      <c r="Y836" s="592"/>
      <c r="Z836" s="592"/>
    </row>
    <row r="837" spans="1:26" s="530" customFormat="1" hidden="1">
      <c r="A837" s="792">
        <v>1</v>
      </c>
      <c r="B837" s="788" t="s">
        <v>1013</v>
      </c>
      <c r="C837" s="744" t="s">
        <v>221</v>
      </c>
      <c r="D837" s="789">
        <v>1212.8955999999998</v>
      </c>
      <c r="E837" s="789">
        <v>433.17699999999996</v>
      </c>
      <c r="F837" s="789" t="s">
        <v>222</v>
      </c>
      <c r="G837" s="789">
        <v>639.36925199999996</v>
      </c>
      <c r="H837" s="744">
        <v>2</v>
      </c>
      <c r="I837" s="744">
        <v>2</v>
      </c>
      <c r="J837" s="744">
        <v>12</v>
      </c>
      <c r="K837" s="792" t="s">
        <v>33</v>
      </c>
      <c r="L837" s="740">
        <f>M837+N837+O837+P837+Q837</f>
        <v>1385329.94</v>
      </c>
      <c r="M837" s="741">
        <v>1345568.74</v>
      </c>
      <c r="N837" s="742">
        <v>39761.199999999997</v>
      </c>
      <c r="O837" s="743"/>
      <c r="P837" s="742"/>
      <c r="Q837" s="586"/>
      <c r="R837" s="744">
        <f>M837/G837</f>
        <v>2104.5252579647045</v>
      </c>
      <c r="S837" s="788"/>
      <c r="T837" s="788"/>
      <c r="U837" s="791"/>
      <c r="V837" s="589"/>
      <c r="W837" s="788"/>
      <c r="X837" s="788"/>
      <c r="Y837" s="788"/>
      <c r="Z837" s="788"/>
    </row>
    <row r="838" spans="1:26" s="530" customFormat="1" hidden="1">
      <c r="A838" s="792">
        <v>2</v>
      </c>
      <c r="B838" s="788" t="s">
        <v>1014</v>
      </c>
      <c r="C838" s="744" t="s">
        <v>221</v>
      </c>
      <c r="D838" s="789">
        <v>2081.8226</v>
      </c>
      <c r="E838" s="789">
        <v>500.70100000000002</v>
      </c>
      <c r="F838" s="789" t="s">
        <v>222</v>
      </c>
      <c r="G838" s="739">
        <v>936</v>
      </c>
      <c r="H838" s="744">
        <v>2</v>
      </c>
      <c r="I838" s="744">
        <v>3</v>
      </c>
      <c r="J838" s="744">
        <v>24</v>
      </c>
      <c r="K838" s="792" t="s">
        <v>33</v>
      </c>
      <c r="L838" s="740">
        <f>M838+N838+O838+P838+Q838</f>
        <v>2263513.84</v>
      </c>
      <c r="M838" s="741">
        <v>2233858.86</v>
      </c>
      <c r="N838" s="742">
        <v>29654.98</v>
      </c>
      <c r="O838" s="743"/>
      <c r="P838" s="742"/>
      <c r="Q838" s="586"/>
      <c r="R838" s="744">
        <f>M838/G838</f>
        <v>2386.601346153846</v>
      </c>
      <c r="S838" s="788"/>
      <c r="T838" s="788"/>
      <c r="U838" s="791"/>
      <c r="V838" s="589"/>
      <c r="W838" s="788"/>
      <c r="X838" s="788"/>
      <c r="Y838" s="788"/>
      <c r="Z838" s="788"/>
    </row>
    <row r="839" spans="1:26" s="530" customFormat="1" hidden="1">
      <c r="A839" s="792">
        <v>3</v>
      </c>
      <c r="B839" s="788" t="s">
        <v>3497</v>
      </c>
      <c r="C839" s="744" t="s">
        <v>221</v>
      </c>
      <c r="D839" s="789">
        <v>1840.3424</v>
      </c>
      <c r="E839" s="789">
        <v>707.82399999999996</v>
      </c>
      <c r="F839" s="789" t="s">
        <v>222</v>
      </c>
      <c r="G839" s="739">
        <v>624</v>
      </c>
      <c r="H839" s="744">
        <v>2</v>
      </c>
      <c r="I839" s="744">
        <v>2</v>
      </c>
      <c r="J839" s="744">
        <v>16</v>
      </c>
      <c r="K839" s="792" t="s">
        <v>33</v>
      </c>
      <c r="L839" s="740">
        <f>M839+N839+O839+P839+Q839</f>
        <v>1582319.99</v>
      </c>
      <c r="M839" s="741">
        <v>1558439.99</v>
      </c>
      <c r="N839" s="742">
        <v>23880</v>
      </c>
      <c r="O839" s="743"/>
      <c r="P839" s="742"/>
      <c r="Q839" s="586"/>
      <c r="R839" s="744">
        <f>M839/G839</f>
        <v>2497.4999839743591</v>
      </c>
      <c r="S839" s="788"/>
      <c r="T839" s="788"/>
      <c r="U839" s="791"/>
      <c r="V839" s="589"/>
      <c r="W839" s="788"/>
      <c r="X839" s="788"/>
      <c r="Y839" s="788"/>
      <c r="Z839" s="788"/>
    </row>
    <row r="840" spans="1:26" s="28" customFormat="1" hidden="1">
      <c r="A840" s="1349" t="s">
        <v>123</v>
      </c>
      <c r="B840" s="1349"/>
      <c r="C840" s="593" t="s">
        <v>28</v>
      </c>
      <c r="D840" s="646">
        <f>SUM(D837:D839)</f>
        <v>5135.0605999999998</v>
      </c>
      <c r="E840" s="646">
        <f>SUM(E837:E839)</f>
        <v>1641.7019999999998</v>
      </c>
      <c r="F840" s="646" t="s">
        <v>28</v>
      </c>
      <c r="G840" s="646">
        <f>SUM(G837:G839)</f>
        <v>2199.369252</v>
      </c>
      <c r="H840" s="582" t="s">
        <v>28</v>
      </c>
      <c r="I840" s="582" t="s">
        <v>28</v>
      </c>
      <c r="J840" s="582">
        <f>SUM(J837:J839)</f>
        <v>52</v>
      </c>
      <c r="K840" s="590" t="s">
        <v>28</v>
      </c>
      <c r="L840" s="584">
        <f>SUM(L837:L839)</f>
        <v>5231163.7699999996</v>
      </c>
      <c r="M840" s="585">
        <f>SUM(M837:M839)</f>
        <v>5137867.59</v>
      </c>
      <c r="N840" s="586">
        <f>SUM(N837:N839)</f>
        <v>93296.18</v>
      </c>
      <c r="O840" s="587"/>
      <c r="P840" s="586"/>
      <c r="Q840" s="586">
        <f>SUM(Q837:Q839)</f>
        <v>0</v>
      </c>
      <c r="R840" s="582" t="s">
        <v>28</v>
      </c>
      <c r="S840" s="586">
        <f>L840-M840-N840-O840-P840-Q840</f>
        <v>-2.9103830456733704E-10</v>
      </c>
      <c r="T840" s="645"/>
      <c r="U840" s="701"/>
      <c r="V840" s="589"/>
      <c r="W840" s="592"/>
      <c r="X840" s="592"/>
      <c r="Y840" s="592"/>
      <c r="Z840" s="592"/>
    </row>
    <row r="841" spans="1:26" s="28" customFormat="1" hidden="1">
      <c r="A841" s="1347" t="s">
        <v>69</v>
      </c>
      <c r="B841" s="1347"/>
      <c r="C841" s="1347"/>
      <c r="D841" s="1347"/>
      <c r="E841" s="1347"/>
      <c r="F841" s="1347"/>
      <c r="G841" s="1347"/>
      <c r="H841" s="1347"/>
      <c r="I841" s="1347"/>
      <c r="J841" s="1347"/>
      <c r="K841" s="1347"/>
      <c r="L841" s="1347"/>
      <c r="M841" s="1347"/>
      <c r="N841" s="1347"/>
      <c r="O841" s="1347"/>
      <c r="P841" s="1347"/>
      <c r="Q841" s="1347"/>
      <c r="R841" s="1347"/>
      <c r="S841" s="592"/>
      <c r="T841" s="645"/>
      <c r="U841" s="591"/>
      <c r="V841" s="589"/>
      <c r="W841" s="592"/>
      <c r="X841" s="592"/>
      <c r="Y841" s="592"/>
      <c r="Z841" s="592"/>
    </row>
    <row r="842" spans="1:26" s="28" customFormat="1" hidden="1">
      <c r="A842" s="590">
        <v>1</v>
      </c>
      <c r="B842" s="592" t="s">
        <v>1015</v>
      </c>
      <c r="C842" s="593" t="s">
        <v>221</v>
      </c>
      <c r="D842" s="646">
        <v>4653</v>
      </c>
      <c r="E842" s="646">
        <v>293</v>
      </c>
      <c r="F842" s="646" t="s">
        <v>222</v>
      </c>
      <c r="G842" s="646">
        <v>945</v>
      </c>
      <c r="H842" s="582">
        <v>2</v>
      </c>
      <c r="I842" s="582">
        <v>3</v>
      </c>
      <c r="J842" s="582">
        <v>22</v>
      </c>
      <c r="K842" s="606" t="s">
        <v>33</v>
      </c>
      <c r="L842" s="584">
        <f>M842+N842+O842+Q842</f>
        <v>1814624.28</v>
      </c>
      <c r="M842" s="585">
        <f>1627465.78+162746.18</f>
        <v>1790211.96</v>
      </c>
      <c r="N842" s="742">
        <v>24412.32</v>
      </c>
      <c r="O842" s="587"/>
      <c r="P842" s="586"/>
      <c r="Q842" s="586"/>
      <c r="R842" s="744">
        <f>M842/G842</f>
        <v>1894.4041904761905</v>
      </c>
      <c r="S842" s="592"/>
      <c r="T842" s="645"/>
      <c r="U842" s="591"/>
      <c r="V842" s="589"/>
      <c r="W842" s="592"/>
      <c r="X842" s="592"/>
      <c r="Y842" s="592"/>
      <c r="Z842" s="592"/>
    </row>
    <row r="843" spans="1:26" s="28" customFormat="1" hidden="1">
      <c r="A843" s="590">
        <f>A842+1</f>
        <v>2</v>
      </c>
      <c r="B843" s="592" t="s">
        <v>3614</v>
      </c>
      <c r="C843" s="593" t="s">
        <v>221</v>
      </c>
      <c r="D843" s="646">
        <v>2853</v>
      </c>
      <c r="E843" s="646">
        <v>289</v>
      </c>
      <c r="F843" s="646" t="s">
        <v>222</v>
      </c>
      <c r="G843" s="646">
        <v>666</v>
      </c>
      <c r="H843" s="582">
        <v>2</v>
      </c>
      <c r="I843" s="582">
        <v>2</v>
      </c>
      <c r="J843" s="582">
        <v>16</v>
      </c>
      <c r="K843" s="606" t="s">
        <v>33</v>
      </c>
      <c r="L843" s="584">
        <f>M843+N843+O843+Q843</f>
        <v>1515873.05</v>
      </c>
      <c r="M843" s="585">
        <v>1485992.05</v>
      </c>
      <c r="N843" s="742">
        <v>29881</v>
      </c>
      <c r="O843" s="587"/>
      <c r="P843" s="586"/>
      <c r="Q843" s="586"/>
      <c r="R843" s="744">
        <v>2500</v>
      </c>
      <c r="S843" s="592"/>
      <c r="T843" s="645"/>
      <c r="U843" s="591"/>
      <c r="V843" s="589"/>
      <c r="W843" s="592"/>
      <c r="X843" s="592"/>
      <c r="Y843" s="592"/>
      <c r="Z843" s="592"/>
    </row>
    <row r="844" spans="1:26" s="28" customFormat="1" ht="37.5" hidden="1">
      <c r="A844" s="590">
        <f>A843+1</f>
        <v>3</v>
      </c>
      <c r="B844" s="592" t="s">
        <v>1988</v>
      </c>
      <c r="C844" s="593" t="s">
        <v>221</v>
      </c>
      <c r="D844" s="646">
        <v>4613</v>
      </c>
      <c r="E844" s="646">
        <v>345</v>
      </c>
      <c r="F844" s="646" t="s">
        <v>222</v>
      </c>
      <c r="G844" s="646">
        <v>860</v>
      </c>
      <c r="H844" s="582">
        <v>2</v>
      </c>
      <c r="I844" s="582">
        <v>1</v>
      </c>
      <c r="J844" s="582">
        <v>32</v>
      </c>
      <c r="K844" s="606" t="s">
        <v>421</v>
      </c>
      <c r="L844" s="584">
        <f>M844+N844+O844+Q844</f>
        <v>651859.21</v>
      </c>
      <c r="M844" s="585">
        <v>640000</v>
      </c>
      <c r="N844" s="742"/>
      <c r="O844" s="587">
        <v>785.07</v>
      </c>
      <c r="P844" s="586"/>
      <c r="Q844" s="586">
        <v>11074.14</v>
      </c>
      <c r="R844" s="744">
        <f>M844/J844</f>
        <v>20000</v>
      </c>
      <c r="S844" s="592"/>
      <c r="T844" s="645"/>
      <c r="U844" s="591"/>
      <c r="V844" s="589"/>
      <c r="W844" s="592"/>
      <c r="X844" s="592"/>
      <c r="Y844" s="592"/>
      <c r="Z844" s="592"/>
    </row>
    <row r="845" spans="1:26" s="28" customFormat="1" ht="37.5" hidden="1">
      <c r="A845" s="590">
        <f>A844+1</f>
        <v>4</v>
      </c>
      <c r="B845" s="592" t="s">
        <v>1989</v>
      </c>
      <c r="C845" s="593" t="s">
        <v>221</v>
      </c>
      <c r="D845" s="646">
        <v>2923</v>
      </c>
      <c r="E845" s="646">
        <v>295</v>
      </c>
      <c r="F845" s="646" t="s">
        <v>222</v>
      </c>
      <c r="G845" s="646">
        <v>670</v>
      </c>
      <c r="H845" s="582">
        <v>2</v>
      </c>
      <c r="I845" s="582">
        <v>2</v>
      </c>
      <c r="J845" s="582">
        <v>16</v>
      </c>
      <c r="K845" s="606" t="s">
        <v>421</v>
      </c>
      <c r="L845" s="584">
        <f>M845+N845+O845+Q845</f>
        <v>327147.8</v>
      </c>
      <c r="M845" s="585">
        <v>320000</v>
      </c>
      <c r="N845" s="742"/>
      <c r="O845" s="587">
        <v>688.05</v>
      </c>
      <c r="P845" s="586"/>
      <c r="Q845" s="586">
        <v>6459.75</v>
      </c>
      <c r="R845" s="744">
        <f>M845/J845</f>
        <v>20000</v>
      </c>
      <c r="S845" s="592"/>
      <c r="T845" s="645"/>
      <c r="U845" s="591"/>
      <c r="V845" s="589"/>
      <c r="W845" s="592"/>
      <c r="X845" s="592"/>
      <c r="Y845" s="592"/>
      <c r="Z845" s="592"/>
    </row>
    <row r="846" spans="1:26" s="28" customFormat="1" hidden="1">
      <c r="A846" s="1349" t="s">
        <v>70</v>
      </c>
      <c r="B846" s="1349"/>
      <c r="C846" s="593" t="s">
        <v>28</v>
      </c>
      <c r="D846" s="646">
        <f>SUM(D842:D845)</f>
        <v>15042</v>
      </c>
      <c r="E846" s="646">
        <f>SUM(E842:E845)</f>
        <v>1222</v>
      </c>
      <c r="F846" s="646" t="s">
        <v>28</v>
      </c>
      <c r="G846" s="646">
        <f>SUM(G842:G845)</f>
        <v>3141</v>
      </c>
      <c r="H846" s="582" t="s">
        <v>28</v>
      </c>
      <c r="I846" s="582" t="s">
        <v>28</v>
      </c>
      <c r="J846" s="646">
        <f>SUM(J842:J845)</f>
        <v>86</v>
      </c>
      <c r="K846" s="590" t="s">
        <v>28</v>
      </c>
      <c r="L846" s="584">
        <f t="shared" ref="L846:Q846" si="106">SUM(L842:L845)</f>
        <v>4309504.34</v>
      </c>
      <c r="M846" s="585">
        <f t="shared" si="106"/>
        <v>4236204.01</v>
      </c>
      <c r="N846" s="586">
        <f t="shared" si="106"/>
        <v>54293.32</v>
      </c>
      <c r="O846" s="587">
        <f t="shared" si="106"/>
        <v>1473.12</v>
      </c>
      <c r="P846" s="586">
        <f t="shared" si="106"/>
        <v>0</v>
      </c>
      <c r="Q846" s="586">
        <f t="shared" si="106"/>
        <v>17533.89</v>
      </c>
      <c r="R846" s="582" t="s">
        <v>28</v>
      </c>
      <c r="S846" s="586">
        <f>L846-M846-N846-O846-P846-Q846</f>
        <v>7.6397554948925972E-11</v>
      </c>
      <c r="T846" s="645"/>
      <c r="U846" s="701"/>
      <c r="V846" s="589"/>
      <c r="W846" s="592"/>
      <c r="X846" s="592"/>
      <c r="Y846" s="592"/>
      <c r="Z846" s="592"/>
    </row>
    <row r="847" spans="1:26" s="28" customFormat="1" hidden="1">
      <c r="A847" s="1347" t="s">
        <v>71</v>
      </c>
      <c r="B847" s="1347"/>
      <c r="C847" s="1347"/>
      <c r="D847" s="1347"/>
      <c r="E847" s="1347"/>
      <c r="F847" s="1347"/>
      <c r="G847" s="1347"/>
      <c r="H847" s="1347"/>
      <c r="I847" s="1347"/>
      <c r="J847" s="1347"/>
      <c r="K847" s="1347"/>
      <c r="L847" s="1347"/>
      <c r="M847" s="1347"/>
      <c r="N847" s="1347"/>
      <c r="O847" s="1347"/>
      <c r="P847" s="1347"/>
      <c r="Q847" s="1347"/>
      <c r="R847" s="1347"/>
      <c r="S847" s="592"/>
      <c r="T847" s="645"/>
      <c r="U847" s="591"/>
      <c r="V847" s="589"/>
      <c r="W847" s="592"/>
      <c r="X847" s="592"/>
      <c r="Y847" s="592"/>
      <c r="Z847" s="592"/>
    </row>
    <row r="848" spans="1:26" s="90" customFormat="1" hidden="1">
      <c r="A848" s="667">
        <v>1</v>
      </c>
      <c r="B848" s="592" t="s">
        <v>1016</v>
      </c>
      <c r="C848" s="744" t="s">
        <v>221</v>
      </c>
      <c r="D848" s="619">
        <v>2858</v>
      </c>
      <c r="E848" s="619">
        <v>586</v>
      </c>
      <c r="F848" s="789" t="s">
        <v>222</v>
      </c>
      <c r="G848" s="619">
        <v>676</v>
      </c>
      <c r="H848" s="599">
        <v>2</v>
      </c>
      <c r="I848" s="599">
        <v>2</v>
      </c>
      <c r="J848" s="599">
        <v>16</v>
      </c>
      <c r="K848" s="590" t="s">
        <v>224</v>
      </c>
      <c r="L848" s="740">
        <f t="shared" ref="L848:L862" si="107">M848+N848+O848+P848+Q848</f>
        <v>293624</v>
      </c>
      <c r="M848" s="741">
        <v>271972.8</v>
      </c>
      <c r="N848" s="742">
        <v>21651.200000000001</v>
      </c>
      <c r="O848" s="743"/>
      <c r="P848" s="742"/>
      <c r="Q848" s="586"/>
      <c r="R848" s="744">
        <f t="shared" ref="R848:R861" si="108">M848/J848</f>
        <v>16998.3</v>
      </c>
      <c r="S848" s="748"/>
      <c r="T848" s="748"/>
      <c r="U848" s="737"/>
      <c r="V848" s="589"/>
      <c r="W848" s="748"/>
      <c r="X848" s="748"/>
      <c r="Y848" s="748"/>
      <c r="Z848" s="748"/>
    </row>
    <row r="849" spans="1:26" s="90" customFormat="1" hidden="1">
      <c r="A849" s="667">
        <f t="shared" ref="A849:A862" si="109">A848+1</f>
        <v>2</v>
      </c>
      <c r="B849" s="592" t="s">
        <v>1017</v>
      </c>
      <c r="C849" s="593" t="s">
        <v>217</v>
      </c>
      <c r="D849" s="619">
        <v>3160</v>
      </c>
      <c r="E849" s="619">
        <v>670</v>
      </c>
      <c r="F849" s="789" t="s">
        <v>222</v>
      </c>
      <c r="G849" s="619">
        <v>702</v>
      </c>
      <c r="H849" s="599">
        <v>2</v>
      </c>
      <c r="I849" s="599">
        <v>3</v>
      </c>
      <c r="J849" s="599">
        <v>18</v>
      </c>
      <c r="K849" s="590" t="s">
        <v>224</v>
      </c>
      <c r="L849" s="740">
        <f t="shared" si="107"/>
        <v>327282.30000000005</v>
      </c>
      <c r="M849" s="741">
        <v>305969.40000000002</v>
      </c>
      <c r="N849" s="742">
        <v>21312.9</v>
      </c>
      <c r="O849" s="743"/>
      <c r="P849" s="742"/>
      <c r="Q849" s="586"/>
      <c r="R849" s="744">
        <f t="shared" si="108"/>
        <v>16998.300000000003</v>
      </c>
      <c r="S849" s="748"/>
      <c r="T849" s="748"/>
      <c r="U849" s="737"/>
      <c r="V849" s="589"/>
      <c r="W849" s="748"/>
      <c r="X849" s="748"/>
      <c r="Y849" s="748"/>
      <c r="Z849" s="748"/>
    </row>
    <row r="850" spans="1:26" s="90" customFormat="1" ht="37.5" hidden="1">
      <c r="A850" s="667">
        <f t="shared" si="109"/>
        <v>3</v>
      </c>
      <c r="B850" s="592" t="s">
        <v>1018</v>
      </c>
      <c r="C850" s="744" t="s">
        <v>221</v>
      </c>
      <c r="D850" s="619">
        <v>2528</v>
      </c>
      <c r="E850" s="619">
        <v>2528</v>
      </c>
      <c r="F850" s="619" t="s">
        <v>230</v>
      </c>
      <c r="G850" s="619">
        <v>567</v>
      </c>
      <c r="H850" s="599">
        <v>2</v>
      </c>
      <c r="I850" s="599">
        <v>2</v>
      </c>
      <c r="J850" s="599">
        <v>16</v>
      </c>
      <c r="K850" s="590" t="s">
        <v>30</v>
      </c>
      <c r="L850" s="584">
        <f t="shared" si="107"/>
        <v>320923.2</v>
      </c>
      <c r="M850" s="596">
        <v>319968</v>
      </c>
      <c r="N850" s="597"/>
      <c r="O850" s="736">
        <v>955.2</v>
      </c>
      <c r="P850" s="597"/>
      <c r="Q850" s="586"/>
      <c r="R850" s="582">
        <f t="shared" si="108"/>
        <v>19998</v>
      </c>
      <c r="S850" s="748"/>
      <c r="T850" s="748"/>
      <c r="U850" s="737"/>
      <c r="V850" s="589"/>
      <c r="W850" s="748"/>
      <c r="X850" s="748"/>
      <c r="Y850" s="748"/>
      <c r="Z850" s="748"/>
    </row>
    <row r="851" spans="1:26" s="90" customFormat="1" ht="37.5" hidden="1">
      <c r="A851" s="667">
        <f t="shared" si="109"/>
        <v>4</v>
      </c>
      <c r="B851" s="592" t="s">
        <v>1019</v>
      </c>
      <c r="C851" s="744" t="s">
        <v>221</v>
      </c>
      <c r="D851" s="619">
        <v>2582</v>
      </c>
      <c r="E851" s="619">
        <v>488</v>
      </c>
      <c r="F851" s="789" t="s">
        <v>222</v>
      </c>
      <c r="G851" s="619">
        <v>558</v>
      </c>
      <c r="H851" s="599">
        <v>2</v>
      </c>
      <c r="I851" s="599">
        <v>2</v>
      </c>
      <c r="J851" s="599">
        <v>12</v>
      </c>
      <c r="K851" s="590" t="s">
        <v>30</v>
      </c>
      <c r="L851" s="584">
        <f t="shared" si="107"/>
        <v>240692.4</v>
      </c>
      <c r="M851" s="596">
        <v>239976</v>
      </c>
      <c r="N851" s="597"/>
      <c r="O851" s="736">
        <v>716.4</v>
      </c>
      <c r="P851" s="597"/>
      <c r="Q851" s="586"/>
      <c r="R851" s="582">
        <f t="shared" si="108"/>
        <v>19998</v>
      </c>
      <c r="S851" s="748"/>
      <c r="T851" s="748"/>
      <c r="U851" s="737"/>
      <c r="V851" s="589"/>
      <c r="W851" s="748"/>
      <c r="X851" s="748"/>
      <c r="Y851" s="748"/>
      <c r="Z851" s="748"/>
    </row>
    <row r="852" spans="1:26" s="90" customFormat="1" ht="37.5" hidden="1">
      <c r="A852" s="667">
        <f t="shared" si="109"/>
        <v>5</v>
      </c>
      <c r="B852" s="592" t="s">
        <v>1020</v>
      </c>
      <c r="C852" s="744" t="s">
        <v>221</v>
      </c>
      <c r="D852" s="619">
        <v>2974</v>
      </c>
      <c r="E852" s="619">
        <v>3113</v>
      </c>
      <c r="F852" s="789" t="s">
        <v>222</v>
      </c>
      <c r="G852" s="619">
        <v>710</v>
      </c>
      <c r="H852" s="599">
        <v>2</v>
      </c>
      <c r="I852" s="599">
        <v>2</v>
      </c>
      <c r="J852" s="599">
        <v>16</v>
      </c>
      <c r="K852" s="590" t="s">
        <v>30</v>
      </c>
      <c r="L852" s="584">
        <f t="shared" si="107"/>
        <v>320923.2</v>
      </c>
      <c r="M852" s="596">
        <v>319968</v>
      </c>
      <c r="N852" s="597"/>
      <c r="O852" s="736">
        <v>955.2</v>
      </c>
      <c r="P852" s="597"/>
      <c r="Q852" s="586"/>
      <c r="R852" s="582">
        <f t="shared" si="108"/>
        <v>19998</v>
      </c>
      <c r="S852" s="748"/>
      <c r="T852" s="748"/>
      <c r="U852" s="737"/>
      <c r="V852" s="589"/>
      <c r="W852" s="748"/>
      <c r="X852" s="748"/>
      <c r="Y852" s="748"/>
      <c r="Z852" s="748"/>
    </row>
    <row r="853" spans="1:26" s="90" customFormat="1" ht="37.5" hidden="1">
      <c r="A853" s="667">
        <f t="shared" si="109"/>
        <v>6</v>
      </c>
      <c r="B853" s="592" t="s">
        <v>1021</v>
      </c>
      <c r="C853" s="744" t="s">
        <v>221</v>
      </c>
      <c r="D853" s="619">
        <v>2992</v>
      </c>
      <c r="E853" s="619">
        <v>2992</v>
      </c>
      <c r="F853" s="789" t="s">
        <v>222</v>
      </c>
      <c r="G853" s="619">
        <v>683</v>
      </c>
      <c r="H853" s="599">
        <v>2</v>
      </c>
      <c r="I853" s="599">
        <v>2</v>
      </c>
      <c r="J853" s="599">
        <v>16</v>
      </c>
      <c r="K853" s="590" t="s">
        <v>30</v>
      </c>
      <c r="L853" s="584">
        <f t="shared" si="107"/>
        <v>154456.38</v>
      </c>
      <c r="M853" s="596">
        <v>153501.18</v>
      </c>
      <c r="N853" s="597"/>
      <c r="O853" s="736">
        <v>955.2</v>
      </c>
      <c r="P853" s="597"/>
      <c r="Q853" s="586"/>
      <c r="R853" s="582">
        <f t="shared" si="108"/>
        <v>9593.8237499999996</v>
      </c>
      <c r="S853" s="748"/>
      <c r="T853" s="748"/>
      <c r="U853" s="737"/>
      <c r="V853" s="589"/>
      <c r="W853" s="748"/>
      <c r="X853" s="748"/>
      <c r="Y853" s="748"/>
      <c r="Z853" s="748"/>
    </row>
    <row r="854" spans="1:26" s="90" customFormat="1" ht="37.5" hidden="1">
      <c r="A854" s="667">
        <f t="shared" si="109"/>
        <v>7</v>
      </c>
      <c r="B854" s="592" t="s">
        <v>1022</v>
      </c>
      <c r="C854" s="744" t="s">
        <v>221</v>
      </c>
      <c r="D854" s="619">
        <v>3541</v>
      </c>
      <c r="E854" s="619">
        <v>726</v>
      </c>
      <c r="F854" s="789" t="s">
        <v>222</v>
      </c>
      <c r="G854" s="619">
        <v>845</v>
      </c>
      <c r="H854" s="599">
        <v>2</v>
      </c>
      <c r="I854" s="599">
        <v>3</v>
      </c>
      <c r="J854" s="599">
        <v>22</v>
      </c>
      <c r="K854" s="590" t="s">
        <v>30</v>
      </c>
      <c r="L854" s="584">
        <f t="shared" si="107"/>
        <v>213424.39</v>
      </c>
      <c r="M854" s="596">
        <v>212110.99000000002</v>
      </c>
      <c r="N854" s="597"/>
      <c r="O854" s="736">
        <v>1313.4</v>
      </c>
      <c r="P854" s="597"/>
      <c r="Q854" s="586"/>
      <c r="R854" s="582">
        <f t="shared" si="108"/>
        <v>9641.4086363636379</v>
      </c>
      <c r="S854" s="748"/>
      <c r="T854" s="748"/>
      <c r="U854" s="737"/>
      <c r="V854" s="589"/>
      <c r="W854" s="748"/>
      <c r="X854" s="748"/>
      <c r="Y854" s="748"/>
      <c r="Z854" s="748"/>
    </row>
    <row r="855" spans="1:26" s="90" customFormat="1" ht="37.5" hidden="1">
      <c r="A855" s="667">
        <f t="shared" si="109"/>
        <v>8</v>
      </c>
      <c r="B855" s="592" t="s">
        <v>1023</v>
      </c>
      <c r="C855" s="744" t="s">
        <v>221</v>
      </c>
      <c r="D855" s="619">
        <v>3887</v>
      </c>
      <c r="E855" s="619">
        <v>698</v>
      </c>
      <c r="F855" s="619" t="s">
        <v>230</v>
      </c>
      <c r="G855" s="619">
        <v>936</v>
      </c>
      <c r="H855" s="599">
        <v>2</v>
      </c>
      <c r="I855" s="599">
        <v>2</v>
      </c>
      <c r="J855" s="599">
        <v>16</v>
      </c>
      <c r="K855" s="590" t="s">
        <v>30</v>
      </c>
      <c r="L855" s="584">
        <f t="shared" si="107"/>
        <v>209431.6</v>
      </c>
      <c r="M855" s="596">
        <v>208476.4</v>
      </c>
      <c r="N855" s="597"/>
      <c r="O855" s="736">
        <v>955.2</v>
      </c>
      <c r="P855" s="597"/>
      <c r="Q855" s="586"/>
      <c r="R855" s="582">
        <f t="shared" si="108"/>
        <v>13029.775</v>
      </c>
      <c r="S855" s="748"/>
      <c r="T855" s="748"/>
      <c r="U855" s="737"/>
      <c r="V855" s="589"/>
      <c r="W855" s="748"/>
      <c r="X855" s="748"/>
      <c r="Y855" s="748"/>
      <c r="Z855" s="748"/>
    </row>
    <row r="856" spans="1:26" s="90" customFormat="1" ht="37.5" hidden="1">
      <c r="A856" s="667">
        <f t="shared" si="109"/>
        <v>9</v>
      </c>
      <c r="B856" s="592" t="s">
        <v>1024</v>
      </c>
      <c r="C856" s="744" t="s">
        <v>221</v>
      </c>
      <c r="D856" s="619">
        <v>5749</v>
      </c>
      <c r="E856" s="619">
        <v>5719</v>
      </c>
      <c r="F856" s="789" t="s">
        <v>222</v>
      </c>
      <c r="G856" s="619">
        <v>1304</v>
      </c>
      <c r="H856" s="599">
        <v>2</v>
      </c>
      <c r="I856" s="599">
        <v>3</v>
      </c>
      <c r="J856" s="599">
        <v>24</v>
      </c>
      <c r="K856" s="590" t="s">
        <v>30</v>
      </c>
      <c r="L856" s="584">
        <f t="shared" si="107"/>
        <v>460078.22</v>
      </c>
      <c r="M856" s="596">
        <v>458645.42</v>
      </c>
      <c r="N856" s="597"/>
      <c r="O856" s="736">
        <v>1432.8</v>
      </c>
      <c r="P856" s="597"/>
      <c r="Q856" s="586"/>
      <c r="R856" s="582">
        <f t="shared" si="108"/>
        <v>19110.225833333334</v>
      </c>
      <c r="S856" s="748"/>
      <c r="T856" s="748"/>
      <c r="U856" s="737"/>
      <c r="V856" s="589"/>
      <c r="W856" s="748"/>
      <c r="X856" s="748"/>
      <c r="Y856" s="748"/>
      <c r="Z856" s="748"/>
    </row>
    <row r="857" spans="1:26" s="90" customFormat="1" ht="37.5" hidden="1">
      <c r="A857" s="667">
        <f t="shared" si="109"/>
        <v>10</v>
      </c>
      <c r="B857" s="592" t="s">
        <v>1025</v>
      </c>
      <c r="C857" s="744" t="s">
        <v>221</v>
      </c>
      <c r="D857" s="619">
        <v>3589</v>
      </c>
      <c r="E857" s="619">
        <v>3648</v>
      </c>
      <c r="F857" s="789" t="s">
        <v>222</v>
      </c>
      <c r="G857" s="619">
        <v>857</v>
      </c>
      <c r="H857" s="599">
        <v>2</v>
      </c>
      <c r="I857" s="599">
        <v>2</v>
      </c>
      <c r="J857" s="599">
        <v>16</v>
      </c>
      <c r="K857" s="590" t="s">
        <v>30</v>
      </c>
      <c r="L857" s="584">
        <f t="shared" si="107"/>
        <v>235939.87</v>
      </c>
      <c r="M857" s="596">
        <v>234984.66999999998</v>
      </c>
      <c r="N857" s="597"/>
      <c r="O857" s="736">
        <v>955.2</v>
      </c>
      <c r="P857" s="597"/>
      <c r="Q857" s="586"/>
      <c r="R857" s="582">
        <f t="shared" si="108"/>
        <v>14686.541874999999</v>
      </c>
      <c r="S857" s="748"/>
      <c r="T857" s="748"/>
      <c r="U857" s="737"/>
      <c r="V857" s="589"/>
      <c r="W857" s="748"/>
      <c r="X857" s="748"/>
      <c r="Y857" s="748"/>
      <c r="Z857" s="748"/>
    </row>
    <row r="858" spans="1:26" s="90" customFormat="1" ht="37.5" hidden="1">
      <c r="A858" s="667">
        <f t="shared" si="109"/>
        <v>11</v>
      </c>
      <c r="B858" s="592" t="s">
        <v>1026</v>
      </c>
      <c r="C858" s="744" t="s">
        <v>221</v>
      </c>
      <c r="D858" s="619">
        <v>3891</v>
      </c>
      <c r="E858" s="619">
        <v>670</v>
      </c>
      <c r="F858" s="789" t="s">
        <v>222</v>
      </c>
      <c r="G858" s="619">
        <v>811</v>
      </c>
      <c r="H858" s="599">
        <v>2</v>
      </c>
      <c r="I858" s="599">
        <v>3</v>
      </c>
      <c r="J858" s="599">
        <v>18</v>
      </c>
      <c r="K858" s="590" t="s">
        <v>30</v>
      </c>
      <c r="L858" s="584">
        <f t="shared" si="107"/>
        <v>235312.59</v>
      </c>
      <c r="M858" s="596">
        <v>234237.99</v>
      </c>
      <c r="N858" s="597"/>
      <c r="O858" s="736">
        <v>1074.5999999999999</v>
      </c>
      <c r="P858" s="597"/>
      <c r="Q858" s="586"/>
      <c r="R858" s="582">
        <f t="shared" si="108"/>
        <v>13013.221666666666</v>
      </c>
      <c r="S858" s="748"/>
      <c r="T858" s="748"/>
      <c r="U858" s="737"/>
      <c r="V858" s="589"/>
      <c r="W858" s="748"/>
      <c r="X858" s="748"/>
      <c r="Y858" s="748"/>
      <c r="Z858" s="748"/>
    </row>
    <row r="859" spans="1:26" s="538" customFormat="1" ht="37.5" hidden="1">
      <c r="A859" s="667">
        <f t="shared" si="109"/>
        <v>12</v>
      </c>
      <c r="B859" s="592" t="s">
        <v>1027</v>
      </c>
      <c r="C859" s="593" t="s">
        <v>383</v>
      </c>
      <c r="D859" s="619">
        <v>2921</v>
      </c>
      <c r="E859" s="619">
        <v>3038</v>
      </c>
      <c r="F859" s="593" t="s">
        <v>230</v>
      </c>
      <c r="G859" s="619">
        <v>692</v>
      </c>
      <c r="H859" s="594">
        <v>2</v>
      </c>
      <c r="I859" s="594">
        <v>2</v>
      </c>
      <c r="J859" s="594">
        <v>12</v>
      </c>
      <c r="K859" s="590" t="s">
        <v>30</v>
      </c>
      <c r="L859" s="584">
        <f t="shared" si="107"/>
        <v>240692.4</v>
      </c>
      <c r="M859" s="596">
        <v>239976</v>
      </c>
      <c r="N859" s="597"/>
      <c r="O859" s="736">
        <v>716.4</v>
      </c>
      <c r="P859" s="597"/>
      <c r="Q859" s="586"/>
      <c r="R859" s="582">
        <f t="shared" si="108"/>
        <v>19998</v>
      </c>
      <c r="S859" s="842"/>
      <c r="T859" s="842"/>
      <c r="U859" s="843"/>
      <c r="V859" s="589"/>
      <c r="W859" s="842"/>
      <c r="X859" s="842"/>
      <c r="Y859" s="842"/>
      <c r="Z859" s="842"/>
    </row>
    <row r="860" spans="1:26" s="538" customFormat="1" ht="37.5" hidden="1">
      <c r="A860" s="667">
        <f t="shared" si="109"/>
        <v>13</v>
      </c>
      <c r="B860" s="592" t="s">
        <v>1028</v>
      </c>
      <c r="C860" s="593" t="s">
        <v>383</v>
      </c>
      <c r="D860" s="619">
        <v>2811</v>
      </c>
      <c r="E860" s="619">
        <v>588</v>
      </c>
      <c r="F860" s="593" t="s">
        <v>230</v>
      </c>
      <c r="G860" s="619">
        <v>521</v>
      </c>
      <c r="H860" s="594">
        <v>2</v>
      </c>
      <c r="I860" s="594">
        <v>2</v>
      </c>
      <c r="J860" s="594">
        <v>16</v>
      </c>
      <c r="K860" s="590" t="s">
        <v>30</v>
      </c>
      <c r="L860" s="584">
        <f t="shared" si="107"/>
        <v>320923.2</v>
      </c>
      <c r="M860" s="596">
        <v>319968</v>
      </c>
      <c r="N860" s="597"/>
      <c r="O860" s="736">
        <v>955.2</v>
      </c>
      <c r="P860" s="597"/>
      <c r="Q860" s="586"/>
      <c r="R860" s="582">
        <f t="shared" si="108"/>
        <v>19998</v>
      </c>
      <c r="S860" s="842"/>
      <c r="T860" s="842"/>
      <c r="U860" s="843"/>
      <c r="V860" s="589"/>
      <c r="W860" s="842"/>
      <c r="X860" s="842"/>
      <c r="Y860" s="842"/>
      <c r="Z860" s="842"/>
    </row>
    <row r="861" spans="1:26" s="538" customFormat="1" ht="37.5" hidden="1">
      <c r="A861" s="667">
        <f t="shared" si="109"/>
        <v>14</v>
      </c>
      <c r="B861" s="592" t="s">
        <v>1029</v>
      </c>
      <c r="C861" s="593" t="s">
        <v>383</v>
      </c>
      <c r="D861" s="619">
        <v>1228</v>
      </c>
      <c r="E861" s="619">
        <v>409.2</v>
      </c>
      <c r="F861" s="593" t="s">
        <v>230</v>
      </c>
      <c r="G861" s="619">
        <v>702</v>
      </c>
      <c r="H861" s="594">
        <v>2</v>
      </c>
      <c r="I861" s="594">
        <v>2</v>
      </c>
      <c r="J861" s="594">
        <v>16</v>
      </c>
      <c r="K861" s="590" t="s">
        <v>238</v>
      </c>
      <c r="L861" s="595">
        <f t="shared" si="107"/>
        <v>501444</v>
      </c>
      <c r="M861" s="596">
        <v>479952</v>
      </c>
      <c r="N861" s="586">
        <v>21492</v>
      </c>
      <c r="O861" s="598"/>
      <c r="P861" s="597"/>
      <c r="Q861" s="586"/>
      <c r="R861" s="599">
        <f t="shared" si="108"/>
        <v>29997</v>
      </c>
      <c r="S861" s="842"/>
      <c r="T861" s="842"/>
      <c r="U861" s="843"/>
      <c r="V861" s="589"/>
      <c r="W861" s="842"/>
      <c r="X861" s="842"/>
      <c r="Y861" s="842"/>
      <c r="Z861" s="842"/>
    </row>
    <row r="862" spans="1:26" s="538" customFormat="1" ht="37.5" hidden="1">
      <c r="A862" s="667">
        <f t="shared" si="109"/>
        <v>15</v>
      </c>
      <c r="B862" s="592" t="s">
        <v>1030</v>
      </c>
      <c r="C862" s="593" t="s">
        <v>383</v>
      </c>
      <c r="D862" s="619">
        <f>E862*3</f>
        <v>1194</v>
      </c>
      <c r="E862" s="622">
        <v>398</v>
      </c>
      <c r="F862" s="789" t="s">
        <v>222</v>
      </c>
      <c r="G862" s="622">
        <v>676</v>
      </c>
      <c r="H862" s="673">
        <v>2</v>
      </c>
      <c r="I862" s="673">
        <v>2</v>
      </c>
      <c r="J862" s="594">
        <v>16</v>
      </c>
      <c r="K862" s="590" t="s">
        <v>33</v>
      </c>
      <c r="L862" s="740">
        <f t="shared" si="107"/>
        <v>1311732.1199999999</v>
      </c>
      <c r="M862" s="741">
        <v>1274065.3999999999</v>
      </c>
      <c r="N862" s="742">
        <v>37666.720000000001</v>
      </c>
      <c r="O862" s="587"/>
      <c r="P862" s="586"/>
      <c r="Q862" s="586"/>
      <c r="R862" s="744">
        <f>M862/G862</f>
        <v>1884.7121301775146</v>
      </c>
      <c r="S862" s="842"/>
      <c r="T862" s="842"/>
      <c r="U862" s="843"/>
      <c r="V862" s="589"/>
      <c r="W862" s="842"/>
      <c r="X862" s="842"/>
      <c r="Y862" s="842"/>
      <c r="Z862" s="842"/>
    </row>
    <row r="863" spans="1:26" s="28" customFormat="1" hidden="1">
      <c r="A863" s="1349" t="s">
        <v>72</v>
      </c>
      <c r="B863" s="1349"/>
      <c r="C863" s="593" t="s">
        <v>28</v>
      </c>
      <c r="D863" s="646">
        <f>SUM(D848:D862)</f>
        <v>45905</v>
      </c>
      <c r="E863" s="646">
        <f>SUM(E848:E862)</f>
        <v>26271.200000000001</v>
      </c>
      <c r="F863" s="646" t="s">
        <v>28</v>
      </c>
      <c r="G863" s="646">
        <f>SUM(G848:G862)</f>
        <v>11240</v>
      </c>
      <c r="H863" s="582" t="s">
        <v>28</v>
      </c>
      <c r="I863" s="582" t="s">
        <v>28</v>
      </c>
      <c r="J863" s="582">
        <f>SUM(J848:J862)</f>
        <v>250</v>
      </c>
      <c r="K863" s="590" t="s">
        <v>28</v>
      </c>
      <c r="L863" s="584">
        <f>SUM(L848:L862)</f>
        <v>5386879.8700000001</v>
      </c>
      <c r="M863" s="585">
        <f>SUM(M848:M862)</f>
        <v>5273772.25</v>
      </c>
      <c r="N863" s="586">
        <f>SUM(N848:N862)</f>
        <v>102122.82</v>
      </c>
      <c r="O863" s="587">
        <f>SUM(O848:O862)</f>
        <v>10984.800000000001</v>
      </c>
      <c r="P863" s="586"/>
      <c r="Q863" s="586">
        <f>SUM(Q848:Q862)</f>
        <v>0</v>
      </c>
      <c r="R863" s="582" t="s">
        <v>28</v>
      </c>
      <c r="S863" s="586">
        <f>L863-M863-N863-O863-P863-Q863</f>
        <v>1.0368239600211382E-10</v>
      </c>
      <c r="T863" s="645"/>
      <c r="U863" s="701"/>
      <c r="V863" s="589"/>
      <c r="W863" s="592"/>
      <c r="X863" s="592"/>
      <c r="Y863" s="592"/>
      <c r="Z863" s="592"/>
    </row>
    <row r="864" spans="1:26" s="28" customFormat="1" hidden="1">
      <c r="A864" s="1347" t="s">
        <v>124</v>
      </c>
      <c r="B864" s="1347"/>
      <c r="C864" s="1347"/>
      <c r="D864" s="1347"/>
      <c r="E864" s="1347"/>
      <c r="F864" s="1347"/>
      <c r="G864" s="1347"/>
      <c r="H864" s="1347"/>
      <c r="I864" s="1347"/>
      <c r="J864" s="1347"/>
      <c r="K864" s="1347"/>
      <c r="L864" s="1347"/>
      <c r="M864" s="1347"/>
      <c r="N864" s="1347"/>
      <c r="O864" s="1347"/>
      <c r="P864" s="1347"/>
      <c r="Q864" s="1347"/>
      <c r="R864" s="1347"/>
      <c r="S864" s="592"/>
      <c r="T864" s="645"/>
      <c r="U864" s="591"/>
      <c r="V864" s="589"/>
      <c r="W864" s="592"/>
      <c r="X864" s="592"/>
      <c r="Y864" s="592"/>
      <c r="Z864" s="592"/>
    </row>
    <row r="865" spans="1:26" s="28" customFormat="1" hidden="1">
      <c r="A865" s="590">
        <v>1</v>
      </c>
      <c r="B865" s="592" t="s">
        <v>1031</v>
      </c>
      <c r="C865" s="593" t="s">
        <v>221</v>
      </c>
      <c r="D865" s="646">
        <v>4626.6000000000004</v>
      </c>
      <c r="E865" s="646">
        <v>598.20000000000005</v>
      </c>
      <c r="F865" s="844" t="s">
        <v>222</v>
      </c>
      <c r="G865" s="844">
        <v>684</v>
      </c>
      <c r="H865" s="582">
        <v>2</v>
      </c>
      <c r="I865" s="582">
        <v>2</v>
      </c>
      <c r="J865" s="582">
        <v>16</v>
      </c>
      <c r="K865" s="590" t="s">
        <v>33</v>
      </c>
      <c r="L865" s="584">
        <f>M865+N865+O865+P865+Q865</f>
        <v>1517441.78</v>
      </c>
      <c r="M865" s="585">
        <v>1487804.71</v>
      </c>
      <c r="N865" s="586">
        <v>29637.07</v>
      </c>
      <c r="O865" s="587"/>
      <c r="P865" s="586"/>
      <c r="Q865" s="586"/>
      <c r="R865" s="582">
        <f>M865/G865</f>
        <v>2175.1530847953218</v>
      </c>
      <c r="S865" s="592"/>
      <c r="T865" s="645"/>
      <c r="U865" s="591"/>
      <c r="V865" s="589"/>
      <c r="W865" s="592"/>
      <c r="X865" s="592"/>
      <c r="Y865" s="592"/>
      <c r="Z865" s="592"/>
    </row>
    <row r="866" spans="1:26" s="28" customFormat="1" hidden="1">
      <c r="A866" s="1349" t="s">
        <v>125</v>
      </c>
      <c r="B866" s="1349"/>
      <c r="C866" s="593" t="s">
        <v>28</v>
      </c>
      <c r="D866" s="646">
        <f>SUM(D865)</f>
        <v>4626.6000000000004</v>
      </c>
      <c r="E866" s="646">
        <f>SUM(E865)</f>
        <v>598.20000000000005</v>
      </c>
      <c r="F866" s="646" t="s">
        <v>28</v>
      </c>
      <c r="G866" s="646">
        <f>SUM(G865)</f>
        <v>684</v>
      </c>
      <c r="H866" s="582" t="s">
        <v>28</v>
      </c>
      <c r="I866" s="582" t="s">
        <v>28</v>
      </c>
      <c r="J866" s="582">
        <f>SUM(J865)</f>
        <v>16</v>
      </c>
      <c r="K866" s="590" t="s">
        <v>28</v>
      </c>
      <c r="L866" s="584">
        <f>SUM(L865)</f>
        <v>1517441.78</v>
      </c>
      <c r="M866" s="585">
        <f>SUM(M865)</f>
        <v>1487804.71</v>
      </c>
      <c r="N866" s="586">
        <f>SUM(N865)</f>
        <v>29637.07</v>
      </c>
      <c r="O866" s="587"/>
      <c r="P866" s="586"/>
      <c r="Q866" s="586">
        <f>SUM(Q865)</f>
        <v>0</v>
      </c>
      <c r="R866" s="582" t="s">
        <v>28</v>
      </c>
      <c r="S866" s="586">
        <f>L866-M866-N866-O866-P866-Q866</f>
        <v>6.5483618527650833E-11</v>
      </c>
      <c r="T866" s="645"/>
      <c r="U866" s="701"/>
      <c r="V866" s="589"/>
      <c r="W866" s="592"/>
      <c r="X866" s="592"/>
      <c r="Y866" s="592"/>
      <c r="Z866" s="592"/>
    </row>
    <row r="867" spans="1:26" s="28" customFormat="1" hidden="1">
      <c r="A867" s="1347" t="s">
        <v>74</v>
      </c>
      <c r="B867" s="1347"/>
      <c r="C867" s="1347"/>
      <c r="D867" s="1347"/>
      <c r="E867" s="1347"/>
      <c r="F867" s="1347"/>
      <c r="G867" s="1347"/>
      <c r="H867" s="1347"/>
      <c r="I867" s="1347"/>
      <c r="J867" s="1347"/>
      <c r="K867" s="1347"/>
      <c r="L867" s="1347"/>
      <c r="M867" s="1347"/>
      <c r="N867" s="1347"/>
      <c r="O867" s="1347"/>
      <c r="P867" s="1347"/>
      <c r="Q867" s="1347"/>
      <c r="R867" s="1347"/>
      <c r="S867" s="592"/>
      <c r="T867" s="645"/>
      <c r="U867" s="591"/>
      <c r="V867" s="589"/>
      <c r="W867" s="592"/>
      <c r="X867" s="592"/>
      <c r="Y867" s="592"/>
      <c r="Z867" s="592"/>
    </row>
    <row r="868" spans="1:26" s="28" customFormat="1" hidden="1">
      <c r="A868" s="590">
        <v>1</v>
      </c>
      <c r="B868" s="592" t="s">
        <v>1032</v>
      </c>
      <c r="C868" s="744" t="s">
        <v>221</v>
      </c>
      <c r="D868" s="646">
        <v>2604</v>
      </c>
      <c r="E868" s="646">
        <v>1041.5999999999999</v>
      </c>
      <c r="F868" s="844" t="s">
        <v>222</v>
      </c>
      <c r="G868" s="646">
        <v>1220</v>
      </c>
      <c r="H868" s="599">
        <v>2</v>
      </c>
      <c r="I868" s="599">
        <v>4</v>
      </c>
      <c r="J868" s="582">
        <v>24</v>
      </c>
      <c r="K868" s="590" t="s">
        <v>33</v>
      </c>
      <c r="L868" s="584">
        <f>M868+N868+O868+P868+Q868</f>
        <v>1608445.17</v>
      </c>
      <c r="M868" s="585">
        <v>1581483.65</v>
      </c>
      <c r="N868" s="586">
        <v>26961.52</v>
      </c>
      <c r="O868" s="587"/>
      <c r="P868" s="586"/>
      <c r="Q868" s="586"/>
      <c r="R868" s="582">
        <f>M868/G868</f>
        <v>1296.2980737704918</v>
      </c>
      <c r="S868" s="592"/>
      <c r="T868" s="645"/>
      <c r="U868" s="591"/>
      <c r="V868" s="589"/>
      <c r="W868" s="592"/>
      <c r="X868" s="592"/>
      <c r="Y868" s="592"/>
      <c r="Z868" s="592"/>
    </row>
    <row r="869" spans="1:26" s="28" customFormat="1" hidden="1">
      <c r="A869" s="1349" t="s">
        <v>126</v>
      </c>
      <c r="B869" s="1349"/>
      <c r="C869" s="593" t="s">
        <v>28</v>
      </c>
      <c r="D869" s="646">
        <f>SUM(D868)</f>
        <v>2604</v>
      </c>
      <c r="E869" s="646">
        <f>SUM(E868:E868)</f>
        <v>1041.5999999999999</v>
      </c>
      <c r="F869" s="646" t="s">
        <v>28</v>
      </c>
      <c r="G869" s="646">
        <f>SUM(G868:G868)</f>
        <v>1220</v>
      </c>
      <c r="H869" s="582" t="s">
        <v>28</v>
      </c>
      <c r="I869" s="582" t="s">
        <v>28</v>
      </c>
      <c r="J869" s="582">
        <f>SUM(J868:J868)</f>
        <v>24</v>
      </c>
      <c r="K869" s="590" t="s">
        <v>28</v>
      </c>
      <c r="L869" s="584">
        <f>SUM(L868:L868)</f>
        <v>1608445.17</v>
      </c>
      <c r="M869" s="585">
        <f>SUM(M868:M868)</f>
        <v>1581483.65</v>
      </c>
      <c r="N869" s="586">
        <f>SUM(N868:N868)</f>
        <v>26961.52</v>
      </c>
      <c r="O869" s="587"/>
      <c r="P869" s="586"/>
      <c r="Q869" s="586">
        <f>SUM(Q868:Q868)</f>
        <v>0</v>
      </c>
      <c r="R869" s="582" t="s">
        <v>28</v>
      </c>
      <c r="S869" s="586">
        <f>L869-M869-N869-O869-P869-Q869</f>
        <v>1.8189894035458565E-11</v>
      </c>
      <c r="T869" s="645"/>
      <c r="U869" s="701"/>
      <c r="V869" s="589"/>
      <c r="W869" s="592"/>
      <c r="X869" s="592"/>
      <c r="Y869" s="592"/>
      <c r="Z869" s="592"/>
    </row>
    <row r="870" spans="1:26" s="28" customFormat="1" hidden="1">
      <c r="A870" s="1347" t="s">
        <v>75</v>
      </c>
      <c r="B870" s="1347"/>
      <c r="C870" s="1347"/>
      <c r="D870" s="1347"/>
      <c r="E870" s="1347"/>
      <c r="F870" s="1347"/>
      <c r="G870" s="1347"/>
      <c r="H870" s="1347"/>
      <c r="I870" s="1347"/>
      <c r="J870" s="1347"/>
      <c r="K870" s="1347"/>
      <c r="L870" s="1347"/>
      <c r="M870" s="1347"/>
      <c r="N870" s="1347"/>
      <c r="O870" s="1347"/>
      <c r="P870" s="1347"/>
      <c r="Q870" s="1347"/>
      <c r="R870" s="1347"/>
      <c r="S870" s="592"/>
      <c r="T870" s="645"/>
      <c r="U870" s="591"/>
      <c r="V870" s="589"/>
      <c r="W870" s="592"/>
      <c r="X870" s="592"/>
      <c r="Y870" s="592"/>
      <c r="Z870" s="592"/>
    </row>
    <row r="871" spans="1:26" s="90" customFormat="1" ht="37.5" hidden="1">
      <c r="A871" s="590">
        <v>1</v>
      </c>
      <c r="B871" s="592" t="s">
        <v>1033</v>
      </c>
      <c r="C871" s="744" t="s">
        <v>221</v>
      </c>
      <c r="D871" s="619">
        <v>2464</v>
      </c>
      <c r="E871" s="619">
        <v>260.85000000000002</v>
      </c>
      <c r="F871" s="619" t="s">
        <v>222</v>
      </c>
      <c r="G871" s="619">
        <v>505</v>
      </c>
      <c r="H871" s="599">
        <v>2</v>
      </c>
      <c r="I871" s="599">
        <v>1</v>
      </c>
      <c r="J871" s="599">
        <v>8</v>
      </c>
      <c r="K871" s="590" t="s">
        <v>274</v>
      </c>
      <c r="L871" s="740">
        <f>M871+N871+O871+P871+Q871</f>
        <v>1427998.6</v>
      </c>
      <c r="M871" s="741">
        <v>1399860</v>
      </c>
      <c r="N871" s="742">
        <v>28138.6</v>
      </c>
      <c r="O871" s="587"/>
      <c r="P871" s="586"/>
      <c r="Q871" s="586"/>
      <c r="R871" s="744">
        <f>M871/G871</f>
        <v>2772</v>
      </c>
      <c r="S871" s="748"/>
      <c r="T871" s="748"/>
      <c r="U871" s="737"/>
      <c r="V871" s="589"/>
      <c r="W871" s="748"/>
      <c r="X871" s="748"/>
      <c r="Y871" s="748"/>
      <c r="Z871" s="748"/>
    </row>
    <row r="872" spans="1:26" s="90" customFormat="1" ht="37.5" hidden="1">
      <c r="A872" s="590">
        <f>A871+1</f>
        <v>2</v>
      </c>
      <c r="B872" s="592" t="s">
        <v>1034</v>
      </c>
      <c r="C872" s="845" t="s">
        <v>221</v>
      </c>
      <c r="D872" s="646">
        <v>2887</v>
      </c>
      <c r="E872" s="646">
        <v>2887</v>
      </c>
      <c r="F872" s="844" t="s">
        <v>222</v>
      </c>
      <c r="G872" s="646">
        <v>644</v>
      </c>
      <c r="H872" s="582">
        <v>2</v>
      </c>
      <c r="I872" s="582">
        <v>2</v>
      </c>
      <c r="J872" s="582">
        <v>16</v>
      </c>
      <c r="K872" s="590" t="s">
        <v>237</v>
      </c>
      <c r="L872" s="595">
        <f>M872+N872+O872+P872+Q872</f>
        <v>317755.2</v>
      </c>
      <c r="M872" s="596">
        <v>316800</v>
      </c>
      <c r="N872" s="597"/>
      <c r="O872" s="736">
        <v>955.2</v>
      </c>
      <c r="P872" s="597"/>
      <c r="Q872" s="586"/>
      <c r="R872" s="599">
        <f>M872/J872</f>
        <v>19800</v>
      </c>
      <c r="S872" s="748"/>
      <c r="T872" s="748"/>
      <c r="U872" s="737"/>
      <c r="V872" s="589"/>
      <c r="W872" s="748"/>
      <c r="X872" s="748"/>
      <c r="Y872" s="748"/>
      <c r="Z872" s="748"/>
    </row>
    <row r="873" spans="1:26" s="90" customFormat="1" ht="37.5" hidden="1">
      <c r="A873" s="590">
        <f>A872+1</f>
        <v>3</v>
      </c>
      <c r="B873" s="592" t="s">
        <v>1035</v>
      </c>
      <c r="C873" s="744" t="s">
        <v>221</v>
      </c>
      <c r="D873" s="646">
        <v>2849</v>
      </c>
      <c r="E873" s="646">
        <v>508.7</v>
      </c>
      <c r="F873" s="619" t="s">
        <v>222</v>
      </c>
      <c r="G873" s="646">
        <v>636</v>
      </c>
      <c r="H873" s="582">
        <v>2</v>
      </c>
      <c r="I873" s="582">
        <v>2</v>
      </c>
      <c r="J873" s="582">
        <v>16</v>
      </c>
      <c r="K873" s="590" t="s">
        <v>274</v>
      </c>
      <c r="L873" s="740">
        <f>M873+N873+O873+P873+Q873</f>
        <v>1789570.44</v>
      </c>
      <c r="M873" s="741">
        <v>1762992</v>
      </c>
      <c r="N873" s="742">
        <v>26578.44</v>
      </c>
      <c r="O873" s="587"/>
      <c r="P873" s="586"/>
      <c r="Q873" s="586"/>
      <c r="R873" s="744">
        <f>M873/G873</f>
        <v>2772</v>
      </c>
      <c r="S873" s="748"/>
      <c r="T873" s="748"/>
      <c r="U873" s="737"/>
      <c r="V873" s="589"/>
      <c r="W873" s="748"/>
      <c r="X873" s="748"/>
      <c r="Y873" s="748"/>
      <c r="Z873" s="748"/>
    </row>
    <row r="874" spans="1:26" s="90" customFormat="1" hidden="1">
      <c r="A874" s="590">
        <f>A873+1</f>
        <v>4</v>
      </c>
      <c r="B874" s="592" t="s">
        <v>1036</v>
      </c>
      <c r="C874" s="744" t="s">
        <v>221</v>
      </c>
      <c r="D874" s="646">
        <v>2969</v>
      </c>
      <c r="E874" s="646">
        <v>513.70000000000005</v>
      </c>
      <c r="F874" s="646" t="s">
        <v>228</v>
      </c>
      <c r="G874" s="646">
        <v>642</v>
      </c>
      <c r="H874" s="582">
        <v>2</v>
      </c>
      <c r="I874" s="582">
        <v>2</v>
      </c>
      <c r="J874" s="582">
        <v>16</v>
      </c>
      <c r="K874" s="590" t="s">
        <v>238</v>
      </c>
      <c r="L874" s="595">
        <f>M874+N874+O874+P874+Q874</f>
        <v>718928</v>
      </c>
      <c r="M874" s="607">
        <v>697436</v>
      </c>
      <c r="N874" s="586">
        <v>21492</v>
      </c>
      <c r="O874" s="598"/>
      <c r="P874" s="597"/>
      <c r="Q874" s="586"/>
      <c r="R874" s="599">
        <f>M874/J874</f>
        <v>43589.75</v>
      </c>
      <c r="S874" s="748"/>
      <c r="T874" s="748"/>
      <c r="U874" s="737"/>
      <c r="V874" s="589"/>
      <c r="W874" s="748"/>
      <c r="X874" s="748"/>
      <c r="Y874" s="748"/>
      <c r="Z874" s="748"/>
    </row>
    <row r="875" spans="1:26" s="90" customFormat="1" hidden="1">
      <c r="A875" s="590">
        <f>A874+1</f>
        <v>5</v>
      </c>
      <c r="B875" s="592" t="s">
        <v>1037</v>
      </c>
      <c r="C875" s="744" t="s">
        <v>221</v>
      </c>
      <c r="D875" s="646">
        <f>E875*2.5</f>
        <v>2390.5</v>
      </c>
      <c r="E875" s="646">
        <v>956.2</v>
      </c>
      <c r="F875" s="619" t="s">
        <v>222</v>
      </c>
      <c r="G875" s="646">
        <v>636</v>
      </c>
      <c r="H875" s="582">
        <v>2</v>
      </c>
      <c r="I875" s="582">
        <v>3</v>
      </c>
      <c r="J875" s="582">
        <v>22</v>
      </c>
      <c r="K875" s="590" t="s">
        <v>238</v>
      </c>
      <c r="L875" s="595">
        <f>M875+N875+O875+P875+Q875</f>
        <v>682951.5</v>
      </c>
      <c r="M875" s="596">
        <v>653400</v>
      </c>
      <c r="N875" s="586">
        <v>29551.5</v>
      </c>
      <c r="O875" s="598"/>
      <c r="P875" s="597"/>
      <c r="Q875" s="586"/>
      <c r="R875" s="599">
        <f>M875/J875</f>
        <v>29700</v>
      </c>
      <c r="S875" s="748"/>
      <c r="T875" s="748"/>
      <c r="U875" s="737"/>
      <c r="V875" s="589"/>
      <c r="W875" s="748"/>
      <c r="X875" s="748"/>
      <c r="Y875" s="748"/>
      <c r="Z875" s="748"/>
    </row>
    <row r="876" spans="1:26" s="28" customFormat="1" hidden="1">
      <c r="A876" s="1349" t="s">
        <v>127</v>
      </c>
      <c r="B876" s="1349"/>
      <c r="C876" s="593" t="s">
        <v>28</v>
      </c>
      <c r="D876" s="646">
        <f>SUM(D871:D875)</f>
        <v>13559.5</v>
      </c>
      <c r="E876" s="646">
        <f>SUM(E871:E875)</f>
        <v>5126.45</v>
      </c>
      <c r="F876" s="646" t="s">
        <v>28</v>
      </c>
      <c r="G876" s="646">
        <f>SUM(G871:G875)</f>
        <v>3063</v>
      </c>
      <c r="H876" s="582" t="s">
        <v>28</v>
      </c>
      <c r="I876" s="582" t="s">
        <v>28</v>
      </c>
      <c r="J876" s="582">
        <f>SUM(J871:J875)</f>
        <v>78</v>
      </c>
      <c r="K876" s="590" t="s">
        <v>28</v>
      </c>
      <c r="L876" s="584">
        <f>SUM(L871:L875)</f>
        <v>4937203.74</v>
      </c>
      <c r="M876" s="585">
        <f>SUM(M871:M875)</f>
        <v>4830488</v>
      </c>
      <c r="N876" s="586">
        <f>SUM(N871:N875)</f>
        <v>105760.54</v>
      </c>
      <c r="O876" s="587">
        <f>SUM(O871:O875)</f>
        <v>955.2</v>
      </c>
      <c r="P876" s="586"/>
      <c r="Q876" s="586">
        <f>SUM(Q871:Q875)</f>
        <v>0</v>
      </c>
      <c r="R876" s="582" t="s">
        <v>28</v>
      </c>
      <c r="S876" s="586">
        <f>L876-M876-N876-O876-P876-Q876</f>
        <v>2.2987478587310761E-10</v>
      </c>
      <c r="T876" s="645"/>
      <c r="U876" s="701"/>
      <c r="V876" s="589"/>
      <c r="W876" s="592"/>
      <c r="X876" s="592"/>
      <c r="Y876" s="592"/>
      <c r="Z876" s="592"/>
    </row>
    <row r="877" spans="1:26" s="28" customFormat="1" hidden="1">
      <c r="A877" s="1347" t="s">
        <v>76</v>
      </c>
      <c r="B877" s="1347"/>
      <c r="C877" s="1347"/>
      <c r="D877" s="1347"/>
      <c r="E877" s="1347"/>
      <c r="F877" s="1347"/>
      <c r="G877" s="1347"/>
      <c r="H877" s="1347"/>
      <c r="I877" s="1347"/>
      <c r="J877" s="1347"/>
      <c r="K877" s="1347"/>
      <c r="L877" s="1347"/>
      <c r="M877" s="1347"/>
      <c r="N877" s="1347"/>
      <c r="O877" s="1347"/>
      <c r="P877" s="1347"/>
      <c r="Q877" s="1347"/>
      <c r="R877" s="1347"/>
      <c r="S877" s="592"/>
      <c r="T877" s="645"/>
      <c r="U877" s="591"/>
      <c r="V877" s="589"/>
      <c r="W877" s="592"/>
      <c r="X877" s="592"/>
      <c r="Y877" s="592"/>
      <c r="Z877" s="592"/>
    </row>
    <row r="878" spans="1:26" s="28" customFormat="1" ht="37.5" hidden="1">
      <c r="A878" s="590">
        <v>1</v>
      </c>
      <c r="B878" s="592" t="s">
        <v>1038</v>
      </c>
      <c r="C878" s="594" t="s">
        <v>239</v>
      </c>
      <c r="D878" s="619">
        <v>2748</v>
      </c>
      <c r="E878" s="619">
        <v>521.79999999999995</v>
      </c>
      <c r="F878" s="646" t="s">
        <v>222</v>
      </c>
      <c r="G878" s="619">
        <v>746.4</v>
      </c>
      <c r="H878" s="599">
        <v>2</v>
      </c>
      <c r="I878" s="599">
        <v>2</v>
      </c>
      <c r="J878" s="599">
        <v>16</v>
      </c>
      <c r="K878" s="590" t="s">
        <v>274</v>
      </c>
      <c r="L878" s="740">
        <f>M878+N878+O878+P878+Q878</f>
        <v>1194494.7400000002</v>
      </c>
      <c r="M878" s="741">
        <v>1171185.8700000001</v>
      </c>
      <c r="N878" s="742">
        <v>23308.87</v>
      </c>
      <c r="O878" s="587"/>
      <c r="P878" s="586"/>
      <c r="Q878" s="586"/>
      <c r="R878" s="744">
        <f>M878/G878</f>
        <v>1569.1129019292607</v>
      </c>
      <c r="S878" s="592"/>
      <c r="T878" s="645"/>
      <c r="U878" s="591"/>
      <c r="V878" s="589"/>
      <c r="W878" s="592"/>
      <c r="X878" s="592"/>
      <c r="Y878" s="592"/>
      <c r="Z878" s="592"/>
    </row>
    <row r="879" spans="1:26" s="28" customFormat="1" hidden="1">
      <c r="A879" s="1349" t="s">
        <v>77</v>
      </c>
      <c r="B879" s="1349"/>
      <c r="C879" s="593" t="s">
        <v>28</v>
      </c>
      <c r="D879" s="646">
        <f>SUM(D878:D878)</f>
        <v>2748</v>
      </c>
      <c r="E879" s="646">
        <f>SUM(E878:E878)</f>
        <v>521.79999999999995</v>
      </c>
      <c r="F879" s="646" t="s">
        <v>28</v>
      </c>
      <c r="G879" s="646">
        <f>SUM(G878:G878)</f>
        <v>746.4</v>
      </c>
      <c r="H879" s="582" t="s">
        <v>28</v>
      </c>
      <c r="I879" s="582" t="s">
        <v>28</v>
      </c>
      <c r="J879" s="582">
        <f>SUM(J878:J878)</f>
        <v>16</v>
      </c>
      <c r="K879" s="590" t="s">
        <v>28</v>
      </c>
      <c r="L879" s="584">
        <f>SUM(L878:L878)</f>
        <v>1194494.7400000002</v>
      </c>
      <c r="M879" s="585">
        <f>SUM(M878:M878)</f>
        <v>1171185.8700000001</v>
      </c>
      <c r="N879" s="586">
        <f>SUM(N878:N878)</f>
        <v>23308.87</v>
      </c>
      <c r="O879" s="587"/>
      <c r="P879" s="586"/>
      <c r="Q879" s="586">
        <f>SUM(Q878:Q878)</f>
        <v>0</v>
      </c>
      <c r="R879" s="582" t="s">
        <v>28</v>
      </c>
      <c r="S879" s="645"/>
      <c r="T879" s="645"/>
      <c r="U879" s="701"/>
      <c r="V879" s="589"/>
      <c r="W879" s="592"/>
      <c r="X879" s="592"/>
      <c r="Y879" s="592"/>
      <c r="Z879" s="592"/>
    </row>
    <row r="880" spans="1:26" s="28" customFormat="1" hidden="1">
      <c r="A880" s="1347" t="s">
        <v>78</v>
      </c>
      <c r="B880" s="1347"/>
      <c r="C880" s="1347"/>
      <c r="D880" s="1347"/>
      <c r="E880" s="1347"/>
      <c r="F880" s="1347"/>
      <c r="G880" s="1347"/>
      <c r="H880" s="1347"/>
      <c r="I880" s="1347"/>
      <c r="J880" s="1347"/>
      <c r="K880" s="1347"/>
      <c r="L880" s="1347"/>
      <c r="M880" s="1347"/>
      <c r="N880" s="1347"/>
      <c r="O880" s="1347"/>
      <c r="P880" s="1347"/>
      <c r="Q880" s="1347"/>
      <c r="R880" s="1347"/>
      <c r="S880" s="592"/>
      <c r="T880" s="645"/>
      <c r="U880" s="591"/>
      <c r="V880" s="589"/>
      <c r="W880" s="592"/>
      <c r="X880" s="592"/>
      <c r="Y880" s="592"/>
      <c r="Z880" s="592"/>
    </row>
    <row r="881" spans="1:26" s="90" customFormat="1" hidden="1">
      <c r="A881" s="590">
        <v>1</v>
      </c>
      <c r="B881" s="592" t="s">
        <v>1039</v>
      </c>
      <c r="C881" s="593" t="s">
        <v>239</v>
      </c>
      <c r="D881" s="619">
        <v>2669</v>
      </c>
      <c r="E881" s="646">
        <v>952.08</v>
      </c>
      <c r="F881" s="619" t="s">
        <v>222</v>
      </c>
      <c r="G881" s="646">
        <f>(20*I881)*12*1.3</f>
        <v>624</v>
      </c>
      <c r="H881" s="582">
        <v>2</v>
      </c>
      <c r="I881" s="582">
        <v>2</v>
      </c>
      <c r="J881" s="582">
        <v>16</v>
      </c>
      <c r="K881" s="590" t="s">
        <v>33</v>
      </c>
      <c r="L881" s="584">
        <f>M881+N881+O881+Q881</f>
        <v>1220527.32</v>
      </c>
      <c r="M881" s="596">
        <v>1196689.1100000001</v>
      </c>
      <c r="N881" s="742">
        <v>23838.21</v>
      </c>
      <c r="O881" s="743"/>
      <c r="P881" s="742"/>
      <c r="Q881" s="586"/>
      <c r="R881" s="599">
        <f>M881/G881</f>
        <v>1917.7710096153849</v>
      </c>
      <c r="S881" s="748"/>
      <c r="T881" s="748"/>
      <c r="U881" s="737"/>
      <c r="V881" s="589"/>
      <c r="W881" s="748"/>
      <c r="X881" s="748"/>
      <c r="Y881" s="748"/>
      <c r="Z881" s="748"/>
    </row>
    <row r="882" spans="1:26" s="90" customFormat="1" hidden="1">
      <c r="A882" s="590">
        <v>2</v>
      </c>
      <c r="B882" s="592" t="s">
        <v>1040</v>
      </c>
      <c r="C882" s="593" t="s">
        <v>221</v>
      </c>
      <c r="D882" s="619">
        <v>3079</v>
      </c>
      <c r="E882" s="646">
        <v>1038.8599999999999</v>
      </c>
      <c r="F882" s="619" t="s">
        <v>222</v>
      </c>
      <c r="G882" s="646">
        <v>476.45</v>
      </c>
      <c r="H882" s="582">
        <v>2</v>
      </c>
      <c r="I882" s="582">
        <v>1</v>
      </c>
      <c r="J882" s="582">
        <v>32</v>
      </c>
      <c r="K882" s="590" t="s">
        <v>224</v>
      </c>
      <c r="L882" s="584">
        <f>M882+N882+O882+Q882</f>
        <v>445007.73</v>
      </c>
      <c r="M882" s="741">
        <v>423863.98</v>
      </c>
      <c r="N882" s="742">
        <v>21143.75</v>
      </c>
      <c r="O882" s="743"/>
      <c r="P882" s="742"/>
      <c r="Q882" s="586"/>
      <c r="R882" s="599">
        <f>M882/J882</f>
        <v>13245.749374999999</v>
      </c>
      <c r="S882" s="748"/>
      <c r="T882" s="748"/>
      <c r="U882" s="586"/>
      <c r="V882" s="589"/>
      <c r="W882" s="748"/>
      <c r="X882" s="748"/>
      <c r="Y882" s="748"/>
      <c r="Z882" s="748"/>
    </row>
    <row r="883" spans="1:26" s="90" customFormat="1" hidden="1">
      <c r="A883" s="590">
        <v>3</v>
      </c>
      <c r="B883" s="592" t="s">
        <v>1041</v>
      </c>
      <c r="C883" s="593" t="s">
        <v>221</v>
      </c>
      <c r="D883" s="646">
        <v>1213</v>
      </c>
      <c r="E883" s="619">
        <v>1041.2849999999999</v>
      </c>
      <c r="F883" s="646" t="s">
        <v>222</v>
      </c>
      <c r="G883" s="646">
        <f>(20*I883)*12*1.3</f>
        <v>312</v>
      </c>
      <c r="H883" s="599">
        <v>2</v>
      </c>
      <c r="I883" s="599">
        <v>1</v>
      </c>
      <c r="J883" s="599">
        <v>8</v>
      </c>
      <c r="K883" s="590" t="s">
        <v>33</v>
      </c>
      <c r="L883" s="584">
        <f>M883+N883+O883+Q883</f>
        <v>648772.79999999993</v>
      </c>
      <c r="M883" s="596">
        <v>623937.6</v>
      </c>
      <c r="N883" s="742">
        <v>24835.200000000001</v>
      </c>
      <c r="O883" s="743"/>
      <c r="P883" s="742"/>
      <c r="Q883" s="586"/>
      <c r="R883" s="599">
        <f>M883/G883</f>
        <v>1999.8</v>
      </c>
      <c r="S883" s="748"/>
      <c r="T883" s="748"/>
      <c r="U883" s="737"/>
      <c r="V883" s="589"/>
      <c r="W883" s="748"/>
      <c r="X883" s="748"/>
      <c r="Y883" s="748"/>
      <c r="Z883" s="748"/>
    </row>
    <row r="884" spans="1:26" s="28" customFormat="1" hidden="1">
      <c r="A884" s="1349" t="s">
        <v>128</v>
      </c>
      <c r="B884" s="1349"/>
      <c r="C884" s="593" t="s">
        <v>28</v>
      </c>
      <c r="D884" s="646">
        <f>SUM(D881:D883)</f>
        <v>6961</v>
      </c>
      <c r="E884" s="646">
        <f>SUM(E881:E883)</f>
        <v>3032.2249999999999</v>
      </c>
      <c r="F884" s="646" t="s">
        <v>28</v>
      </c>
      <c r="G884" s="646">
        <f>SUM(G881:G883)</f>
        <v>1412.45</v>
      </c>
      <c r="H884" s="582" t="s">
        <v>28</v>
      </c>
      <c r="I884" s="582" t="s">
        <v>28</v>
      </c>
      <c r="J884" s="582">
        <f>SUM(J881:J883)</f>
        <v>56</v>
      </c>
      <c r="K884" s="590" t="s">
        <v>28</v>
      </c>
      <c r="L884" s="584">
        <f>SUM(L881:L883)</f>
        <v>2314307.85</v>
      </c>
      <c r="M884" s="585">
        <f>SUM(M881:M883)</f>
        <v>2244490.69</v>
      </c>
      <c r="N884" s="586">
        <f>SUM(N881:N883)</f>
        <v>69817.16</v>
      </c>
      <c r="O884" s="587"/>
      <c r="P884" s="586"/>
      <c r="Q884" s="586">
        <f>SUM(Q881:Q883)</f>
        <v>0</v>
      </c>
      <c r="R884" s="582" t="s">
        <v>28</v>
      </c>
      <c r="S884" s="586">
        <f>L884-M884-N884-O884-P884-Q884</f>
        <v>1.4551915228366852E-10</v>
      </c>
      <c r="T884" s="645"/>
      <c r="U884" s="701"/>
      <c r="V884" s="589"/>
      <c r="W884" s="592"/>
      <c r="X884" s="592"/>
      <c r="Y884" s="592"/>
      <c r="Z884" s="592"/>
    </row>
    <row r="885" spans="1:26" s="28" customFormat="1" hidden="1">
      <c r="A885" s="1347" t="s">
        <v>79</v>
      </c>
      <c r="B885" s="1347"/>
      <c r="C885" s="1347"/>
      <c r="D885" s="1347"/>
      <c r="E885" s="1347"/>
      <c r="F885" s="1347"/>
      <c r="G885" s="1347"/>
      <c r="H885" s="1347"/>
      <c r="I885" s="1347"/>
      <c r="J885" s="1347"/>
      <c r="K885" s="1347"/>
      <c r="L885" s="1347"/>
      <c r="M885" s="1347"/>
      <c r="N885" s="1347"/>
      <c r="O885" s="1347"/>
      <c r="P885" s="1347"/>
      <c r="Q885" s="1347"/>
      <c r="R885" s="1347"/>
      <c r="S885" s="592"/>
      <c r="T885" s="645"/>
      <c r="U885" s="591"/>
      <c r="V885" s="589"/>
      <c r="W885" s="592"/>
      <c r="X885" s="592"/>
      <c r="Y885" s="592"/>
      <c r="Z885" s="592"/>
    </row>
    <row r="886" spans="1:26" s="71" customFormat="1" hidden="1">
      <c r="A886" s="792">
        <v>1</v>
      </c>
      <c r="B886" s="788" t="s">
        <v>1042</v>
      </c>
      <c r="C886" s="846" t="s">
        <v>239</v>
      </c>
      <c r="D886" s="789">
        <v>2750</v>
      </c>
      <c r="E886" s="789">
        <v>583</v>
      </c>
      <c r="F886" s="789" t="s">
        <v>222</v>
      </c>
      <c r="G886" s="789">
        <v>675</v>
      </c>
      <c r="H886" s="744">
        <v>2</v>
      </c>
      <c r="I886" s="744">
        <v>2</v>
      </c>
      <c r="J886" s="744">
        <v>16</v>
      </c>
      <c r="K886" s="792" t="s">
        <v>33</v>
      </c>
      <c r="L886" s="740">
        <f>M886+N886+O886+P886+Q886</f>
        <v>1304425.27</v>
      </c>
      <c r="M886" s="741">
        <v>1278139.3600000001</v>
      </c>
      <c r="N886" s="742">
        <v>26285.91</v>
      </c>
      <c r="O886" s="743"/>
      <c r="P886" s="742"/>
      <c r="Q886" s="586"/>
      <c r="R886" s="744">
        <f>M886/G886</f>
        <v>1893.5397925925927</v>
      </c>
      <c r="S886" s="737"/>
      <c r="T886" s="737"/>
      <c r="U886" s="737"/>
      <c r="V886" s="589"/>
      <c r="W886" s="737"/>
      <c r="X886" s="737"/>
      <c r="Y886" s="737"/>
      <c r="Z886" s="737"/>
    </row>
    <row r="887" spans="1:26" s="28" customFormat="1" hidden="1">
      <c r="A887" s="1349" t="s">
        <v>129</v>
      </c>
      <c r="B887" s="1349"/>
      <c r="C887" s="593" t="s">
        <v>28</v>
      </c>
      <c r="D887" s="646">
        <f>SUM(D886)</f>
        <v>2750</v>
      </c>
      <c r="E887" s="646">
        <f>SUM(E886)</f>
        <v>583</v>
      </c>
      <c r="F887" s="646" t="s">
        <v>28</v>
      </c>
      <c r="G887" s="646">
        <f>SUM(G886)</f>
        <v>675</v>
      </c>
      <c r="H887" s="582" t="s">
        <v>28</v>
      </c>
      <c r="I887" s="582" t="s">
        <v>28</v>
      </c>
      <c r="J887" s="582">
        <f>J886</f>
        <v>16</v>
      </c>
      <c r="K887" s="590" t="s">
        <v>28</v>
      </c>
      <c r="L887" s="584">
        <f>L886</f>
        <v>1304425.27</v>
      </c>
      <c r="M887" s="585">
        <f>M886</f>
        <v>1278139.3600000001</v>
      </c>
      <c r="N887" s="586">
        <f>N886</f>
        <v>26285.91</v>
      </c>
      <c r="O887" s="587"/>
      <c r="P887" s="586"/>
      <c r="Q887" s="586">
        <f>Q886</f>
        <v>0</v>
      </c>
      <c r="R887" s="582" t="s">
        <v>28</v>
      </c>
      <c r="S887" s="586">
        <f>L887-M887-N887-O887-P887-Q887</f>
        <v>-8.3673512563109398E-11</v>
      </c>
      <c r="T887" s="645"/>
      <c r="U887" s="701"/>
      <c r="V887" s="589"/>
      <c r="W887" s="592"/>
      <c r="X887" s="592"/>
      <c r="Y887" s="592"/>
      <c r="Z887" s="592"/>
    </row>
    <row r="888" spans="1:26" s="28" customFormat="1" hidden="1">
      <c r="A888" s="1347" t="s">
        <v>130</v>
      </c>
      <c r="B888" s="1347"/>
      <c r="C888" s="1347"/>
      <c r="D888" s="1347"/>
      <c r="E888" s="1347"/>
      <c r="F888" s="1347"/>
      <c r="G888" s="1347"/>
      <c r="H888" s="1347"/>
      <c r="I888" s="1347"/>
      <c r="J888" s="1347"/>
      <c r="K888" s="1347"/>
      <c r="L888" s="1347"/>
      <c r="M888" s="1347"/>
      <c r="N888" s="1347"/>
      <c r="O888" s="1347"/>
      <c r="P888" s="1347"/>
      <c r="Q888" s="1347"/>
      <c r="R888" s="1347"/>
      <c r="S888" s="592"/>
      <c r="T888" s="645"/>
      <c r="U888" s="591"/>
      <c r="V888" s="589"/>
      <c r="W888" s="592"/>
      <c r="X888" s="592"/>
      <c r="Y888" s="592"/>
      <c r="Z888" s="592"/>
    </row>
    <row r="889" spans="1:26" s="75" customFormat="1" hidden="1">
      <c r="A889" s="847">
        <v>1</v>
      </c>
      <c r="B889" s="848" t="s">
        <v>1043</v>
      </c>
      <c r="C889" s="593" t="s">
        <v>239</v>
      </c>
      <c r="D889" s="849">
        <v>2728</v>
      </c>
      <c r="E889" s="850">
        <v>581.29999999999995</v>
      </c>
      <c r="F889" s="789" t="s">
        <v>222</v>
      </c>
      <c r="G889" s="851">
        <v>652</v>
      </c>
      <c r="H889" s="852">
        <v>2</v>
      </c>
      <c r="I889" s="852">
        <v>2</v>
      </c>
      <c r="J889" s="852">
        <v>16</v>
      </c>
      <c r="K889" s="697" t="s">
        <v>33</v>
      </c>
      <c r="L889" s="584">
        <f>M889+N889+O889+Q889</f>
        <v>1193018.02</v>
      </c>
      <c r="M889" s="596">
        <v>1169717.1100000001</v>
      </c>
      <c r="N889" s="742">
        <v>23300.91</v>
      </c>
      <c r="O889" s="743"/>
      <c r="P889" s="742"/>
      <c r="Q889" s="853"/>
      <c r="R889" s="599">
        <f>M889/G889</f>
        <v>1794.0446472392639</v>
      </c>
      <c r="S889" s="601"/>
      <c r="T889" s="601"/>
      <c r="U889" s="709"/>
      <c r="V889" s="589"/>
      <c r="W889" s="601"/>
      <c r="X889" s="601"/>
      <c r="Y889" s="601"/>
      <c r="Z889" s="601"/>
    </row>
    <row r="890" spans="1:26" s="28" customFormat="1" hidden="1">
      <c r="A890" s="1371" t="s">
        <v>131</v>
      </c>
      <c r="B890" s="1371"/>
      <c r="C890" s="700" t="s">
        <v>28</v>
      </c>
      <c r="D890" s="646">
        <f>SUM(D889)</f>
        <v>2728</v>
      </c>
      <c r="E890" s="646">
        <f>SUM(E889)</f>
        <v>581.29999999999995</v>
      </c>
      <c r="F890" s="854" t="s">
        <v>28</v>
      </c>
      <c r="G890" s="779">
        <f>SUM(G889:G889)</f>
        <v>652</v>
      </c>
      <c r="H890" s="643" t="s">
        <v>28</v>
      </c>
      <c r="I890" s="643" t="s">
        <v>28</v>
      </c>
      <c r="J890" s="780">
        <f>SUM(J889:J889)</f>
        <v>16</v>
      </c>
      <c r="K890" s="855" t="s">
        <v>28</v>
      </c>
      <c r="L890" s="781">
        <f>SUM(L889:L889)</f>
        <v>1193018.02</v>
      </c>
      <c r="M890" s="782">
        <f>SUM(M889:M889)</f>
        <v>1169717.1100000001</v>
      </c>
      <c r="N890" s="783">
        <f>SUM(N889:N889)</f>
        <v>23300.91</v>
      </c>
      <c r="O890" s="784"/>
      <c r="P890" s="783"/>
      <c r="Q890" s="783">
        <f>SUM(Q889:Q889)</f>
        <v>0</v>
      </c>
      <c r="R890" s="582" t="s">
        <v>28</v>
      </c>
      <c r="S890" s="586">
        <f>L890-M890-N890-O890-P890-Q890</f>
        <v>-8.3673512563109398E-11</v>
      </c>
      <c r="T890" s="645"/>
      <c r="U890" s="701"/>
      <c r="V890" s="589"/>
      <c r="W890" s="592"/>
      <c r="X890" s="592"/>
      <c r="Y890" s="592"/>
      <c r="Z890" s="592"/>
    </row>
    <row r="891" spans="1:26" s="28" customFormat="1" hidden="1">
      <c r="A891" s="1347" t="s">
        <v>80</v>
      </c>
      <c r="B891" s="1347"/>
      <c r="C891" s="1347"/>
      <c r="D891" s="1347"/>
      <c r="E891" s="1347"/>
      <c r="F891" s="1347"/>
      <c r="G891" s="1347"/>
      <c r="H891" s="1347"/>
      <c r="I891" s="1347"/>
      <c r="J891" s="1347"/>
      <c r="K891" s="1347"/>
      <c r="L891" s="1347"/>
      <c r="M891" s="1347"/>
      <c r="N891" s="1347"/>
      <c r="O891" s="1347"/>
      <c r="P891" s="1347"/>
      <c r="Q891" s="1347"/>
      <c r="R891" s="1347"/>
      <c r="S891" s="592"/>
      <c r="T891" s="645"/>
      <c r="U891" s="591"/>
      <c r="V891" s="589"/>
      <c r="W891" s="592"/>
      <c r="X891" s="592"/>
      <c r="Y891" s="592"/>
      <c r="Z891" s="592"/>
    </row>
    <row r="892" spans="1:26" s="90" customFormat="1" hidden="1">
      <c r="A892" s="590">
        <v>1</v>
      </c>
      <c r="B892" s="592" t="s">
        <v>1044</v>
      </c>
      <c r="C892" s="593" t="s">
        <v>221</v>
      </c>
      <c r="D892" s="646">
        <v>2189</v>
      </c>
      <c r="E892" s="619">
        <v>380</v>
      </c>
      <c r="F892" s="646" t="s">
        <v>222</v>
      </c>
      <c r="G892" s="619">
        <v>595</v>
      </c>
      <c r="H892" s="599">
        <v>2</v>
      </c>
      <c r="I892" s="599">
        <v>2</v>
      </c>
      <c r="J892" s="599">
        <v>8</v>
      </c>
      <c r="K892" s="590" t="s">
        <v>33</v>
      </c>
      <c r="L892" s="584">
        <f>M892+N892+O892+P892+Q892</f>
        <v>1048936.46</v>
      </c>
      <c r="M892" s="596">
        <v>1023452.52</v>
      </c>
      <c r="N892" s="597">
        <v>25483.94</v>
      </c>
      <c r="O892" s="598"/>
      <c r="P892" s="597"/>
      <c r="Q892" s="586"/>
      <c r="R892" s="744">
        <f>M892/G892</f>
        <v>1720.0882689075631</v>
      </c>
      <c r="S892" s="748"/>
      <c r="T892" s="645"/>
      <c r="U892" s="737"/>
      <c r="V892" s="589"/>
      <c r="W892" s="748"/>
      <c r="X892" s="748"/>
      <c r="Y892" s="748"/>
      <c r="Z892" s="748"/>
    </row>
    <row r="893" spans="1:26" s="90" customFormat="1" hidden="1">
      <c r="A893" s="590">
        <v>2</v>
      </c>
      <c r="B893" s="592" t="s">
        <v>1045</v>
      </c>
      <c r="C893" s="593" t="s">
        <v>221</v>
      </c>
      <c r="D893" s="646">
        <v>2492</v>
      </c>
      <c r="E893" s="646">
        <v>520</v>
      </c>
      <c r="F893" s="646" t="s">
        <v>222</v>
      </c>
      <c r="G893" s="646">
        <v>548</v>
      </c>
      <c r="H893" s="582">
        <v>2</v>
      </c>
      <c r="I893" s="582">
        <v>1</v>
      </c>
      <c r="J893" s="582">
        <v>6</v>
      </c>
      <c r="K893" s="590" t="s">
        <v>33</v>
      </c>
      <c r="L893" s="584">
        <f>M893+N893+O893+P893+Q893</f>
        <v>915743.06</v>
      </c>
      <c r="M893" s="596">
        <v>892569.51</v>
      </c>
      <c r="N893" s="597">
        <v>23173.55</v>
      </c>
      <c r="O893" s="587"/>
      <c r="P893" s="586"/>
      <c r="Q893" s="586"/>
      <c r="R893" s="744">
        <f>M893/G893</f>
        <v>1628.7764781021897</v>
      </c>
      <c r="S893" s="748"/>
      <c r="T893" s="645"/>
      <c r="U893" s="737"/>
      <c r="V893" s="589"/>
      <c r="W893" s="748"/>
      <c r="X893" s="748"/>
      <c r="Y893" s="748"/>
      <c r="Z893" s="748"/>
    </row>
    <row r="894" spans="1:26" s="28" customFormat="1" hidden="1">
      <c r="A894" s="1349" t="s">
        <v>132</v>
      </c>
      <c r="B894" s="1349"/>
      <c r="C894" s="593" t="s">
        <v>28</v>
      </c>
      <c r="D894" s="646">
        <f>SUM(D892:D893)</f>
        <v>4681</v>
      </c>
      <c r="E894" s="646">
        <f>SUM(E892:E893)</f>
        <v>900</v>
      </c>
      <c r="F894" s="646" t="s">
        <v>28</v>
      </c>
      <c r="G894" s="646">
        <f>SUM(G892:G893)</f>
        <v>1143</v>
      </c>
      <c r="H894" s="582" t="s">
        <v>28</v>
      </c>
      <c r="I894" s="582" t="s">
        <v>28</v>
      </c>
      <c r="J894" s="582">
        <f>SUM(J892:J893)</f>
        <v>14</v>
      </c>
      <c r="K894" s="590" t="s">
        <v>28</v>
      </c>
      <c r="L894" s="584">
        <f>SUM(L892:L893)</f>
        <v>1964679.52</v>
      </c>
      <c r="M894" s="585">
        <f>SUM(M892:M893)</f>
        <v>1916022.03</v>
      </c>
      <c r="N894" s="586">
        <f>SUM(N892:N893)</f>
        <v>48657.49</v>
      </c>
      <c r="O894" s="587"/>
      <c r="P894" s="586"/>
      <c r="Q894" s="586">
        <f>SUM(Q892:Q893)</f>
        <v>0</v>
      </c>
      <c r="R894" s="582" t="s">
        <v>28</v>
      </c>
      <c r="S894" s="586">
        <f>L894-M894-N894-O894-P894-Q894</f>
        <v>-7.2759576141834259E-12</v>
      </c>
      <c r="T894" s="645"/>
      <c r="U894" s="701"/>
      <c r="V894" s="589"/>
      <c r="W894" s="592"/>
      <c r="X894" s="592"/>
      <c r="Y894" s="592"/>
      <c r="Z894" s="592"/>
    </row>
    <row r="895" spans="1:26" s="28" customFormat="1" hidden="1">
      <c r="A895" s="1347" t="s">
        <v>214</v>
      </c>
      <c r="B895" s="1347"/>
      <c r="C895" s="1347"/>
      <c r="D895" s="1347"/>
      <c r="E895" s="1347"/>
      <c r="F895" s="1347"/>
      <c r="G895" s="1347"/>
      <c r="H895" s="1347"/>
      <c r="I895" s="1347"/>
      <c r="J895" s="1347"/>
      <c r="K895" s="1347"/>
      <c r="L895" s="1347"/>
      <c r="M895" s="1347"/>
      <c r="N895" s="1347"/>
      <c r="O895" s="1347"/>
      <c r="P895" s="1347"/>
      <c r="Q895" s="1347"/>
      <c r="R895" s="1347"/>
      <c r="S895" s="592"/>
      <c r="T895" s="645"/>
      <c r="U895" s="591"/>
      <c r="V895" s="589"/>
      <c r="W895" s="592"/>
      <c r="X895" s="592"/>
      <c r="Y895" s="592"/>
      <c r="Z895" s="592"/>
    </row>
    <row r="896" spans="1:26" s="28" customFormat="1" hidden="1">
      <c r="A896" s="590">
        <v>1</v>
      </c>
      <c r="B896" s="592" t="s">
        <v>1046</v>
      </c>
      <c r="C896" s="593" t="s">
        <v>221</v>
      </c>
      <c r="D896" s="646">
        <v>2882</v>
      </c>
      <c r="E896" s="646">
        <v>459</v>
      </c>
      <c r="F896" s="646" t="s">
        <v>230</v>
      </c>
      <c r="G896" s="646">
        <v>680</v>
      </c>
      <c r="H896" s="582">
        <v>2</v>
      </c>
      <c r="I896" s="582">
        <v>2</v>
      </c>
      <c r="J896" s="582">
        <v>20</v>
      </c>
      <c r="K896" s="590" t="s">
        <v>33</v>
      </c>
      <c r="L896" s="584">
        <f>M896+N896+O896+P896+Q896</f>
        <v>1510847.8</v>
      </c>
      <c r="M896" s="596">
        <v>1488520</v>
      </c>
      <c r="N896" s="597">
        <v>22327.8</v>
      </c>
      <c r="O896" s="587"/>
      <c r="P896" s="586"/>
      <c r="Q896" s="586"/>
      <c r="R896" s="744">
        <f>M896/G896</f>
        <v>2189</v>
      </c>
      <c r="S896" s="645"/>
      <c r="T896" s="645"/>
      <c r="U896" s="591"/>
      <c r="V896" s="589"/>
      <c r="W896" s="592"/>
      <c r="X896" s="592"/>
      <c r="Y896" s="592"/>
      <c r="Z896" s="592"/>
    </row>
    <row r="897" spans="1:26" s="28" customFormat="1" hidden="1">
      <c r="A897" s="590">
        <v>2</v>
      </c>
      <c r="B897" s="616" t="s">
        <v>1047</v>
      </c>
      <c r="C897" s="561" t="s">
        <v>221</v>
      </c>
      <c r="D897" s="646">
        <v>2319</v>
      </c>
      <c r="E897" s="646">
        <v>773</v>
      </c>
      <c r="F897" s="646" t="s">
        <v>222</v>
      </c>
      <c r="G897" s="646">
        <v>829</v>
      </c>
      <c r="H897" s="582">
        <v>2</v>
      </c>
      <c r="I897" s="582">
        <v>3</v>
      </c>
      <c r="J897" s="582">
        <v>22</v>
      </c>
      <c r="K897" s="590" t="s">
        <v>33</v>
      </c>
      <c r="L897" s="584">
        <f>M897+N897+O897+P897+Q897</f>
        <v>1841901.22</v>
      </c>
      <c r="M897" s="596">
        <v>1814681</v>
      </c>
      <c r="N897" s="586">
        <v>27220.22</v>
      </c>
      <c r="O897" s="565"/>
      <c r="P897" s="564"/>
      <c r="Q897" s="586"/>
      <c r="R897" s="582">
        <f>M897/G897</f>
        <v>2189</v>
      </c>
      <c r="S897" s="582"/>
      <c r="T897" s="738"/>
      <c r="U897" s="589"/>
      <c r="V897" s="589"/>
      <c r="W897" s="592"/>
      <c r="X897" s="592"/>
      <c r="Y897" s="592"/>
      <c r="Z897" s="592"/>
    </row>
    <row r="898" spans="1:26" s="28" customFormat="1" hidden="1">
      <c r="A898" s="1349" t="s">
        <v>215</v>
      </c>
      <c r="B898" s="1349"/>
      <c r="C898" s="593" t="s">
        <v>28</v>
      </c>
      <c r="D898" s="586">
        <f>SUM(D896:D897)</f>
        <v>5201</v>
      </c>
      <c r="E898" s="586">
        <f>SUM(E896:E897)</f>
        <v>1232</v>
      </c>
      <c r="F898" s="646" t="s">
        <v>28</v>
      </c>
      <c r="G898" s="586">
        <f>SUM(G896:G897)</f>
        <v>1509</v>
      </c>
      <c r="H898" s="582" t="s">
        <v>28</v>
      </c>
      <c r="I898" s="582" t="s">
        <v>28</v>
      </c>
      <c r="J898" s="586">
        <f>SUM(J896:J897)</f>
        <v>42</v>
      </c>
      <c r="K898" s="590" t="s">
        <v>28</v>
      </c>
      <c r="L898" s="584">
        <f t="shared" ref="L898:Q898" si="110">SUM(L896:L897)</f>
        <v>3352749.02</v>
      </c>
      <c r="M898" s="585">
        <f t="shared" si="110"/>
        <v>3303201</v>
      </c>
      <c r="N898" s="586">
        <f t="shared" si="110"/>
        <v>49548.020000000004</v>
      </c>
      <c r="O898" s="587">
        <f t="shared" si="110"/>
        <v>0</v>
      </c>
      <c r="P898" s="586">
        <f t="shared" si="110"/>
        <v>0</v>
      </c>
      <c r="Q898" s="586">
        <f t="shared" si="110"/>
        <v>0</v>
      </c>
      <c r="R898" s="582" t="s">
        <v>28</v>
      </c>
      <c r="S898" s="586">
        <f>L898-M898-N898-O898-P898-Q898</f>
        <v>1.4551915228366852E-11</v>
      </c>
      <c r="T898" s="645"/>
      <c r="U898" s="701"/>
      <c r="V898" s="589"/>
      <c r="W898" s="592"/>
      <c r="X898" s="592"/>
      <c r="Y898" s="592"/>
      <c r="Z898" s="592"/>
    </row>
    <row r="899" spans="1:26" s="28" customFormat="1" hidden="1">
      <c r="A899" s="1347" t="s">
        <v>81</v>
      </c>
      <c r="B899" s="1347"/>
      <c r="C899" s="1347"/>
      <c r="D899" s="1347"/>
      <c r="E899" s="1347"/>
      <c r="F899" s="1347"/>
      <c r="G899" s="1347"/>
      <c r="H899" s="1347"/>
      <c r="I899" s="1347"/>
      <c r="J899" s="1347"/>
      <c r="K899" s="1347"/>
      <c r="L899" s="1347"/>
      <c r="M899" s="1347"/>
      <c r="N899" s="1347"/>
      <c r="O899" s="1347"/>
      <c r="P899" s="1347"/>
      <c r="Q899" s="1347"/>
      <c r="R899" s="1347"/>
      <c r="S899" s="592"/>
      <c r="T899" s="645"/>
      <c r="U899" s="591"/>
      <c r="V899" s="589"/>
      <c r="W899" s="592"/>
      <c r="X899" s="592"/>
      <c r="Y899" s="592"/>
      <c r="Z899" s="592"/>
    </row>
    <row r="900" spans="1:26" s="28" customFormat="1" hidden="1">
      <c r="A900" s="590">
        <v>1</v>
      </c>
      <c r="B900" s="592" t="s">
        <v>1049</v>
      </c>
      <c r="C900" s="593" t="s">
        <v>229</v>
      </c>
      <c r="D900" s="646">
        <v>1586</v>
      </c>
      <c r="E900" s="646">
        <v>434</v>
      </c>
      <c r="F900" s="768" t="s">
        <v>222</v>
      </c>
      <c r="G900" s="646">
        <v>650</v>
      </c>
      <c r="H900" s="582">
        <v>2</v>
      </c>
      <c r="I900" s="582">
        <v>2</v>
      </c>
      <c r="J900" s="582">
        <v>12</v>
      </c>
      <c r="K900" s="590" t="s">
        <v>33</v>
      </c>
      <c r="L900" s="740">
        <f>M900+N900+O900+P900+Q900</f>
        <v>722849.12000000011</v>
      </c>
      <c r="M900" s="741">
        <v>702802.85000000009</v>
      </c>
      <c r="N900" s="742">
        <v>20046.27</v>
      </c>
      <c r="O900" s="743"/>
      <c r="P900" s="742"/>
      <c r="Q900" s="586"/>
      <c r="R900" s="744">
        <f>M900/G900</f>
        <v>1081.2351538461539</v>
      </c>
      <c r="S900" s="592"/>
      <c r="T900" s="645"/>
      <c r="U900" s="591"/>
      <c r="V900" s="589"/>
      <c r="W900" s="592"/>
      <c r="X900" s="592"/>
      <c r="Y900" s="592"/>
      <c r="Z900" s="592"/>
    </row>
    <row r="901" spans="1:26" s="28" customFormat="1" hidden="1">
      <c r="A901" s="1349" t="s">
        <v>133</v>
      </c>
      <c r="B901" s="1349"/>
      <c r="C901" s="593" t="s">
        <v>28</v>
      </c>
      <c r="D901" s="646">
        <f>SUM(D900)</f>
        <v>1586</v>
      </c>
      <c r="E901" s="646">
        <f>SUM(E900)</f>
        <v>434</v>
      </c>
      <c r="F901" s="646" t="s">
        <v>28</v>
      </c>
      <c r="G901" s="646">
        <f>SUM(G900)</f>
        <v>650</v>
      </c>
      <c r="H901" s="582" t="s">
        <v>28</v>
      </c>
      <c r="I901" s="582" t="s">
        <v>28</v>
      </c>
      <c r="J901" s="582">
        <f>SUM(J900)</f>
        <v>12</v>
      </c>
      <c r="K901" s="590" t="s">
        <v>28</v>
      </c>
      <c r="L901" s="584">
        <f>SUM(L900)</f>
        <v>722849.12000000011</v>
      </c>
      <c r="M901" s="585">
        <f>SUM(M900)</f>
        <v>702802.85000000009</v>
      </c>
      <c r="N901" s="586">
        <f>SUM(N900)</f>
        <v>20046.27</v>
      </c>
      <c r="O901" s="587"/>
      <c r="P901" s="586"/>
      <c r="Q901" s="586">
        <f>SUM(Q900)</f>
        <v>0</v>
      </c>
      <c r="R901" s="582" t="s">
        <v>28</v>
      </c>
      <c r="S901" s="645"/>
      <c r="T901" s="645"/>
      <c r="U901" s="701"/>
      <c r="V901" s="589"/>
      <c r="W901" s="592"/>
      <c r="X901" s="592"/>
      <c r="Y901" s="592"/>
      <c r="Z901" s="592"/>
    </row>
    <row r="902" spans="1:26" s="28" customFormat="1" hidden="1">
      <c r="A902" s="1347" t="s">
        <v>40</v>
      </c>
      <c r="B902" s="1347"/>
      <c r="C902" s="1347"/>
      <c r="D902" s="1347"/>
      <c r="E902" s="1347"/>
      <c r="F902" s="1347"/>
      <c r="G902" s="1347"/>
      <c r="H902" s="1347"/>
      <c r="I902" s="1347"/>
      <c r="J902" s="1347"/>
      <c r="K902" s="1347"/>
      <c r="L902" s="1347"/>
      <c r="M902" s="1347"/>
      <c r="N902" s="1347"/>
      <c r="O902" s="1347"/>
      <c r="P902" s="1347"/>
      <c r="Q902" s="1347"/>
      <c r="R902" s="1347"/>
      <c r="S902" s="592"/>
      <c r="T902" s="645">
        <f>M903-M904</f>
        <v>1419050.64</v>
      </c>
      <c r="U902" s="591"/>
      <c r="V902" s="589"/>
      <c r="W902" s="592"/>
      <c r="X902" s="592"/>
      <c r="Y902" s="592"/>
      <c r="Z902" s="592"/>
    </row>
    <row r="903" spans="1:26" s="102" customFormat="1" hidden="1">
      <c r="A903" s="679">
        <v>1</v>
      </c>
      <c r="B903" s="592" t="s">
        <v>1050</v>
      </c>
      <c r="C903" s="593" t="s">
        <v>221</v>
      </c>
      <c r="D903" s="789">
        <v>17990</v>
      </c>
      <c r="E903" s="789">
        <v>4874</v>
      </c>
      <c r="F903" s="768" t="s">
        <v>227</v>
      </c>
      <c r="G903" s="619">
        <v>1711</v>
      </c>
      <c r="H903" s="599">
        <v>5</v>
      </c>
      <c r="I903" s="599">
        <v>6</v>
      </c>
      <c r="J903" s="599">
        <v>80</v>
      </c>
      <c r="K903" s="590" t="s">
        <v>234</v>
      </c>
      <c r="L903" s="740">
        <f>M903+N903+O903+P903+Q903+M904+N904+O904+Q904</f>
        <v>3564179.9499999993</v>
      </c>
      <c r="M903" s="741">
        <v>2484397.5299999998</v>
      </c>
      <c r="N903" s="742"/>
      <c r="O903" s="736">
        <v>11236.53</v>
      </c>
      <c r="P903" s="742"/>
      <c r="Q903" s="586"/>
      <c r="R903" s="744">
        <f>M903/G903</f>
        <v>1452.0149210987724</v>
      </c>
      <c r="S903" s="856"/>
      <c r="T903" s="856"/>
      <c r="U903" s="857"/>
      <c r="V903" s="589"/>
      <c r="W903" s="856"/>
      <c r="X903" s="856"/>
      <c r="Y903" s="856"/>
      <c r="Z903" s="856"/>
    </row>
    <row r="904" spans="1:26" s="540" customFormat="1" hidden="1">
      <c r="A904" s="679"/>
      <c r="B904" s="592"/>
      <c r="C904" s="593"/>
      <c r="D904" s="789"/>
      <c r="E904" s="789"/>
      <c r="F904" s="768"/>
      <c r="G904" s="619"/>
      <c r="H904" s="599"/>
      <c r="I904" s="599"/>
      <c r="J904" s="599"/>
      <c r="K904" s="590" t="s">
        <v>226</v>
      </c>
      <c r="L904" s="740"/>
      <c r="M904" s="741">
        <v>1065346.8899999999</v>
      </c>
      <c r="N904" s="858"/>
      <c r="O904" s="743">
        <v>3199</v>
      </c>
      <c r="P904" s="742"/>
      <c r="Q904" s="586"/>
      <c r="R904" s="744"/>
      <c r="S904" s="856"/>
      <c r="T904" s="856"/>
      <c r="U904" s="857"/>
      <c r="V904" s="589"/>
      <c r="W904" s="856"/>
      <c r="X904" s="856"/>
      <c r="Y904" s="856"/>
      <c r="Z904" s="856"/>
    </row>
    <row r="905" spans="1:26" s="102" customFormat="1" hidden="1">
      <c r="A905" s="679">
        <f>A903+1</f>
        <v>2</v>
      </c>
      <c r="B905" s="592" t="s">
        <v>1051</v>
      </c>
      <c r="C905" s="700" t="s">
        <v>221</v>
      </c>
      <c r="D905" s="619">
        <v>59715</v>
      </c>
      <c r="E905" s="619">
        <v>9933.34</v>
      </c>
      <c r="F905" s="768" t="s">
        <v>233</v>
      </c>
      <c r="G905" s="619">
        <v>2466</v>
      </c>
      <c r="H905" s="599">
        <v>9</v>
      </c>
      <c r="I905" s="599">
        <v>6</v>
      </c>
      <c r="J905" s="599">
        <v>323</v>
      </c>
      <c r="K905" s="590" t="s">
        <v>33</v>
      </c>
      <c r="L905" s="740">
        <f t="shared" ref="L905:L932" si="111">M905+N905+O905+P905+Q905</f>
        <v>5387142.6200000001</v>
      </c>
      <c r="M905" s="741">
        <v>5370948</v>
      </c>
      <c r="N905" s="586"/>
      <c r="O905" s="736">
        <v>16194.62</v>
      </c>
      <c r="P905" s="742"/>
      <c r="Q905" s="586"/>
      <c r="R905" s="744">
        <f>M905/G905</f>
        <v>2178</v>
      </c>
      <c r="S905" s="856"/>
      <c r="T905" s="856"/>
      <c r="U905" s="857"/>
      <c r="V905" s="589"/>
      <c r="W905" s="856"/>
      <c r="X905" s="856"/>
      <c r="Y905" s="856"/>
      <c r="Z905" s="856"/>
    </row>
    <row r="906" spans="1:26" s="102" customFormat="1" hidden="1">
      <c r="A906" s="679">
        <f t="shared" ref="A906:A949" si="112">A905+1</f>
        <v>3</v>
      </c>
      <c r="B906" s="592" t="s">
        <v>1052</v>
      </c>
      <c r="C906" s="593" t="s">
        <v>217</v>
      </c>
      <c r="D906" s="619">
        <v>43844</v>
      </c>
      <c r="E906" s="619">
        <v>7554</v>
      </c>
      <c r="F906" s="619" t="s">
        <v>233</v>
      </c>
      <c r="G906" s="619">
        <v>1810</v>
      </c>
      <c r="H906" s="599">
        <v>9</v>
      </c>
      <c r="I906" s="599">
        <v>6</v>
      </c>
      <c r="J906" s="599">
        <v>216</v>
      </c>
      <c r="K906" s="590" t="s">
        <v>33</v>
      </c>
      <c r="L906" s="740">
        <f t="shared" si="111"/>
        <v>3954066.27</v>
      </c>
      <c r="M906" s="741">
        <v>3942180</v>
      </c>
      <c r="N906" s="586"/>
      <c r="O906" s="736">
        <v>11886.27</v>
      </c>
      <c r="P906" s="742"/>
      <c r="Q906" s="586"/>
      <c r="R906" s="744">
        <f>M906/G906</f>
        <v>2178</v>
      </c>
      <c r="S906" s="859" t="s">
        <v>258</v>
      </c>
      <c r="T906" s="856"/>
      <c r="U906" s="857"/>
      <c r="V906" s="589"/>
      <c r="W906" s="856"/>
      <c r="X906" s="856"/>
      <c r="Y906" s="856"/>
      <c r="Z906" s="856"/>
    </row>
    <row r="907" spans="1:26" s="102" customFormat="1" hidden="1">
      <c r="A907" s="679">
        <f t="shared" si="112"/>
        <v>4</v>
      </c>
      <c r="B907" s="592" t="s">
        <v>4082</v>
      </c>
      <c r="C907" s="593" t="s">
        <v>221</v>
      </c>
      <c r="D907" s="619">
        <v>18238</v>
      </c>
      <c r="E907" s="646">
        <v>4653.7</v>
      </c>
      <c r="F907" s="768" t="s">
        <v>223</v>
      </c>
      <c r="G907" s="619">
        <v>1027.5</v>
      </c>
      <c r="H907" s="599">
        <v>5</v>
      </c>
      <c r="I907" s="599">
        <v>1</v>
      </c>
      <c r="J907" s="599">
        <v>163</v>
      </c>
      <c r="K907" s="590" t="s">
        <v>33</v>
      </c>
      <c r="L907" s="740">
        <f t="shared" si="111"/>
        <v>2139304.59</v>
      </c>
      <c r="M907" s="741">
        <v>2132556.5</v>
      </c>
      <c r="N907" s="742"/>
      <c r="O907" s="736">
        <v>6748.09</v>
      </c>
      <c r="P907" s="742"/>
      <c r="Q907" s="586"/>
      <c r="R907" s="744">
        <f>M907/G907</f>
        <v>2075.4807785888079</v>
      </c>
      <c r="S907" s="856"/>
      <c r="T907" s="856"/>
      <c r="U907" s="857"/>
      <c r="V907" s="589"/>
      <c r="W907" s="856"/>
      <c r="X907" s="856"/>
      <c r="Y907" s="856"/>
      <c r="Z907" s="856"/>
    </row>
    <row r="908" spans="1:26" s="102" customFormat="1" ht="37.5" hidden="1">
      <c r="A908" s="679">
        <f t="shared" si="112"/>
        <v>5</v>
      </c>
      <c r="B908" s="592" t="s">
        <v>1053</v>
      </c>
      <c r="C908" s="593" t="s">
        <v>221</v>
      </c>
      <c r="D908" s="619">
        <v>22943</v>
      </c>
      <c r="E908" s="619">
        <v>4042.5</v>
      </c>
      <c r="F908" s="619" t="s">
        <v>233</v>
      </c>
      <c r="G908" s="619">
        <v>896</v>
      </c>
      <c r="H908" s="599">
        <v>9</v>
      </c>
      <c r="I908" s="599">
        <v>1</v>
      </c>
      <c r="J908" s="599">
        <v>144</v>
      </c>
      <c r="K908" s="590" t="s">
        <v>219</v>
      </c>
      <c r="L908" s="740">
        <f t="shared" si="111"/>
        <v>2072025</v>
      </c>
      <c r="M908" s="860">
        <v>1990000</v>
      </c>
      <c r="N908" s="861">
        <v>82025</v>
      </c>
      <c r="O908" s="862"/>
      <c r="P908" s="861"/>
      <c r="Q908" s="742"/>
      <c r="R908" s="582">
        <f>M908</f>
        <v>1990000</v>
      </c>
      <c r="S908" s="601"/>
      <c r="T908" s="856"/>
      <c r="U908" s="857"/>
      <c r="V908" s="589"/>
      <c r="W908" s="856"/>
      <c r="X908" s="856"/>
      <c r="Y908" s="856"/>
      <c r="Z908" s="856"/>
    </row>
    <row r="909" spans="1:26" s="90" customFormat="1" ht="37.5" hidden="1">
      <c r="A909" s="679">
        <f t="shared" si="112"/>
        <v>6</v>
      </c>
      <c r="B909" s="592" t="s">
        <v>1054</v>
      </c>
      <c r="C909" s="593" t="s">
        <v>221</v>
      </c>
      <c r="D909" s="619">
        <v>2022.07</v>
      </c>
      <c r="E909" s="619">
        <v>9784</v>
      </c>
      <c r="F909" s="619" t="s">
        <v>222</v>
      </c>
      <c r="G909" s="619">
        <v>657.6</v>
      </c>
      <c r="H909" s="599">
        <v>5</v>
      </c>
      <c r="I909" s="599">
        <v>1</v>
      </c>
      <c r="J909" s="599">
        <v>58</v>
      </c>
      <c r="K909" s="792" t="s">
        <v>30</v>
      </c>
      <c r="L909" s="595">
        <f t="shared" si="111"/>
        <v>1452878.25</v>
      </c>
      <c r="M909" s="585">
        <v>1448550</v>
      </c>
      <c r="N909" s="586"/>
      <c r="O909" s="736">
        <v>4328.25</v>
      </c>
      <c r="P909" s="586"/>
      <c r="Q909" s="586"/>
      <c r="R909" s="582">
        <f>M909/J909</f>
        <v>24975</v>
      </c>
      <c r="S909" s="748"/>
      <c r="T909" s="748"/>
      <c r="U909" s="737"/>
      <c r="V909" s="589"/>
      <c r="W909" s="748"/>
      <c r="X909" s="748"/>
      <c r="Y909" s="748"/>
      <c r="Z909" s="748"/>
    </row>
    <row r="910" spans="1:26" s="75" customFormat="1" hidden="1">
      <c r="A910" s="679">
        <f t="shared" si="112"/>
        <v>7</v>
      </c>
      <c r="B910" s="592" t="s">
        <v>1055</v>
      </c>
      <c r="C910" s="593" t="s">
        <v>221</v>
      </c>
      <c r="D910" s="619">
        <v>9460</v>
      </c>
      <c r="E910" s="619">
        <v>1578.7</v>
      </c>
      <c r="F910" s="768" t="s">
        <v>223</v>
      </c>
      <c r="G910" s="619">
        <v>657.6</v>
      </c>
      <c r="H910" s="599">
        <v>5</v>
      </c>
      <c r="I910" s="599">
        <v>1</v>
      </c>
      <c r="J910" s="599">
        <v>57</v>
      </c>
      <c r="K910" s="590" t="s">
        <v>33</v>
      </c>
      <c r="L910" s="740">
        <f t="shared" si="111"/>
        <v>1449591.58</v>
      </c>
      <c r="M910" s="741">
        <v>1445273.28</v>
      </c>
      <c r="N910" s="742"/>
      <c r="O910" s="736">
        <v>4318.3</v>
      </c>
      <c r="P910" s="742"/>
      <c r="Q910" s="586"/>
      <c r="R910" s="744">
        <f>M910/G910</f>
        <v>2197.8000000000002</v>
      </c>
      <c r="S910" s="856"/>
      <c r="T910" s="601"/>
      <c r="U910" s="709"/>
      <c r="V910" s="589"/>
      <c r="W910" s="601"/>
      <c r="X910" s="601"/>
      <c r="Y910" s="601"/>
      <c r="Z910" s="601"/>
    </row>
    <row r="911" spans="1:26" s="102" customFormat="1" ht="37.5" hidden="1">
      <c r="A911" s="679">
        <f t="shared" si="112"/>
        <v>8</v>
      </c>
      <c r="B911" s="592" t="s">
        <v>1056</v>
      </c>
      <c r="C911" s="593" t="s">
        <v>221</v>
      </c>
      <c r="D911" s="619">
        <v>3720.4</v>
      </c>
      <c r="E911" s="619">
        <v>2444</v>
      </c>
      <c r="F911" s="768" t="s">
        <v>222</v>
      </c>
      <c r="G911" s="619">
        <v>2444</v>
      </c>
      <c r="H911" s="599">
        <v>5</v>
      </c>
      <c r="I911" s="599">
        <v>8</v>
      </c>
      <c r="J911" s="599">
        <v>112</v>
      </c>
      <c r="K911" s="590" t="s">
        <v>262</v>
      </c>
      <c r="L911" s="740">
        <f t="shared" si="111"/>
        <v>6099645</v>
      </c>
      <c r="M911" s="741">
        <v>6048900</v>
      </c>
      <c r="N911" s="742">
        <v>50745</v>
      </c>
      <c r="O911" s="743"/>
      <c r="P911" s="742"/>
      <c r="Q911" s="586"/>
      <c r="R911" s="744">
        <f>M911/G911</f>
        <v>2475</v>
      </c>
      <c r="S911" s="863"/>
      <c r="T911" s="856"/>
      <c r="U911" s="857"/>
      <c r="V911" s="589"/>
      <c r="W911" s="856"/>
      <c r="X911" s="856"/>
      <c r="Y911" s="856"/>
      <c r="Z911" s="856"/>
    </row>
    <row r="912" spans="1:26" s="90" customFormat="1" ht="37.5" hidden="1">
      <c r="A912" s="679">
        <f t="shared" si="112"/>
        <v>9</v>
      </c>
      <c r="B912" s="592" t="s">
        <v>1057</v>
      </c>
      <c r="C912" s="593" t="s">
        <v>221</v>
      </c>
      <c r="D912" s="619">
        <v>3891.45</v>
      </c>
      <c r="E912" s="619">
        <v>22734</v>
      </c>
      <c r="F912" s="619" t="s">
        <v>222</v>
      </c>
      <c r="G912" s="619">
        <v>1241.0999999999999</v>
      </c>
      <c r="H912" s="599">
        <v>9</v>
      </c>
      <c r="I912" s="599">
        <v>2</v>
      </c>
      <c r="J912" s="599">
        <v>99</v>
      </c>
      <c r="K912" s="792" t="s">
        <v>30</v>
      </c>
      <c r="L912" s="595">
        <f t="shared" si="111"/>
        <v>2297297.7000000002</v>
      </c>
      <c r="M912" s="585">
        <v>2289909.83</v>
      </c>
      <c r="N912" s="586"/>
      <c r="O912" s="736">
        <v>7387.87</v>
      </c>
      <c r="P912" s="586"/>
      <c r="Q912" s="586"/>
      <c r="R912" s="582">
        <f>M912/J912</f>
        <v>23130.402323232323</v>
      </c>
      <c r="S912" s="748"/>
      <c r="T912" s="748"/>
      <c r="U912" s="737"/>
      <c r="V912" s="589"/>
      <c r="W912" s="748"/>
      <c r="X912" s="748"/>
      <c r="Y912" s="748"/>
      <c r="Z912" s="748"/>
    </row>
    <row r="913" spans="1:26" s="102" customFormat="1" hidden="1">
      <c r="A913" s="679">
        <f t="shared" si="112"/>
        <v>10</v>
      </c>
      <c r="B913" s="592" t="s">
        <v>1058</v>
      </c>
      <c r="C913" s="593" t="s">
        <v>221</v>
      </c>
      <c r="D913" s="619">
        <v>6291</v>
      </c>
      <c r="E913" s="619">
        <v>1094</v>
      </c>
      <c r="F913" s="646" t="s">
        <v>222</v>
      </c>
      <c r="G913" s="646">
        <v>687</v>
      </c>
      <c r="H913" s="582">
        <v>4</v>
      </c>
      <c r="I913" s="582">
        <v>2</v>
      </c>
      <c r="J913" s="582">
        <v>28</v>
      </c>
      <c r="K913" s="590" t="s">
        <v>224</v>
      </c>
      <c r="L913" s="740">
        <f t="shared" si="111"/>
        <v>582822.5</v>
      </c>
      <c r="M913" s="745">
        <v>559440</v>
      </c>
      <c r="N913" s="747">
        <v>23382.5</v>
      </c>
      <c r="O913" s="743"/>
      <c r="P913" s="747"/>
      <c r="Q913" s="586"/>
      <c r="R913" s="864">
        <f>M913/J913</f>
        <v>19980</v>
      </c>
      <c r="S913" s="863"/>
      <c r="T913" s="856"/>
      <c r="U913" s="857"/>
      <c r="V913" s="589"/>
      <c r="W913" s="856"/>
      <c r="X913" s="856"/>
      <c r="Y913" s="856"/>
      <c r="Z913" s="856"/>
    </row>
    <row r="914" spans="1:26" s="102" customFormat="1" hidden="1">
      <c r="A914" s="679">
        <f t="shared" si="112"/>
        <v>11</v>
      </c>
      <c r="B914" s="592" t="s">
        <v>1059</v>
      </c>
      <c r="C914" s="593" t="s">
        <v>221</v>
      </c>
      <c r="D914" s="619">
        <v>5320</v>
      </c>
      <c r="E914" s="619">
        <v>1085</v>
      </c>
      <c r="F914" s="619" t="s">
        <v>222</v>
      </c>
      <c r="G914" s="619">
        <v>573</v>
      </c>
      <c r="H914" s="599">
        <v>4</v>
      </c>
      <c r="I914" s="599">
        <v>2</v>
      </c>
      <c r="J914" s="599">
        <v>28</v>
      </c>
      <c r="K914" s="590" t="s">
        <v>238</v>
      </c>
      <c r="L914" s="740">
        <f t="shared" si="111"/>
        <v>865328.5</v>
      </c>
      <c r="M914" s="596">
        <v>839160</v>
      </c>
      <c r="N914" s="742">
        <v>26168.5</v>
      </c>
      <c r="O914" s="598"/>
      <c r="P914" s="597"/>
      <c r="Q914" s="586"/>
      <c r="R914" s="599">
        <f>M914/J914</f>
        <v>29970</v>
      </c>
      <c r="S914" s="863"/>
      <c r="T914" s="856"/>
      <c r="U914" s="857"/>
      <c r="V914" s="589"/>
      <c r="W914" s="856"/>
      <c r="X914" s="856"/>
      <c r="Y914" s="856"/>
      <c r="Z914" s="856"/>
    </row>
    <row r="915" spans="1:26" s="102" customFormat="1" hidden="1">
      <c r="A915" s="679">
        <f t="shared" si="112"/>
        <v>12</v>
      </c>
      <c r="B915" s="592" t="s">
        <v>1060</v>
      </c>
      <c r="C915" s="593" t="s">
        <v>221</v>
      </c>
      <c r="D915" s="619">
        <v>5966</v>
      </c>
      <c r="E915" s="619">
        <v>1049.3</v>
      </c>
      <c r="F915" s="768" t="s">
        <v>233</v>
      </c>
      <c r="G915" s="619">
        <v>932</v>
      </c>
      <c r="H915" s="599">
        <v>3</v>
      </c>
      <c r="I915" s="599">
        <v>3</v>
      </c>
      <c r="J915" s="599">
        <v>23</v>
      </c>
      <c r="K915" s="590" t="s">
        <v>33</v>
      </c>
      <c r="L915" s="740">
        <f t="shared" si="111"/>
        <v>2054469.84</v>
      </c>
      <c r="M915" s="741">
        <v>2048349.6</v>
      </c>
      <c r="N915" s="742"/>
      <c r="O915" s="736">
        <v>6120.24</v>
      </c>
      <c r="P915" s="742"/>
      <c r="Q915" s="586"/>
      <c r="R915" s="744">
        <f>M915/G915</f>
        <v>2197.8000000000002</v>
      </c>
      <c r="S915" s="856"/>
      <c r="T915" s="856"/>
      <c r="U915" s="857"/>
      <c r="V915" s="589"/>
      <c r="W915" s="856"/>
      <c r="X915" s="856"/>
      <c r="Y915" s="856"/>
      <c r="Z915" s="856"/>
    </row>
    <row r="916" spans="1:26" s="102" customFormat="1" hidden="1">
      <c r="A916" s="679">
        <f t="shared" si="112"/>
        <v>13</v>
      </c>
      <c r="B916" s="592" t="s">
        <v>1061</v>
      </c>
      <c r="C916" s="593" t="s">
        <v>221</v>
      </c>
      <c r="D916" s="619">
        <v>25986</v>
      </c>
      <c r="E916" s="619">
        <v>6759.2</v>
      </c>
      <c r="F916" s="619" t="s">
        <v>227</v>
      </c>
      <c r="G916" s="619">
        <v>2180.1999999999998</v>
      </c>
      <c r="H916" s="599">
        <v>5</v>
      </c>
      <c r="I916" s="599">
        <v>8</v>
      </c>
      <c r="J916" s="599">
        <v>108</v>
      </c>
      <c r="K916" s="590" t="s">
        <v>234</v>
      </c>
      <c r="L916" s="740">
        <f t="shared" si="111"/>
        <v>3735389.63</v>
      </c>
      <c r="M916" s="741">
        <v>3721072.58</v>
      </c>
      <c r="N916" s="742"/>
      <c r="O916" s="736">
        <v>14317.05</v>
      </c>
      <c r="P916" s="742"/>
      <c r="Q916" s="586"/>
      <c r="R916" s="744">
        <f>M916/G916</f>
        <v>1706.757444271168</v>
      </c>
      <c r="S916" s="856"/>
      <c r="T916" s="856"/>
      <c r="U916" s="857"/>
      <c r="V916" s="589"/>
      <c r="W916" s="856"/>
      <c r="X916" s="856"/>
      <c r="Y916" s="856"/>
      <c r="Z916" s="856"/>
    </row>
    <row r="917" spans="1:26" s="539" customFormat="1" hidden="1">
      <c r="A917" s="679">
        <f t="shared" si="112"/>
        <v>14</v>
      </c>
      <c r="B917" s="592" t="s">
        <v>1062</v>
      </c>
      <c r="C917" s="744" t="s">
        <v>221</v>
      </c>
      <c r="D917" s="619">
        <v>12384</v>
      </c>
      <c r="E917" s="619">
        <v>2301</v>
      </c>
      <c r="F917" s="619" t="s">
        <v>233</v>
      </c>
      <c r="G917" s="619">
        <v>866</v>
      </c>
      <c r="H917" s="599">
        <v>5</v>
      </c>
      <c r="I917" s="599">
        <v>4</v>
      </c>
      <c r="J917" s="599">
        <v>60</v>
      </c>
      <c r="K917" s="590" t="s">
        <v>33</v>
      </c>
      <c r="L917" s="740">
        <f t="shared" si="111"/>
        <v>1876657.5899999999</v>
      </c>
      <c r="M917" s="741">
        <v>1870970.17</v>
      </c>
      <c r="N917" s="742"/>
      <c r="O917" s="736">
        <v>5687.42</v>
      </c>
      <c r="P917" s="742"/>
      <c r="Q917" s="586"/>
      <c r="R917" s="744">
        <f>M917/G917</f>
        <v>2160.473637413395</v>
      </c>
      <c r="S917" s="856"/>
      <c r="T917" s="856"/>
      <c r="U917" s="857"/>
      <c r="V917" s="589"/>
      <c r="W917" s="857"/>
      <c r="X917" s="857"/>
      <c r="Y917" s="857"/>
      <c r="Z917" s="857"/>
    </row>
    <row r="918" spans="1:26" s="102" customFormat="1" hidden="1">
      <c r="A918" s="679">
        <f t="shared" si="112"/>
        <v>15</v>
      </c>
      <c r="B918" s="592" t="s">
        <v>1063</v>
      </c>
      <c r="C918" s="593" t="s">
        <v>221</v>
      </c>
      <c r="D918" s="619">
        <v>14824</v>
      </c>
      <c r="E918" s="619">
        <v>2497.6</v>
      </c>
      <c r="F918" s="619" t="s">
        <v>233</v>
      </c>
      <c r="G918" s="619">
        <v>805</v>
      </c>
      <c r="H918" s="599">
        <v>5</v>
      </c>
      <c r="I918" s="599">
        <v>4</v>
      </c>
      <c r="J918" s="599">
        <v>60</v>
      </c>
      <c r="K918" s="590" t="s">
        <v>33</v>
      </c>
      <c r="L918" s="740">
        <f t="shared" si="111"/>
        <v>1774515.43</v>
      </c>
      <c r="M918" s="741">
        <v>1769229</v>
      </c>
      <c r="N918" s="742"/>
      <c r="O918" s="736">
        <v>5286.43</v>
      </c>
      <c r="P918" s="742"/>
      <c r="Q918" s="586"/>
      <c r="R918" s="744">
        <f>M918/G918</f>
        <v>2197.8000000000002</v>
      </c>
      <c r="S918" s="856"/>
      <c r="T918" s="856"/>
      <c r="U918" s="857"/>
      <c r="V918" s="589"/>
      <c r="W918" s="856"/>
      <c r="X918" s="856"/>
      <c r="Y918" s="856"/>
      <c r="Z918" s="856"/>
    </row>
    <row r="919" spans="1:26" s="71" customFormat="1" ht="37.5" hidden="1">
      <c r="A919" s="679">
        <f t="shared" si="112"/>
        <v>16</v>
      </c>
      <c r="B919" s="592" t="s">
        <v>1064</v>
      </c>
      <c r="C919" s="744" t="s">
        <v>221</v>
      </c>
      <c r="D919" s="619">
        <v>16514.099999999999</v>
      </c>
      <c r="E919" s="646">
        <v>2714.05</v>
      </c>
      <c r="F919" s="768" t="s">
        <v>233</v>
      </c>
      <c r="G919" s="646">
        <v>630</v>
      </c>
      <c r="H919" s="582">
        <v>9</v>
      </c>
      <c r="I919" s="582">
        <v>1</v>
      </c>
      <c r="J919" s="582">
        <v>137</v>
      </c>
      <c r="K919" s="590" t="s">
        <v>219</v>
      </c>
      <c r="L919" s="584">
        <f t="shared" si="111"/>
        <v>2072025</v>
      </c>
      <c r="M919" s="596">
        <v>1990000</v>
      </c>
      <c r="N919" s="597">
        <v>82025</v>
      </c>
      <c r="O919" s="587"/>
      <c r="P919" s="586"/>
      <c r="Q919" s="586"/>
      <c r="R919" s="582">
        <f>M919/I919</f>
        <v>1990000</v>
      </c>
      <c r="S919" s="856"/>
      <c r="T919" s="737"/>
      <c r="U919" s="737"/>
      <c r="V919" s="589"/>
      <c r="W919" s="737"/>
      <c r="X919" s="737"/>
      <c r="Y919" s="737"/>
      <c r="Z919" s="737"/>
    </row>
    <row r="920" spans="1:26" s="102" customFormat="1" ht="37.5" hidden="1">
      <c r="A920" s="679">
        <f t="shared" si="112"/>
        <v>17</v>
      </c>
      <c r="B920" s="592" t="s">
        <v>1065</v>
      </c>
      <c r="C920" s="744" t="s">
        <v>221</v>
      </c>
      <c r="D920" s="619">
        <v>16514.099999999999</v>
      </c>
      <c r="E920" s="619">
        <v>2714.05</v>
      </c>
      <c r="F920" s="768" t="s">
        <v>233</v>
      </c>
      <c r="G920" s="619">
        <v>630</v>
      </c>
      <c r="H920" s="599">
        <v>9</v>
      </c>
      <c r="I920" s="599">
        <v>1</v>
      </c>
      <c r="J920" s="599">
        <v>137</v>
      </c>
      <c r="K920" s="590" t="s">
        <v>219</v>
      </c>
      <c r="L920" s="584">
        <f t="shared" si="111"/>
        <v>2072025</v>
      </c>
      <c r="M920" s="596">
        <v>1990000</v>
      </c>
      <c r="N920" s="597">
        <v>82025</v>
      </c>
      <c r="O920" s="587"/>
      <c r="P920" s="586"/>
      <c r="Q920" s="586"/>
      <c r="R920" s="582">
        <f>M920/I920</f>
        <v>1990000</v>
      </c>
      <c r="S920" s="856"/>
      <c r="T920" s="856"/>
      <c r="U920" s="857"/>
      <c r="V920" s="589"/>
      <c r="W920" s="856"/>
      <c r="X920" s="856"/>
      <c r="Y920" s="856"/>
      <c r="Z920" s="856"/>
    </row>
    <row r="921" spans="1:26" s="75" customFormat="1" ht="37.5" hidden="1">
      <c r="A921" s="679">
        <f t="shared" si="112"/>
        <v>18</v>
      </c>
      <c r="B921" s="592" t="s">
        <v>1066</v>
      </c>
      <c r="C921" s="593" t="s">
        <v>221</v>
      </c>
      <c r="D921" s="619">
        <v>3260</v>
      </c>
      <c r="E921" s="619">
        <v>18673</v>
      </c>
      <c r="F921" s="619" t="s">
        <v>222</v>
      </c>
      <c r="G921" s="619">
        <v>1633</v>
      </c>
      <c r="H921" s="599">
        <v>5</v>
      </c>
      <c r="I921" s="599">
        <v>6</v>
      </c>
      <c r="J921" s="599">
        <v>100</v>
      </c>
      <c r="K921" s="792" t="s">
        <v>30</v>
      </c>
      <c r="L921" s="595">
        <f t="shared" si="111"/>
        <v>2504962.5</v>
      </c>
      <c r="M921" s="585">
        <v>2497500</v>
      </c>
      <c r="N921" s="586"/>
      <c r="O921" s="736">
        <v>7462.5</v>
      </c>
      <c r="P921" s="586"/>
      <c r="Q921" s="586"/>
      <c r="R921" s="582">
        <f>M921/J921</f>
        <v>24975</v>
      </c>
      <c r="S921" s="601"/>
      <c r="T921" s="601"/>
      <c r="U921" s="709"/>
      <c r="V921" s="589"/>
      <c r="W921" s="601"/>
      <c r="X921" s="601"/>
      <c r="Y921" s="601"/>
      <c r="Z921" s="601"/>
    </row>
    <row r="922" spans="1:26" s="102" customFormat="1" hidden="1">
      <c r="A922" s="679">
        <f t="shared" si="112"/>
        <v>19</v>
      </c>
      <c r="B922" s="592" t="s">
        <v>1067</v>
      </c>
      <c r="C922" s="593" t="s">
        <v>221</v>
      </c>
      <c r="D922" s="619">
        <v>2708.5</v>
      </c>
      <c r="E922" s="619">
        <v>14849</v>
      </c>
      <c r="F922" s="619" t="s">
        <v>233</v>
      </c>
      <c r="G922" s="619">
        <v>779.5</v>
      </c>
      <c r="H922" s="599">
        <v>5</v>
      </c>
      <c r="I922" s="599">
        <v>1</v>
      </c>
      <c r="J922" s="599">
        <v>67</v>
      </c>
      <c r="K922" s="590" t="s">
        <v>33</v>
      </c>
      <c r="L922" s="740">
        <f t="shared" si="111"/>
        <v>1718304.3800000001</v>
      </c>
      <c r="M922" s="741">
        <v>1713185.1</v>
      </c>
      <c r="N922" s="742"/>
      <c r="O922" s="736">
        <v>5119.28</v>
      </c>
      <c r="P922" s="742"/>
      <c r="Q922" s="586"/>
      <c r="R922" s="744">
        <f t="shared" ref="R922:R932" si="113">M922/G922</f>
        <v>2197.8000000000002</v>
      </c>
      <c r="S922" s="737"/>
      <c r="T922" s="856"/>
      <c r="U922" s="857"/>
      <c r="V922" s="589"/>
      <c r="W922" s="856"/>
      <c r="X922" s="856"/>
      <c r="Y922" s="856"/>
      <c r="Z922" s="856"/>
    </row>
    <row r="923" spans="1:26" s="78" customFormat="1" hidden="1">
      <c r="A923" s="679">
        <f t="shared" si="112"/>
        <v>20</v>
      </c>
      <c r="B923" s="592" t="s">
        <v>1068</v>
      </c>
      <c r="C923" s="593" t="s">
        <v>221</v>
      </c>
      <c r="D923" s="619">
        <v>17721</v>
      </c>
      <c r="E923" s="619">
        <v>3081.4</v>
      </c>
      <c r="F923" s="768" t="s">
        <v>233</v>
      </c>
      <c r="G923" s="619">
        <v>1265.8</v>
      </c>
      <c r="H923" s="599">
        <v>5</v>
      </c>
      <c r="I923" s="599">
        <v>6</v>
      </c>
      <c r="J923" s="599">
        <v>80</v>
      </c>
      <c r="K923" s="590" t="s">
        <v>33</v>
      </c>
      <c r="L923" s="740">
        <f t="shared" si="111"/>
        <v>2790287.47</v>
      </c>
      <c r="M923" s="741">
        <v>2781975.24</v>
      </c>
      <c r="N923" s="742"/>
      <c r="O923" s="736">
        <v>8312.23</v>
      </c>
      <c r="P923" s="742"/>
      <c r="Q923" s="586"/>
      <c r="R923" s="744">
        <f t="shared" si="113"/>
        <v>2197.8000000000002</v>
      </c>
      <c r="S923" s="856"/>
      <c r="T923" s="709"/>
      <c r="U923" s="709"/>
      <c r="V923" s="589"/>
      <c r="W923" s="709"/>
      <c r="X923" s="709"/>
      <c r="Y923" s="709"/>
      <c r="Z923" s="709"/>
    </row>
    <row r="924" spans="1:26" s="102" customFormat="1" ht="37.5" hidden="1">
      <c r="A924" s="679">
        <f t="shared" si="112"/>
        <v>21</v>
      </c>
      <c r="B924" s="592" t="s">
        <v>1069</v>
      </c>
      <c r="C924" s="593" t="s">
        <v>221</v>
      </c>
      <c r="D924" s="619">
        <v>13263</v>
      </c>
      <c r="E924" s="619">
        <v>2469.5</v>
      </c>
      <c r="F924" s="768" t="s">
        <v>222</v>
      </c>
      <c r="G924" s="619">
        <v>1222</v>
      </c>
      <c r="H924" s="599">
        <v>5</v>
      </c>
      <c r="I924" s="599">
        <v>4</v>
      </c>
      <c r="J924" s="599">
        <v>69</v>
      </c>
      <c r="K924" s="590" t="s">
        <v>3877</v>
      </c>
      <c r="L924" s="740">
        <f t="shared" si="111"/>
        <v>3083785</v>
      </c>
      <c r="M924" s="741">
        <v>3051945</v>
      </c>
      <c r="N924" s="742">
        <v>31840</v>
      </c>
      <c r="O924" s="743"/>
      <c r="P924" s="742"/>
      <c r="Q924" s="586"/>
      <c r="R924" s="744">
        <f t="shared" si="113"/>
        <v>2497.5</v>
      </c>
      <c r="S924" s="863"/>
      <c r="T924" s="856"/>
      <c r="U924" s="857"/>
      <c r="V924" s="589"/>
      <c r="W924" s="856"/>
      <c r="X924" s="856"/>
      <c r="Y924" s="856"/>
      <c r="Z924" s="856"/>
    </row>
    <row r="925" spans="1:26" s="78" customFormat="1" ht="37.5" hidden="1">
      <c r="A925" s="679">
        <f t="shared" si="112"/>
        <v>22</v>
      </c>
      <c r="B925" s="592" t="s">
        <v>1070</v>
      </c>
      <c r="C925" s="593" t="s">
        <v>221</v>
      </c>
      <c r="D925" s="619">
        <v>2152.8000000000002</v>
      </c>
      <c r="E925" s="619">
        <v>717.6</v>
      </c>
      <c r="F925" s="619" t="s">
        <v>222</v>
      </c>
      <c r="G925" s="619">
        <v>862</v>
      </c>
      <c r="H925" s="599">
        <v>2</v>
      </c>
      <c r="I925" s="599">
        <v>3</v>
      </c>
      <c r="J925" s="599">
        <v>21</v>
      </c>
      <c r="K925" s="590" t="s">
        <v>262</v>
      </c>
      <c r="L925" s="740">
        <f t="shared" si="111"/>
        <v>1926286.1099999999</v>
      </c>
      <c r="M925" s="741">
        <v>1892456.1099999999</v>
      </c>
      <c r="N925" s="742">
        <v>33830</v>
      </c>
      <c r="O925" s="743"/>
      <c r="P925" s="742"/>
      <c r="Q925" s="586"/>
      <c r="R925" s="744">
        <f t="shared" si="113"/>
        <v>2195.4247215777259</v>
      </c>
      <c r="S925" s="863"/>
      <c r="T925" s="709"/>
      <c r="U925" s="586"/>
      <c r="V925" s="589"/>
      <c r="W925" s="709"/>
      <c r="X925" s="709"/>
      <c r="Y925" s="709"/>
      <c r="Z925" s="709"/>
    </row>
    <row r="926" spans="1:26" s="71" customFormat="1" hidden="1">
      <c r="A926" s="679">
        <f t="shared" si="112"/>
        <v>23</v>
      </c>
      <c r="B926" s="592" t="s">
        <v>1071</v>
      </c>
      <c r="C926" s="593" t="s">
        <v>221</v>
      </c>
      <c r="D926" s="619">
        <v>6839.0999999999995</v>
      </c>
      <c r="E926" s="619">
        <v>2279.6999999999998</v>
      </c>
      <c r="F926" s="619" t="s">
        <v>233</v>
      </c>
      <c r="G926" s="619">
        <v>875</v>
      </c>
      <c r="H926" s="599">
        <v>5</v>
      </c>
      <c r="I926" s="599">
        <v>4</v>
      </c>
      <c r="J926" s="599">
        <v>48</v>
      </c>
      <c r="K926" s="590" t="s">
        <v>33</v>
      </c>
      <c r="L926" s="740">
        <f t="shared" si="111"/>
        <v>1921121.13</v>
      </c>
      <c r="M926" s="741">
        <v>1915375</v>
      </c>
      <c r="N926" s="742"/>
      <c r="O926" s="736">
        <v>5746.13</v>
      </c>
      <c r="P926" s="742"/>
      <c r="Q926" s="586"/>
      <c r="R926" s="744">
        <f t="shared" si="113"/>
        <v>2189</v>
      </c>
      <c r="S926" s="709"/>
      <c r="T926" s="737"/>
      <c r="U926" s="737"/>
      <c r="V926" s="589"/>
      <c r="W926" s="737"/>
      <c r="X926" s="737"/>
      <c r="Y926" s="737"/>
      <c r="Z926" s="737"/>
    </row>
    <row r="927" spans="1:26" s="102" customFormat="1" ht="37.5" hidden="1">
      <c r="A927" s="679">
        <f t="shared" si="112"/>
        <v>24</v>
      </c>
      <c r="B927" s="592" t="s">
        <v>1072</v>
      </c>
      <c r="C927" s="593" t="s">
        <v>221</v>
      </c>
      <c r="D927" s="619">
        <v>1158</v>
      </c>
      <c r="E927" s="646">
        <v>386</v>
      </c>
      <c r="F927" s="619" t="s">
        <v>222</v>
      </c>
      <c r="G927" s="646">
        <v>861</v>
      </c>
      <c r="H927" s="582">
        <v>2</v>
      </c>
      <c r="I927" s="582">
        <v>2</v>
      </c>
      <c r="J927" s="582">
        <v>12</v>
      </c>
      <c r="K927" s="590" t="s">
        <v>262</v>
      </c>
      <c r="L927" s="740">
        <f t="shared" si="111"/>
        <v>2358293.36</v>
      </c>
      <c r="M927" s="741">
        <f>2141737.5+183223.36</f>
        <v>2324960.86</v>
      </c>
      <c r="N927" s="742">
        <v>33332.5</v>
      </c>
      <c r="O927" s="743"/>
      <c r="P927" s="742"/>
      <c r="Q927" s="586"/>
      <c r="R927" s="744">
        <f t="shared" si="113"/>
        <v>2700.3029732868754</v>
      </c>
      <c r="S927" s="863"/>
      <c r="T927" s="856"/>
      <c r="U927" s="586"/>
      <c r="V927" s="589"/>
      <c r="W927" s="856"/>
      <c r="X927" s="856"/>
      <c r="Y927" s="856"/>
      <c r="Z927" s="856"/>
    </row>
    <row r="928" spans="1:26" s="102" customFormat="1" ht="37.5" hidden="1">
      <c r="A928" s="679">
        <f t="shared" si="112"/>
        <v>25</v>
      </c>
      <c r="B928" s="592" t="s">
        <v>1073</v>
      </c>
      <c r="C928" s="593" t="s">
        <v>221</v>
      </c>
      <c r="D928" s="619">
        <v>3059</v>
      </c>
      <c r="E928" s="619">
        <v>652.12</v>
      </c>
      <c r="F928" s="768" t="s">
        <v>222</v>
      </c>
      <c r="G928" s="619">
        <v>602.70000000000005</v>
      </c>
      <c r="H928" s="599">
        <v>2</v>
      </c>
      <c r="I928" s="599">
        <v>2</v>
      </c>
      <c r="J928" s="599">
        <v>14</v>
      </c>
      <c r="K928" s="590" t="s">
        <v>262</v>
      </c>
      <c r="L928" s="740">
        <f t="shared" si="111"/>
        <v>1536585.75</v>
      </c>
      <c r="M928" s="741">
        <v>1505243.25</v>
      </c>
      <c r="N928" s="742">
        <v>31342.5</v>
      </c>
      <c r="O928" s="743"/>
      <c r="P928" s="742"/>
      <c r="Q928" s="586"/>
      <c r="R928" s="744">
        <f t="shared" si="113"/>
        <v>2497.5</v>
      </c>
      <c r="S928" s="863"/>
      <c r="T928" s="856"/>
      <c r="U928" s="857"/>
      <c r="V928" s="589"/>
      <c r="W928" s="856"/>
      <c r="X928" s="856"/>
      <c r="Y928" s="856"/>
      <c r="Z928" s="856"/>
    </row>
    <row r="929" spans="1:26" s="102" customFormat="1" ht="37.5" hidden="1">
      <c r="A929" s="679">
        <f t="shared" si="112"/>
        <v>26</v>
      </c>
      <c r="B929" s="592" t="s">
        <v>3887</v>
      </c>
      <c r="C929" s="593" t="s">
        <v>221</v>
      </c>
      <c r="D929" s="619">
        <v>4018</v>
      </c>
      <c r="E929" s="619">
        <v>750.2</v>
      </c>
      <c r="F929" s="768" t="s">
        <v>230</v>
      </c>
      <c r="G929" s="619">
        <v>825.7</v>
      </c>
      <c r="H929" s="599">
        <v>2</v>
      </c>
      <c r="I929" s="599">
        <v>2</v>
      </c>
      <c r="J929" s="599">
        <v>15</v>
      </c>
      <c r="K929" s="590" t="s">
        <v>3874</v>
      </c>
      <c r="L929" s="740">
        <f t="shared" si="111"/>
        <v>2094324.25</v>
      </c>
      <c r="M929" s="741">
        <v>2062185.75</v>
      </c>
      <c r="N929" s="742">
        <v>32138.5</v>
      </c>
      <c r="O929" s="743"/>
      <c r="P929" s="742"/>
      <c r="Q929" s="586"/>
      <c r="R929" s="744">
        <f t="shared" si="113"/>
        <v>2497.5</v>
      </c>
      <c r="S929" s="863"/>
      <c r="T929" s="856"/>
      <c r="U929" s="857"/>
      <c r="V929" s="589"/>
      <c r="W929" s="856"/>
      <c r="X929" s="856"/>
      <c r="Y929" s="856"/>
      <c r="Z929" s="856"/>
    </row>
    <row r="930" spans="1:26" s="102" customFormat="1" ht="37.5" hidden="1">
      <c r="A930" s="679">
        <f t="shared" si="112"/>
        <v>27</v>
      </c>
      <c r="B930" s="592" t="s">
        <v>1074</v>
      </c>
      <c r="C930" s="593" t="s">
        <v>239</v>
      </c>
      <c r="D930" s="619">
        <v>3497</v>
      </c>
      <c r="E930" s="619">
        <v>782</v>
      </c>
      <c r="F930" s="768" t="s">
        <v>222</v>
      </c>
      <c r="G930" s="619">
        <v>944</v>
      </c>
      <c r="H930" s="599">
        <v>2</v>
      </c>
      <c r="I930" s="599">
        <v>2</v>
      </c>
      <c r="J930" s="599">
        <v>12</v>
      </c>
      <c r="K930" s="590" t="s">
        <v>255</v>
      </c>
      <c r="L930" s="740">
        <f t="shared" si="111"/>
        <v>2394455</v>
      </c>
      <c r="M930" s="741">
        <v>2357640</v>
      </c>
      <c r="N930" s="742">
        <v>36815</v>
      </c>
      <c r="O930" s="743"/>
      <c r="P930" s="742"/>
      <c r="Q930" s="586"/>
      <c r="R930" s="744">
        <f t="shared" si="113"/>
        <v>2497.5</v>
      </c>
      <c r="S930" s="863"/>
      <c r="T930" s="856"/>
      <c r="U930" s="857"/>
      <c r="V930" s="589"/>
      <c r="W930" s="856"/>
      <c r="X930" s="856"/>
      <c r="Y930" s="856"/>
      <c r="Z930" s="856"/>
    </row>
    <row r="931" spans="1:26" s="102" customFormat="1" ht="37.5" hidden="1">
      <c r="A931" s="679">
        <f t="shared" si="112"/>
        <v>28</v>
      </c>
      <c r="B931" s="592" t="s">
        <v>1075</v>
      </c>
      <c r="C931" s="593" t="s">
        <v>221</v>
      </c>
      <c r="D931" s="619">
        <v>21105</v>
      </c>
      <c r="E931" s="619">
        <v>3143</v>
      </c>
      <c r="F931" s="768" t="s">
        <v>222</v>
      </c>
      <c r="G931" s="619">
        <v>1164</v>
      </c>
      <c r="H931" s="599">
        <v>5</v>
      </c>
      <c r="I931" s="599">
        <v>6</v>
      </c>
      <c r="J931" s="599">
        <v>92</v>
      </c>
      <c r="K931" s="590" t="s">
        <v>262</v>
      </c>
      <c r="L931" s="740">
        <f t="shared" si="111"/>
        <v>2937437.5</v>
      </c>
      <c r="M931" s="741">
        <v>2907090</v>
      </c>
      <c r="N931" s="742">
        <v>30347.5</v>
      </c>
      <c r="O931" s="743"/>
      <c r="P931" s="742"/>
      <c r="Q931" s="586"/>
      <c r="R931" s="744">
        <f t="shared" si="113"/>
        <v>2497.5</v>
      </c>
      <c r="S931" s="863"/>
      <c r="T931" s="856"/>
      <c r="U931" s="857"/>
      <c r="V931" s="589"/>
      <c r="W931" s="856"/>
      <c r="X931" s="856"/>
      <c r="Y931" s="856"/>
      <c r="Z931" s="856"/>
    </row>
    <row r="932" spans="1:26" s="102" customFormat="1" hidden="1">
      <c r="A932" s="679">
        <f t="shared" si="112"/>
        <v>29</v>
      </c>
      <c r="B932" s="592" t="s">
        <v>1076</v>
      </c>
      <c r="C932" s="593" t="s">
        <v>221</v>
      </c>
      <c r="D932" s="619">
        <v>21614</v>
      </c>
      <c r="E932" s="619">
        <v>3524</v>
      </c>
      <c r="F932" s="768" t="s">
        <v>223</v>
      </c>
      <c r="G932" s="619">
        <v>1689</v>
      </c>
      <c r="H932" s="599">
        <v>5</v>
      </c>
      <c r="I932" s="599">
        <v>7</v>
      </c>
      <c r="J932" s="599">
        <v>96</v>
      </c>
      <c r="K932" s="590" t="s">
        <v>33</v>
      </c>
      <c r="L932" s="740">
        <f t="shared" si="111"/>
        <v>3723175.47</v>
      </c>
      <c r="M932" s="741">
        <v>3712084.2</v>
      </c>
      <c r="N932" s="742"/>
      <c r="O932" s="736">
        <v>11091.27</v>
      </c>
      <c r="P932" s="742"/>
      <c r="Q932" s="586"/>
      <c r="R932" s="744">
        <f t="shared" si="113"/>
        <v>2197.8000000000002</v>
      </c>
      <c r="S932" s="856"/>
      <c r="T932" s="856"/>
      <c r="U932" s="857"/>
      <c r="V932" s="589"/>
      <c r="W932" s="856"/>
      <c r="X932" s="856"/>
      <c r="Y932" s="856"/>
      <c r="Z932" s="856"/>
    </row>
    <row r="933" spans="1:26" s="102" customFormat="1" hidden="1">
      <c r="A933" s="679">
        <f t="shared" si="112"/>
        <v>30</v>
      </c>
      <c r="B933" s="1346" t="s">
        <v>1077</v>
      </c>
      <c r="C933" s="593" t="s">
        <v>239</v>
      </c>
      <c r="D933" s="619">
        <v>1731</v>
      </c>
      <c r="E933" s="619">
        <v>420</v>
      </c>
      <c r="F933" s="768" t="s">
        <v>222</v>
      </c>
      <c r="G933" s="619">
        <v>407</v>
      </c>
      <c r="H933" s="599">
        <v>2</v>
      </c>
      <c r="I933" s="599">
        <v>1</v>
      </c>
      <c r="J933" s="599">
        <v>8</v>
      </c>
      <c r="K933" s="590" t="s">
        <v>238</v>
      </c>
      <c r="L933" s="1376">
        <f>M933+N933+O933+P933+Q933+M934+N934+O934+P934+Q934</f>
        <v>472528.69</v>
      </c>
      <c r="M933" s="596">
        <v>239760</v>
      </c>
      <c r="N933" s="586">
        <v>23382.5</v>
      </c>
      <c r="O933" s="598"/>
      <c r="P933" s="597"/>
      <c r="Q933" s="586"/>
      <c r="R933" s="599">
        <f>M933/J933</f>
        <v>29970</v>
      </c>
      <c r="S933" s="863"/>
      <c r="T933" s="856"/>
      <c r="U933" s="857"/>
      <c r="V933" s="589"/>
      <c r="W933" s="856"/>
      <c r="X933" s="856"/>
      <c r="Y933" s="856"/>
      <c r="Z933" s="856"/>
    </row>
    <row r="934" spans="1:26" s="102" customFormat="1" ht="37.5" hidden="1">
      <c r="A934" s="679"/>
      <c r="B934" s="1346"/>
      <c r="C934" s="593"/>
      <c r="D934" s="619"/>
      <c r="E934" s="619"/>
      <c r="F934" s="768"/>
      <c r="G934" s="619"/>
      <c r="H934" s="599"/>
      <c r="I934" s="599"/>
      <c r="J934" s="599"/>
      <c r="K934" s="590" t="s">
        <v>30</v>
      </c>
      <c r="L934" s="1376"/>
      <c r="M934" s="596">
        <v>200000</v>
      </c>
      <c r="N934" s="586"/>
      <c r="O934" s="598">
        <v>618.75</v>
      </c>
      <c r="P934" s="597"/>
      <c r="Q934" s="586">
        <v>8767.44</v>
      </c>
      <c r="R934" s="599">
        <f>M934/J933</f>
        <v>25000</v>
      </c>
      <c r="S934" s="863"/>
      <c r="T934" s="856"/>
      <c r="U934" s="857"/>
      <c r="V934" s="589"/>
      <c r="W934" s="856"/>
      <c r="X934" s="856"/>
      <c r="Y934" s="856"/>
      <c r="Z934" s="856"/>
    </row>
    <row r="935" spans="1:26" s="102" customFormat="1" hidden="1">
      <c r="A935" s="679">
        <f>A933+1</f>
        <v>31</v>
      </c>
      <c r="B935" s="592" t="s">
        <v>1078</v>
      </c>
      <c r="C935" s="593" t="s">
        <v>221</v>
      </c>
      <c r="D935" s="619">
        <v>7389</v>
      </c>
      <c r="E935" s="619">
        <v>1461</v>
      </c>
      <c r="F935" s="768" t="s">
        <v>223</v>
      </c>
      <c r="G935" s="619">
        <v>830</v>
      </c>
      <c r="H935" s="599">
        <v>3</v>
      </c>
      <c r="I935" s="599">
        <v>3</v>
      </c>
      <c r="J935" s="599">
        <v>33</v>
      </c>
      <c r="K935" s="590" t="s">
        <v>33</v>
      </c>
      <c r="L935" s="740">
        <f t="shared" ref="L935:L949" si="114">M935+N935+O935+P935+Q935</f>
        <v>1829624.61</v>
      </c>
      <c r="M935" s="741">
        <v>1824174</v>
      </c>
      <c r="N935" s="742"/>
      <c r="O935" s="736">
        <v>5450.61</v>
      </c>
      <c r="P935" s="742"/>
      <c r="Q935" s="586"/>
      <c r="R935" s="744">
        <f>M935/G935</f>
        <v>2197.8000000000002</v>
      </c>
      <c r="S935" s="856"/>
      <c r="T935" s="856"/>
      <c r="U935" s="857"/>
      <c r="V935" s="589"/>
      <c r="W935" s="856"/>
      <c r="X935" s="856"/>
      <c r="Y935" s="856"/>
      <c r="Z935" s="856"/>
    </row>
    <row r="936" spans="1:26" s="102" customFormat="1" hidden="1">
      <c r="A936" s="679">
        <f>A935+1</f>
        <v>32</v>
      </c>
      <c r="B936" s="592" t="s">
        <v>1080</v>
      </c>
      <c r="C936" s="593" t="s">
        <v>221</v>
      </c>
      <c r="D936" s="619">
        <v>4462</v>
      </c>
      <c r="E936" s="619">
        <v>1271</v>
      </c>
      <c r="F936" s="768" t="s">
        <v>223</v>
      </c>
      <c r="G936" s="619">
        <v>315</v>
      </c>
      <c r="H936" s="599">
        <v>5</v>
      </c>
      <c r="I936" s="599">
        <v>1</v>
      </c>
      <c r="J936" s="599">
        <v>18</v>
      </c>
      <c r="K936" s="590" t="s">
        <v>33</v>
      </c>
      <c r="L936" s="740">
        <f t="shared" si="114"/>
        <v>694375.61</v>
      </c>
      <c r="M936" s="741">
        <v>692307</v>
      </c>
      <c r="N936" s="742"/>
      <c r="O936" s="736">
        <v>2068.61</v>
      </c>
      <c r="P936" s="742"/>
      <c r="Q936" s="586"/>
      <c r="R936" s="744">
        <f>M936/G936</f>
        <v>2197.8000000000002</v>
      </c>
      <c r="S936" s="856"/>
      <c r="T936" s="856"/>
      <c r="U936" s="857"/>
      <c r="V936" s="589"/>
      <c r="W936" s="856"/>
      <c r="X936" s="856"/>
      <c r="Y936" s="856"/>
      <c r="Z936" s="856"/>
    </row>
    <row r="937" spans="1:26" s="102" customFormat="1" hidden="1">
      <c r="A937" s="679">
        <f t="shared" si="112"/>
        <v>33</v>
      </c>
      <c r="B937" s="592" t="s">
        <v>1081</v>
      </c>
      <c r="C937" s="593" t="s">
        <v>221</v>
      </c>
      <c r="D937" s="619">
        <v>13418</v>
      </c>
      <c r="E937" s="619">
        <v>2470.5</v>
      </c>
      <c r="F937" s="768" t="s">
        <v>233</v>
      </c>
      <c r="G937" s="619">
        <v>925.4</v>
      </c>
      <c r="H937" s="599">
        <v>5</v>
      </c>
      <c r="I937" s="599">
        <v>4</v>
      </c>
      <c r="J937" s="599">
        <v>70</v>
      </c>
      <c r="K937" s="590" t="s">
        <v>33</v>
      </c>
      <c r="L937" s="740">
        <f t="shared" si="114"/>
        <v>1940163.46</v>
      </c>
      <c r="M937" s="741">
        <v>1934086</v>
      </c>
      <c r="N937" s="742"/>
      <c r="O937" s="736">
        <v>6077.46</v>
      </c>
      <c r="P937" s="742"/>
      <c r="Q937" s="586"/>
      <c r="R937" s="744">
        <f>M937/G937</f>
        <v>2090</v>
      </c>
      <c r="S937" s="856"/>
      <c r="T937" s="856"/>
      <c r="U937" s="857"/>
      <c r="V937" s="589"/>
      <c r="W937" s="856"/>
      <c r="X937" s="856"/>
      <c r="Y937" s="856"/>
      <c r="Z937" s="856"/>
    </row>
    <row r="938" spans="1:26" s="102" customFormat="1" hidden="1">
      <c r="A938" s="679">
        <f t="shared" si="112"/>
        <v>34</v>
      </c>
      <c r="B938" s="592" t="s">
        <v>1082</v>
      </c>
      <c r="C938" s="593" t="s">
        <v>221</v>
      </c>
      <c r="D938" s="619">
        <v>2893</v>
      </c>
      <c r="E938" s="646">
        <v>382</v>
      </c>
      <c r="F938" s="768" t="s">
        <v>233</v>
      </c>
      <c r="G938" s="646">
        <v>1147.8</v>
      </c>
      <c r="H938" s="582">
        <v>5</v>
      </c>
      <c r="I938" s="582">
        <v>8</v>
      </c>
      <c r="J938" s="582">
        <v>108</v>
      </c>
      <c r="K938" s="590" t="s">
        <v>434</v>
      </c>
      <c r="L938" s="740">
        <f t="shared" si="114"/>
        <v>1174704</v>
      </c>
      <c r="M938" s="745">
        <v>1144854</v>
      </c>
      <c r="N938" s="747">
        <v>29850</v>
      </c>
      <c r="O938" s="743"/>
      <c r="P938" s="747"/>
      <c r="Q938" s="586"/>
      <c r="R938" s="599">
        <f>M938/E938</f>
        <v>2997</v>
      </c>
      <c r="S938" s="863"/>
      <c r="T938" s="856"/>
      <c r="U938" s="857"/>
      <c r="V938" s="589"/>
      <c r="W938" s="856"/>
      <c r="X938" s="856"/>
      <c r="Y938" s="856"/>
      <c r="Z938" s="856"/>
    </row>
    <row r="939" spans="1:26" s="102" customFormat="1" ht="37.5" hidden="1">
      <c r="A939" s="679">
        <f t="shared" si="112"/>
        <v>35</v>
      </c>
      <c r="B939" s="592" t="s">
        <v>1083</v>
      </c>
      <c r="C939" s="593" t="s">
        <v>221</v>
      </c>
      <c r="D939" s="619">
        <v>601</v>
      </c>
      <c r="E939" s="619">
        <v>2547</v>
      </c>
      <c r="F939" s="619" t="s">
        <v>222</v>
      </c>
      <c r="G939" s="619">
        <v>1030</v>
      </c>
      <c r="H939" s="599">
        <v>2</v>
      </c>
      <c r="I939" s="599">
        <v>2</v>
      </c>
      <c r="J939" s="599">
        <v>16</v>
      </c>
      <c r="K939" s="590" t="s">
        <v>262</v>
      </c>
      <c r="L939" s="740">
        <f t="shared" si="114"/>
        <v>2119410.46</v>
      </c>
      <c r="M939" s="741">
        <v>2080003.48</v>
      </c>
      <c r="N939" s="742">
        <v>39406.980000000003</v>
      </c>
      <c r="O939" s="743"/>
      <c r="P939" s="742"/>
      <c r="Q939" s="586"/>
      <c r="R939" s="744">
        <f>M939/G939</f>
        <v>2019.4208543689319</v>
      </c>
      <c r="S939" s="863" t="s">
        <v>3585</v>
      </c>
      <c r="T939" s="856"/>
      <c r="U939" s="857"/>
      <c r="V939" s="589"/>
      <c r="W939" s="856"/>
      <c r="X939" s="856"/>
      <c r="Y939" s="856"/>
      <c r="Z939" s="856"/>
    </row>
    <row r="940" spans="1:26" s="102" customFormat="1" ht="37.5" hidden="1">
      <c r="A940" s="679">
        <f t="shared" si="112"/>
        <v>36</v>
      </c>
      <c r="B940" s="592" t="s">
        <v>1084</v>
      </c>
      <c r="C940" s="593" t="s">
        <v>239</v>
      </c>
      <c r="D940" s="619">
        <v>1491.6</v>
      </c>
      <c r="E940" s="619">
        <v>497.2</v>
      </c>
      <c r="F940" s="619" t="s">
        <v>222</v>
      </c>
      <c r="G940" s="619">
        <v>386.1</v>
      </c>
      <c r="H940" s="599">
        <v>2</v>
      </c>
      <c r="I940" s="599">
        <v>2</v>
      </c>
      <c r="J940" s="599">
        <v>8</v>
      </c>
      <c r="K940" s="792" t="s">
        <v>30</v>
      </c>
      <c r="L940" s="740">
        <f t="shared" si="114"/>
        <v>190597</v>
      </c>
      <c r="M940" s="585">
        <v>190000</v>
      </c>
      <c r="N940" s="586"/>
      <c r="O940" s="736">
        <v>597</v>
      </c>
      <c r="P940" s="586"/>
      <c r="Q940" s="586"/>
      <c r="R940" s="582">
        <f>M940/J940</f>
        <v>23750</v>
      </c>
      <c r="S940" s="863"/>
      <c r="T940" s="856"/>
      <c r="U940" s="857"/>
      <c r="V940" s="589"/>
      <c r="W940" s="856"/>
      <c r="X940" s="856"/>
      <c r="Y940" s="856"/>
      <c r="Z940" s="856"/>
    </row>
    <row r="941" spans="1:26" s="102" customFormat="1" ht="37.5" hidden="1">
      <c r="A941" s="679">
        <f t="shared" si="112"/>
        <v>37</v>
      </c>
      <c r="B941" s="592" t="s">
        <v>1085</v>
      </c>
      <c r="C941" s="593" t="s">
        <v>221</v>
      </c>
      <c r="D941" s="619">
        <v>8346.49</v>
      </c>
      <c r="E941" s="619">
        <v>2878.1</v>
      </c>
      <c r="F941" s="619" t="s">
        <v>222</v>
      </c>
      <c r="G941" s="619">
        <v>1222</v>
      </c>
      <c r="H941" s="599">
        <v>5</v>
      </c>
      <c r="I941" s="599">
        <v>4</v>
      </c>
      <c r="J941" s="599">
        <v>70</v>
      </c>
      <c r="K941" s="590" t="s">
        <v>262</v>
      </c>
      <c r="L941" s="740">
        <f t="shared" si="114"/>
        <v>2733609.17</v>
      </c>
      <c r="M941" s="741">
        <v>2706650.64</v>
      </c>
      <c r="N941" s="742">
        <v>26958.53</v>
      </c>
      <c r="O941" s="743"/>
      <c r="P941" s="742"/>
      <c r="Q941" s="586"/>
      <c r="R941" s="744">
        <f t="shared" ref="R941:R949" si="115">M941/G941</f>
        <v>2214.9350572831427</v>
      </c>
      <c r="S941" s="863"/>
      <c r="T941" s="856"/>
      <c r="U941" s="857"/>
      <c r="V941" s="589"/>
      <c r="W941" s="856"/>
      <c r="X941" s="856"/>
      <c r="Y941" s="856"/>
      <c r="Z941" s="856"/>
    </row>
    <row r="942" spans="1:26" s="102" customFormat="1" ht="37.5" hidden="1">
      <c r="A942" s="679">
        <f t="shared" si="112"/>
        <v>38</v>
      </c>
      <c r="B942" s="592" t="s">
        <v>1086</v>
      </c>
      <c r="C942" s="593" t="s">
        <v>221</v>
      </c>
      <c r="D942" s="619">
        <v>6685.95</v>
      </c>
      <c r="E942" s="619">
        <v>2305.5</v>
      </c>
      <c r="F942" s="619" t="s">
        <v>222</v>
      </c>
      <c r="G942" s="619">
        <v>1222</v>
      </c>
      <c r="H942" s="599">
        <v>5</v>
      </c>
      <c r="I942" s="599">
        <v>4</v>
      </c>
      <c r="J942" s="599">
        <v>70</v>
      </c>
      <c r="K942" s="590" t="s">
        <v>262</v>
      </c>
      <c r="L942" s="740">
        <f t="shared" si="114"/>
        <v>2856850.91</v>
      </c>
      <c r="M942" s="741">
        <v>2828676.49</v>
      </c>
      <c r="N942" s="742">
        <v>28174.42</v>
      </c>
      <c r="O942" s="743"/>
      <c r="P942" s="742"/>
      <c r="Q942" s="586"/>
      <c r="R942" s="744">
        <f t="shared" si="115"/>
        <v>2314.7925450081834</v>
      </c>
      <c r="S942" s="863"/>
      <c r="T942" s="856"/>
      <c r="U942" s="857"/>
      <c r="V942" s="589"/>
      <c r="W942" s="856"/>
      <c r="X942" s="856"/>
      <c r="Y942" s="856"/>
      <c r="Z942" s="856"/>
    </row>
    <row r="943" spans="1:26" s="90" customFormat="1" ht="37.5" hidden="1">
      <c r="A943" s="679">
        <f t="shared" si="112"/>
        <v>39</v>
      </c>
      <c r="B943" s="592" t="s">
        <v>1087</v>
      </c>
      <c r="C943" s="561" t="s">
        <v>239</v>
      </c>
      <c r="D943" s="646">
        <v>1819.605</v>
      </c>
      <c r="E943" s="646">
        <v>627.45000000000005</v>
      </c>
      <c r="F943" s="619" t="s">
        <v>222</v>
      </c>
      <c r="G943" s="646">
        <v>547.29999999999995</v>
      </c>
      <c r="H943" s="582">
        <v>2</v>
      </c>
      <c r="I943" s="582">
        <v>2</v>
      </c>
      <c r="J943" s="582">
        <v>10</v>
      </c>
      <c r="K943" s="590" t="s">
        <v>262</v>
      </c>
      <c r="L943" s="740">
        <f t="shared" si="114"/>
        <v>1338345.1300000001</v>
      </c>
      <c r="M943" s="741">
        <v>1312206.4800000002</v>
      </c>
      <c r="N943" s="742">
        <v>26138.65</v>
      </c>
      <c r="O943" s="743"/>
      <c r="P943" s="742"/>
      <c r="Q943" s="586"/>
      <c r="R943" s="744">
        <f t="shared" si="115"/>
        <v>2397.6000000000004</v>
      </c>
      <c r="S943" s="856"/>
      <c r="T943" s="738"/>
      <c r="U943" s="737"/>
      <c r="V943" s="589"/>
      <c r="W943" s="748"/>
      <c r="X943" s="748"/>
      <c r="Y943" s="748"/>
      <c r="Z943" s="748"/>
    </row>
    <row r="944" spans="1:26" s="90" customFormat="1" ht="37.5" hidden="1">
      <c r="A944" s="679">
        <f t="shared" si="112"/>
        <v>40</v>
      </c>
      <c r="B944" s="592" t="s">
        <v>1088</v>
      </c>
      <c r="C944" s="561" t="s">
        <v>239</v>
      </c>
      <c r="D944" s="646">
        <v>1987.0800000000002</v>
      </c>
      <c r="E944" s="646">
        <v>685.2</v>
      </c>
      <c r="F944" s="619" t="s">
        <v>222</v>
      </c>
      <c r="G944" s="646">
        <v>542.6</v>
      </c>
      <c r="H944" s="582">
        <v>2</v>
      </c>
      <c r="I944" s="582">
        <v>2</v>
      </c>
      <c r="J944" s="582">
        <v>12</v>
      </c>
      <c r="K944" s="590" t="s">
        <v>262</v>
      </c>
      <c r="L944" s="740">
        <f t="shared" si="114"/>
        <v>1298954.24</v>
      </c>
      <c r="M944" s="741">
        <v>1273039.46</v>
      </c>
      <c r="N944" s="742">
        <v>25914.78</v>
      </c>
      <c r="O944" s="743"/>
      <c r="P944" s="742"/>
      <c r="Q944" s="586"/>
      <c r="R944" s="744">
        <f t="shared" si="115"/>
        <v>2346.18403980833</v>
      </c>
      <c r="S944" s="856"/>
      <c r="T944" s="738"/>
      <c r="U944" s="737"/>
      <c r="V944" s="589"/>
      <c r="W944" s="748"/>
      <c r="X944" s="748"/>
      <c r="Y944" s="748"/>
      <c r="Z944" s="748"/>
    </row>
    <row r="945" spans="1:26" s="90" customFormat="1" ht="37.5" hidden="1">
      <c r="A945" s="679">
        <f t="shared" si="112"/>
        <v>41</v>
      </c>
      <c r="B945" s="592" t="s">
        <v>1089</v>
      </c>
      <c r="C945" s="561" t="s">
        <v>239</v>
      </c>
      <c r="D945" s="646">
        <v>1869.9199999999998</v>
      </c>
      <c r="E945" s="646">
        <v>644.79999999999995</v>
      </c>
      <c r="F945" s="619" t="s">
        <v>222</v>
      </c>
      <c r="G945" s="646">
        <v>574.4</v>
      </c>
      <c r="H945" s="582">
        <v>2</v>
      </c>
      <c r="I945" s="582">
        <v>3</v>
      </c>
      <c r="J945" s="582">
        <v>3</v>
      </c>
      <c r="K945" s="590" t="s">
        <v>262</v>
      </c>
      <c r="L945" s="740">
        <f t="shared" si="114"/>
        <v>1368453</v>
      </c>
      <c r="M945" s="741">
        <v>1341019.8600000001</v>
      </c>
      <c r="N945" s="742">
        <v>27433.14</v>
      </c>
      <c r="O945" s="743"/>
      <c r="P945" s="742"/>
      <c r="Q945" s="586"/>
      <c r="R945" s="744">
        <f t="shared" si="115"/>
        <v>2334.6446030640673</v>
      </c>
      <c r="S945" s="856"/>
      <c r="T945" s="738"/>
      <c r="U945" s="737"/>
      <c r="V945" s="589"/>
      <c r="W945" s="748"/>
      <c r="X945" s="748"/>
      <c r="Y945" s="748"/>
      <c r="Z945" s="748"/>
    </row>
    <row r="946" spans="1:26" s="102" customFormat="1" hidden="1">
      <c r="A946" s="679">
        <f t="shared" si="112"/>
        <v>42</v>
      </c>
      <c r="B946" s="592" t="s">
        <v>1090</v>
      </c>
      <c r="C946" s="593" t="s">
        <v>221</v>
      </c>
      <c r="D946" s="619">
        <v>3506.1</v>
      </c>
      <c r="E946" s="619">
        <v>1209</v>
      </c>
      <c r="F946" s="768" t="s">
        <v>233</v>
      </c>
      <c r="G946" s="619">
        <v>1068.7</v>
      </c>
      <c r="H946" s="599">
        <v>3</v>
      </c>
      <c r="I946" s="599">
        <v>3</v>
      </c>
      <c r="J946" s="599">
        <v>33</v>
      </c>
      <c r="K946" s="590" t="s">
        <v>33</v>
      </c>
      <c r="L946" s="740">
        <f t="shared" si="114"/>
        <v>2355806.6</v>
      </c>
      <c r="M946" s="741">
        <v>2348788.86</v>
      </c>
      <c r="N946" s="742"/>
      <c r="O946" s="736">
        <v>7017.74</v>
      </c>
      <c r="P946" s="742"/>
      <c r="Q946" s="586"/>
      <c r="R946" s="744">
        <f t="shared" si="115"/>
        <v>2197.7999999999997</v>
      </c>
      <c r="S946" s="863"/>
      <c r="T946" s="856"/>
      <c r="U946" s="857"/>
      <c r="V946" s="589"/>
      <c r="W946" s="856"/>
      <c r="X946" s="856"/>
      <c r="Y946" s="856"/>
      <c r="Z946" s="856"/>
    </row>
    <row r="947" spans="1:26" s="102" customFormat="1" hidden="1">
      <c r="A947" s="679">
        <f t="shared" si="112"/>
        <v>43</v>
      </c>
      <c r="B947" s="592" t="s">
        <v>3907</v>
      </c>
      <c r="C947" s="593" t="s">
        <v>221</v>
      </c>
      <c r="D947" s="619">
        <v>1703</v>
      </c>
      <c r="E947" s="619">
        <v>428</v>
      </c>
      <c r="F947" s="768" t="s">
        <v>3662</v>
      </c>
      <c r="G947" s="619">
        <v>432.56199999999995</v>
      </c>
      <c r="H947" s="599">
        <v>2</v>
      </c>
      <c r="I947" s="599">
        <v>1</v>
      </c>
      <c r="J947" s="599">
        <v>8</v>
      </c>
      <c r="K947" s="590" t="s">
        <v>261</v>
      </c>
      <c r="L947" s="740">
        <f t="shared" si="114"/>
        <v>1747385.27</v>
      </c>
      <c r="M947" s="741">
        <v>1721596.76</v>
      </c>
      <c r="N947" s="742">
        <v>17532.900000000001</v>
      </c>
      <c r="O947" s="736"/>
      <c r="P947" s="742"/>
      <c r="Q947" s="586">
        <v>8255.61</v>
      </c>
      <c r="R947" s="582">
        <f t="shared" si="115"/>
        <v>3980.0000000000005</v>
      </c>
      <c r="S947" s="863"/>
      <c r="T947" s="856"/>
      <c r="U947" s="857"/>
      <c r="V947" s="589"/>
      <c r="W947" s="856"/>
      <c r="X947" s="856"/>
      <c r="Y947" s="856"/>
      <c r="Z947" s="856"/>
    </row>
    <row r="948" spans="1:26" s="102" customFormat="1" hidden="1">
      <c r="A948" s="679">
        <f t="shared" si="112"/>
        <v>44</v>
      </c>
      <c r="B948" s="592" t="s">
        <v>3663</v>
      </c>
      <c r="C948" s="593" t="s">
        <v>217</v>
      </c>
      <c r="D948" s="619">
        <v>11646.9</v>
      </c>
      <c r="E948" s="619">
        <v>2864.6</v>
      </c>
      <c r="F948" s="768" t="s">
        <v>233</v>
      </c>
      <c r="G948" s="619">
        <v>838.4</v>
      </c>
      <c r="H948" s="599">
        <v>5</v>
      </c>
      <c r="I948" s="599">
        <v>4</v>
      </c>
      <c r="J948" s="599">
        <v>60</v>
      </c>
      <c r="K948" s="590" t="s">
        <v>33</v>
      </c>
      <c r="L948" s="740">
        <f t="shared" si="114"/>
        <v>1852200.9</v>
      </c>
      <c r="M948" s="741">
        <v>1826035.2</v>
      </c>
      <c r="N948" s="753"/>
      <c r="O948" s="736">
        <v>6365.7</v>
      </c>
      <c r="P948" s="742"/>
      <c r="Q948" s="586">
        <v>19800</v>
      </c>
      <c r="R948" s="744">
        <f t="shared" si="115"/>
        <v>2178</v>
      </c>
      <c r="S948" s="863"/>
      <c r="T948" s="856"/>
      <c r="U948" s="857"/>
      <c r="V948" s="589"/>
      <c r="W948" s="856"/>
      <c r="X948" s="856"/>
      <c r="Y948" s="856"/>
      <c r="Z948" s="856"/>
    </row>
    <row r="949" spans="1:26" s="102" customFormat="1" hidden="1">
      <c r="A949" s="679">
        <f t="shared" si="112"/>
        <v>45</v>
      </c>
      <c r="B949" s="592" t="s">
        <v>3664</v>
      </c>
      <c r="C949" s="593" t="s">
        <v>217</v>
      </c>
      <c r="D949" s="619">
        <v>15876</v>
      </c>
      <c r="E949" s="619">
        <v>2583.6999999999998</v>
      </c>
      <c r="F949" s="768" t="s">
        <v>233</v>
      </c>
      <c r="G949" s="619">
        <v>1165.1999999999998</v>
      </c>
      <c r="H949" s="599">
        <v>5</v>
      </c>
      <c r="I949" s="599">
        <v>6</v>
      </c>
      <c r="J949" s="599">
        <v>79</v>
      </c>
      <c r="K949" s="590" t="s">
        <v>33</v>
      </c>
      <c r="L949" s="740">
        <f t="shared" si="114"/>
        <v>2234160.54</v>
      </c>
      <c r="M949" s="741">
        <v>2207526.5699999998</v>
      </c>
      <c r="N949" s="753"/>
      <c r="O949" s="736">
        <v>6833.97</v>
      </c>
      <c r="P949" s="742"/>
      <c r="Q949" s="586">
        <v>19800</v>
      </c>
      <c r="R949" s="744">
        <f t="shared" si="115"/>
        <v>1894.5473480947478</v>
      </c>
      <c r="S949" s="863"/>
      <c r="T949" s="856"/>
      <c r="U949" s="857"/>
      <c r="V949" s="589"/>
      <c r="W949" s="856"/>
      <c r="X949" s="856"/>
      <c r="Y949" s="856"/>
      <c r="Z949" s="856"/>
    </row>
    <row r="950" spans="1:26" s="28" customFormat="1" hidden="1">
      <c r="A950" s="1361" t="s">
        <v>117</v>
      </c>
      <c r="B950" s="1361"/>
      <c r="C950" s="593" t="s">
        <v>28</v>
      </c>
      <c r="D950" s="646">
        <f>SUM(D903:D949)</f>
        <v>471445.16499999992</v>
      </c>
      <c r="E950" s="646">
        <f>SUM(E903:E949)</f>
        <v>162395.01000000004</v>
      </c>
      <c r="F950" s="646" t="s">
        <v>28</v>
      </c>
      <c r="G950" s="646">
        <f>SUM(G903:G949)</f>
        <v>45592.161999999997</v>
      </c>
      <c r="H950" s="582" t="s">
        <v>28</v>
      </c>
      <c r="I950" s="582" t="s">
        <v>28</v>
      </c>
      <c r="J950" s="646">
        <f>SUM(J903:J949)</f>
        <v>3065</v>
      </c>
      <c r="K950" s="772" t="s">
        <v>28</v>
      </c>
      <c r="L950" s="584">
        <f t="shared" ref="L950:Q950" si="116">SUM(L903:L949)</f>
        <v>98645551.959999979</v>
      </c>
      <c r="M950" s="585">
        <f t="shared" si="116"/>
        <v>97598648.689999998</v>
      </c>
      <c r="N950" s="586">
        <f t="shared" si="116"/>
        <v>820808.90000000014</v>
      </c>
      <c r="O950" s="587">
        <f t="shared" si="116"/>
        <v>169471.31999999998</v>
      </c>
      <c r="P950" s="586">
        <f t="shared" si="116"/>
        <v>0</v>
      </c>
      <c r="Q950" s="586">
        <f t="shared" si="116"/>
        <v>56623.05</v>
      </c>
      <c r="R950" s="582" t="s">
        <v>28</v>
      </c>
      <c r="S950" s="586">
        <f>L950-M950-N950-O950-P950-Q950</f>
        <v>-1.9193976186215878E-8</v>
      </c>
      <c r="T950" s="645"/>
      <c r="U950" s="701"/>
      <c r="V950" s="589"/>
      <c r="W950" s="592"/>
      <c r="X950" s="592"/>
      <c r="Y950" s="592"/>
      <c r="Z950" s="592"/>
    </row>
    <row r="951" spans="1:26" s="28" customFormat="1" hidden="1">
      <c r="A951" s="1347" t="s">
        <v>82</v>
      </c>
      <c r="B951" s="1347"/>
      <c r="C951" s="1347"/>
      <c r="D951" s="1347"/>
      <c r="E951" s="1347"/>
      <c r="F951" s="1347"/>
      <c r="G951" s="1347"/>
      <c r="H951" s="1347"/>
      <c r="I951" s="1347"/>
      <c r="J951" s="1347"/>
      <c r="K951" s="1347"/>
      <c r="L951" s="1347"/>
      <c r="M951" s="1347"/>
      <c r="N951" s="1347"/>
      <c r="O951" s="1347"/>
      <c r="P951" s="1347"/>
      <c r="Q951" s="1347"/>
      <c r="R951" s="1347"/>
      <c r="S951" s="592"/>
      <c r="T951" s="645"/>
      <c r="U951" s="591"/>
      <c r="V951" s="589"/>
      <c r="W951" s="592"/>
      <c r="X951" s="592"/>
      <c r="Y951" s="592"/>
      <c r="Z951" s="592"/>
    </row>
    <row r="952" spans="1:26" s="531" customFormat="1" ht="37.5" hidden="1">
      <c r="A952" s="735">
        <v>1</v>
      </c>
      <c r="B952" s="865" t="s">
        <v>1091</v>
      </c>
      <c r="C952" s="744" t="s">
        <v>221</v>
      </c>
      <c r="D952" s="789">
        <v>894.5</v>
      </c>
      <c r="E952" s="789">
        <v>749</v>
      </c>
      <c r="F952" s="789" t="s">
        <v>222</v>
      </c>
      <c r="G952" s="789">
        <f>(25*I952)*12*1.3</f>
        <v>390</v>
      </c>
      <c r="H952" s="744">
        <v>5</v>
      </c>
      <c r="I952" s="744">
        <v>1</v>
      </c>
      <c r="J952" s="744">
        <v>18</v>
      </c>
      <c r="K952" s="855" t="s">
        <v>33</v>
      </c>
      <c r="L952" s="740">
        <f t="shared" ref="L952:L964" si="117">M952+N952+O952+P952+Q952</f>
        <v>1090877.5900000001</v>
      </c>
      <c r="M952" s="585">
        <f>965250+96523.84</f>
        <v>1061773.8400000001</v>
      </c>
      <c r="N952" s="742">
        <v>29103.75</v>
      </c>
      <c r="O952" s="743"/>
      <c r="P952" s="742"/>
      <c r="Q952" s="586"/>
      <c r="R952" s="744">
        <f>M952/G952</f>
        <v>2722.4970256410256</v>
      </c>
      <c r="S952" s="791"/>
      <c r="T952" s="791"/>
      <c r="U952" s="791"/>
      <c r="V952" s="589"/>
      <c r="W952" s="791"/>
      <c r="X952" s="791"/>
      <c r="Y952" s="791"/>
      <c r="Z952" s="791"/>
    </row>
    <row r="953" spans="1:26" s="531" customFormat="1" ht="37.5" hidden="1">
      <c r="A953" s="735">
        <f>A952+1</f>
        <v>2</v>
      </c>
      <c r="B953" s="865" t="s">
        <v>1093</v>
      </c>
      <c r="C953" s="814" t="s">
        <v>217</v>
      </c>
      <c r="D953" s="789">
        <v>968</v>
      </c>
      <c r="E953" s="789">
        <v>569</v>
      </c>
      <c r="F953" s="789" t="s">
        <v>222</v>
      </c>
      <c r="G953" s="789">
        <f>(20*I953)*13*1.3</f>
        <v>1014</v>
      </c>
      <c r="H953" s="744">
        <v>2</v>
      </c>
      <c r="I953" s="744">
        <v>3</v>
      </c>
      <c r="J953" s="744">
        <v>22</v>
      </c>
      <c r="K953" s="855" t="s">
        <v>33</v>
      </c>
      <c r="L953" s="740">
        <f t="shared" si="117"/>
        <v>2547484.88</v>
      </c>
      <c r="M953" s="585">
        <v>2509650</v>
      </c>
      <c r="N953" s="742">
        <v>37834.879999999997</v>
      </c>
      <c r="O953" s="743"/>
      <c r="P953" s="742"/>
      <c r="Q953" s="586"/>
      <c r="R953" s="744">
        <f>M953/G953</f>
        <v>2475</v>
      </c>
      <c r="S953" s="791"/>
      <c r="T953" s="791"/>
      <c r="U953" s="791"/>
      <c r="V953" s="589"/>
      <c r="W953" s="791"/>
      <c r="X953" s="791"/>
      <c r="Y953" s="791"/>
      <c r="Z953" s="791"/>
    </row>
    <row r="954" spans="1:26" s="531" customFormat="1" ht="37.5" hidden="1">
      <c r="A954" s="735">
        <f t="shared" ref="A954:A967" si="118">A953+1</f>
        <v>3</v>
      </c>
      <c r="B954" s="785" t="s">
        <v>1094</v>
      </c>
      <c r="C954" s="744" t="s">
        <v>221</v>
      </c>
      <c r="D954" s="854">
        <v>4470.6000000000004</v>
      </c>
      <c r="E954" s="854">
        <v>4226</v>
      </c>
      <c r="F954" s="789" t="s">
        <v>222</v>
      </c>
      <c r="G954" s="854">
        <v>968</v>
      </c>
      <c r="H954" s="643">
        <v>2</v>
      </c>
      <c r="I954" s="643">
        <v>3</v>
      </c>
      <c r="J954" s="744">
        <v>18</v>
      </c>
      <c r="K954" s="855" t="s">
        <v>33</v>
      </c>
      <c r="L954" s="584">
        <f t="shared" si="117"/>
        <v>2737300.72</v>
      </c>
      <c r="M954" s="866">
        <v>2696848</v>
      </c>
      <c r="N954" s="742">
        <v>40452.720000000001</v>
      </c>
      <c r="O954" s="743"/>
      <c r="P954" s="742"/>
      <c r="Q954" s="586"/>
      <c r="R954" s="744">
        <f>M954/G954</f>
        <v>2786</v>
      </c>
      <c r="S954" s="793"/>
      <c r="T954" s="738"/>
      <c r="U954" s="791"/>
      <c r="V954" s="589"/>
      <c r="W954" s="791"/>
      <c r="X954" s="791"/>
      <c r="Y954" s="791"/>
      <c r="Z954" s="791"/>
    </row>
    <row r="955" spans="1:26" s="531" customFormat="1" ht="37.5" hidden="1">
      <c r="A955" s="735">
        <f t="shared" si="118"/>
        <v>4</v>
      </c>
      <c r="B955" s="785" t="s">
        <v>1095</v>
      </c>
      <c r="C955" s="744" t="s">
        <v>221</v>
      </c>
      <c r="D955" s="619">
        <v>4470.6000000000004</v>
      </c>
      <c r="E955" s="854">
        <v>4226</v>
      </c>
      <c r="F955" s="789" t="s">
        <v>222</v>
      </c>
      <c r="G955" s="854">
        <v>968</v>
      </c>
      <c r="H955" s="643">
        <v>2</v>
      </c>
      <c r="I955" s="643">
        <v>3</v>
      </c>
      <c r="J955" s="744">
        <v>18</v>
      </c>
      <c r="K955" s="792" t="s">
        <v>33</v>
      </c>
      <c r="L955" s="740">
        <f t="shared" si="117"/>
        <v>2723748.72</v>
      </c>
      <c r="M955" s="585">
        <v>2683296</v>
      </c>
      <c r="N955" s="742">
        <v>40452.720000000001</v>
      </c>
      <c r="O955" s="743"/>
      <c r="P955" s="742"/>
      <c r="Q955" s="586"/>
      <c r="R955" s="744">
        <f>M955/G955</f>
        <v>2772</v>
      </c>
      <c r="S955" s="791"/>
      <c r="T955" s="791"/>
      <c r="U955" s="791"/>
      <c r="V955" s="589"/>
      <c r="W955" s="791"/>
      <c r="X955" s="791"/>
      <c r="Y955" s="791"/>
      <c r="Z955" s="791"/>
    </row>
    <row r="956" spans="1:26" s="531" customFormat="1" ht="37.5" hidden="1">
      <c r="A956" s="735">
        <f t="shared" si="118"/>
        <v>5</v>
      </c>
      <c r="B956" s="785" t="s">
        <v>1096</v>
      </c>
      <c r="C956" s="744" t="s">
        <v>221</v>
      </c>
      <c r="D956" s="619">
        <v>588</v>
      </c>
      <c r="E956" s="854">
        <v>302</v>
      </c>
      <c r="F956" s="854" t="s">
        <v>222</v>
      </c>
      <c r="G956" s="854">
        <v>423</v>
      </c>
      <c r="H956" s="643">
        <v>3</v>
      </c>
      <c r="I956" s="643">
        <v>1</v>
      </c>
      <c r="J956" s="643">
        <v>11</v>
      </c>
      <c r="K956" s="792" t="s">
        <v>30</v>
      </c>
      <c r="L956" s="740">
        <f t="shared" si="117"/>
        <v>220634.7</v>
      </c>
      <c r="M956" s="741">
        <v>219978</v>
      </c>
      <c r="N956" s="742"/>
      <c r="O956" s="736">
        <v>656.7</v>
      </c>
      <c r="P956" s="742"/>
      <c r="Q956" s="586"/>
      <c r="R956" s="744">
        <f>M956/J956</f>
        <v>19998</v>
      </c>
      <c r="S956" s="793"/>
      <c r="T956" s="793"/>
      <c r="U956" s="791"/>
      <c r="V956" s="589"/>
      <c r="W956" s="791"/>
      <c r="X956" s="791"/>
      <c r="Y956" s="791"/>
      <c r="Z956" s="791"/>
    </row>
    <row r="957" spans="1:26" s="78" customFormat="1" hidden="1">
      <c r="A957" s="735">
        <f t="shared" si="118"/>
        <v>6</v>
      </c>
      <c r="B957" s="785" t="s">
        <v>1097</v>
      </c>
      <c r="C957" s="814" t="s">
        <v>217</v>
      </c>
      <c r="D957" s="619">
        <v>752.3</v>
      </c>
      <c r="E957" s="854">
        <v>641</v>
      </c>
      <c r="F957" s="789" t="s">
        <v>222</v>
      </c>
      <c r="G957" s="854">
        <v>720</v>
      </c>
      <c r="H957" s="643">
        <v>2</v>
      </c>
      <c r="I957" s="643">
        <v>2</v>
      </c>
      <c r="J957" s="643">
        <v>16</v>
      </c>
      <c r="K957" s="855" t="s">
        <v>33</v>
      </c>
      <c r="L957" s="740">
        <f t="shared" si="117"/>
        <v>1817865</v>
      </c>
      <c r="M957" s="585">
        <v>1791000</v>
      </c>
      <c r="N957" s="742">
        <v>26865</v>
      </c>
      <c r="O957" s="743"/>
      <c r="P957" s="742"/>
      <c r="Q957" s="586"/>
      <c r="R957" s="744">
        <f>M957/G957</f>
        <v>2487.5</v>
      </c>
      <c r="S957" s="793"/>
      <c r="T957" s="793"/>
      <c r="U957" s="709"/>
      <c r="V957" s="589"/>
      <c r="W957" s="709"/>
      <c r="X957" s="709"/>
      <c r="Y957" s="709"/>
      <c r="Z957" s="709"/>
    </row>
    <row r="958" spans="1:26" s="78" customFormat="1" ht="37.5" hidden="1">
      <c r="A958" s="735">
        <f t="shared" si="118"/>
        <v>7</v>
      </c>
      <c r="B958" s="867" t="s">
        <v>1098</v>
      </c>
      <c r="C958" s="814" t="s">
        <v>217</v>
      </c>
      <c r="D958" s="868">
        <v>2816</v>
      </c>
      <c r="E958" s="868">
        <v>598</v>
      </c>
      <c r="F958" s="789" t="s">
        <v>222</v>
      </c>
      <c r="G958" s="868">
        <v>614</v>
      </c>
      <c r="H958" s="869">
        <v>2</v>
      </c>
      <c r="I958" s="869">
        <v>2</v>
      </c>
      <c r="J958" s="869">
        <v>16</v>
      </c>
      <c r="K958" s="792" t="s">
        <v>30</v>
      </c>
      <c r="L958" s="740">
        <f t="shared" si="117"/>
        <v>320923.2</v>
      </c>
      <c r="M958" s="741">
        <v>319968</v>
      </c>
      <c r="N958" s="742"/>
      <c r="O958" s="736">
        <v>955.2</v>
      </c>
      <c r="P958" s="742"/>
      <c r="Q958" s="586"/>
      <c r="R958" s="744">
        <f>M958/J958</f>
        <v>19998</v>
      </c>
      <c r="S958" s="793"/>
      <c r="T958" s="793"/>
      <c r="U958" s="709"/>
      <c r="V958" s="589"/>
      <c r="W958" s="709"/>
      <c r="X958" s="709"/>
      <c r="Y958" s="709"/>
      <c r="Z958" s="709"/>
    </row>
    <row r="959" spans="1:26" s="78" customFormat="1" hidden="1">
      <c r="A959" s="735">
        <f t="shared" si="118"/>
        <v>8</v>
      </c>
      <c r="B959" s="867" t="s">
        <v>1099</v>
      </c>
      <c r="C959" s="814" t="s">
        <v>217</v>
      </c>
      <c r="D959" s="868">
        <v>2843</v>
      </c>
      <c r="E959" s="868">
        <v>604.6</v>
      </c>
      <c r="F959" s="789" t="s">
        <v>222</v>
      </c>
      <c r="G959" s="868">
        <v>620</v>
      </c>
      <c r="H959" s="869">
        <v>2</v>
      </c>
      <c r="I959" s="869">
        <v>2</v>
      </c>
      <c r="J959" s="869">
        <v>16</v>
      </c>
      <c r="K959" s="855" t="s">
        <v>33</v>
      </c>
      <c r="L959" s="740">
        <f t="shared" si="117"/>
        <v>1573095</v>
      </c>
      <c r="M959" s="585">
        <v>1542250</v>
      </c>
      <c r="N959" s="742">
        <v>30845</v>
      </c>
      <c r="O959" s="743"/>
      <c r="P959" s="742"/>
      <c r="Q959" s="586"/>
      <c r="R959" s="744">
        <f>M959/G959</f>
        <v>2487.5</v>
      </c>
      <c r="S959" s="793"/>
      <c r="T959" s="793"/>
      <c r="U959" s="709"/>
      <c r="V959" s="589"/>
      <c r="W959" s="709"/>
      <c r="X959" s="709"/>
      <c r="Y959" s="709"/>
      <c r="Z959" s="709"/>
    </row>
    <row r="960" spans="1:26" s="531" customFormat="1" ht="37.5" hidden="1">
      <c r="A960" s="735">
        <f t="shared" si="118"/>
        <v>9</v>
      </c>
      <c r="B960" s="867" t="s">
        <v>1100</v>
      </c>
      <c r="C960" s="744" t="s">
        <v>221</v>
      </c>
      <c r="D960" s="868">
        <v>3997.4</v>
      </c>
      <c r="E960" s="868">
        <v>607.4</v>
      </c>
      <c r="F960" s="789" t="s">
        <v>222</v>
      </c>
      <c r="G960" s="868">
        <v>896</v>
      </c>
      <c r="H960" s="869">
        <v>2</v>
      </c>
      <c r="I960" s="869">
        <v>3</v>
      </c>
      <c r="J960" s="869">
        <v>22</v>
      </c>
      <c r="K960" s="855" t="s">
        <v>33</v>
      </c>
      <c r="L960" s="740">
        <f t="shared" si="117"/>
        <v>2262232</v>
      </c>
      <c r="M960" s="585">
        <v>2228800</v>
      </c>
      <c r="N960" s="742">
        <v>33432</v>
      </c>
      <c r="O960" s="743"/>
      <c r="P960" s="742"/>
      <c r="Q960" s="586"/>
      <c r="R960" s="744">
        <f>M960/G960</f>
        <v>2487.5</v>
      </c>
      <c r="S960" s="793"/>
      <c r="T960" s="793"/>
      <c r="U960" s="791"/>
      <c r="V960" s="589"/>
      <c r="W960" s="791"/>
      <c r="X960" s="791"/>
      <c r="Y960" s="791"/>
      <c r="Z960" s="791"/>
    </row>
    <row r="961" spans="1:26" s="78" customFormat="1" ht="37.5" hidden="1">
      <c r="A961" s="735">
        <f t="shared" si="118"/>
        <v>10</v>
      </c>
      <c r="B961" s="785" t="s">
        <v>1101</v>
      </c>
      <c r="C961" s="814" t="s">
        <v>217</v>
      </c>
      <c r="D961" s="619">
        <v>804</v>
      </c>
      <c r="E961" s="854">
        <v>540</v>
      </c>
      <c r="F961" s="854" t="s">
        <v>222</v>
      </c>
      <c r="G961" s="854">
        <v>690</v>
      </c>
      <c r="H961" s="643">
        <v>2</v>
      </c>
      <c r="I961" s="643">
        <v>3</v>
      </c>
      <c r="J961" s="643">
        <v>16</v>
      </c>
      <c r="K961" s="855" t="s">
        <v>33</v>
      </c>
      <c r="L961" s="740">
        <f t="shared" si="117"/>
        <v>1750702.5</v>
      </c>
      <c r="M961" s="585">
        <v>1716375</v>
      </c>
      <c r="N961" s="742">
        <v>34327.5</v>
      </c>
      <c r="O961" s="743"/>
      <c r="P961" s="742"/>
      <c r="Q961" s="586"/>
      <c r="R961" s="744">
        <f>M961/G961</f>
        <v>2487.5</v>
      </c>
      <c r="S961" s="793"/>
      <c r="T961" s="793"/>
      <c r="U961" s="709"/>
      <c r="V961" s="589"/>
      <c r="W961" s="709"/>
      <c r="X961" s="709"/>
      <c r="Y961" s="709"/>
      <c r="Z961" s="709"/>
    </row>
    <row r="962" spans="1:26" s="531" customFormat="1" ht="37.5" hidden="1">
      <c r="A962" s="735">
        <f t="shared" si="118"/>
        <v>11</v>
      </c>
      <c r="B962" s="785" t="s">
        <v>1102</v>
      </c>
      <c r="C962" s="814" t="s">
        <v>217</v>
      </c>
      <c r="D962" s="619">
        <v>973</v>
      </c>
      <c r="E962" s="854">
        <v>270</v>
      </c>
      <c r="F962" s="854" t="s">
        <v>223</v>
      </c>
      <c r="G962" s="854">
        <v>473</v>
      </c>
      <c r="H962" s="643">
        <v>3</v>
      </c>
      <c r="I962" s="643">
        <v>1</v>
      </c>
      <c r="J962" s="643">
        <v>21</v>
      </c>
      <c r="K962" s="855" t="s">
        <v>33</v>
      </c>
      <c r="L962" s="740">
        <f t="shared" si="117"/>
        <v>1033300.39</v>
      </c>
      <c r="M962" s="741">
        <v>1030194</v>
      </c>
      <c r="N962" s="742"/>
      <c r="O962" s="736">
        <v>3106.39</v>
      </c>
      <c r="P962" s="742"/>
      <c r="Q962" s="586"/>
      <c r="R962" s="744">
        <f>M962/G962</f>
        <v>2178</v>
      </c>
      <c r="S962" s="793"/>
      <c r="T962" s="793"/>
      <c r="U962" s="791"/>
      <c r="V962" s="589"/>
      <c r="W962" s="791"/>
      <c r="X962" s="791"/>
      <c r="Y962" s="791"/>
      <c r="Z962" s="791"/>
    </row>
    <row r="963" spans="1:26" s="531" customFormat="1" ht="37.5" hidden="1">
      <c r="A963" s="735">
        <f t="shared" si="118"/>
        <v>12</v>
      </c>
      <c r="B963" s="785" t="s">
        <v>1103</v>
      </c>
      <c r="C963" s="744" t="s">
        <v>221</v>
      </c>
      <c r="D963" s="619">
        <v>7383</v>
      </c>
      <c r="E963" s="854">
        <v>3700</v>
      </c>
      <c r="F963" s="789" t="s">
        <v>222</v>
      </c>
      <c r="G963" s="854">
        <v>960</v>
      </c>
      <c r="H963" s="643">
        <v>3</v>
      </c>
      <c r="I963" s="643">
        <v>1</v>
      </c>
      <c r="J963" s="744">
        <v>45</v>
      </c>
      <c r="K963" s="590" t="s">
        <v>224</v>
      </c>
      <c r="L963" s="740">
        <f t="shared" si="117"/>
        <v>926775</v>
      </c>
      <c r="M963" s="741">
        <v>899910</v>
      </c>
      <c r="N963" s="742">
        <v>26865</v>
      </c>
      <c r="O963" s="743"/>
      <c r="P963" s="742"/>
      <c r="Q963" s="586"/>
      <c r="R963" s="744">
        <f>M963/J963</f>
        <v>19998</v>
      </c>
      <c r="S963" s="793"/>
      <c r="T963" s="793"/>
      <c r="U963" s="791"/>
      <c r="V963" s="589"/>
      <c r="W963" s="791"/>
      <c r="X963" s="791"/>
      <c r="Y963" s="791"/>
      <c r="Z963" s="791"/>
    </row>
    <row r="964" spans="1:26" s="531" customFormat="1" ht="37.5" hidden="1">
      <c r="A964" s="735">
        <f t="shared" si="118"/>
        <v>13</v>
      </c>
      <c r="B964" s="785" t="s">
        <v>1104</v>
      </c>
      <c r="C964" s="744" t="s">
        <v>221</v>
      </c>
      <c r="D964" s="619">
        <v>804</v>
      </c>
      <c r="E964" s="854">
        <v>798</v>
      </c>
      <c r="F964" s="854" t="s">
        <v>222</v>
      </c>
      <c r="G964" s="854">
        <v>720</v>
      </c>
      <c r="H964" s="643">
        <v>2</v>
      </c>
      <c r="I964" s="643">
        <v>2</v>
      </c>
      <c r="J964" s="643">
        <v>12</v>
      </c>
      <c r="K964" s="792" t="s">
        <v>30</v>
      </c>
      <c r="L964" s="740">
        <f t="shared" si="117"/>
        <v>240692.4</v>
      </c>
      <c r="M964" s="741">
        <v>239976</v>
      </c>
      <c r="N964" s="742"/>
      <c r="O964" s="736">
        <v>716.4</v>
      </c>
      <c r="P964" s="742"/>
      <c r="Q964" s="586"/>
      <c r="R964" s="744">
        <f>M964/J964</f>
        <v>19998</v>
      </c>
      <c r="S964" s="870" t="s">
        <v>3653</v>
      </c>
      <c r="T964" s="793"/>
      <c r="U964" s="586"/>
      <c r="V964" s="589"/>
      <c r="W964" s="791"/>
      <c r="X964" s="791"/>
      <c r="Y964" s="791"/>
      <c r="Z964" s="791"/>
    </row>
    <row r="965" spans="1:26" s="531" customFormat="1" hidden="1">
      <c r="A965" s="735">
        <f t="shared" si="118"/>
        <v>14</v>
      </c>
      <c r="B965" s="785" t="s">
        <v>1105</v>
      </c>
      <c r="C965" s="744" t="s">
        <v>221</v>
      </c>
      <c r="D965" s="868">
        <f>E965*2.9</f>
        <v>1812.5</v>
      </c>
      <c r="E965" s="854">
        <v>625</v>
      </c>
      <c r="F965" s="854" t="s">
        <v>222</v>
      </c>
      <c r="G965" s="854">
        <v>620</v>
      </c>
      <c r="H965" s="643">
        <v>2</v>
      </c>
      <c r="I965" s="643">
        <v>2</v>
      </c>
      <c r="J965" s="643">
        <v>8</v>
      </c>
      <c r="K965" s="855" t="s">
        <v>33</v>
      </c>
      <c r="L965" s="584">
        <f>SUM(M965:Q965)</f>
        <v>1065501.71</v>
      </c>
      <c r="M965" s="585">
        <v>1034656.71</v>
      </c>
      <c r="N965" s="586">
        <v>30845</v>
      </c>
      <c r="O965" s="587"/>
      <c r="P965" s="586"/>
      <c r="Q965" s="586"/>
      <c r="R965" s="744">
        <f>M965/G965</f>
        <v>1668.8011451612902</v>
      </c>
      <c r="S965" s="793"/>
      <c r="T965" s="793"/>
      <c r="U965" s="791"/>
      <c r="V965" s="589"/>
      <c r="W965" s="791"/>
      <c r="X965" s="791"/>
      <c r="Y965" s="791"/>
      <c r="Z965" s="791"/>
    </row>
    <row r="966" spans="1:26" s="542" customFormat="1" ht="37.5" hidden="1">
      <c r="A966" s="735">
        <f t="shared" si="118"/>
        <v>15</v>
      </c>
      <c r="B966" s="592" t="s">
        <v>1106</v>
      </c>
      <c r="C966" s="593" t="s">
        <v>221</v>
      </c>
      <c r="D966" s="868">
        <f>E966*3</f>
        <v>1791</v>
      </c>
      <c r="E966" s="646">
        <v>597</v>
      </c>
      <c r="F966" s="854" t="s">
        <v>223</v>
      </c>
      <c r="G966" s="646">
        <v>1040</v>
      </c>
      <c r="H966" s="582">
        <v>5</v>
      </c>
      <c r="I966" s="582">
        <v>4</v>
      </c>
      <c r="J966" s="582">
        <v>60</v>
      </c>
      <c r="K966" s="855" t="s">
        <v>33</v>
      </c>
      <c r="L966" s="584">
        <f>SUM(M966:Q966)</f>
        <v>2271949.6800000002</v>
      </c>
      <c r="M966" s="866">
        <v>2265120</v>
      </c>
      <c r="N966" s="586"/>
      <c r="O966" s="736">
        <v>6829.68</v>
      </c>
      <c r="P966" s="597"/>
      <c r="Q966" s="586"/>
      <c r="R966" s="744">
        <f>M966/G966</f>
        <v>2178</v>
      </c>
      <c r="S966" s="793"/>
      <c r="T966" s="738"/>
      <c r="U966" s="871"/>
      <c r="V966" s="589"/>
      <c r="W966" s="871"/>
      <c r="X966" s="871"/>
      <c r="Y966" s="871"/>
      <c r="Z966" s="871"/>
    </row>
    <row r="967" spans="1:26" s="542" customFormat="1" ht="37.5" hidden="1">
      <c r="A967" s="735">
        <f t="shared" si="118"/>
        <v>16</v>
      </c>
      <c r="B967" s="592" t="s">
        <v>3667</v>
      </c>
      <c r="C967" s="593" t="s">
        <v>221</v>
      </c>
      <c r="D967" s="868">
        <v>10836</v>
      </c>
      <c r="E967" s="646">
        <v>1192</v>
      </c>
      <c r="F967" s="854" t="s">
        <v>227</v>
      </c>
      <c r="G967" s="646">
        <v>1200</v>
      </c>
      <c r="H967" s="582">
        <v>4</v>
      </c>
      <c r="I967" s="582">
        <v>4</v>
      </c>
      <c r="J967" s="582">
        <v>48</v>
      </c>
      <c r="K967" s="855" t="s">
        <v>240</v>
      </c>
      <c r="L967" s="584">
        <f>M967+N967+O967+Q967</f>
        <v>2677404.8400000003</v>
      </c>
      <c r="M967" s="866">
        <v>2626800</v>
      </c>
      <c r="N967" s="586">
        <v>17364.599999999999</v>
      </c>
      <c r="O967" s="736"/>
      <c r="P967" s="597"/>
      <c r="Q967" s="586">
        <v>33240.239999999998</v>
      </c>
      <c r="R967" s="744">
        <f>M967/G967</f>
        <v>2189</v>
      </c>
      <c r="S967" s="793"/>
      <c r="T967" s="738"/>
      <c r="U967" s="871"/>
      <c r="V967" s="589"/>
      <c r="W967" s="871"/>
      <c r="X967" s="871"/>
      <c r="Y967" s="871"/>
      <c r="Z967" s="871"/>
    </row>
    <row r="968" spans="1:26" s="28" customFormat="1" hidden="1">
      <c r="A968" s="1349" t="s">
        <v>134</v>
      </c>
      <c r="B968" s="1349"/>
      <c r="C968" s="593" t="s">
        <v>28</v>
      </c>
      <c r="D968" s="646">
        <f>SUM(D952:D967)</f>
        <v>46203.9</v>
      </c>
      <c r="E968" s="646">
        <f>SUM(E952:E967)</f>
        <v>20245</v>
      </c>
      <c r="F968" s="646" t="s">
        <v>28</v>
      </c>
      <c r="G968" s="646">
        <f>SUM(G952:G967)</f>
        <v>12316</v>
      </c>
      <c r="H968" s="582" t="s">
        <v>28</v>
      </c>
      <c r="I968" s="582" t="s">
        <v>28</v>
      </c>
      <c r="J968" s="582">
        <f>SUM(J952:J967)</f>
        <v>367</v>
      </c>
      <c r="K968" s="590" t="s">
        <v>28</v>
      </c>
      <c r="L968" s="584">
        <f>SUM(L952:L967)</f>
        <v>25260488.329999998</v>
      </c>
      <c r="M968" s="585">
        <f>SUM(M952:M967)</f>
        <v>24866595.550000001</v>
      </c>
      <c r="N968" s="586">
        <f>SUM(N952:N967)</f>
        <v>348388.17</v>
      </c>
      <c r="O968" s="587">
        <f>SUM(O952:O967)</f>
        <v>12264.369999999999</v>
      </c>
      <c r="P968" s="586"/>
      <c r="Q968" s="586">
        <f>SUM(Q952:Q967)</f>
        <v>33240.239999999998</v>
      </c>
      <c r="R968" s="582" t="s">
        <v>28</v>
      </c>
      <c r="S968" s="586">
        <f>L968-M968-N968-O968-P968-Q968</f>
        <v>-2.5102053768932819E-9</v>
      </c>
      <c r="T968" s="645"/>
      <c r="U968" s="701"/>
      <c r="V968" s="589"/>
      <c r="W968" s="592"/>
      <c r="X968" s="592"/>
      <c r="Y968" s="592"/>
      <c r="Z968" s="592"/>
    </row>
    <row r="969" spans="1:26" s="28" customFormat="1" hidden="1">
      <c r="A969" s="1347" t="s">
        <v>84</v>
      </c>
      <c r="B969" s="1347"/>
      <c r="C969" s="1347"/>
      <c r="D969" s="1347"/>
      <c r="E969" s="1347"/>
      <c r="F969" s="1347"/>
      <c r="G969" s="1347"/>
      <c r="H969" s="1347"/>
      <c r="I969" s="1347"/>
      <c r="J969" s="1347"/>
      <c r="K969" s="1347"/>
      <c r="L969" s="1347"/>
      <c r="M969" s="1347"/>
      <c r="N969" s="1347"/>
      <c r="O969" s="1347"/>
      <c r="P969" s="1347"/>
      <c r="Q969" s="1347"/>
      <c r="R969" s="1347"/>
      <c r="S969" s="592"/>
      <c r="T969" s="645"/>
      <c r="U969" s="591"/>
      <c r="V969" s="589"/>
      <c r="W969" s="592"/>
      <c r="X969" s="592"/>
      <c r="Y969" s="592"/>
      <c r="Z969" s="592"/>
    </row>
    <row r="970" spans="1:26" s="28" customFormat="1" hidden="1">
      <c r="A970" s="667">
        <v>1</v>
      </c>
      <c r="B970" s="592" t="s">
        <v>1107</v>
      </c>
      <c r="C970" s="593" t="s">
        <v>221</v>
      </c>
      <c r="D970" s="619">
        <v>2864</v>
      </c>
      <c r="E970" s="619">
        <v>582</v>
      </c>
      <c r="F970" s="646" t="s">
        <v>222</v>
      </c>
      <c r="G970" s="619">
        <v>936</v>
      </c>
      <c r="H970" s="599">
        <v>2</v>
      </c>
      <c r="I970" s="599">
        <v>3</v>
      </c>
      <c r="J970" s="599">
        <v>12</v>
      </c>
      <c r="K970" s="590" t="s">
        <v>33</v>
      </c>
      <c r="L970" s="740">
        <f t="shared" ref="L970:L977" si="119">M970+N970+O970+P970+Q970</f>
        <v>2528875.44</v>
      </c>
      <c r="M970" s="741">
        <v>2489760</v>
      </c>
      <c r="N970" s="742">
        <v>39115.440000000002</v>
      </c>
      <c r="O970" s="743"/>
      <c r="P970" s="742"/>
      <c r="Q970" s="586"/>
      <c r="R970" s="744">
        <f>M970/G970</f>
        <v>2660</v>
      </c>
      <c r="S970" s="592"/>
      <c r="T970" s="645"/>
      <c r="U970" s="591"/>
      <c r="V970" s="589"/>
      <c r="W970" s="592"/>
      <c r="X970" s="592"/>
      <c r="Y970" s="592"/>
      <c r="Z970" s="592"/>
    </row>
    <row r="971" spans="1:26" s="28" customFormat="1" ht="37.5" hidden="1">
      <c r="A971" s="590">
        <f>A970+1</f>
        <v>2</v>
      </c>
      <c r="B971" s="592" t="s">
        <v>1108</v>
      </c>
      <c r="C971" s="744" t="s">
        <v>221</v>
      </c>
      <c r="D971" s="646">
        <f>E971*2.9</f>
        <v>1705.2</v>
      </c>
      <c r="E971" s="646">
        <v>588</v>
      </c>
      <c r="F971" s="646" t="s">
        <v>228</v>
      </c>
      <c r="G971" s="646">
        <v>468</v>
      </c>
      <c r="H971" s="582">
        <v>2</v>
      </c>
      <c r="I971" s="582">
        <v>2</v>
      </c>
      <c r="J971" s="582">
        <v>12</v>
      </c>
      <c r="K971" s="792" t="s">
        <v>30</v>
      </c>
      <c r="L971" s="740">
        <f t="shared" si="119"/>
        <v>118818</v>
      </c>
      <c r="M971" s="741">
        <v>118101.6</v>
      </c>
      <c r="N971" s="742"/>
      <c r="O971" s="736">
        <v>716.4</v>
      </c>
      <c r="P971" s="742"/>
      <c r="Q971" s="586"/>
      <c r="R971" s="744">
        <f t="shared" ref="R971:R977" si="120">M971/J971</f>
        <v>9841.8000000000011</v>
      </c>
      <c r="S971" s="592"/>
      <c r="T971" s="645"/>
      <c r="U971" s="586"/>
      <c r="V971" s="589"/>
      <c r="W971" s="592"/>
      <c r="X971" s="592"/>
      <c r="Y971" s="592"/>
      <c r="Z971" s="592"/>
    </row>
    <row r="972" spans="1:26" s="28" customFormat="1" hidden="1">
      <c r="A972" s="590">
        <f t="shared" ref="A972:A977" si="121">A971+1</f>
        <v>3</v>
      </c>
      <c r="B972" s="592" t="s">
        <v>1109</v>
      </c>
      <c r="C972" s="814" t="s">
        <v>221</v>
      </c>
      <c r="D972" s="646">
        <f>E972*2.9</f>
        <v>1992.3</v>
      </c>
      <c r="E972" s="646">
        <v>687</v>
      </c>
      <c r="F972" s="646" t="s">
        <v>228</v>
      </c>
      <c r="G972" s="646">
        <v>770</v>
      </c>
      <c r="H972" s="582">
        <v>2</v>
      </c>
      <c r="I972" s="582">
        <v>3</v>
      </c>
      <c r="J972" s="582">
        <v>22</v>
      </c>
      <c r="K972" s="590" t="s">
        <v>281</v>
      </c>
      <c r="L972" s="584">
        <f t="shared" si="119"/>
        <v>391286.2</v>
      </c>
      <c r="M972" s="596">
        <v>365018.2</v>
      </c>
      <c r="N972" s="597">
        <v>26268</v>
      </c>
      <c r="O972" s="587"/>
      <c r="P972" s="597"/>
      <c r="Q972" s="586"/>
      <c r="R972" s="582">
        <f t="shared" si="120"/>
        <v>16591.736363636363</v>
      </c>
      <c r="S972" s="592"/>
      <c r="T972" s="738"/>
      <c r="U972" s="589"/>
      <c r="V972" s="589"/>
      <c r="W972" s="592"/>
      <c r="X972" s="592"/>
      <c r="Y972" s="592"/>
      <c r="Z972" s="592"/>
    </row>
    <row r="973" spans="1:26" s="28" customFormat="1" hidden="1">
      <c r="A973" s="590">
        <f t="shared" si="121"/>
        <v>4</v>
      </c>
      <c r="B973" s="592" t="s">
        <v>1110</v>
      </c>
      <c r="C973" s="744" t="s">
        <v>221</v>
      </c>
      <c r="D973" s="646">
        <f>E973*2.9</f>
        <v>2157.6</v>
      </c>
      <c r="E973" s="646">
        <v>744</v>
      </c>
      <c r="F973" s="646" t="s">
        <v>228</v>
      </c>
      <c r="G973" s="646">
        <v>802</v>
      </c>
      <c r="H973" s="582">
        <v>2</v>
      </c>
      <c r="I973" s="582">
        <v>3</v>
      </c>
      <c r="J973" s="582">
        <v>22</v>
      </c>
      <c r="K973" s="590" t="s">
        <v>238</v>
      </c>
      <c r="L973" s="584">
        <f t="shared" si="119"/>
        <v>394929.97</v>
      </c>
      <c r="M973" s="741">
        <v>365378.47</v>
      </c>
      <c r="N973" s="586">
        <v>29551.5</v>
      </c>
      <c r="O973" s="598"/>
      <c r="P973" s="597"/>
      <c r="Q973" s="586"/>
      <c r="R973" s="599">
        <f t="shared" si="120"/>
        <v>16608.11227272727</v>
      </c>
      <c r="S973" s="592"/>
      <c r="T973" s="645"/>
      <c r="U973" s="591"/>
      <c r="V973" s="589"/>
      <c r="W973" s="592"/>
      <c r="X973" s="592"/>
      <c r="Y973" s="592"/>
      <c r="Z973" s="592"/>
    </row>
    <row r="974" spans="1:26" s="78" customFormat="1" hidden="1">
      <c r="A974" s="590">
        <f t="shared" si="121"/>
        <v>5</v>
      </c>
      <c r="B974" s="592" t="s">
        <v>1111</v>
      </c>
      <c r="C974" s="744" t="s">
        <v>217</v>
      </c>
      <c r="D974" s="646">
        <f>E974*2.9</f>
        <v>2314.1999999999998</v>
      </c>
      <c r="E974" s="646">
        <v>798</v>
      </c>
      <c r="F974" s="646" t="s">
        <v>228</v>
      </c>
      <c r="G974" s="646">
        <v>702</v>
      </c>
      <c r="H974" s="582">
        <v>2</v>
      </c>
      <c r="I974" s="582">
        <v>2</v>
      </c>
      <c r="J974" s="582">
        <v>20</v>
      </c>
      <c r="K974" s="590" t="s">
        <v>224</v>
      </c>
      <c r="L974" s="584">
        <f t="shared" si="119"/>
        <v>407860</v>
      </c>
      <c r="M974" s="741">
        <v>380000</v>
      </c>
      <c r="N974" s="742">
        <v>27860</v>
      </c>
      <c r="O974" s="743"/>
      <c r="P974" s="742"/>
      <c r="Q974" s="586"/>
      <c r="R974" s="744">
        <f t="shared" si="120"/>
        <v>19000</v>
      </c>
      <c r="S974" s="709"/>
      <c r="T974" s="709"/>
      <c r="U974" s="709"/>
      <c r="V974" s="589"/>
      <c r="W974" s="709"/>
      <c r="X974" s="709"/>
      <c r="Y974" s="709"/>
      <c r="Z974" s="709"/>
    </row>
    <row r="975" spans="1:26" s="78" customFormat="1" ht="37.5" hidden="1">
      <c r="A975" s="590">
        <f t="shared" si="121"/>
        <v>6</v>
      </c>
      <c r="B975" s="592" t="s">
        <v>3012</v>
      </c>
      <c r="C975" s="744" t="s">
        <v>221</v>
      </c>
      <c r="D975" s="646">
        <v>2354.7999999999997</v>
      </c>
      <c r="E975" s="646">
        <v>812</v>
      </c>
      <c r="F975" s="646" t="s">
        <v>228</v>
      </c>
      <c r="G975" s="646">
        <v>718</v>
      </c>
      <c r="H975" s="582">
        <v>2</v>
      </c>
      <c r="I975" s="582">
        <v>3</v>
      </c>
      <c r="J975" s="582">
        <v>18</v>
      </c>
      <c r="K975" s="590" t="s">
        <v>30</v>
      </c>
      <c r="L975" s="584">
        <f t="shared" si="119"/>
        <v>526865.13</v>
      </c>
      <c r="M975" s="741">
        <v>519750</v>
      </c>
      <c r="N975" s="753"/>
      <c r="O975" s="736">
        <v>655.38</v>
      </c>
      <c r="P975" s="742"/>
      <c r="Q975" s="586">
        <v>6459.75</v>
      </c>
      <c r="R975" s="744">
        <f t="shared" si="120"/>
        <v>28875</v>
      </c>
      <c r="S975" s="709"/>
      <c r="T975" s="709"/>
      <c r="U975" s="709"/>
      <c r="V975" s="589"/>
      <c r="W975" s="709"/>
      <c r="X975" s="709"/>
      <c r="Y975" s="709"/>
      <c r="Z975" s="709"/>
    </row>
    <row r="976" spans="1:26" s="78" customFormat="1" hidden="1">
      <c r="A976" s="590">
        <f t="shared" si="121"/>
        <v>7</v>
      </c>
      <c r="B976" s="592" t="s">
        <v>3014</v>
      </c>
      <c r="C976" s="744" t="s">
        <v>221</v>
      </c>
      <c r="D976" s="646">
        <v>2903.5800000000004</v>
      </c>
      <c r="E976" s="646">
        <v>550</v>
      </c>
      <c r="F976" s="646" t="s">
        <v>228</v>
      </c>
      <c r="G976" s="646">
        <v>629.10900000000015</v>
      </c>
      <c r="H976" s="582">
        <v>2</v>
      </c>
      <c r="I976" s="582">
        <v>1</v>
      </c>
      <c r="J976" s="582">
        <v>18</v>
      </c>
      <c r="K976" s="590" t="s">
        <v>224</v>
      </c>
      <c r="L976" s="584">
        <f t="shared" si="119"/>
        <v>405008.00999999995</v>
      </c>
      <c r="M976" s="741">
        <v>390060</v>
      </c>
      <c r="N976" s="742">
        <v>12359.16</v>
      </c>
      <c r="O976" s="743"/>
      <c r="P976" s="742"/>
      <c r="Q976" s="586">
        <v>2588.85</v>
      </c>
      <c r="R976" s="744">
        <f t="shared" si="120"/>
        <v>21670</v>
      </c>
      <c r="S976" s="709"/>
      <c r="T976" s="709"/>
      <c r="U976" s="709"/>
      <c r="V976" s="589"/>
      <c r="W976" s="709"/>
      <c r="X976" s="709"/>
      <c r="Y976" s="709"/>
      <c r="Z976" s="709"/>
    </row>
    <row r="977" spans="1:26" s="78" customFormat="1" ht="37.5" hidden="1">
      <c r="A977" s="590">
        <f t="shared" si="121"/>
        <v>8</v>
      </c>
      <c r="B977" s="592" t="s">
        <v>3668</v>
      </c>
      <c r="C977" s="744" t="s">
        <v>221</v>
      </c>
      <c r="D977" s="646">
        <v>4503.4199999999992</v>
      </c>
      <c r="E977" s="646">
        <v>700</v>
      </c>
      <c r="F977" s="646" t="s">
        <v>228</v>
      </c>
      <c r="G977" s="646">
        <v>650.49399999999991</v>
      </c>
      <c r="H977" s="582">
        <v>3</v>
      </c>
      <c r="I977" s="582">
        <v>1</v>
      </c>
      <c r="J977" s="582">
        <v>74</v>
      </c>
      <c r="K977" s="590" t="s">
        <v>3669</v>
      </c>
      <c r="L977" s="584">
        <f t="shared" si="119"/>
        <v>1238456.71</v>
      </c>
      <c r="M977" s="741">
        <v>1221400</v>
      </c>
      <c r="N977" s="742">
        <v>11214.72</v>
      </c>
      <c r="O977" s="872"/>
      <c r="P977" s="742"/>
      <c r="Q977" s="586">
        <v>5841.99</v>
      </c>
      <c r="R977" s="744">
        <f t="shared" si="120"/>
        <v>16505.405405405407</v>
      </c>
      <c r="S977" s="709"/>
      <c r="T977" s="709"/>
      <c r="U977" s="709"/>
      <c r="V977" s="589"/>
      <c r="W977" s="709"/>
      <c r="X977" s="709"/>
      <c r="Y977" s="709"/>
      <c r="Z977" s="709"/>
    </row>
    <row r="978" spans="1:26" s="28" customFormat="1" hidden="1">
      <c r="A978" s="1349" t="s">
        <v>135</v>
      </c>
      <c r="B978" s="1349"/>
      <c r="C978" s="593" t="s">
        <v>28</v>
      </c>
      <c r="D978" s="646">
        <f>SUM(D970:D977)</f>
        <v>20795.099999999999</v>
      </c>
      <c r="E978" s="646">
        <f>SUM(E970:E977)</f>
        <v>5461</v>
      </c>
      <c r="F978" s="646" t="s">
        <v>28</v>
      </c>
      <c r="G978" s="646">
        <f>SUM(G970:G977)</f>
        <v>5675.6030000000001</v>
      </c>
      <c r="H978" s="582" t="s">
        <v>28</v>
      </c>
      <c r="I978" s="582" t="s">
        <v>28</v>
      </c>
      <c r="J978" s="582">
        <f>SUM(J970:J977)</f>
        <v>198</v>
      </c>
      <c r="K978" s="590" t="s">
        <v>28</v>
      </c>
      <c r="L978" s="584">
        <f>SUM(L970:L977)</f>
        <v>6012099.46</v>
      </c>
      <c r="M978" s="585">
        <f>SUM(M970:M977)</f>
        <v>5849468.2700000005</v>
      </c>
      <c r="N978" s="586">
        <f>SUM(N970:N977)</f>
        <v>146368.82</v>
      </c>
      <c r="O978" s="587">
        <f>SUM(O970:O977)</f>
        <v>1371.78</v>
      </c>
      <c r="P978" s="586"/>
      <c r="Q978" s="586">
        <f>SUM(Q970:Q977)</f>
        <v>14890.59</v>
      </c>
      <c r="R978" s="582" t="s">
        <v>28</v>
      </c>
      <c r="S978" s="586">
        <f>L978-M978-N978-O978-P978-Q978</f>
        <v>-5.2932591643184423E-10</v>
      </c>
      <c r="T978" s="645"/>
      <c r="U978" s="701"/>
      <c r="V978" s="589"/>
      <c r="W978" s="592"/>
      <c r="X978" s="592"/>
      <c r="Y978" s="592"/>
      <c r="Z978" s="592"/>
    </row>
    <row r="979" spans="1:26" s="28" customFormat="1" hidden="1">
      <c r="A979" s="1347" t="s">
        <v>85</v>
      </c>
      <c r="B979" s="1347"/>
      <c r="C979" s="1347"/>
      <c r="D979" s="1347"/>
      <c r="E979" s="1347"/>
      <c r="F979" s="1347"/>
      <c r="G979" s="1347"/>
      <c r="H979" s="1347"/>
      <c r="I979" s="1347"/>
      <c r="J979" s="1347"/>
      <c r="K979" s="1347"/>
      <c r="L979" s="1347"/>
      <c r="M979" s="1347"/>
      <c r="N979" s="1347"/>
      <c r="O979" s="1347"/>
      <c r="P979" s="1347"/>
      <c r="Q979" s="1347"/>
      <c r="R979" s="1347"/>
      <c r="S979" s="592"/>
      <c r="T979" s="645"/>
      <c r="U979" s="591"/>
      <c r="V979" s="589"/>
      <c r="W979" s="592"/>
      <c r="X979" s="592"/>
      <c r="Y979" s="592"/>
      <c r="Z979" s="592"/>
    </row>
    <row r="980" spans="1:26" s="530" customFormat="1" ht="37.5" hidden="1">
      <c r="A980" s="792">
        <v>1</v>
      </c>
      <c r="B980" s="788" t="s">
        <v>1112</v>
      </c>
      <c r="C980" s="744" t="s">
        <v>221</v>
      </c>
      <c r="D980" s="789">
        <v>6260</v>
      </c>
      <c r="E980" s="789">
        <v>465</v>
      </c>
      <c r="F980" s="789" t="s">
        <v>222</v>
      </c>
      <c r="G980" s="789">
        <v>997</v>
      </c>
      <c r="H980" s="744">
        <v>3</v>
      </c>
      <c r="I980" s="744">
        <v>3</v>
      </c>
      <c r="J980" s="744">
        <v>27</v>
      </c>
      <c r="K980" s="792" t="s">
        <v>260</v>
      </c>
      <c r="L980" s="740">
        <f t="shared" ref="L980:L990" si="122">M980+N980+O980+P980+Q980</f>
        <v>2527208.56</v>
      </c>
      <c r="M980" s="741">
        <v>2490007.5</v>
      </c>
      <c r="N980" s="742">
        <v>37201.06</v>
      </c>
      <c r="O980" s="743"/>
      <c r="P980" s="742"/>
      <c r="Q980" s="586"/>
      <c r="R980" s="744">
        <f t="shared" ref="R980:R990" si="123">M980/G980</f>
        <v>2497.5</v>
      </c>
      <c r="S980" s="788"/>
      <c r="T980" s="788"/>
      <c r="U980" s="791"/>
      <c r="V980" s="589"/>
      <c r="W980" s="788"/>
      <c r="X980" s="788"/>
      <c r="Y980" s="788"/>
      <c r="Z980" s="788"/>
    </row>
    <row r="981" spans="1:26" s="530" customFormat="1" hidden="1">
      <c r="A981" s="792">
        <f>A980+1</f>
        <v>2</v>
      </c>
      <c r="B981" s="788" t="s">
        <v>1113</v>
      </c>
      <c r="C981" s="744" t="s">
        <v>221</v>
      </c>
      <c r="D981" s="789">
        <v>4099</v>
      </c>
      <c r="E981" s="789">
        <v>381.6</v>
      </c>
      <c r="F981" s="789" t="s">
        <v>227</v>
      </c>
      <c r="G981" s="789">
        <v>936</v>
      </c>
      <c r="H981" s="744">
        <v>2</v>
      </c>
      <c r="I981" s="744">
        <v>3</v>
      </c>
      <c r="J981" s="744">
        <v>22</v>
      </c>
      <c r="K981" s="792" t="s">
        <v>261</v>
      </c>
      <c r="L981" s="740">
        <f t="shared" si="122"/>
        <v>3588633.3600000003</v>
      </c>
      <c r="M981" s="741">
        <v>3553243.2</v>
      </c>
      <c r="N981" s="742">
        <v>35390.160000000003</v>
      </c>
      <c r="O981" s="743"/>
      <c r="P981" s="742"/>
      <c r="Q981" s="586"/>
      <c r="R981" s="582">
        <f t="shared" si="123"/>
        <v>3796.2000000000003</v>
      </c>
      <c r="S981" s="788"/>
      <c r="T981" s="788"/>
      <c r="U981" s="791"/>
      <c r="V981" s="589"/>
      <c r="W981" s="788"/>
      <c r="X981" s="788"/>
      <c r="Y981" s="788"/>
      <c r="Z981" s="788"/>
    </row>
    <row r="982" spans="1:26" s="530" customFormat="1" hidden="1">
      <c r="A982" s="792">
        <f t="shared" ref="A982:A990" si="124">A981+1</f>
        <v>3</v>
      </c>
      <c r="B982" s="788" t="s">
        <v>1114</v>
      </c>
      <c r="C982" s="744" t="s">
        <v>221</v>
      </c>
      <c r="D982" s="789">
        <v>7386</v>
      </c>
      <c r="E982" s="789">
        <v>1185</v>
      </c>
      <c r="F982" s="789" t="s">
        <v>227</v>
      </c>
      <c r="G982" s="789">
        <v>592</v>
      </c>
      <c r="H982" s="744">
        <v>4</v>
      </c>
      <c r="I982" s="744">
        <v>2</v>
      </c>
      <c r="J982" s="744">
        <v>24</v>
      </c>
      <c r="K982" s="792" t="s">
        <v>33</v>
      </c>
      <c r="L982" s="740">
        <f t="shared" si="122"/>
        <v>1304985.06</v>
      </c>
      <c r="M982" s="741">
        <v>1301097.6000000001</v>
      </c>
      <c r="N982" s="742"/>
      <c r="O982" s="736">
        <v>3887.46</v>
      </c>
      <c r="P982" s="742"/>
      <c r="Q982" s="586"/>
      <c r="R982" s="744">
        <f t="shared" si="123"/>
        <v>2197.8000000000002</v>
      </c>
      <c r="S982" s="788"/>
      <c r="T982" s="788"/>
      <c r="U982" s="791"/>
      <c r="V982" s="589"/>
      <c r="W982" s="788"/>
      <c r="X982" s="788"/>
      <c r="Y982" s="788"/>
      <c r="Z982" s="788"/>
    </row>
    <row r="983" spans="1:26" s="530" customFormat="1" hidden="1">
      <c r="A983" s="792">
        <f t="shared" si="124"/>
        <v>4</v>
      </c>
      <c r="B983" s="788" t="s">
        <v>1115</v>
      </c>
      <c r="C983" s="744" t="s">
        <v>221</v>
      </c>
      <c r="D983" s="789">
        <v>2893</v>
      </c>
      <c r="E983" s="789">
        <v>624</v>
      </c>
      <c r="F983" s="789" t="s">
        <v>222</v>
      </c>
      <c r="G983" s="789">
        <v>650</v>
      </c>
      <c r="H983" s="744">
        <v>2</v>
      </c>
      <c r="I983" s="744">
        <v>2</v>
      </c>
      <c r="J983" s="744">
        <v>16</v>
      </c>
      <c r="K983" s="792" t="s">
        <v>33</v>
      </c>
      <c r="L983" s="740">
        <f t="shared" si="122"/>
        <v>1641128.12</v>
      </c>
      <c r="M983" s="741">
        <v>1616875</v>
      </c>
      <c r="N983" s="742">
        <v>24253.119999999999</v>
      </c>
      <c r="O983" s="743"/>
      <c r="P983" s="742"/>
      <c r="Q983" s="586"/>
      <c r="R983" s="744">
        <f t="shared" si="123"/>
        <v>2487.5</v>
      </c>
      <c r="S983" s="788"/>
      <c r="T983" s="788"/>
      <c r="U983" s="791"/>
      <c r="V983" s="589"/>
      <c r="W983" s="788"/>
      <c r="X983" s="788"/>
      <c r="Y983" s="788"/>
      <c r="Z983" s="788"/>
    </row>
    <row r="984" spans="1:26" s="530" customFormat="1" ht="37.5" hidden="1">
      <c r="A984" s="792">
        <f t="shared" si="124"/>
        <v>5</v>
      </c>
      <c r="B984" s="788" t="s">
        <v>1116</v>
      </c>
      <c r="C984" s="744" t="s">
        <v>221</v>
      </c>
      <c r="D984" s="789">
        <v>5957</v>
      </c>
      <c r="E984" s="789">
        <v>1200</v>
      </c>
      <c r="F984" s="789" t="s">
        <v>230</v>
      </c>
      <c r="G984" s="789">
        <v>840</v>
      </c>
      <c r="H984" s="744">
        <v>4</v>
      </c>
      <c r="I984" s="744">
        <v>1</v>
      </c>
      <c r="J984" s="744">
        <v>16</v>
      </c>
      <c r="K984" s="792" t="s">
        <v>260</v>
      </c>
      <c r="L984" s="740">
        <f t="shared" si="122"/>
        <v>2129242.5</v>
      </c>
      <c r="M984" s="741">
        <v>2097900</v>
      </c>
      <c r="N984" s="742">
        <v>31342.5</v>
      </c>
      <c r="O984" s="743"/>
      <c r="P984" s="742"/>
      <c r="Q984" s="586"/>
      <c r="R984" s="744">
        <f t="shared" si="123"/>
        <v>2497.5</v>
      </c>
      <c r="S984" s="788"/>
      <c r="T984" s="788"/>
      <c r="U984" s="791"/>
      <c r="V984" s="589"/>
      <c r="W984" s="788"/>
      <c r="X984" s="788"/>
      <c r="Y984" s="788"/>
      <c r="Z984" s="788"/>
    </row>
    <row r="985" spans="1:26" s="530" customFormat="1" hidden="1">
      <c r="A985" s="792">
        <f t="shared" si="124"/>
        <v>6</v>
      </c>
      <c r="B985" s="788" t="s">
        <v>1117</v>
      </c>
      <c r="C985" s="744" t="s">
        <v>221</v>
      </c>
      <c r="D985" s="789">
        <v>9445</v>
      </c>
      <c r="E985" s="789">
        <v>1541</v>
      </c>
      <c r="F985" s="789" t="s">
        <v>227</v>
      </c>
      <c r="G985" s="789">
        <v>494</v>
      </c>
      <c r="H985" s="744">
        <v>5</v>
      </c>
      <c r="I985" s="744">
        <v>3</v>
      </c>
      <c r="J985" s="744">
        <v>44</v>
      </c>
      <c r="K985" s="792" t="s">
        <v>33</v>
      </c>
      <c r="L985" s="740">
        <f t="shared" si="122"/>
        <v>1088956.8999999999</v>
      </c>
      <c r="M985" s="741">
        <v>1085713.2</v>
      </c>
      <c r="N985" s="742"/>
      <c r="O985" s="736">
        <v>3243.7</v>
      </c>
      <c r="P985" s="742"/>
      <c r="Q985" s="586"/>
      <c r="R985" s="744">
        <f t="shared" si="123"/>
        <v>2197.7999999999997</v>
      </c>
      <c r="S985" s="788"/>
      <c r="T985" s="788"/>
      <c r="U985" s="791"/>
      <c r="V985" s="589"/>
      <c r="W985" s="788"/>
      <c r="X985" s="788"/>
      <c r="Y985" s="788"/>
      <c r="Z985" s="788"/>
    </row>
    <row r="986" spans="1:26" s="530" customFormat="1" hidden="1">
      <c r="A986" s="792">
        <f t="shared" si="124"/>
        <v>7</v>
      </c>
      <c r="B986" s="788" t="s">
        <v>1118</v>
      </c>
      <c r="C986" s="744" t="s">
        <v>221</v>
      </c>
      <c r="D986" s="789">
        <v>2574</v>
      </c>
      <c r="E986" s="789">
        <v>560</v>
      </c>
      <c r="F986" s="789" t="s">
        <v>227</v>
      </c>
      <c r="G986" s="739">
        <v>676</v>
      </c>
      <c r="H986" s="744">
        <v>2</v>
      </c>
      <c r="I986" s="744">
        <v>2</v>
      </c>
      <c r="J986" s="744">
        <v>12</v>
      </c>
      <c r="K986" s="792" t="s">
        <v>261</v>
      </c>
      <c r="L986" s="740">
        <f t="shared" si="122"/>
        <v>2604570.54</v>
      </c>
      <c r="M986" s="741">
        <v>2566231.2000000002</v>
      </c>
      <c r="N986" s="742">
        <v>38339.339999999997</v>
      </c>
      <c r="O986" s="743"/>
      <c r="P986" s="742"/>
      <c r="Q986" s="586"/>
      <c r="R986" s="582">
        <f t="shared" si="123"/>
        <v>3796.2000000000003</v>
      </c>
      <c r="S986" s="788"/>
      <c r="T986" s="788"/>
      <c r="U986" s="791"/>
      <c r="V986" s="589"/>
      <c r="W986" s="788"/>
      <c r="X986" s="788"/>
      <c r="Y986" s="788"/>
      <c r="Z986" s="788"/>
    </row>
    <row r="987" spans="1:26" s="530" customFormat="1" hidden="1">
      <c r="A987" s="792">
        <f t="shared" si="124"/>
        <v>8</v>
      </c>
      <c r="B987" s="788" t="s">
        <v>1119</v>
      </c>
      <c r="C987" s="744" t="s">
        <v>221</v>
      </c>
      <c r="D987" s="789">
        <v>2903</v>
      </c>
      <c r="E987" s="789">
        <v>611</v>
      </c>
      <c r="F987" s="789" t="s">
        <v>222</v>
      </c>
      <c r="G987" s="789">
        <v>695</v>
      </c>
      <c r="H987" s="744">
        <v>2</v>
      </c>
      <c r="I987" s="744">
        <v>2</v>
      </c>
      <c r="J987" s="744">
        <v>16</v>
      </c>
      <c r="K987" s="792" t="s">
        <v>33</v>
      </c>
      <c r="L987" s="740">
        <f t="shared" si="122"/>
        <v>1761695.19</v>
      </c>
      <c r="M987" s="741">
        <v>1735762.5</v>
      </c>
      <c r="N987" s="742">
        <v>25932.69</v>
      </c>
      <c r="O987" s="743"/>
      <c r="P987" s="742"/>
      <c r="Q987" s="586"/>
      <c r="R987" s="744">
        <f t="shared" si="123"/>
        <v>2497.5</v>
      </c>
      <c r="S987" s="788"/>
      <c r="T987" s="788"/>
      <c r="U987" s="791"/>
      <c r="V987" s="589"/>
      <c r="W987" s="788"/>
      <c r="X987" s="788"/>
      <c r="Y987" s="788"/>
      <c r="Z987" s="788"/>
    </row>
    <row r="988" spans="1:26" s="530" customFormat="1" hidden="1">
      <c r="A988" s="792">
        <f t="shared" si="124"/>
        <v>9</v>
      </c>
      <c r="B988" s="788" t="s">
        <v>3615</v>
      </c>
      <c r="C988" s="744" t="s">
        <v>221</v>
      </c>
      <c r="D988" s="789">
        <v>5408</v>
      </c>
      <c r="E988" s="789">
        <v>754</v>
      </c>
      <c r="F988" s="789" t="s">
        <v>222</v>
      </c>
      <c r="G988" s="789">
        <v>800</v>
      </c>
      <c r="H988" s="744">
        <v>2</v>
      </c>
      <c r="I988" s="744">
        <v>3</v>
      </c>
      <c r="J988" s="744">
        <v>22</v>
      </c>
      <c r="K988" s="792" t="s">
        <v>33</v>
      </c>
      <c r="L988" s="740">
        <f t="shared" si="122"/>
        <v>1964232.4999999998</v>
      </c>
      <c r="M988" s="741">
        <v>1943874.7999999998</v>
      </c>
      <c r="N988" s="742">
        <v>20357.7</v>
      </c>
      <c r="O988" s="743"/>
      <c r="P988" s="742"/>
      <c r="Q988" s="586"/>
      <c r="R988" s="744">
        <f t="shared" si="123"/>
        <v>2429.8434999999999</v>
      </c>
      <c r="S988" s="788"/>
      <c r="T988" s="788"/>
      <c r="U988" s="791"/>
      <c r="V988" s="589"/>
      <c r="W988" s="788"/>
      <c r="X988" s="788"/>
      <c r="Y988" s="788"/>
      <c r="Z988" s="788"/>
    </row>
    <row r="989" spans="1:26" s="530" customFormat="1" hidden="1">
      <c r="A989" s="792">
        <f t="shared" si="124"/>
        <v>10</v>
      </c>
      <c r="B989" s="788" t="s">
        <v>3022</v>
      </c>
      <c r="C989" s="744" t="s">
        <v>221</v>
      </c>
      <c r="D989" s="789">
        <v>1196</v>
      </c>
      <c r="E989" s="789">
        <v>108.6</v>
      </c>
      <c r="F989" s="789" t="s">
        <v>222</v>
      </c>
      <c r="G989" s="789">
        <v>409.2</v>
      </c>
      <c r="H989" s="744">
        <v>2</v>
      </c>
      <c r="I989" s="744">
        <v>1</v>
      </c>
      <c r="J989" s="744">
        <v>8</v>
      </c>
      <c r="K989" s="792" t="s">
        <v>33</v>
      </c>
      <c r="L989" s="740">
        <f t="shared" si="122"/>
        <v>942985.09</v>
      </c>
      <c r="M989" s="741">
        <v>917537.97</v>
      </c>
      <c r="N989" s="742">
        <v>25447.119999999999</v>
      </c>
      <c r="O989" s="743"/>
      <c r="P989" s="742"/>
      <c r="Q989" s="586"/>
      <c r="R989" s="744">
        <f t="shared" si="123"/>
        <v>2242.2726539589444</v>
      </c>
      <c r="S989" s="788"/>
      <c r="T989" s="788"/>
      <c r="U989" s="791"/>
      <c r="V989" s="589"/>
      <c r="W989" s="788"/>
      <c r="X989" s="788"/>
      <c r="Y989" s="788"/>
      <c r="Z989" s="788"/>
    </row>
    <row r="990" spans="1:26" s="530" customFormat="1" hidden="1">
      <c r="A990" s="792">
        <f t="shared" si="124"/>
        <v>11</v>
      </c>
      <c r="B990" s="788" t="s">
        <v>3530</v>
      </c>
      <c r="C990" s="744" t="s">
        <v>217</v>
      </c>
      <c r="D990" s="789">
        <v>9666</v>
      </c>
      <c r="E990" s="789">
        <v>2265</v>
      </c>
      <c r="F990" s="789" t="s">
        <v>227</v>
      </c>
      <c r="G990" s="789">
        <v>1040</v>
      </c>
      <c r="H990" s="744">
        <v>5</v>
      </c>
      <c r="I990" s="744">
        <v>4</v>
      </c>
      <c r="J990" s="744">
        <v>60</v>
      </c>
      <c r="K990" s="792" t="s">
        <v>33</v>
      </c>
      <c r="L990" s="740">
        <f t="shared" si="122"/>
        <v>2291723.2799999998</v>
      </c>
      <c r="M990" s="741">
        <v>2265120</v>
      </c>
      <c r="N990" s="742"/>
      <c r="O990" s="743">
        <v>6803.28</v>
      </c>
      <c r="P990" s="742"/>
      <c r="Q990" s="586">
        <v>19800</v>
      </c>
      <c r="R990" s="744">
        <f t="shared" si="123"/>
        <v>2178</v>
      </c>
      <c r="S990" s="788"/>
      <c r="T990" s="788"/>
      <c r="U990" s="791"/>
      <c r="V990" s="589"/>
      <c r="W990" s="788"/>
      <c r="X990" s="788"/>
      <c r="Y990" s="788"/>
      <c r="Z990" s="788"/>
    </row>
    <row r="991" spans="1:26" s="28" customFormat="1" hidden="1">
      <c r="A991" s="1349" t="s">
        <v>86</v>
      </c>
      <c r="B991" s="1349"/>
      <c r="C991" s="593" t="s">
        <v>28</v>
      </c>
      <c r="D991" s="646">
        <f>SUM(D980:D990)</f>
        <v>57787</v>
      </c>
      <c r="E991" s="646">
        <f>SUM(E980:E990)</f>
        <v>9695.2000000000007</v>
      </c>
      <c r="F991" s="646" t="s">
        <v>28</v>
      </c>
      <c r="G991" s="646">
        <f>SUM(G980:G990)</f>
        <v>8129.2</v>
      </c>
      <c r="H991" s="582" t="s">
        <v>28</v>
      </c>
      <c r="I991" s="582" t="s">
        <v>28</v>
      </c>
      <c r="J991" s="582">
        <f>SUM(J980:J990)</f>
        <v>267</v>
      </c>
      <c r="K991" s="590" t="s">
        <v>28</v>
      </c>
      <c r="L991" s="584">
        <f>SUM(L980:L990)</f>
        <v>21845361.100000001</v>
      </c>
      <c r="M991" s="585">
        <f>SUM(M980:M990)</f>
        <v>21573362.969999999</v>
      </c>
      <c r="N991" s="586">
        <f>SUM(N980:N990)</f>
        <v>238263.69</v>
      </c>
      <c r="O991" s="587">
        <f>SUM(O980:O990)</f>
        <v>13934.439999999999</v>
      </c>
      <c r="P991" s="586"/>
      <c r="Q991" s="586">
        <f>SUM(Q980:Q990)</f>
        <v>19800</v>
      </c>
      <c r="R991" s="582" t="s">
        <v>28</v>
      </c>
      <c r="S991" s="586">
        <f>L991-M991-N991-O991-P991-Q991</f>
        <v>2.6811903808265924E-9</v>
      </c>
      <c r="T991" s="645"/>
      <c r="U991" s="701"/>
      <c r="V991" s="589"/>
      <c r="W991" s="592"/>
      <c r="X991" s="592"/>
      <c r="Y991" s="592"/>
      <c r="Z991" s="592"/>
    </row>
    <row r="992" spans="1:26" s="28" customFormat="1" hidden="1">
      <c r="A992" s="1347" t="s">
        <v>87</v>
      </c>
      <c r="B992" s="1347"/>
      <c r="C992" s="1347"/>
      <c r="D992" s="1347"/>
      <c r="E992" s="1347"/>
      <c r="F992" s="1347"/>
      <c r="G992" s="1347"/>
      <c r="H992" s="1347"/>
      <c r="I992" s="1347"/>
      <c r="J992" s="1347"/>
      <c r="K992" s="1347"/>
      <c r="L992" s="1347"/>
      <c r="M992" s="1347"/>
      <c r="N992" s="1347"/>
      <c r="O992" s="1347"/>
      <c r="P992" s="1347"/>
      <c r="Q992" s="1347"/>
      <c r="R992" s="1347"/>
      <c r="S992" s="592"/>
      <c r="T992" s="645"/>
      <c r="U992" s="591"/>
      <c r="V992" s="589"/>
      <c r="W992" s="592"/>
      <c r="X992" s="592"/>
      <c r="Y992" s="592"/>
      <c r="Z992" s="592"/>
    </row>
    <row r="993" spans="1:26" s="90" customFormat="1" ht="37.5" hidden="1">
      <c r="A993" s="697">
        <v>1</v>
      </c>
      <c r="B993" s="873" t="s">
        <v>1120</v>
      </c>
      <c r="C993" s="874" t="s">
        <v>221</v>
      </c>
      <c r="D993" s="646">
        <v>304.64</v>
      </c>
      <c r="E993" s="849">
        <v>3892</v>
      </c>
      <c r="F993" s="849" t="s">
        <v>222</v>
      </c>
      <c r="G993" s="849">
        <v>916</v>
      </c>
      <c r="H993" s="852">
        <v>2</v>
      </c>
      <c r="I993" s="852">
        <v>3</v>
      </c>
      <c r="J993" s="852">
        <v>22</v>
      </c>
      <c r="K993" s="590" t="s">
        <v>30</v>
      </c>
      <c r="L993" s="584">
        <f t="shared" ref="L993:L998" si="125">M993+N993+O993+P993+Q993</f>
        <v>440873.4</v>
      </c>
      <c r="M993" s="596">
        <v>439560</v>
      </c>
      <c r="N993" s="597"/>
      <c r="O993" s="736">
        <v>1313.4</v>
      </c>
      <c r="P993" s="597"/>
      <c r="Q993" s="586"/>
      <c r="R993" s="582">
        <f>M993/J993</f>
        <v>19980</v>
      </c>
      <c r="S993" s="748"/>
      <c r="T993" s="748"/>
      <c r="U993" s="737"/>
      <c r="V993" s="589"/>
      <c r="W993" s="748"/>
      <c r="X993" s="748"/>
      <c r="Y993" s="748"/>
      <c r="Z993" s="748"/>
    </row>
    <row r="994" spans="1:26" s="90" customFormat="1" ht="37.5" hidden="1">
      <c r="A994" s="697">
        <f>A993+1</f>
        <v>2</v>
      </c>
      <c r="B994" s="873" t="s">
        <v>1121</v>
      </c>
      <c r="C994" s="874" t="s">
        <v>221</v>
      </c>
      <c r="D994" s="646">
        <v>221.7</v>
      </c>
      <c r="E994" s="849">
        <v>1500.9</v>
      </c>
      <c r="F994" s="849" t="s">
        <v>222</v>
      </c>
      <c r="G994" s="849">
        <v>628</v>
      </c>
      <c r="H994" s="852">
        <v>2</v>
      </c>
      <c r="I994" s="852">
        <v>2</v>
      </c>
      <c r="J994" s="852">
        <v>12</v>
      </c>
      <c r="K994" s="590" t="s">
        <v>237</v>
      </c>
      <c r="L994" s="584">
        <f t="shared" si="125"/>
        <v>240476.4</v>
      </c>
      <c r="M994" s="596">
        <v>239760</v>
      </c>
      <c r="N994" s="597"/>
      <c r="O994" s="736">
        <v>716.4</v>
      </c>
      <c r="P994" s="597"/>
      <c r="Q994" s="586"/>
      <c r="R994" s="582">
        <f>M994/J994</f>
        <v>19980</v>
      </c>
      <c r="S994" s="748"/>
      <c r="T994" s="748"/>
      <c r="U994" s="737"/>
      <c r="V994" s="589"/>
      <c r="W994" s="748"/>
      <c r="X994" s="748"/>
      <c r="Y994" s="748"/>
      <c r="Z994" s="748"/>
    </row>
    <row r="995" spans="1:26" s="90" customFormat="1" ht="37.5" hidden="1">
      <c r="A995" s="697">
        <f>A994+1</f>
        <v>3</v>
      </c>
      <c r="B995" s="873" t="s">
        <v>1122</v>
      </c>
      <c r="C995" s="874" t="s">
        <v>221</v>
      </c>
      <c r="D995" s="646">
        <v>208.12</v>
      </c>
      <c r="E995" s="849">
        <v>2457</v>
      </c>
      <c r="F995" s="849" t="s">
        <v>222</v>
      </c>
      <c r="G995" s="849">
        <v>444</v>
      </c>
      <c r="H995" s="852">
        <v>2</v>
      </c>
      <c r="I995" s="852">
        <v>2</v>
      </c>
      <c r="J995" s="852">
        <v>8</v>
      </c>
      <c r="K995" s="590" t="s">
        <v>30</v>
      </c>
      <c r="L995" s="584">
        <f t="shared" si="125"/>
        <v>160317.6</v>
      </c>
      <c r="M995" s="596">
        <v>159840</v>
      </c>
      <c r="N995" s="597"/>
      <c r="O995" s="736">
        <v>477.6</v>
      </c>
      <c r="P995" s="597"/>
      <c r="Q995" s="586"/>
      <c r="R995" s="582">
        <f>M995/J995</f>
        <v>19980</v>
      </c>
      <c r="S995" s="748"/>
      <c r="T995" s="748"/>
      <c r="U995" s="737"/>
      <c r="V995" s="589"/>
      <c r="W995" s="748"/>
      <c r="X995" s="748"/>
      <c r="Y995" s="748"/>
      <c r="Z995" s="748"/>
    </row>
    <row r="996" spans="1:26" s="90" customFormat="1" ht="37.5" hidden="1">
      <c r="A996" s="697">
        <f>A995+1</f>
        <v>4</v>
      </c>
      <c r="B996" s="873" t="s">
        <v>3651</v>
      </c>
      <c r="C996" s="874" t="s">
        <v>221</v>
      </c>
      <c r="D996" s="646">
        <v>2963</v>
      </c>
      <c r="E996" s="849">
        <v>233.28</v>
      </c>
      <c r="F996" s="849" t="s">
        <v>222</v>
      </c>
      <c r="G996" s="849">
        <v>694</v>
      </c>
      <c r="H996" s="852">
        <v>2</v>
      </c>
      <c r="I996" s="852">
        <v>2</v>
      </c>
      <c r="J996" s="852">
        <v>16</v>
      </c>
      <c r="K996" s="590" t="s">
        <v>30</v>
      </c>
      <c r="L996" s="584">
        <f t="shared" si="125"/>
        <v>407149.78</v>
      </c>
      <c r="M996" s="596">
        <v>400000</v>
      </c>
      <c r="N996" s="675"/>
      <c r="O996" s="736">
        <v>690.03</v>
      </c>
      <c r="P996" s="597"/>
      <c r="Q996" s="586">
        <v>6459.75</v>
      </c>
      <c r="R996" s="582">
        <f>M996/J996</f>
        <v>25000</v>
      </c>
      <c r="S996" s="748"/>
      <c r="T996" s="748"/>
      <c r="U996" s="737"/>
      <c r="V996" s="589"/>
      <c r="W996" s="748"/>
      <c r="X996" s="748"/>
      <c r="Y996" s="748"/>
      <c r="Z996" s="748"/>
    </row>
    <row r="997" spans="1:26" s="90" customFormat="1" ht="37.5" hidden="1">
      <c r="A997" s="697">
        <f>A996+1</f>
        <v>5</v>
      </c>
      <c r="B997" s="873" t="s">
        <v>3652</v>
      </c>
      <c r="C997" s="874" t="s">
        <v>221</v>
      </c>
      <c r="D997" s="646">
        <v>2959</v>
      </c>
      <c r="E997" s="849">
        <v>308.57</v>
      </c>
      <c r="F997" s="849" t="s">
        <v>222</v>
      </c>
      <c r="G997" s="849">
        <v>686</v>
      </c>
      <c r="H997" s="852">
        <v>2</v>
      </c>
      <c r="I997" s="852">
        <v>2</v>
      </c>
      <c r="J997" s="852">
        <v>16</v>
      </c>
      <c r="K997" s="590" t="s">
        <v>237</v>
      </c>
      <c r="L997" s="584">
        <f t="shared" si="125"/>
        <v>407149.78</v>
      </c>
      <c r="M997" s="596">
        <v>400000</v>
      </c>
      <c r="N997" s="675"/>
      <c r="O997" s="736">
        <v>690.03</v>
      </c>
      <c r="P997" s="597"/>
      <c r="Q997" s="586">
        <v>6459.75</v>
      </c>
      <c r="R997" s="582">
        <f>M997/J997</f>
        <v>25000</v>
      </c>
      <c r="S997" s="748"/>
      <c r="T997" s="748"/>
      <c r="U997" s="737"/>
      <c r="V997" s="589"/>
      <c r="W997" s="748"/>
      <c r="X997" s="748"/>
      <c r="Y997" s="748"/>
      <c r="Z997" s="748"/>
    </row>
    <row r="998" spans="1:26" s="90" customFormat="1" hidden="1">
      <c r="A998" s="697">
        <f>A997+1</f>
        <v>6</v>
      </c>
      <c r="B998" s="873" t="s">
        <v>3027</v>
      </c>
      <c r="C998" s="874" t="s">
        <v>221</v>
      </c>
      <c r="D998" s="646">
        <v>2682</v>
      </c>
      <c r="E998" s="849">
        <v>538.79999999999995</v>
      </c>
      <c r="F998" s="849" t="s">
        <v>222</v>
      </c>
      <c r="G998" s="849">
        <v>697</v>
      </c>
      <c r="H998" s="852">
        <v>2</v>
      </c>
      <c r="I998" s="852">
        <v>2</v>
      </c>
      <c r="J998" s="852">
        <v>8</v>
      </c>
      <c r="K998" s="590" t="s">
        <v>33</v>
      </c>
      <c r="L998" s="584">
        <f t="shared" si="125"/>
        <v>1770708.07</v>
      </c>
      <c r="M998" s="596">
        <v>1742500</v>
      </c>
      <c r="N998" s="597">
        <v>18143.73</v>
      </c>
      <c r="O998" s="736"/>
      <c r="P998" s="597"/>
      <c r="Q998" s="586">
        <v>10064.34</v>
      </c>
      <c r="R998" s="582">
        <f>M998/G998</f>
        <v>2500</v>
      </c>
      <c r="S998" s="748"/>
      <c r="T998" s="748"/>
      <c r="U998" s="737"/>
      <c r="V998" s="589"/>
      <c r="W998" s="748"/>
      <c r="X998" s="748"/>
      <c r="Y998" s="748"/>
      <c r="Z998" s="748"/>
    </row>
    <row r="999" spans="1:26" s="28" customFormat="1" hidden="1">
      <c r="A999" s="1349" t="s">
        <v>88</v>
      </c>
      <c r="B999" s="1349"/>
      <c r="C999" s="593" t="s">
        <v>28</v>
      </c>
      <c r="D999" s="646">
        <f>SUM(D993:D998)</f>
        <v>9338.4599999999991</v>
      </c>
      <c r="E999" s="646">
        <f>SUM(E993:E998)</f>
        <v>8930.5499999999993</v>
      </c>
      <c r="F999" s="646" t="s">
        <v>28</v>
      </c>
      <c r="G999" s="646">
        <f>SUM(G993:G998)</f>
        <v>4065</v>
      </c>
      <c r="H999" s="582" t="s">
        <v>28</v>
      </c>
      <c r="I999" s="582" t="s">
        <v>28</v>
      </c>
      <c r="J999" s="582">
        <f>SUM(J993:J998)</f>
        <v>82</v>
      </c>
      <c r="K999" s="590" t="s">
        <v>28</v>
      </c>
      <c r="L999" s="584">
        <f>SUM(L993:L998)</f>
        <v>3426675.0300000003</v>
      </c>
      <c r="M999" s="585">
        <f>SUM(M993:M998)</f>
        <v>3381660</v>
      </c>
      <c r="N999" s="586">
        <f>SUM(N993:N998)</f>
        <v>18143.73</v>
      </c>
      <c r="O999" s="587">
        <f>SUM(O993:O998)</f>
        <v>3887.46</v>
      </c>
      <c r="P999" s="586"/>
      <c r="Q999" s="586">
        <f>SUM(Q993:Q998)</f>
        <v>22983.84</v>
      </c>
      <c r="R999" s="582" t="s">
        <v>28</v>
      </c>
      <c r="S999" s="586">
        <f>L999-M999-N999-O999-P999-Q999</f>
        <v>2.6193447411060333E-10</v>
      </c>
      <c r="T999" s="645"/>
      <c r="U999" s="701"/>
      <c r="V999" s="589"/>
      <c r="W999" s="592"/>
      <c r="X999" s="592"/>
      <c r="Y999" s="592"/>
      <c r="Z999" s="592"/>
    </row>
    <row r="1000" spans="1:26" s="28" customFormat="1" hidden="1">
      <c r="A1000" s="1347" t="s">
        <v>89</v>
      </c>
      <c r="B1000" s="1347"/>
      <c r="C1000" s="1347"/>
      <c r="D1000" s="1347"/>
      <c r="E1000" s="1347"/>
      <c r="F1000" s="1347"/>
      <c r="G1000" s="1347"/>
      <c r="H1000" s="1347"/>
      <c r="I1000" s="1347"/>
      <c r="J1000" s="1347"/>
      <c r="K1000" s="1347"/>
      <c r="L1000" s="1347"/>
      <c r="M1000" s="1347"/>
      <c r="N1000" s="1347"/>
      <c r="O1000" s="1347"/>
      <c r="P1000" s="1347"/>
      <c r="Q1000" s="1347"/>
      <c r="R1000" s="1347"/>
      <c r="S1000" s="592"/>
      <c r="T1000" s="645"/>
      <c r="U1000" s="591"/>
      <c r="V1000" s="589"/>
      <c r="W1000" s="592"/>
      <c r="X1000" s="592"/>
      <c r="Y1000" s="592"/>
      <c r="Z1000" s="592"/>
    </row>
    <row r="1001" spans="1:26" s="90" customFormat="1" ht="37.5" hidden="1">
      <c r="A1001" s="812">
        <v>1</v>
      </c>
      <c r="B1001" s="875" t="s">
        <v>1123</v>
      </c>
      <c r="C1001" s="814" t="s">
        <v>217</v>
      </c>
      <c r="D1001" s="815">
        <v>12132</v>
      </c>
      <c r="E1001" s="815">
        <v>2276.6</v>
      </c>
      <c r="F1001" s="819" t="s">
        <v>233</v>
      </c>
      <c r="G1001" s="815">
        <v>828</v>
      </c>
      <c r="H1001" s="864">
        <v>5</v>
      </c>
      <c r="I1001" s="864">
        <v>4</v>
      </c>
      <c r="J1001" s="864">
        <v>62</v>
      </c>
      <c r="K1001" s="590" t="s">
        <v>237</v>
      </c>
      <c r="L1001" s="746">
        <f t="shared" ref="L1001:L1013" si="126">M1001+N1001+O1001+P1001+Q1001</f>
        <v>1829912.51</v>
      </c>
      <c r="M1001" s="745">
        <v>1824360.41</v>
      </c>
      <c r="N1001" s="747"/>
      <c r="O1001" s="736">
        <v>5552.1</v>
      </c>
      <c r="P1001" s="747"/>
      <c r="Q1001" s="586"/>
      <c r="R1001" s="864">
        <f>M1001/J1001</f>
        <v>29425.167903225803</v>
      </c>
      <c r="S1001" s="748"/>
      <c r="T1001" s="748"/>
      <c r="U1001" s="586"/>
      <c r="V1001" s="589"/>
      <c r="W1001" s="748"/>
      <c r="X1001" s="748"/>
      <c r="Y1001" s="748"/>
      <c r="Z1001" s="748"/>
    </row>
    <row r="1002" spans="1:26" s="90" customFormat="1" ht="37.5" hidden="1">
      <c r="A1002" s="812">
        <f>A1001+1</f>
        <v>2</v>
      </c>
      <c r="B1002" s="875" t="s">
        <v>4081</v>
      </c>
      <c r="C1002" s="814" t="s">
        <v>221</v>
      </c>
      <c r="D1002" s="815">
        <v>3035</v>
      </c>
      <c r="E1002" s="815">
        <v>693.9</v>
      </c>
      <c r="F1002" s="849" t="s">
        <v>222</v>
      </c>
      <c r="G1002" s="815">
        <v>607</v>
      </c>
      <c r="H1002" s="864">
        <v>2</v>
      </c>
      <c r="I1002" s="864">
        <v>2</v>
      </c>
      <c r="J1002" s="864">
        <v>16</v>
      </c>
      <c r="K1002" s="812" t="s">
        <v>262</v>
      </c>
      <c r="L1002" s="746">
        <f t="shared" si="126"/>
        <v>1360639.06</v>
      </c>
      <c r="M1002" s="876">
        <v>1334064.6000000001</v>
      </c>
      <c r="N1002" s="747">
        <v>26574.46</v>
      </c>
      <c r="O1002" s="809"/>
      <c r="P1002" s="747"/>
      <c r="Q1002" s="586"/>
      <c r="R1002" s="864">
        <f>M1002/G1002</f>
        <v>2197.8000000000002</v>
      </c>
      <c r="S1002" s="748"/>
      <c r="T1002" s="748"/>
      <c r="U1002" s="737"/>
      <c r="V1002" s="589"/>
      <c r="W1002" s="748"/>
      <c r="X1002" s="748"/>
      <c r="Y1002" s="748"/>
      <c r="Z1002" s="748"/>
    </row>
    <row r="1003" spans="1:26" s="90" customFormat="1" ht="56.25" hidden="1">
      <c r="A1003" s="812">
        <f t="shared" ref="A1003:A1013" si="127">A1002+1</f>
        <v>3</v>
      </c>
      <c r="B1003" s="875" t="s">
        <v>1124</v>
      </c>
      <c r="C1003" s="814" t="s">
        <v>221</v>
      </c>
      <c r="D1003" s="815">
        <v>13210</v>
      </c>
      <c r="E1003" s="815">
        <v>1700</v>
      </c>
      <c r="F1003" s="849" t="s">
        <v>222</v>
      </c>
      <c r="G1003" s="815">
        <v>1135</v>
      </c>
      <c r="H1003" s="864">
        <v>5</v>
      </c>
      <c r="I1003" s="864">
        <v>4</v>
      </c>
      <c r="J1003" s="864">
        <v>70</v>
      </c>
      <c r="K1003" s="812" t="s">
        <v>263</v>
      </c>
      <c r="L1003" s="746">
        <f t="shared" si="126"/>
        <v>3068828.1</v>
      </c>
      <c r="M1003" s="745">
        <v>3059694</v>
      </c>
      <c r="N1003" s="747"/>
      <c r="O1003" s="736">
        <v>9134.1</v>
      </c>
      <c r="P1003" s="747"/>
      <c r="Q1003" s="586"/>
      <c r="R1003" s="599">
        <f>M1003/E1003</f>
        <v>1799.82</v>
      </c>
      <c r="S1003" s="748"/>
      <c r="T1003" s="748"/>
      <c r="U1003" s="737"/>
      <c r="V1003" s="589"/>
      <c r="W1003" s="748"/>
      <c r="X1003" s="748"/>
      <c r="Y1003" s="748"/>
      <c r="Z1003" s="748"/>
    </row>
    <row r="1004" spans="1:26" s="90" customFormat="1" hidden="1">
      <c r="A1004" s="812">
        <f t="shared" si="127"/>
        <v>4</v>
      </c>
      <c r="B1004" s="875" t="s">
        <v>264</v>
      </c>
      <c r="C1004" s="814" t="s">
        <v>221</v>
      </c>
      <c r="D1004" s="815">
        <v>15434</v>
      </c>
      <c r="E1004" s="815">
        <v>2801.4</v>
      </c>
      <c r="F1004" s="819" t="s">
        <v>233</v>
      </c>
      <c r="G1004" s="815">
        <v>1100</v>
      </c>
      <c r="H1004" s="864">
        <v>5</v>
      </c>
      <c r="I1004" s="864">
        <v>5</v>
      </c>
      <c r="J1004" s="864">
        <v>75</v>
      </c>
      <c r="K1004" s="812" t="s">
        <v>33</v>
      </c>
      <c r="L1004" s="746">
        <f t="shared" si="126"/>
        <v>2314585.35</v>
      </c>
      <c r="M1004" s="876">
        <v>2307690</v>
      </c>
      <c r="N1004" s="747"/>
      <c r="O1004" s="736">
        <v>6895.35</v>
      </c>
      <c r="P1004" s="747"/>
      <c r="Q1004" s="586"/>
      <c r="R1004" s="864">
        <f>M1004/G1004</f>
        <v>2097.9</v>
      </c>
      <c r="S1004" s="748"/>
      <c r="T1004" s="748"/>
      <c r="U1004" s="737"/>
      <c r="V1004" s="589"/>
      <c r="W1004" s="748"/>
      <c r="X1004" s="748"/>
      <c r="Y1004" s="748"/>
      <c r="Z1004" s="748"/>
    </row>
    <row r="1005" spans="1:26" s="90" customFormat="1" ht="37.5" hidden="1">
      <c r="A1005" s="812">
        <f t="shared" si="127"/>
        <v>5</v>
      </c>
      <c r="B1005" s="875" t="s">
        <v>1125</v>
      </c>
      <c r="C1005" s="744" t="s">
        <v>221</v>
      </c>
      <c r="D1005" s="815">
        <v>3462</v>
      </c>
      <c r="E1005" s="815">
        <v>900</v>
      </c>
      <c r="F1005" s="849" t="s">
        <v>222</v>
      </c>
      <c r="G1005" s="815">
        <v>850</v>
      </c>
      <c r="H1005" s="864">
        <v>2</v>
      </c>
      <c r="I1005" s="864">
        <v>2</v>
      </c>
      <c r="J1005" s="864">
        <v>16</v>
      </c>
      <c r="K1005" s="812" t="s">
        <v>262</v>
      </c>
      <c r="L1005" s="746">
        <f t="shared" si="126"/>
        <v>1896039.7400000002</v>
      </c>
      <c r="M1005" s="876">
        <v>1868129.9900000002</v>
      </c>
      <c r="N1005" s="747">
        <v>27909.75</v>
      </c>
      <c r="O1005" s="809"/>
      <c r="P1005" s="747"/>
      <c r="Q1005" s="586"/>
      <c r="R1005" s="864">
        <f>M1005/G1005</f>
        <v>2197.7999882352942</v>
      </c>
      <c r="S1005" s="748"/>
      <c r="T1005" s="748"/>
      <c r="U1005" s="737"/>
      <c r="V1005" s="589"/>
      <c r="W1005" s="748"/>
      <c r="X1005" s="748"/>
      <c r="Y1005" s="748"/>
      <c r="Z1005" s="748"/>
    </row>
    <row r="1006" spans="1:26" s="90" customFormat="1" ht="37.5" hidden="1">
      <c r="A1006" s="812">
        <f t="shared" si="127"/>
        <v>6</v>
      </c>
      <c r="B1006" s="875" t="s">
        <v>1126</v>
      </c>
      <c r="C1006" s="814" t="s">
        <v>221</v>
      </c>
      <c r="D1006" s="815">
        <v>5566</v>
      </c>
      <c r="E1006" s="815">
        <v>1222</v>
      </c>
      <c r="F1006" s="849" t="s">
        <v>222</v>
      </c>
      <c r="G1006" s="815">
        <v>1200</v>
      </c>
      <c r="H1006" s="864">
        <v>2</v>
      </c>
      <c r="I1006" s="864">
        <v>3</v>
      </c>
      <c r="J1006" s="864">
        <v>24</v>
      </c>
      <c r="K1006" s="812" t="s">
        <v>262</v>
      </c>
      <c r="L1006" s="746">
        <f t="shared" si="126"/>
        <v>2653068</v>
      </c>
      <c r="M1006" s="876">
        <v>2626800</v>
      </c>
      <c r="N1006" s="747">
        <v>26268</v>
      </c>
      <c r="O1006" s="809"/>
      <c r="P1006" s="747"/>
      <c r="Q1006" s="586"/>
      <c r="R1006" s="864">
        <f>M1006/G1006</f>
        <v>2189</v>
      </c>
      <c r="S1006" s="748"/>
      <c r="T1006" s="748"/>
      <c r="U1006" s="737"/>
      <c r="V1006" s="589"/>
      <c r="W1006" s="748"/>
      <c r="X1006" s="748"/>
      <c r="Y1006" s="748"/>
      <c r="Z1006" s="748"/>
    </row>
    <row r="1007" spans="1:26" s="90" customFormat="1" ht="37.5" hidden="1">
      <c r="A1007" s="812">
        <f t="shared" si="127"/>
        <v>7</v>
      </c>
      <c r="B1007" s="875" t="s">
        <v>1127</v>
      </c>
      <c r="C1007" s="744" t="s">
        <v>221</v>
      </c>
      <c r="D1007" s="815">
        <v>5154</v>
      </c>
      <c r="E1007" s="815">
        <v>961</v>
      </c>
      <c r="F1007" s="849" t="s">
        <v>222</v>
      </c>
      <c r="G1007" s="815">
        <v>1129</v>
      </c>
      <c r="H1007" s="864">
        <v>2</v>
      </c>
      <c r="I1007" s="864">
        <v>3</v>
      </c>
      <c r="J1007" s="864">
        <v>22</v>
      </c>
      <c r="K1007" s="812" t="s">
        <v>262</v>
      </c>
      <c r="L1007" s="746">
        <f t="shared" si="126"/>
        <v>2506030.0100000002</v>
      </c>
      <c r="M1007" s="876">
        <v>2481316.2000000002</v>
      </c>
      <c r="N1007" s="747">
        <v>24713.81</v>
      </c>
      <c r="O1007" s="809"/>
      <c r="P1007" s="747"/>
      <c r="Q1007" s="586"/>
      <c r="R1007" s="864">
        <f>M1007/G1007</f>
        <v>2197.8000000000002</v>
      </c>
      <c r="S1007" s="748"/>
      <c r="T1007" s="748"/>
      <c r="U1007" s="737"/>
      <c r="V1007" s="589"/>
      <c r="W1007" s="748"/>
      <c r="X1007" s="748"/>
      <c r="Y1007" s="748"/>
      <c r="Z1007" s="748"/>
    </row>
    <row r="1008" spans="1:26" s="90" customFormat="1" ht="37.5" hidden="1">
      <c r="A1008" s="812">
        <f t="shared" si="127"/>
        <v>8</v>
      </c>
      <c r="B1008" s="875" t="s">
        <v>1128</v>
      </c>
      <c r="C1008" s="744" t="s">
        <v>221</v>
      </c>
      <c r="D1008" s="815">
        <v>2901</v>
      </c>
      <c r="E1008" s="815">
        <v>793</v>
      </c>
      <c r="F1008" s="849" t="s">
        <v>222</v>
      </c>
      <c r="G1008" s="815">
        <v>611</v>
      </c>
      <c r="H1008" s="877">
        <v>2</v>
      </c>
      <c r="I1008" s="877">
        <v>2</v>
      </c>
      <c r="J1008" s="877">
        <v>16</v>
      </c>
      <c r="K1008" s="812" t="s">
        <v>262</v>
      </c>
      <c r="L1008" s="746">
        <f t="shared" si="126"/>
        <v>1369605.3800000001</v>
      </c>
      <c r="M1008" s="876">
        <v>1342855.8</v>
      </c>
      <c r="N1008" s="747">
        <v>26749.58</v>
      </c>
      <c r="O1008" s="809"/>
      <c r="P1008" s="747"/>
      <c r="Q1008" s="586"/>
      <c r="R1008" s="864">
        <f>M1008/G1008</f>
        <v>2197.8000000000002</v>
      </c>
      <c r="S1008" s="748"/>
      <c r="T1008" s="748"/>
      <c r="U1008" s="737"/>
      <c r="V1008" s="589"/>
      <c r="W1008" s="748"/>
      <c r="X1008" s="748"/>
      <c r="Y1008" s="748"/>
      <c r="Z1008" s="748"/>
    </row>
    <row r="1009" spans="1:26" s="90" customFormat="1" ht="56.25" hidden="1">
      <c r="A1009" s="812">
        <f t="shared" si="127"/>
        <v>9</v>
      </c>
      <c r="B1009" s="875" t="s">
        <v>1129</v>
      </c>
      <c r="C1009" s="744" t="s">
        <v>221</v>
      </c>
      <c r="D1009" s="815">
        <v>5988</v>
      </c>
      <c r="E1009" s="815">
        <v>1147</v>
      </c>
      <c r="F1009" s="849" t="s">
        <v>222</v>
      </c>
      <c r="G1009" s="815">
        <v>763</v>
      </c>
      <c r="H1009" s="877">
        <v>3</v>
      </c>
      <c r="I1009" s="877">
        <v>2</v>
      </c>
      <c r="J1009" s="877">
        <v>24</v>
      </c>
      <c r="K1009" s="812" t="s">
        <v>263</v>
      </c>
      <c r="L1009" s="746">
        <f t="shared" si="126"/>
        <v>2002996.32</v>
      </c>
      <c r="M1009" s="745">
        <v>1997034.28</v>
      </c>
      <c r="N1009" s="747"/>
      <c r="O1009" s="736">
        <v>5962.04</v>
      </c>
      <c r="P1009" s="747"/>
      <c r="Q1009" s="586"/>
      <c r="R1009" s="599">
        <f>M1009/E1009</f>
        <v>1741.0935309503052</v>
      </c>
      <c r="S1009" s="748"/>
      <c r="T1009" s="748"/>
      <c r="U1009" s="737"/>
      <c r="V1009" s="589"/>
      <c r="W1009" s="748"/>
      <c r="X1009" s="748"/>
      <c r="Y1009" s="748"/>
      <c r="Z1009" s="748"/>
    </row>
    <row r="1010" spans="1:26" s="90" customFormat="1" ht="37.5" hidden="1">
      <c r="A1010" s="812">
        <f t="shared" si="127"/>
        <v>10</v>
      </c>
      <c r="B1010" s="875" t="s">
        <v>1130</v>
      </c>
      <c r="C1010" s="744" t="s">
        <v>221</v>
      </c>
      <c r="D1010" s="815">
        <v>3979</v>
      </c>
      <c r="E1010" s="815">
        <v>793</v>
      </c>
      <c r="F1010" s="849" t="s">
        <v>222</v>
      </c>
      <c r="G1010" s="815">
        <v>837</v>
      </c>
      <c r="H1010" s="877">
        <v>2</v>
      </c>
      <c r="I1010" s="877">
        <v>3</v>
      </c>
      <c r="J1010" s="877">
        <v>18</v>
      </c>
      <c r="K1010" s="812" t="s">
        <v>262</v>
      </c>
      <c r="L1010" s="746">
        <f t="shared" si="126"/>
        <v>1867041.4899999998</v>
      </c>
      <c r="M1010" s="876">
        <v>1839558.5999999999</v>
      </c>
      <c r="N1010" s="747">
        <v>27482.89</v>
      </c>
      <c r="O1010" s="809"/>
      <c r="P1010" s="747"/>
      <c r="Q1010" s="586"/>
      <c r="R1010" s="864">
        <f>M1010/G1010</f>
        <v>2197.7999999999997</v>
      </c>
      <c r="S1010" s="748"/>
      <c r="T1010" s="748"/>
      <c r="U1010" s="737"/>
      <c r="V1010" s="589"/>
      <c r="W1010" s="748"/>
      <c r="X1010" s="748"/>
      <c r="Y1010" s="748"/>
      <c r="Z1010" s="748"/>
    </row>
    <row r="1011" spans="1:26" s="90" customFormat="1" hidden="1">
      <c r="A1011" s="812">
        <f t="shared" si="127"/>
        <v>11</v>
      </c>
      <c r="B1011" s="875" t="s">
        <v>3670</v>
      </c>
      <c r="C1011" s="744" t="s">
        <v>221</v>
      </c>
      <c r="D1011" s="815">
        <v>3232</v>
      </c>
      <c r="E1011" s="815">
        <v>665.7</v>
      </c>
      <c r="F1011" s="849" t="s">
        <v>222</v>
      </c>
      <c r="G1011" s="815">
        <v>828</v>
      </c>
      <c r="H1011" s="877">
        <v>2</v>
      </c>
      <c r="I1011" s="877">
        <v>2</v>
      </c>
      <c r="J1011" s="877">
        <v>16</v>
      </c>
      <c r="K1011" s="812" t="s">
        <v>300</v>
      </c>
      <c r="L1011" s="746">
        <f t="shared" si="126"/>
        <v>337436.87999999995</v>
      </c>
      <c r="M1011" s="876">
        <v>322080</v>
      </c>
      <c r="N1011" s="747">
        <v>12699.72</v>
      </c>
      <c r="O1011" s="809"/>
      <c r="P1011" s="747"/>
      <c r="Q1011" s="586">
        <v>2657.16</v>
      </c>
      <c r="R1011" s="864">
        <f>M1011/J1011</f>
        <v>20130</v>
      </c>
      <c r="S1011" s="748"/>
      <c r="T1011" s="778"/>
      <c r="U1011" s="737"/>
      <c r="V1011" s="589"/>
      <c r="W1011" s="748"/>
      <c r="X1011" s="748"/>
      <c r="Y1011" s="748"/>
      <c r="Z1011" s="748"/>
    </row>
    <row r="1012" spans="1:26" s="90" customFormat="1" hidden="1">
      <c r="A1012" s="812">
        <f t="shared" si="127"/>
        <v>12</v>
      </c>
      <c r="B1012" s="875" t="s">
        <v>3787</v>
      </c>
      <c r="C1012" s="744" t="s">
        <v>217</v>
      </c>
      <c r="D1012" s="815">
        <v>4085</v>
      </c>
      <c r="E1012" s="815">
        <v>810.8</v>
      </c>
      <c r="F1012" s="849" t="s">
        <v>233</v>
      </c>
      <c r="G1012" s="815">
        <v>630</v>
      </c>
      <c r="H1012" s="877">
        <v>2</v>
      </c>
      <c r="I1012" s="877">
        <v>3</v>
      </c>
      <c r="J1012" s="877">
        <v>18</v>
      </c>
      <c r="K1012" s="812" t="s">
        <v>33</v>
      </c>
      <c r="L1012" s="746">
        <f t="shared" si="126"/>
        <v>1404059.5799999998</v>
      </c>
      <c r="M1012" s="876">
        <v>1386000</v>
      </c>
      <c r="N1012" s="762"/>
      <c r="O1012" s="809">
        <v>5528.16</v>
      </c>
      <c r="P1012" s="747"/>
      <c r="Q1012" s="586">
        <v>12531.42</v>
      </c>
      <c r="R1012" s="864">
        <f>M1012/G1012</f>
        <v>2200</v>
      </c>
      <c r="S1012" s="748"/>
      <c r="T1012" s="748"/>
      <c r="U1012" s="737"/>
      <c r="V1012" s="589"/>
      <c r="W1012" s="748"/>
      <c r="X1012" s="748"/>
      <c r="Y1012" s="748"/>
      <c r="Z1012" s="748"/>
    </row>
    <row r="1013" spans="1:26" s="90" customFormat="1" ht="37.5" hidden="1">
      <c r="A1013" s="812">
        <f t="shared" si="127"/>
        <v>13</v>
      </c>
      <c r="B1013" s="875" t="s">
        <v>3671</v>
      </c>
      <c r="C1013" s="744" t="s">
        <v>221</v>
      </c>
      <c r="D1013" s="815">
        <v>3195</v>
      </c>
      <c r="E1013" s="815">
        <v>661.8</v>
      </c>
      <c r="F1013" s="849" t="s">
        <v>222</v>
      </c>
      <c r="G1013" s="815">
        <v>630</v>
      </c>
      <c r="H1013" s="877">
        <v>2</v>
      </c>
      <c r="I1013" s="877">
        <v>2</v>
      </c>
      <c r="J1013" s="877">
        <v>16</v>
      </c>
      <c r="K1013" s="812" t="s">
        <v>262</v>
      </c>
      <c r="L1013" s="746">
        <f t="shared" si="126"/>
        <v>1610465.76</v>
      </c>
      <c r="M1013" s="876">
        <v>1575000</v>
      </c>
      <c r="N1013" s="747">
        <v>19977.21</v>
      </c>
      <c r="O1013" s="809"/>
      <c r="P1013" s="747"/>
      <c r="Q1013" s="586">
        <v>15488.55</v>
      </c>
      <c r="R1013" s="864">
        <f>M1013/G1013</f>
        <v>2500</v>
      </c>
      <c r="S1013" s="748"/>
      <c r="T1013" s="748"/>
      <c r="U1013" s="737"/>
      <c r="V1013" s="589"/>
      <c r="W1013" s="748"/>
      <c r="X1013" s="748"/>
      <c r="Y1013" s="748"/>
      <c r="Z1013" s="748"/>
    </row>
    <row r="1014" spans="1:26" s="28" customFormat="1" hidden="1">
      <c r="A1014" s="1349" t="s">
        <v>136</v>
      </c>
      <c r="B1014" s="1349"/>
      <c r="C1014" s="593" t="s">
        <v>28</v>
      </c>
      <c r="D1014" s="646">
        <f>SUM(D1001:D1013)</f>
        <v>81373</v>
      </c>
      <c r="E1014" s="646">
        <f>SUM(E1001:E1013)</f>
        <v>15426.199999999999</v>
      </c>
      <c r="F1014" s="646" t="s">
        <v>28</v>
      </c>
      <c r="G1014" s="646">
        <f>SUM(G1001:G1013)</f>
        <v>11148</v>
      </c>
      <c r="H1014" s="582" t="s">
        <v>28</v>
      </c>
      <c r="I1014" s="582" t="s">
        <v>28</v>
      </c>
      <c r="J1014" s="582">
        <f>SUM(J1001:J1013)</f>
        <v>393</v>
      </c>
      <c r="K1014" s="606" t="s">
        <v>28</v>
      </c>
      <c r="L1014" s="584">
        <f>SUM(L1001:L1013)</f>
        <v>24220708.179999996</v>
      </c>
      <c r="M1014" s="585">
        <f>SUM(M1001:M1013)</f>
        <v>23964583.880000003</v>
      </c>
      <c r="N1014" s="586">
        <f>SUM(N1001:N1013)</f>
        <v>192375.41999999998</v>
      </c>
      <c r="O1014" s="587">
        <f>SUM(O1001:O1013)</f>
        <v>33071.75</v>
      </c>
      <c r="P1014" s="586"/>
      <c r="Q1014" s="586">
        <f>SUM(Q1001:Q1013)</f>
        <v>30677.129999999997</v>
      </c>
      <c r="R1014" s="582" t="s">
        <v>28</v>
      </c>
      <c r="S1014" s="586">
        <f t="shared" ref="S1014:S1044" si="128">L1014-M1014-N1014-O1014-P1014-Q1014</f>
        <v>-6.6866050474345684E-9</v>
      </c>
      <c r="T1014" s="645"/>
      <c r="U1014" s="701"/>
      <c r="V1014" s="589"/>
      <c r="W1014" s="592"/>
      <c r="X1014" s="592"/>
      <c r="Y1014" s="592"/>
      <c r="Z1014" s="592"/>
    </row>
    <row r="1015" spans="1:26" s="28" customFormat="1" hidden="1">
      <c r="A1015" s="1368" t="s">
        <v>160</v>
      </c>
      <c r="B1015" s="1368"/>
      <c r="C1015" s="1368"/>
      <c r="D1015" s="1368"/>
      <c r="E1015" s="1368"/>
      <c r="F1015" s="1368"/>
      <c r="G1015" s="1368"/>
      <c r="H1015" s="1368"/>
      <c r="I1015" s="1368"/>
      <c r="J1015" s="1368"/>
      <c r="K1015" s="1368"/>
      <c r="L1015" s="1368"/>
      <c r="M1015" s="1368"/>
      <c r="N1015" s="1368"/>
      <c r="O1015" s="1368"/>
      <c r="P1015" s="1368"/>
      <c r="Q1015" s="1368"/>
      <c r="R1015" s="1368"/>
      <c r="S1015" s="564">
        <f t="shared" si="128"/>
        <v>0</v>
      </c>
      <c r="T1015" s="577"/>
      <c r="U1015" s="591"/>
      <c r="V1015" s="589"/>
      <c r="W1015" s="592"/>
      <c r="X1015" s="592"/>
      <c r="Y1015" s="592"/>
      <c r="Z1015" s="592"/>
    </row>
    <row r="1016" spans="1:26" s="28" customFormat="1" hidden="1">
      <c r="A1016" s="1362" t="s">
        <v>161</v>
      </c>
      <c r="B1016" s="1362"/>
      <c r="C1016" s="582" t="s">
        <v>28</v>
      </c>
      <c r="D1016" s="586">
        <f>D1049+D1119+D1142+D1230+D1242+D1246+D1253+D1259+D1268+D1298+D1301+D1306+D1310+D1354+D1361+D1365+D1371+D1394+D1399+D1415+D1446+D1449+D1455+D1313</f>
        <v>4434806.3074137941</v>
      </c>
      <c r="E1016" s="586">
        <f>E1049+E1119+E1142+E1230+E1242+E1246+E1253+E1259+E1268+E1298+E1301+E1306+E1310+E1354+E1361+E1365+E1371+E1394+E1399+E1415+E1446+E1449+E1455+E1313</f>
        <v>842848.21</v>
      </c>
      <c r="F1016" s="561" t="s">
        <v>28</v>
      </c>
      <c r="G1016" s="586">
        <f>G1049+G1119+G1142+G1230+G1242+G1246+G1253+G1259+G1268+G1298+G1301+G1306+G1310+G1354+G1361+G1365+G1371+G1394+G1399+G1415+G1446+G1449+G1455+G1313</f>
        <v>382026.95999999996</v>
      </c>
      <c r="H1016" s="561" t="s">
        <v>28</v>
      </c>
      <c r="I1016" s="561" t="s">
        <v>28</v>
      </c>
      <c r="J1016" s="586">
        <f>J1049+J1119+J1142+J1230+J1242+J1246+J1253+J1259+J1268+J1298+J1301+J1306+J1310+J1354+J1361+J1365+J1371+J1394+J1399+J1415+J1446+J1449+J1455+J1313</f>
        <v>23928</v>
      </c>
      <c r="K1016" s="590" t="s">
        <v>28</v>
      </c>
      <c r="L1016" s="584">
        <f t="shared" ref="L1016:Q1016" si="129">L1049+L1119+L1142+L1230+L1242+L1246+L1253+L1259+L1268+L1298+L1301+L1306+L1310+L1354+L1361+L1365+L1371+L1394+L1399+L1415+L1446+L1449+L1455+L1313</f>
        <v>977825139.33000016</v>
      </c>
      <c r="M1016" s="585">
        <f t="shared" si="129"/>
        <v>966487327.84000015</v>
      </c>
      <c r="N1016" s="586">
        <f t="shared" si="129"/>
        <v>9372583.370000001</v>
      </c>
      <c r="O1016" s="587">
        <f t="shared" si="129"/>
        <v>1190954.95</v>
      </c>
      <c r="P1016" s="586">
        <f t="shared" si="129"/>
        <v>0</v>
      </c>
      <c r="Q1016" s="586">
        <f t="shared" si="129"/>
        <v>774273.16999999993</v>
      </c>
      <c r="R1016" s="582" t="s">
        <v>28</v>
      </c>
      <c r="S1016" s="564">
        <f t="shared" si="128"/>
        <v>8.6147338151931763E-9</v>
      </c>
      <c r="T1016" s="577" t="e">
        <f>'1.перечень МКД'!#REF!</f>
        <v>#REF!</v>
      </c>
      <c r="U1016" s="589" t="e">
        <f>L1016-T1016</f>
        <v>#REF!</v>
      </c>
      <c r="V1016" s="578"/>
      <c r="W1016" s="578"/>
      <c r="X1016" s="592"/>
      <c r="Y1016" s="592"/>
      <c r="Z1016" s="592"/>
    </row>
    <row r="1017" spans="1:26" s="28" customFormat="1" hidden="1">
      <c r="A1017" s="1347" t="s">
        <v>163</v>
      </c>
      <c r="B1017" s="1347"/>
      <c r="C1017" s="1347"/>
      <c r="D1017" s="1347"/>
      <c r="E1017" s="1347"/>
      <c r="F1017" s="1347"/>
      <c r="G1017" s="1347"/>
      <c r="H1017" s="1347"/>
      <c r="I1017" s="1347"/>
      <c r="J1017" s="1347"/>
      <c r="K1017" s="1347"/>
      <c r="L1017" s="1347"/>
      <c r="M1017" s="1347"/>
      <c r="N1017" s="1347"/>
      <c r="O1017" s="1347"/>
      <c r="P1017" s="1347"/>
      <c r="Q1017" s="1347"/>
      <c r="R1017" s="1347"/>
      <c r="S1017" s="564">
        <f t="shared" si="128"/>
        <v>0</v>
      </c>
      <c r="T1017" s="577"/>
      <c r="U1017" s="591"/>
      <c r="V1017" s="589"/>
      <c r="W1017" s="592"/>
      <c r="X1017" s="592"/>
      <c r="Y1017" s="592"/>
      <c r="Z1017" s="592"/>
    </row>
    <row r="1018" spans="1:26" s="28" customFormat="1" hidden="1">
      <c r="A1018" s="591">
        <v>1</v>
      </c>
      <c r="B1018" s="827" t="s">
        <v>1131</v>
      </c>
      <c r="C1018" s="593" t="s">
        <v>282</v>
      </c>
      <c r="D1018" s="878">
        <v>12853</v>
      </c>
      <c r="E1018" s="878">
        <v>2597</v>
      </c>
      <c r="F1018" s="878" t="s">
        <v>230</v>
      </c>
      <c r="G1018" s="878">
        <v>1135</v>
      </c>
      <c r="H1018" s="879">
        <v>5</v>
      </c>
      <c r="I1018" s="593">
        <v>4</v>
      </c>
      <c r="J1018" s="880">
        <v>67</v>
      </c>
      <c r="K1018" s="881" t="s">
        <v>33</v>
      </c>
      <c r="L1018" s="746">
        <f t="shared" ref="L1018:L1048" si="130">M1018+N1018+O1018+P1018+Q1018</f>
        <v>3515134.91</v>
      </c>
      <c r="M1018" s="882">
        <f>3162110+316209.91</f>
        <v>3478319.91</v>
      </c>
      <c r="N1018" s="883">
        <v>36815</v>
      </c>
      <c r="O1018" s="884"/>
      <c r="P1018" s="883"/>
      <c r="Q1018" s="586"/>
      <c r="R1018" s="599">
        <f>M1018/G1018</f>
        <v>3064.5990396475772</v>
      </c>
      <c r="S1018" s="564">
        <f t="shared" si="128"/>
        <v>0</v>
      </c>
      <c r="T1018" s="597"/>
      <c r="U1018" s="738"/>
      <c r="V1018" s="589"/>
      <c r="W1018" s="592"/>
      <c r="X1018" s="592"/>
      <c r="Y1018" s="592"/>
      <c r="Z1018" s="592"/>
    </row>
    <row r="1019" spans="1:26" s="28" customFormat="1" hidden="1">
      <c r="A1019" s="591">
        <f t="shared" ref="A1019:A1048" si="131">A1018+1</f>
        <v>2</v>
      </c>
      <c r="B1019" s="827" t="s">
        <v>1132</v>
      </c>
      <c r="C1019" s="593" t="s">
        <v>282</v>
      </c>
      <c r="D1019" s="878">
        <v>7113</v>
      </c>
      <c r="E1019" s="878">
        <v>2621</v>
      </c>
      <c r="F1019" s="878" t="s">
        <v>233</v>
      </c>
      <c r="G1019" s="878">
        <v>1074</v>
      </c>
      <c r="H1019" s="879">
        <v>5</v>
      </c>
      <c r="I1019" s="593">
        <v>4</v>
      </c>
      <c r="J1019" s="880">
        <v>48</v>
      </c>
      <c r="K1019" s="881" t="s">
        <v>33</v>
      </c>
      <c r="L1019" s="746">
        <f t="shared" si="130"/>
        <v>1712724.3</v>
      </c>
      <c r="M1019" s="882">
        <v>1706312.52</v>
      </c>
      <c r="N1019" s="883"/>
      <c r="O1019" s="884">
        <v>6411.78</v>
      </c>
      <c r="P1019" s="883"/>
      <c r="Q1019" s="586"/>
      <c r="R1019" s="599">
        <f>M1019/G1019</f>
        <v>1588.7453631284916</v>
      </c>
      <c r="S1019" s="564">
        <f t="shared" si="128"/>
        <v>2.8194335754960775E-11</v>
      </c>
      <c r="T1019" s="597"/>
      <c r="U1019" s="738"/>
      <c r="V1019" s="589"/>
      <c r="W1019" s="592"/>
      <c r="X1019" s="592"/>
      <c r="Y1019" s="592"/>
      <c r="Z1019" s="592"/>
    </row>
    <row r="1020" spans="1:26" s="28" customFormat="1" hidden="1">
      <c r="A1020" s="591">
        <f t="shared" si="131"/>
        <v>3</v>
      </c>
      <c r="B1020" s="827" t="s">
        <v>1133</v>
      </c>
      <c r="C1020" s="593" t="s">
        <v>282</v>
      </c>
      <c r="D1020" s="878">
        <v>17672</v>
      </c>
      <c r="E1020" s="878">
        <v>3370.3</v>
      </c>
      <c r="F1020" s="878" t="s">
        <v>230</v>
      </c>
      <c r="G1020" s="878">
        <v>1691</v>
      </c>
      <c r="H1020" s="879">
        <v>5</v>
      </c>
      <c r="I1020" s="593">
        <v>6</v>
      </c>
      <c r="J1020" s="880">
        <v>97</v>
      </c>
      <c r="K1020" s="881" t="s">
        <v>33</v>
      </c>
      <c r="L1020" s="746">
        <f t="shared" si="130"/>
        <v>4465571.38</v>
      </c>
      <c r="M1020" s="882">
        <v>4427761.38</v>
      </c>
      <c r="N1020" s="883">
        <v>37810</v>
      </c>
      <c r="O1020" s="884"/>
      <c r="P1020" s="883"/>
      <c r="Q1020" s="586"/>
      <c r="R1020" s="599">
        <f>M1020/G1020</f>
        <v>2618.4277823772914</v>
      </c>
      <c r="S1020" s="564">
        <f t="shared" si="128"/>
        <v>0</v>
      </c>
      <c r="T1020" s="597"/>
      <c r="U1020" s="738"/>
      <c r="V1020" s="589"/>
      <c r="W1020" s="592"/>
      <c r="X1020" s="592"/>
      <c r="Y1020" s="592"/>
      <c r="Z1020" s="592"/>
    </row>
    <row r="1021" spans="1:26" s="28" customFormat="1" hidden="1">
      <c r="A1021" s="591">
        <f t="shared" si="131"/>
        <v>4</v>
      </c>
      <c r="B1021" s="827" t="s">
        <v>1134</v>
      </c>
      <c r="C1021" s="593" t="s">
        <v>282</v>
      </c>
      <c r="D1021" s="878">
        <v>12894</v>
      </c>
      <c r="E1021" s="878">
        <v>2518</v>
      </c>
      <c r="F1021" s="878" t="s">
        <v>222</v>
      </c>
      <c r="G1021" s="878">
        <v>1147</v>
      </c>
      <c r="H1021" s="879">
        <v>5</v>
      </c>
      <c r="I1021" s="593">
        <v>4</v>
      </c>
      <c r="J1021" s="880">
        <v>70</v>
      </c>
      <c r="K1021" s="881" t="s">
        <v>224</v>
      </c>
      <c r="L1021" s="746">
        <f t="shared" si="130"/>
        <v>872614.95</v>
      </c>
      <c r="M1021" s="882">
        <v>835799.95</v>
      </c>
      <c r="N1021" s="883">
        <v>36815</v>
      </c>
      <c r="O1021" s="884"/>
      <c r="P1021" s="883"/>
      <c r="Q1021" s="586"/>
      <c r="R1021" s="599">
        <f>M1021/J1021</f>
        <v>11939.999285714284</v>
      </c>
      <c r="S1021" s="564">
        <f t="shared" si="128"/>
        <v>0</v>
      </c>
      <c r="T1021" s="597"/>
      <c r="U1021" s="738"/>
      <c r="V1021" s="589"/>
      <c r="W1021" s="592"/>
      <c r="X1021" s="592"/>
      <c r="Y1021" s="592"/>
      <c r="Z1021" s="592"/>
    </row>
    <row r="1022" spans="1:26" s="28" customFormat="1" hidden="1">
      <c r="A1022" s="591">
        <f t="shared" si="131"/>
        <v>5</v>
      </c>
      <c r="B1022" s="827" t="s">
        <v>1135</v>
      </c>
      <c r="C1022" s="593" t="s">
        <v>282</v>
      </c>
      <c r="D1022" s="878">
        <v>13451</v>
      </c>
      <c r="E1022" s="878">
        <v>1541</v>
      </c>
      <c r="F1022" s="878" t="s">
        <v>230</v>
      </c>
      <c r="G1022" s="878">
        <v>1422</v>
      </c>
      <c r="H1022" s="879">
        <v>4</v>
      </c>
      <c r="I1022" s="593">
        <v>3</v>
      </c>
      <c r="J1022" s="880">
        <v>37</v>
      </c>
      <c r="K1022" s="881" t="s">
        <v>33</v>
      </c>
      <c r="L1022" s="746">
        <f t="shared" si="130"/>
        <v>4293574</v>
      </c>
      <c r="M1022" s="882">
        <v>4261734</v>
      </c>
      <c r="N1022" s="883">
        <v>31840</v>
      </c>
      <c r="O1022" s="884"/>
      <c r="P1022" s="883"/>
      <c r="Q1022" s="586"/>
      <c r="R1022" s="599">
        <f>M1022/G1022</f>
        <v>2997</v>
      </c>
      <c r="S1022" s="564">
        <f t="shared" si="128"/>
        <v>0</v>
      </c>
      <c r="T1022" s="597"/>
      <c r="U1022" s="738"/>
      <c r="V1022" s="589"/>
      <c r="W1022" s="592"/>
      <c r="X1022" s="592"/>
      <c r="Y1022" s="592"/>
      <c r="Z1022" s="592"/>
    </row>
    <row r="1023" spans="1:26" s="28" customFormat="1" hidden="1">
      <c r="A1023" s="591">
        <f t="shared" si="131"/>
        <v>6</v>
      </c>
      <c r="B1023" s="827" t="s">
        <v>1136</v>
      </c>
      <c r="C1023" s="593" t="s">
        <v>282</v>
      </c>
      <c r="D1023" s="878">
        <v>6123</v>
      </c>
      <c r="E1023" s="878">
        <v>1393</v>
      </c>
      <c r="F1023" s="878" t="s">
        <v>230</v>
      </c>
      <c r="G1023" s="878">
        <v>692</v>
      </c>
      <c r="H1023" s="879">
        <v>4</v>
      </c>
      <c r="I1023" s="593">
        <v>2</v>
      </c>
      <c r="J1023" s="880">
        <v>22</v>
      </c>
      <c r="K1023" s="881" t="s">
        <v>33</v>
      </c>
      <c r="L1023" s="746">
        <f t="shared" si="130"/>
        <v>2105764</v>
      </c>
      <c r="M1023" s="882">
        <v>2073924</v>
      </c>
      <c r="N1023" s="883">
        <v>31840</v>
      </c>
      <c r="O1023" s="884"/>
      <c r="P1023" s="883"/>
      <c r="Q1023" s="586"/>
      <c r="R1023" s="599">
        <f>M1023/G1023</f>
        <v>2997</v>
      </c>
      <c r="S1023" s="564">
        <f t="shared" si="128"/>
        <v>0</v>
      </c>
      <c r="T1023" s="597"/>
      <c r="U1023" s="738"/>
      <c r="V1023" s="589"/>
      <c r="W1023" s="592"/>
      <c r="X1023" s="592"/>
      <c r="Y1023" s="592"/>
      <c r="Z1023" s="592"/>
    </row>
    <row r="1024" spans="1:26" s="28" customFormat="1" hidden="1">
      <c r="A1024" s="591">
        <f t="shared" si="131"/>
        <v>7</v>
      </c>
      <c r="B1024" s="827" t="s">
        <v>1137</v>
      </c>
      <c r="C1024" s="593" t="s">
        <v>282</v>
      </c>
      <c r="D1024" s="878">
        <v>6396</v>
      </c>
      <c r="E1024" s="878">
        <v>1413</v>
      </c>
      <c r="F1024" s="878" t="s">
        <v>230</v>
      </c>
      <c r="G1024" s="878">
        <v>692</v>
      </c>
      <c r="H1024" s="879">
        <v>4</v>
      </c>
      <c r="I1024" s="593">
        <v>2</v>
      </c>
      <c r="J1024" s="880">
        <v>22</v>
      </c>
      <c r="K1024" s="881" t="s">
        <v>33</v>
      </c>
      <c r="L1024" s="746">
        <f t="shared" si="130"/>
        <v>2105764</v>
      </c>
      <c r="M1024" s="882">
        <v>2073924</v>
      </c>
      <c r="N1024" s="883">
        <v>31840</v>
      </c>
      <c r="O1024" s="884"/>
      <c r="P1024" s="883"/>
      <c r="Q1024" s="586"/>
      <c r="R1024" s="599">
        <f>M1024/G1024</f>
        <v>2997</v>
      </c>
      <c r="S1024" s="564">
        <f t="shared" si="128"/>
        <v>0</v>
      </c>
      <c r="T1024" s="597"/>
      <c r="U1024" s="738"/>
      <c r="V1024" s="589"/>
      <c r="W1024" s="592"/>
      <c r="X1024" s="592"/>
      <c r="Y1024" s="592"/>
      <c r="Z1024" s="592"/>
    </row>
    <row r="1025" spans="1:26" s="28" customFormat="1" hidden="1">
      <c r="A1025" s="591">
        <f t="shared" si="131"/>
        <v>8</v>
      </c>
      <c r="B1025" s="827" t="s">
        <v>1138</v>
      </c>
      <c r="C1025" s="593" t="s">
        <v>282</v>
      </c>
      <c r="D1025" s="878">
        <v>4945</v>
      </c>
      <c r="E1025" s="878">
        <v>1036</v>
      </c>
      <c r="F1025" s="878" t="s">
        <v>230</v>
      </c>
      <c r="G1025" s="878">
        <v>569</v>
      </c>
      <c r="H1025" s="879">
        <v>4</v>
      </c>
      <c r="I1025" s="593">
        <v>2</v>
      </c>
      <c r="J1025" s="880">
        <v>30</v>
      </c>
      <c r="K1025" s="881" t="s">
        <v>33</v>
      </c>
      <c r="L1025" s="746">
        <f t="shared" si="130"/>
        <v>1612325.5</v>
      </c>
      <c r="M1025" s="882">
        <v>1580485.5</v>
      </c>
      <c r="N1025" s="883">
        <v>31840</v>
      </c>
      <c r="O1025" s="884"/>
      <c r="P1025" s="883"/>
      <c r="Q1025" s="586"/>
      <c r="R1025" s="599">
        <f>M1025/G1025</f>
        <v>2777.6546572934972</v>
      </c>
      <c r="S1025" s="564">
        <f t="shared" si="128"/>
        <v>0</v>
      </c>
      <c r="T1025" s="597"/>
      <c r="U1025" s="738"/>
      <c r="V1025" s="589"/>
      <c r="W1025" s="592"/>
      <c r="X1025" s="592"/>
      <c r="Y1025" s="592"/>
      <c r="Z1025" s="592"/>
    </row>
    <row r="1026" spans="1:26" s="28" customFormat="1" hidden="1">
      <c r="A1026" s="591">
        <f t="shared" si="131"/>
        <v>9</v>
      </c>
      <c r="B1026" s="827" t="s">
        <v>1139</v>
      </c>
      <c r="C1026" s="593" t="s">
        <v>282</v>
      </c>
      <c r="D1026" s="878">
        <v>5084</v>
      </c>
      <c r="E1026" s="878">
        <v>1017</v>
      </c>
      <c r="F1026" s="878" t="s">
        <v>222</v>
      </c>
      <c r="G1026" s="878">
        <v>550</v>
      </c>
      <c r="H1026" s="879">
        <v>4</v>
      </c>
      <c r="I1026" s="593">
        <v>2</v>
      </c>
      <c r="J1026" s="880">
        <v>16</v>
      </c>
      <c r="K1026" s="881" t="s">
        <v>224</v>
      </c>
      <c r="L1026" s="746">
        <f t="shared" si="130"/>
        <v>288037</v>
      </c>
      <c r="M1026" s="882">
        <v>263162</v>
      </c>
      <c r="N1026" s="883">
        <v>24875</v>
      </c>
      <c r="O1026" s="884"/>
      <c r="P1026" s="883"/>
      <c r="Q1026" s="586"/>
      <c r="R1026" s="599">
        <f>M1026/J1026</f>
        <v>16447.625</v>
      </c>
      <c r="S1026" s="564">
        <f t="shared" si="128"/>
        <v>0</v>
      </c>
      <c r="T1026" s="597"/>
      <c r="U1026" s="738"/>
      <c r="V1026" s="589"/>
      <c r="W1026" s="592"/>
      <c r="X1026" s="592"/>
      <c r="Y1026" s="592"/>
      <c r="Z1026" s="592"/>
    </row>
    <row r="1027" spans="1:26" s="28" customFormat="1" hidden="1">
      <c r="A1027" s="591">
        <f t="shared" si="131"/>
        <v>10</v>
      </c>
      <c r="B1027" s="827" t="s">
        <v>1140</v>
      </c>
      <c r="C1027" s="593" t="s">
        <v>282</v>
      </c>
      <c r="D1027" s="878">
        <v>9781</v>
      </c>
      <c r="E1027" s="878">
        <v>1876</v>
      </c>
      <c r="F1027" s="878" t="s">
        <v>230</v>
      </c>
      <c r="G1027" s="878">
        <v>1700</v>
      </c>
      <c r="H1027" s="879">
        <v>3</v>
      </c>
      <c r="I1027" s="593">
        <v>3</v>
      </c>
      <c r="J1027" s="880">
        <v>23</v>
      </c>
      <c r="K1027" s="881" t="s">
        <v>33</v>
      </c>
      <c r="L1027" s="746">
        <f t="shared" si="130"/>
        <v>4744240</v>
      </c>
      <c r="M1027" s="882">
        <v>4712400</v>
      </c>
      <c r="N1027" s="883">
        <v>31840</v>
      </c>
      <c r="O1027" s="884"/>
      <c r="P1027" s="883"/>
      <c r="Q1027" s="586"/>
      <c r="R1027" s="599">
        <f>M1027/G1027</f>
        <v>2772</v>
      </c>
      <c r="S1027" s="564">
        <f t="shared" si="128"/>
        <v>0</v>
      </c>
      <c r="T1027" s="597"/>
      <c r="U1027" s="738"/>
      <c r="V1027" s="589"/>
      <c r="W1027" s="592"/>
      <c r="X1027" s="592"/>
      <c r="Y1027" s="592"/>
      <c r="Z1027" s="592"/>
    </row>
    <row r="1028" spans="1:26" s="28" customFormat="1" hidden="1">
      <c r="A1028" s="591">
        <f t="shared" si="131"/>
        <v>11</v>
      </c>
      <c r="B1028" s="827" t="s">
        <v>1141</v>
      </c>
      <c r="C1028" s="593" t="s">
        <v>282</v>
      </c>
      <c r="D1028" s="878">
        <v>12716</v>
      </c>
      <c r="E1028" s="878">
        <v>3656</v>
      </c>
      <c r="F1028" s="878" t="s">
        <v>230</v>
      </c>
      <c r="G1028" s="878">
        <v>773</v>
      </c>
      <c r="H1028" s="879">
        <v>2</v>
      </c>
      <c r="I1028" s="593">
        <v>2</v>
      </c>
      <c r="J1028" s="880">
        <v>11</v>
      </c>
      <c r="K1028" s="881" t="s">
        <v>33</v>
      </c>
      <c r="L1028" s="746">
        <f t="shared" si="130"/>
        <v>2104562.41</v>
      </c>
      <c r="M1028" s="882">
        <v>2072722.4100000001</v>
      </c>
      <c r="N1028" s="883">
        <v>31840</v>
      </c>
      <c r="O1028" s="884"/>
      <c r="P1028" s="883"/>
      <c r="Q1028" s="586"/>
      <c r="R1028" s="599">
        <f>M1028/G1028</f>
        <v>2681.4002716688228</v>
      </c>
      <c r="S1028" s="564">
        <f t="shared" si="128"/>
        <v>0</v>
      </c>
      <c r="T1028" s="597"/>
      <c r="U1028" s="738"/>
      <c r="V1028" s="589"/>
      <c r="W1028" s="592"/>
      <c r="X1028" s="592"/>
      <c r="Y1028" s="592"/>
      <c r="Z1028" s="592"/>
    </row>
    <row r="1029" spans="1:26" s="28" customFormat="1" hidden="1">
      <c r="A1029" s="591">
        <f t="shared" si="131"/>
        <v>12</v>
      </c>
      <c r="B1029" s="827" t="s">
        <v>1142</v>
      </c>
      <c r="C1029" s="593" t="s">
        <v>282</v>
      </c>
      <c r="D1029" s="878">
        <v>17478</v>
      </c>
      <c r="E1029" s="878">
        <v>3261</v>
      </c>
      <c r="F1029" s="878" t="s">
        <v>230</v>
      </c>
      <c r="G1029" s="878">
        <v>1103</v>
      </c>
      <c r="H1029" s="879">
        <v>5</v>
      </c>
      <c r="I1029" s="593">
        <v>4</v>
      </c>
      <c r="J1029" s="880">
        <v>64</v>
      </c>
      <c r="K1029" s="881" t="s">
        <v>33</v>
      </c>
      <c r="L1029" s="746">
        <f t="shared" si="130"/>
        <v>3365816.43</v>
      </c>
      <c r="M1029" s="882">
        <f>3085311.6+243689.83</f>
        <v>3329001.43</v>
      </c>
      <c r="N1029" s="883">
        <v>36815</v>
      </c>
      <c r="O1029" s="884"/>
      <c r="P1029" s="883"/>
      <c r="Q1029" s="586"/>
      <c r="R1029" s="599">
        <f>M1029/G1029</f>
        <v>3018.1336627379874</v>
      </c>
      <c r="S1029" s="564">
        <f t="shared" si="128"/>
        <v>0</v>
      </c>
      <c r="T1029" s="597"/>
      <c r="U1029" s="738"/>
      <c r="V1029" s="589"/>
      <c r="W1029" s="592"/>
      <c r="X1029" s="592"/>
      <c r="Y1029" s="592"/>
      <c r="Z1029" s="592"/>
    </row>
    <row r="1030" spans="1:26" s="28" customFormat="1" hidden="1">
      <c r="A1030" s="591">
        <f t="shared" si="131"/>
        <v>13</v>
      </c>
      <c r="B1030" s="827" t="s">
        <v>1143</v>
      </c>
      <c r="C1030" s="593" t="s">
        <v>282</v>
      </c>
      <c r="D1030" s="878">
        <v>14482</v>
      </c>
      <c r="E1030" s="878">
        <v>2455.5</v>
      </c>
      <c r="F1030" s="878" t="s">
        <v>230</v>
      </c>
      <c r="G1030" s="878">
        <v>1555</v>
      </c>
      <c r="H1030" s="879">
        <v>5</v>
      </c>
      <c r="I1030" s="593">
        <v>6</v>
      </c>
      <c r="J1030" s="880">
        <v>96</v>
      </c>
      <c r="K1030" s="881" t="s">
        <v>33</v>
      </c>
      <c r="L1030" s="746">
        <f t="shared" si="130"/>
        <v>4803263</v>
      </c>
      <c r="M1030" s="882">
        <f>4332230+433223</f>
        <v>4765453</v>
      </c>
      <c r="N1030" s="883">
        <v>37810</v>
      </c>
      <c r="O1030" s="884"/>
      <c r="P1030" s="883"/>
      <c r="Q1030" s="586"/>
      <c r="R1030" s="599">
        <f>M1030/G1030</f>
        <v>3064.6</v>
      </c>
      <c r="S1030" s="564">
        <f t="shared" si="128"/>
        <v>0</v>
      </c>
      <c r="T1030" s="597"/>
      <c r="U1030" s="738"/>
      <c r="V1030" s="589"/>
      <c r="W1030" s="592"/>
      <c r="X1030" s="592"/>
      <c r="Y1030" s="592"/>
      <c r="Z1030" s="592"/>
    </row>
    <row r="1031" spans="1:26" s="28" customFormat="1" hidden="1">
      <c r="A1031" s="591">
        <f t="shared" si="131"/>
        <v>14</v>
      </c>
      <c r="B1031" s="827" t="s">
        <v>1144</v>
      </c>
      <c r="C1031" s="593" t="s">
        <v>282</v>
      </c>
      <c r="D1031" s="878">
        <v>13192</v>
      </c>
      <c r="E1031" s="878">
        <v>2446</v>
      </c>
      <c r="F1031" s="878" t="s">
        <v>230</v>
      </c>
      <c r="G1031" s="878">
        <v>1145</v>
      </c>
      <c r="H1031" s="879">
        <v>5</v>
      </c>
      <c r="I1031" s="593">
        <v>4</v>
      </c>
      <c r="J1031" s="880">
        <v>60</v>
      </c>
      <c r="K1031" s="881" t="s">
        <v>33</v>
      </c>
      <c r="L1031" s="746">
        <f t="shared" si="130"/>
        <v>3239111.5</v>
      </c>
      <c r="M1031" s="882">
        <v>3202794</v>
      </c>
      <c r="N1031" s="883">
        <v>36317.5</v>
      </c>
      <c r="O1031" s="884"/>
      <c r="P1031" s="883"/>
      <c r="Q1031" s="586"/>
      <c r="R1031" s="599">
        <f>M1031/G1031</f>
        <v>2797.2</v>
      </c>
      <c r="S1031" s="564">
        <f t="shared" si="128"/>
        <v>0</v>
      </c>
      <c r="T1031" s="597"/>
      <c r="U1031" s="738"/>
      <c r="V1031" s="589"/>
      <c r="W1031" s="592"/>
      <c r="X1031" s="592"/>
      <c r="Y1031" s="592"/>
      <c r="Z1031" s="592"/>
    </row>
    <row r="1032" spans="1:26" s="28" customFormat="1" ht="37.5" hidden="1">
      <c r="A1032" s="591">
        <f t="shared" si="131"/>
        <v>15</v>
      </c>
      <c r="B1032" s="827" t="s">
        <v>1145</v>
      </c>
      <c r="C1032" s="593" t="s">
        <v>282</v>
      </c>
      <c r="D1032" s="878">
        <v>50590</v>
      </c>
      <c r="E1032" s="878">
        <v>8944</v>
      </c>
      <c r="F1032" s="878" t="s">
        <v>233</v>
      </c>
      <c r="G1032" s="878">
        <v>1505.4</v>
      </c>
      <c r="H1032" s="879">
        <v>9</v>
      </c>
      <c r="I1032" s="593">
        <v>1</v>
      </c>
      <c r="J1032" s="880">
        <v>57</v>
      </c>
      <c r="K1032" s="881" t="s">
        <v>219</v>
      </c>
      <c r="L1032" s="746">
        <f t="shared" si="130"/>
        <v>2070750</v>
      </c>
      <c r="M1032" s="882">
        <v>1990000</v>
      </c>
      <c r="N1032" s="883">
        <v>80750</v>
      </c>
      <c r="O1032" s="884"/>
      <c r="P1032" s="883"/>
      <c r="Q1032" s="883"/>
      <c r="R1032" s="599">
        <f>M1032/I1032</f>
        <v>1990000</v>
      </c>
      <c r="S1032" s="564">
        <f t="shared" si="128"/>
        <v>0</v>
      </c>
      <c r="T1032" s="597"/>
      <c r="U1032" s="738"/>
      <c r="V1032" s="589"/>
      <c r="W1032" s="592"/>
      <c r="X1032" s="592"/>
      <c r="Y1032" s="592"/>
      <c r="Z1032" s="592"/>
    </row>
    <row r="1033" spans="1:26" s="28" customFormat="1" hidden="1">
      <c r="A1033" s="591">
        <f t="shared" si="131"/>
        <v>16</v>
      </c>
      <c r="B1033" s="827" t="s">
        <v>1146</v>
      </c>
      <c r="C1033" s="593" t="s">
        <v>282</v>
      </c>
      <c r="D1033" s="878">
        <v>13477</v>
      </c>
      <c r="E1033" s="878">
        <v>2490</v>
      </c>
      <c r="F1033" s="878" t="s">
        <v>230</v>
      </c>
      <c r="G1033" s="878">
        <v>1170</v>
      </c>
      <c r="H1033" s="879">
        <v>5</v>
      </c>
      <c r="I1033" s="593">
        <v>4</v>
      </c>
      <c r="J1033" s="880">
        <v>70</v>
      </c>
      <c r="K1033" s="881" t="s">
        <v>38</v>
      </c>
      <c r="L1033" s="746">
        <f t="shared" si="130"/>
        <v>2737733.71</v>
      </c>
      <c r="M1033" s="882">
        <v>2729577.69</v>
      </c>
      <c r="N1033" s="883"/>
      <c r="O1033" s="884">
        <v>8156.02</v>
      </c>
      <c r="P1033" s="883"/>
      <c r="Q1033" s="586"/>
      <c r="R1033" s="599">
        <f>M1033/E1033</f>
        <v>1096.215939759036</v>
      </c>
      <c r="S1033" s="564">
        <f t="shared" si="128"/>
        <v>1.8189894035458565E-11</v>
      </c>
      <c r="T1033" s="597"/>
      <c r="U1033" s="738"/>
      <c r="V1033" s="589"/>
      <c r="W1033" s="592"/>
      <c r="X1033" s="592"/>
      <c r="Y1033" s="592"/>
      <c r="Z1033" s="592"/>
    </row>
    <row r="1034" spans="1:26" s="28" customFormat="1" hidden="1">
      <c r="A1034" s="591">
        <f t="shared" si="131"/>
        <v>17</v>
      </c>
      <c r="B1034" s="827" t="s">
        <v>1147</v>
      </c>
      <c r="C1034" s="593" t="s">
        <v>282</v>
      </c>
      <c r="D1034" s="878">
        <v>17360</v>
      </c>
      <c r="E1034" s="878">
        <v>3352</v>
      </c>
      <c r="F1034" s="878" t="s">
        <v>230</v>
      </c>
      <c r="G1034" s="878">
        <v>1174</v>
      </c>
      <c r="H1034" s="879">
        <v>5</v>
      </c>
      <c r="I1034" s="593">
        <v>4</v>
      </c>
      <c r="J1034" s="880">
        <v>66</v>
      </c>
      <c r="K1034" s="881" t="s">
        <v>33</v>
      </c>
      <c r="L1034" s="746">
        <f t="shared" si="130"/>
        <v>3305589</v>
      </c>
      <c r="M1034" s="882">
        <v>3270764</v>
      </c>
      <c r="N1034" s="883">
        <v>34825</v>
      </c>
      <c r="O1034" s="884"/>
      <c r="P1034" s="883"/>
      <c r="Q1034" s="586"/>
      <c r="R1034" s="599">
        <f>M1034/G1034</f>
        <v>2786</v>
      </c>
      <c r="S1034" s="564">
        <f t="shared" si="128"/>
        <v>0</v>
      </c>
      <c r="T1034" s="597"/>
      <c r="U1034" s="738"/>
      <c r="V1034" s="589"/>
      <c r="W1034" s="592"/>
      <c r="X1034" s="592"/>
      <c r="Y1034" s="592"/>
      <c r="Z1034" s="592"/>
    </row>
    <row r="1035" spans="1:26" s="28" customFormat="1" hidden="1">
      <c r="A1035" s="591">
        <f t="shared" si="131"/>
        <v>18</v>
      </c>
      <c r="B1035" s="827" t="s">
        <v>1148</v>
      </c>
      <c r="C1035" s="593" t="s">
        <v>282</v>
      </c>
      <c r="D1035" s="878">
        <v>17620</v>
      </c>
      <c r="E1035" s="878">
        <v>3270</v>
      </c>
      <c r="F1035" s="878" t="s">
        <v>222</v>
      </c>
      <c r="G1035" s="878">
        <v>1562</v>
      </c>
      <c r="H1035" s="879">
        <v>5</v>
      </c>
      <c r="I1035" s="593">
        <v>6</v>
      </c>
      <c r="J1035" s="880">
        <v>100</v>
      </c>
      <c r="K1035" s="881" t="s">
        <v>38</v>
      </c>
      <c r="L1035" s="746">
        <f t="shared" si="130"/>
        <v>1657631.64</v>
      </c>
      <c r="M1035" s="882">
        <v>1648960.22</v>
      </c>
      <c r="N1035" s="883"/>
      <c r="O1035" s="884">
        <v>8671.42</v>
      </c>
      <c r="P1035" s="883"/>
      <c r="Q1035" s="586"/>
      <c r="R1035" s="599">
        <f>M1035/E1035</f>
        <v>504.26918042813458</v>
      </c>
      <c r="S1035" s="564">
        <f t="shared" si="128"/>
        <v>-7.4578565545380116E-11</v>
      </c>
      <c r="T1035" s="597"/>
      <c r="U1035" s="738"/>
      <c r="V1035" s="589"/>
      <c r="W1035" s="592"/>
      <c r="X1035" s="592"/>
      <c r="Y1035" s="592"/>
      <c r="Z1035" s="592"/>
    </row>
    <row r="1036" spans="1:26" s="28" customFormat="1" hidden="1">
      <c r="A1036" s="591">
        <f t="shared" si="131"/>
        <v>19</v>
      </c>
      <c r="B1036" s="827" t="s">
        <v>1149</v>
      </c>
      <c r="C1036" s="593" t="s">
        <v>282</v>
      </c>
      <c r="D1036" s="878">
        <v>6694</v>
      </c>
      <c r="E1036" s="878">
        <v>1635</v>
      </c>
      <c r="F1036" s="878" t="s">
        <v>230</v>
      </c>
      <c r="G1036" s="878">
        <v>1562</v>
      </c>
      <c r="H1036" s="879">
        <v>5</v>
      </c>
      <c r="I1036" s="593">
        <v>6</v>
      </c>
      <c r="J1036" s="880">
        <v>100</v>
      </c>
      <c r="K1036" s="881" t="s">
        <v>33</v>
      </c>
      <c r="L1036" s="746">
        <f t="shared" si="130"/>
        <v>4406943.37</v>
      </c>
      <c r="M1036" s="882">
        <v>4369133.37</v>
      </c>
      <c r="N1036" s="883">
        <v>37810</v>
      </c>
      <c r="O1036" s="884"/>
      <c r="P1036" s="883"/>
      <c r="Q1036" s="586"/>
      <c r="R1036" s="599">
        <f>M1036/G1036</f>
        <v>2797.1404417413573</v>
      </c>
      <c r="S1036" s="564">
        <f t="shared" si="128"/>
        <v>0</v>
      </c>
      <c r="T1036" s="597"/>
      <c r="U1036" s="738"/>
      <c r="V1036" s="589"/>
      <c r="W1036" s="592"/>
      <c r="X1036" s="592"/>
      <c r="Y1036" s="592"/>
      <c r="Z1036" s="592"/>
    </row>
    <row r="1037" spans="1:26" s="28" customFormat="1" hidden="1">
      <c r="A1037" s="591">
        <f t="shared" si="131"/>
        <v>20</v>
      </c>
      <c r="B1037" s="827" t="s">
        <v>1150</v>
      </c>
      <c r="C1037" s="593" t="s">
        <v>282</v>
      </c>
      <c r="D1037" s="878">
        <v>17478</v>
      </c>
      <c r="E1037" s="878">
        <v>3561</v>
      </c>
      <c r="F1037" s="878" t="s">
        <v>233</v>
      </c>
      <c r="G1037" s="878">
        <v>1544</v>
      </c>
      <c r="H1037" s="879">
        <v>3</v>
      </c>
      <c r="I1037" s="593">
        <v>4</v>
      </c>
      <c r="J1037" s="880">
        <v>36</v>
      </c>
      <c r="K1037" s="881" t="s">
        <v>33</v>
      </c>
      <c r="L1037" s="746">
        <f t="shared" si="130"/>
        <v>2402792.16</v>
      </c>
      <c r="M1037" s="882">
        <v>2393574.48</v>
      </c>
      <c r="N1037" s="883"/>
      <c r="O1037" s="884">
        <v>9217.68</v>
      </c>
      <c r="P1037" s="883"/>
      <c r="Q1037" s="586"/>
      <c r="R1037" s="599">
        <f>M1037/G1037</f>
        <v>1550.2425388601037</v>
      </c>
      <c r="S1037" s="564">
        <f t="shared" si="128"/>
        <v>1.673470251262188E-10</v>
      </c>
      <c r="T1037" s="597"/>
      <c r="U1037" s="738"/>
      <c r="V1037" s="589"/>
      <c r="W1037" s="592"/>
      <c r="X1037" s="592"/>
      <c r="Y1037" s="592"/>
      <c r="Z1037" s="592"/>
    </row>
    <row r="1038" spans="1:26" s="28" customFormat="1" hidden="1">
      <c r="A1038" s="591">
        <f t="shared" si="131"/>
        <v>21</v>
      </c>
      <c r="B1038" s="827" t="s">
        <v>1151</v>
      </c>
      <c r="C1038" s="593" t="s">
        <v>217</v>
      </c>
      <c r="D1038" s="878">
        <v>13428</v>
      </c>
      <c r="E1038" s="878">
        <v>2132</v>
      </c>
      <c r="F1038" s="878" t="s">
        <v>233</v>
      </c>
      <c r="G1038" s="878">
        <v>1017</v>
      </c>
      <c r="H1038" s="879">
        <v>9</v>
      </c>
      <c r="I1038" s="593">
        <v>2</v>
      </c>
      <c r="J1038" s="880">
        <v>72</v>
      </c>
      <c r="K1038" s="881" t="s">
        <v>33</v>
      </c>
      <c r="L1038" s="746">
        <f t="shared" si="130"/>
        <v>2038037.49</v>
      </c>
      <c r="M1038" s="882">
        <v>2031966</v>
      </c>
      <c r="N1038" s="883"/>
      <c r="O1038" s="884">
        <v>6071.49</v>
      </c>
      <c r="P1038" s="883"/>
      <c r="Q1038" s="586"/>
      <c r="R1038" s="599">
        <f>M1038/G1038</f>
        <v>1998</v>
      </c>
      <c r="S1038" s="564">
        <f t="shared" si="128"/>
        <v>-9.0949470177292824E-12</v>
      </c>
      <c r="T1038" s="597"/>
      <c r="U1038" s="738"/>
      <c r="V1038" s="589"/>
      <c r="W1038" s="592"/>
      <c r="X1038" s="592"/>
      <c r="Y1038" s="592"/>
      <c r="Z1038" s="592"/>
    </row>
    <row r="1039" spans="1:26" s="28" customFormat="1" ht="37.5" hidden="1">
      <c r="A1039" s="591">
        <f t="shared" si="131"/>
        <v>22</v>
      </c>
      <c r="B1039" s="827" t="s">
        <v>1152</v>
      </c>
      <c r="C1039" s="593" t="s">
        <v>283</v>
      </c>
      <c r="D1039" s="878">
        <v>26508</v>
      </c>
      <c r="E1039" s="878">
        <v>2506.9</v>
      </c>
      <c r="F1039" s="878" t="s">
        <v>233</v>
      </c>
      <c r="G1039" s="878">
        <v>686</v>
      </c>
      <c r="H1039" s="879">
        <v>9</v>
      </c>
      <c r="I1039" s="593">
        <v>2</v>
      </c>
      <c r="J1039" s="880">
        <v>72</v>
      </c>
      <c r="K1039" s="881" t="s">
        <v>219</v>
      </c>
      <c r="L1039" s="746">
        <f t="shared" si="130"/>
        <v>4080937.5</v>
      </c>
      <c r="M1039" s="882">
        <v>3980000</v>
      </c>
      <c r="N1039" s="883">
        <v>100937.5</v>
      </c>
      <c r="O1039" s="884"/>
      <c r="P1039" s="883"/>
      <c r="Q1039" s="883"/>
      <c r="R1039" s="599">
        <f>M1039/I1039</f>
        <v>1990000</v>
      </c>
      <c r="S1039" s="564">
        <f t="shared" si="128"/>
        <v>0</v>
      </c>
      <c r="T1039" s="597"/>
      <c r="U1039" s="738"/>
      <c r="V1039" s="589"/>
      <c r="W1039" s="592"/>
      <c r="X1039" s="592"/>
      <c r="Y1039" s="592"/>
      <c r="Z1039" s="592"/>
    </row>
    <row r="1040" spans="1:26" s="28" customFormat="1" hidden="1">
      <c r="A1040" s="591">
        <f t="shared" si="131"/>
        <v>23</v>
      </c>
      <c r="B1040" s="827" t="s">
        <v>1153</v>
      </c>
      <c r="C1040" s="593" t="s">
        <v>282</v>
      </c>
      <c r="D1040" s="878">
        <v>16781</v>
      </c>
      <c r="E1040" s="878">
        <v>3888</v>
      </c>
      <c r="F1040" s="878" t="s">
        <v>233</v>
      </c>
      <c r="G1040" s="878">
        <v>1344</v>
      </c>
      <c r="H1040" s="879">
        <v>5</v>
      </c>
      <c r="I1040" s="593">
        <v>7</v>
      </c>
      <c r="J1040" s="880">
        <v>105</v>
      </c>
      <c r="K1040" s="881" t="s">
        <v>33</v>
      </c>
      <c r="L1040" s="746">
        <f t="shared" si="130"/>
        <v>2669109.0299999998</v>
      </c>
      <c r="M1040" s="882">
        <v>2661085.3499999996</v>
      </c>
      <c r="N1040" s="883"/>
      <c r="O1040" s="884">
        <v>8023.68</v>
      </c>
      <c r="P1040" s="883"/>
      <c r="Q1040" s="586"/>
      <c r="R1040" s="599">
        <f>M1040/G1040</f>
        <v>1979.9742187499996</v>
      </c>
      <c r="S1040" s="564">
        <f t="shared" si="128"/>
        <v>1.673470251262188E-10</v>
      </c>
      <c r="T1040" s="597"/>
      <c r="U1040" s="738"/>
      <c r="V1040" s="589"/>
      <c r="W1040" s="592"/>
      <c r="X1040" s="592"/>
      <c r="Y1040" s="592"/>
      <c r="Z1040" s="592"/>
    </row>
    <row r="1041" spans="1:26" s="28" customFormat="1" hidden="1">
      <c r="A1041" s="591">
        <f t="shared" si="131"/>
        <v>24</v>
      </c>
      <c r="B1041" s="827" t="s">
        <v>1155</v>
      </c>
      <c r="C1041" s="593" t="s">
        <v>229</v>
      </c>
      <c r="D1041" s="878">
        <v>1503</v>
      </c>
      <c r="E1041" s="878">
        <v>334</v>
      </c>
      <c r="F1041" s="878" t="s">
        <v>230</v>
      </c>
      <c r="G1041" s="878">
        <v>326</v>
      </c>
      <c r="H1041" s="879">
        <v>2</v>
      </c>
      <c r="I1041" s="593">
        <v>1</v>
      </c>
      <c r="J1041" s="880">
        <v>8</v>
      </c>
      <c r="K1041" s="881" t="s">
        <v>33</v>
      </c>
      <c r="L1041" s="746">
        <f t="shared" si="130"/>
        <v>914204.09000000008</v>
      </c>
      <c r="M1041" s="882">
        <v>887339.09000000008</v>
      </c>
      <c r="N1041" s="883">
        <v>26865</v>
      </c>
      <c r="O1041" s="884"/>
      <c r="P1041" s="883"/>
      <c r="Q1041" s="586"/>
      <c r="R1041" s="599">
        <f>M1041/G1041</f>
        <v>2721.8990490797551</v>
      </c>
      <c r="S1041" s="564">
        <f t="shared" si="128"/>
        <v>0</v>
      </c>
      <c r="T1041" s="597"/>
      <c r="U1041" s="738"/>
      <c r="V1041" s="589"/>
      <c r="W1041" s="592"/>
      <c r="X1041" s="592"/>
      <c r="Y1041" s="592"/>
      <c r="Z1041" s="592"/>
    </row>
    <row r="1042" spans="1:26" s="28" customFormat="1" hidden="1">
      <c r="A1042" s="591">
        <f t="shared" si="131"/>
        <v>25</v>
      </c>
      <c r="B1042" s="827" t="s">
        <v>1156</v>
      </c>
      <c r="C1042" s="593" t="s">
        <v>221</v>
      </c>
      <c r="D1042" s="878">
        <v>4084</v>
      </c>
      <c r="E1042" s="878">
        <v>750</v>
      </c>
      <c r="F1042" s="878" t="s">
        <v>230</v>
      </c>
      <c r="G1042" s="878">
        <v>876.3</v>
      </c>
      <c r="H1042" s="879">
        <v>2</v>
      </c>
      <c r="I1042" s="593">
        <v>3</v>
      </c>
      <c r="J1042" s="880">
        <v>18</v>
      </c>
      <c r="K1042" s="881" t="s">
        <v>33</v>
      </c>
      <c r="L1042" s="746">
        <f t="shared" si="130"/>
        <v>2480197.2000000002</v>
      </c>
      <c r="M1042" s="882">
        <v>2450347.2000000002</v>
      </c>
      <c r="N1042" s="883">
        <v>29850</v>
      </c>
      <c r="O1042" s="884"/>
      <c r="P1042" s="883"/>
      <c r="Q1042" s="586"/>
      <c r="R1042" s="599">
        <f>M1042/G1042</f>
        <v>2796.2423827456355</v>
      </c>
      <c r="S1042" s="564">
        <f t="shared" si="128"/>
        <v>0</v>
      </c>
      <c r="T1042" s="597"/>
      <c r="U1042" s="738"/>
      <c r="V1042" s="589"/>
      <c r="W1042" s="592"/>
      <c r="X1042" s="592"/>
      <c r="Y1042" s="592"/>
      <c r="Z1042" s="592"/>
    </row>
    <row r="1043" spans="1:26" s="28" customFormat="1" hidden="1">
      <c r="A1043" s="591">
        <f t="shared" si="131"/>
        <v>26</v>
      </c>
      <c r="B1043" s="827" t="s">
        <v>3583</v>
      </c>
      <c r="C1043" s="593" t="s">
        <v>282</v>
      </c>
      <c r="D1043" s="878"/>
      <c r="E1043" s="878">
        <v>2090</v>
      </c>
      <c r="F1043" s="878" t="s">
        <v>233</v>
      </c>
      <c r="G1043" s="878">
        <v>1100</v>
      </c>
      <c r="H1043" s="879">
        <v>5</v>
      </c>
      <c r="I1043" s="593">
        <v>4</v>
      </c>
      <c r="J1043" s="880">
        <v>69</v>
      </c>
      <c r="K1043" s="881" t="s">
        <v>38</v>
      </c>
      <c r="L1043" s="746">
        <f t="shared" si="130"/>
        <v>440757</v>
      </c>
      <c r="M1043" s="882">
        <v>440757</v>
      </c>
      <c r="N1043" s="586"/>
      <c r="O1043" s="587"/>
      <c r="P1043" s="586"/>
      <c r="Q1043" s="586"/>
      <c r="R1043" s="599">
        <f>M1043/E1043</f>
        <v>210.88851674641148</v>
      </c>
      <c r="S1043" s="564">
        <f t="shared" si="128"/>
        <v>0</v>
      </c>
      <c r="T1043" s="885"/>
      <c r="U1043" s="591"/>
      <c r="V1043" s="592"/>
      <c r="W1043" s="592"/>
      <c r="X1043" s="592"/>
      <c r="Y1043" s="592"/>
      <c r="Z1043" s="592"/>
    </row>
    <row r="1044" spans="1:26" s="28" customFormat="1" hidden="1">
      <c r="A1044" s="591">
        <f t="shared" si="131"/>
        <v>27</v>
      </c>
      <c r="B1044" s="827" t="s">
        <v>3584</v>
      </c>
      <c r="C1044" s="593" t="s">
        <v>314</v>
      </c>
      <c r="D1044" s="878"/>
      <c r="E1044" s="878">
        <v>3488</v>
      </c>
      <c r="F1044" s="878" t="s">
        <v>233</v>
      </c>
      <c r="G1044" s="878">
        <v>1549</v>
      </c>
      <c r="H1044" s="879">
        <v>5</v>
      </c>
      <c r="I1044" s="593">
        <v>6</v>
      </c>
      <c r="J1044" s="880">
        <v>100</v>
      </c>
      <c r="K1044" s="881" t="s">
        <v>33</v>
      </c>
      <c r="L1044" s="746">
        <f t="shared" si="130"/>
        <v>2955348.01</v>
      </c>
      <c r="M1044" s="882">
        <v>2928384.5</v>
      </c>
      <c r="N1044" s="883"/>
      <c r="O1044" s="884">
        <v>7063.51</v>
      </c>
      <c r="P1044" s="883"/>
      <c r="Q1044" s="597">
        <v>19900</v>
      </c>
      <c r="R1044" s="886">
        <f>M1044/G1044</f>
        <v>1890.5</v>
      </c>
      <c r="S1044" s="564">
        <f t="shared" si="128"/>
        <v>-2.255546860396862E-10</v>
      </c>
      <c r="T1044" s="885"/>
      <c r="U1044" s="591"/>
      <c r="V1044" s="592"/>
      <c r="W1044" s="592"/>
      <c r="X1044" s="592"/>
      <c r="Y1044" s="592"/>
      <c r="Z1044" s="592"/>
    </row>
    <row r="1045" spans="1:26" s="28" customFormat="1" hidden="1">
      <c r="A1045" s="591">
        <f t="shared" si="131"/>
        <v>28</v>
      </c>
      <c r="B1045" s="827" t="s">
        <v>3035</v>
      </c>
      <c r="C1045" s="593" t="s">
        <v>282</v>
      </c>
      <c r="D1045" s="878">
        <v>3017</v>
      </c>
      <c r="E1045" s="878">
        <v>663.2</v>
      </c>
      <c r="F1045" s="878" t="s">
        <v>230</v>
      </c>
      <c r="G1045" s="878">
        <v>608</v>
      </c>
      <c r="H1045" s="879">
        <v>2</v>
      </c>
      <c r="I1045" s="593">
        <v>1</v>
      </c>
      <c r="J1045" s="880">
        <v>32</v>
      </c>
      <c r="K1045" s="881" t="s">
        <v>33</v>
      </c>
      <c r="L1045" s="746">
        <f t="shared" si="130"/>
        <v>1569858.99</v>
      </c>
      <c r="M1045" s="585">
        <v>1535375.27</v>
      </c>
      <c r="N1045" s="597">
        <v>19784.580000000002</v>
      </c>
      <c r="O1045" s="887"/>
      <c r="P1045" s="675"/>
      <c r="Q1045" s="586">
        <v>14699.14</v>
      </c>
      <c r="R1045" s="582">
        <f>M1045/G1045</f>
        <v>2525.2882730263159</v>
      </c>
      <c r="S1045" s="564"/>
      <c r="T1045" s="885"/>
      <c r="U1045" s="591"/>
      <c r="V1045" s="592"/>
      <c r="W1045" s="592"/>
      <c r="X1045" s="592"/>
      <c r="Y1045" s="592"/>
      <c r="Z1045" s="592"/>
    </row>
    <row r="1046" spans="1:26" s="28" customFormat="1" hidden="1">
      <c r="A1046" s="591">
        <f t="shared" si="131"/>
        <v>29</v>
      </c>
      <c r="B1046" s="827" t="s">
        <v>3053</v>
      </c>
      <c r="C1046" s="593" t="s">
        <v>282</v>
      </c>
      <c r="D1046" s="878">
        <v>10691</v>
      </c>
      <c r="E1046" s="878">
        <v>2393</v>
      </c>
      <c r="F1046" s="878" t="s">
        <v>233</v>
      </c>
      <c r="G1046" s="878">
        <v>761</v>
      </c>
      <c r="H1046" s="879">
        <v>5</v>
      </c>
      <c r="I1046" s="593">
        <v>4</v>
      </c>
      <c r="J1046" s="880">
        <v>58</v>
      </c>
      <c r="K1046" s="881" t="s">
        <v>33</v>
      </c>
      <c r="L1046" s="746">
        <f t="shared" si="130"/>
        <v>1691920.39</v>
      </c>
      <c r="M1046" s="585">
        <v>1665829</v>
      </c>
      <c r="N1046" s="675"/>
      <c r="O1046" s="598">
        <v>6191.39</v>
      </c>
      <c r="P1046" s="675"/>
      <c r="Q1046" s="586">
        <v>19900</v>
      </c>
      <c r="R1046" s="582">
        <f>M1046/G1046</f>
        <v>2189</v>
      </c>
      <c r="S1046" s="564"/>
      <c r="T1046" s="885"/>
      <c r="U1046" s="591"/>
      <c r="V1046" s="592"/>
      <c r="W1046" s="592"/>
      <c r="X1046" s="592"/>
      <c r="Y1046" s="592"/>
      <c r="Z1046" s="592"/>
    </row>
    <row r="1047" spans="1:26" s="28" customFormat="1" hidden="1">
      <c r="A1047" s="591">
        <f t="shared" si="131"/>
        <v>30</v>
      </c>
      <c r="B1047" s="827" t="s">
        <v>3678</v>
      </c>
      <c r="C1047" s="593" t="s">
        <v>282</v>
      </c>
      <c r="D1047" s="878">
        <v>24095</v>
      </c>
      <c r="E1047" s="878">
        <v>5264</v>
      </c>
      <c r="F1047" s="878" t="s">
        <v>233</v>
      </c>
      <c r="G1047" s="878">
        <v>1344</v>
      </c>
      <c r="H1047" s="879">
        <v>5</v>
      </c>
      <c r="I1047" s="593">
        <v>8</v>
      </c>
      <c r="J1047" s="880">
        <v>97</v>
      </c>
      <c r="K1047" s="881" t="s">
        <v>33</v>
      </c>
      <c r="L1047" s="746">
        <f t="shared" si="130"/>
        <v>2969698.89</v>
      </c>
      <c r="M1047" s="585">
        <v>2942016</v>
      </c>
      <c r="N1047" s="675"/>
      <c r="O1047" s="598">
        <v>7782.89</v>
      </c>
      <c r="P1047" s="675"/>
      <c r="Q1047" s="586">
        <v>19900</v>
      </c>
      <c r="R1047" s="582">
        <f>M1047/G1047</f>
        <v>2189</v>
      </c>
      <c r="S1047" s="564"/>
      <c r="T1047" s="885"/>
      <c r="U1047" s="589"/>
      <c r="V1047" s="592"/>
      <c r="W1047" s="592"/>
      <c r="X1047" s="592"/>
      <c r="Y1047" s="592"/>
      <c r="Z1047" s="592"/>
    </row>
    <row r="1048" spans="1:26" s="28" customFormat="1" hidden="1">
      <c r="A1048" s="591">
        <f t="shared" si="131"/>
        <v>31</v>
      </c>
      <c r="B1048" s="827" t="s">
        <v>3679</v>
      </c>
      <c r="C1048" s="593" t="s">
        <v>282</v>
      </c>
      <c r="D1048" s="878">
        <v>3806</v>
      </c>
      <c r="E1048" s="878">
        <v>746</v>
      </c>
      <c r="F1048" s="878" t="s">
        <v>230</v>
      </c>
      <c r="G1048" s="878">
        <v>1254</v>
      </c>
      <c r="H1048" s="879">
        <v>2</v>
      </c>
      <c r="I1048" s="593">
        <v>3</v>
      </c>
      <c r="J1048" s="880">
        <v>22</v>
      </c>
      <c r="K1048" s="881" t="s">
        <v>33</v>
      </c>
      <c r="L1048" s="746">
        <f t="shared" si="130"/>
        <v>3143277.8699999996</v>
      </c>
      <c r="M1048" s="585">
        <v>3103650</v>
      </c>
      <c r="N1048" s="597">
        <v>21084.05</v>
      </c>
      <c r="O1048" s="887"/>
      <c r="P1048" s="675"/>
      <c r="Q1048" s="586">
        <v>18543.82</v>
      </c>
      <c r="R1048" s="582">
        <f>M1048/G1048</f>
        <v>2475</v>
      </c>
      <c r="S1048" s="564"/>
      <c r="T1048" s="885"/>
      <c r="U1048" s="591"/>
      <c r="V1048" s="592"/>
      <c r="W1048" s="592"/>
      <c r="X1048" s="592"/>
      <c r="Y1048" s="592"/>
      <c r="Z1048" s="592"/>
    </row>
    <row r="1049" spans="1:26" s="28" customFormat="1" hidden="1">
      <c r="A1049" s="1349" t="s">
        <v>142</v>
      </c>
      <c r="B1049" s="1349"/>
      <c r="C1049" s="582" t="s">
        <v>28</v>
      </c>
      <c r="D1049" s="586">
        <f>SUM(D1018:D1048)</f>
        <v>381312</v>
      </c>
      <c r="E1049" s="586">
        <f>SUM(E1018:E1048)</f>
        <v>78707.900000000009</v>
      </c>
      <c r="F1049" s="586" t="s">
        <v>28</v>
      </c>
      <c r="G1049" s="586">
        <f>SUM(G1018:G1048)</f>
        <v>34630.699999999997</v>
      </c>
      <c r="H1049" s="582" t="s">
        <v>28</v>
      </c>
      <c r="I1049" s="582" t="s">
        <v>28</v>
      </c>
      <c r="J1049" s="582">
        <f>SUM(J1018:J1048)</f>
        <v>1745</v>
      </c>
      <c r="K1049" s="590" t="s">
        <v>28</v>
      </c>
      <c r="L1049" s="584">
        <f t="shared" ref="L1049:Q1049" si="132">SUM(L1018:L1048)</f>
        <v>80763289.719999999</v>
      </c>
      <c r="M1049" s="585">
        <f t="shared" si="132"/>
        <v>79812553.269999981</v>
      </c>
      <c r="N1049" s="586">
        <f t="shared" si="132"/>
        <v>790203.63</v>
      </c>
      <c r="O1049" s="587">
        <f t="shared" si="132"/>
        <v>67589.86</v>
      </c>
      <c r="P1049" s="586">
        <f t="shared" si="132"/>
        <v>0</v>
      </c>
      <c r="Q1049" s="586">
        <f t="shared" si="132"/>
        <v>92942.959999999992</v>
      </c>
      <c r="R1049" s="582" t="s">
        <v>28</v>
      </c>
      <c r="S1049" s="564">
        <f t="shared" ref="S1049:S1080" si="133">L1049-M1049-N1049-O1049-P1049-Q1049</f>
        <v>1.7884303815662861E-8</v>
      </c>
      <c r="T1049" s="577"/>
      <c r="U1049" s="589"/>
      <c r="V1049" s="578"/>
      <c r="W1049" s="578"/>
      <c r="X1049" s="592"/>
      <c r="Y1049" s="592"/>
      <c r="Z1049" s="592"/>
    </row>
    <row r="1050" spans="1:26" s="28" customFormat="1" hidden="1">
      <c r="A1050" s="1347" t="s">
        <v>164</v>
      </c>
      <c r="B1050" s="1347"/>
      <c r="C1050" s="1347"/>
      <c r="D1050" s="1347"/>
      <c r="E1050" s="1347"/>
      <c r="F1050" s="1347"/>
      <c r="G1050" s="1347"/>
      <c r="H1050" s="1347"/>
      <c r="I1050" s="1347"/>
      <c r="J1050" s="1347"/>
      <c r="K1050" s="1347"/>
      <c r="L1050" s="1347"/>
      <c r="M1050" s="1347"/>
      <c r="N1050" s="1347"/>
      <c r="O1050" s="1347"/>
      <c r="P1050" s="1347"/>
      <c r="Q1050" s="1347"/>
      <c r="R1050" s="1347"/>
      <c r="S1050" s="564">
        <f t="shared" si="133"/>
        <v>0</v>
      </c>
      <c r="T1050" s="577"/>
      <c r="U1050" s="591"/>
      <c r="V1050" s="589"/>
      <c r="W1050" s="592"/>
      <c r="X1050" s="592"/>
      <c r="Y1050" s="592"/>
      <c r="Z1050" s="592"/>
    </row>
    <row r="1051" spans="1:26" s="28" customFormat="1" hidden="1">
      <c r="A1051" s="591">
        <v>1</v>
      </c>
      <c r="B1051" s="827" t="s">
        <v>1157</v>
      </c>
      <c r="C1051" s="593" t="s">
        <v>217</v>
      </c>
      <c r="D1051" s="878">
        <v>12183</v>
      </c>
      <c r="E1051" s="888">
        <v>360</v>
      </c>
      <c r="F1051" s="878" t="s">
        <v>227</v>
      </c>
      <c r="G1051" s="878">
        <v>1132</v>
      </c>
      <c r="H1051" s="879">
        <v>5</v>
      </c>
      <c r="I1051" s="593">
        <v>4</v>
      </c>
      <c r="J1051" s="878">
        <v>80</v>
      </c>
      <c r="K1051" s="881" t="s">
        <v>434</v>
      </c>
      <c r="L1051" s="746">
        <f t="shared" ref="L1051:L1082" si="134">M1051+N1051+O1051+P1051+Q1051</f>
        <v>914823.63</v>
      </c>
      <c r="M1051" s="882">
        <v>881988.63</v>
      </c>
      <c r="N1051" s="883">
        <v>32835</v>
      </c>
      <c r="O1051" s="884"/>
      <c r="P1051" s="883"/>
      <c r="Q1051" s="586"/>
      <c r="R1051" s="599">
        <f>M1051/E1051</f>
        <v>2449.9684166666666</v>
      </c>
      <c r="S1051" s="564">
        <f t="shared" si="133"/>
        <v>0</v>
      </c>
      <c r="T1051" s="600"/>
      <c r="U1051" s="738"/>
      <c r="V1051" s="589"/>
      <c r="W1051" s="645"/>
      <c r="X1051" s="645"/>
      <c r="Y1051" s="592"/>
      <c r="Z1051" s="592"/>
    </row>
    <row r="1052" spans="1:26" s="28" customFormat="1" hidden="1">
      <c r="A1052" s="580">
        <f t="shared" ref="A1052:A1113" si="135">A1051+1</f>
        <v>2</v>
      </c>
      <c r="B1052" s="827" t="s">
        <v>1158</v>
      </c>
      <c r="C1052" s="593" t="s">
        <v>217</v>
      </c>
      <c r="D1052" s="878">
        <v>13244</v>
      </c>
      <c r="E1052" s="888">
        <v>2400</v>
      </c>
      <c r="F1052" s="878" t="s">
        <v>253</v>
      </c>
      <c r="G1052" s="878">
        <v>1135</v>
      </c>
      <c r="H1052" s="879">
        <v>5</v>
      </c>
      <c r="I1052" s="593">
        <v>4</v>
      </c>
      <c r="J1052" s="878">
        <v>80</v>
      </c>
      <c r="K1052" s="881" t="s">
        <v>284</v>
      </c>
      <c r="L1052" s="746">
        <f t="shared" si="134"/>
        <v>5550075</v>
      </c>
      <c r="M1052" s="882">
        <v>5517240</v>
      </c>
      <c r="N1052" s="883">
        <v>32835</v>
      </c>
      <c r="O1052" s="884"/>
      <c r="P1052" s="883"/>
      <c r="Q1052" s="586"/>
      <c r="R1052" s="599">
        <f>M1052/E1052</f>
        <v>2298.85</v>
      </c>
      <c r="S1052" s="564">
        <f t="shared" si="133"/>
        <v>0</v>
      </c>
      <c r="T1052" s="600"/>
      <c r="U1052" s="738"/>
      <c r="V1052" s="589"/>
      <c r="W1052" s="645"/>
      <c r="X1052" s="645"/>
      <c r="Y1052" s="592"/>
      <c r="Z1052" s="592"/>
    </row>
    <row r="1053" spans="1:26" s="28" customFormat="1" hidden="1">
      <c r="A1053" s="580">
        <f t="shared" si="135"/>
        <v>3</v>
      </c>
      <c r="B1053" s="827" t="s">
        <v>1159</v>
      </c>
      <c r="C1053" s="593" t="s">
        <v>217</v>
      </c>
      <c r="D1053" s="878">
        <v>12952</v>
      </c>
      <c r="E1053" s="888">
        <v>2400</v>
      </c>
      <c r="F1053" s="878" t="s">
        <v>285</v>
      </c>
      <c r="G1053" s="878">
        <v>1134</v>
      </c>
      <c r="H1053" s="879">
        <v>5</v>
      </c>
      <c r="I1053" s="593">
        <v>4</v>
      </c>
      <c r="J1053" s="878">
        <v>80</v>
      </c>
      <c r="K1053" s="881" t="s">
        <v>284</v>
      </c>
      <c r="L1053" s="746">
        <f t="shared" si="134"/>
        <v>5550075</v>
      </c>
      <c r="M1053" s="882">
        <v>5517240</v>
      </c>
      <c r="N1053" s="883">
        <v>32835</v>
      </c>
      <c r="O1053" s="884"/>
      <c r="P1053" s="883"/>
      <c r="Q1053" s="586"/>
      <c r="R1053" s="599">
        <f>M1053/E1053</f>
        <v>2298.85</v>
      </c>
      <c r="S1053" s="564">
        <f t="shared" si="133"/>
        <v>0</v>
      </c>
      <c r="T1053" s="600"/>
      <c r="U1053" s="738"/>
      <c r="V1053" s="589"/>
      <c r="W1053" s="645"/>
      <c r="X1053" s="645"/>
      <c r="Y1053" s="592"/>
      <c r="Z1053" s="592"/>
    </row>
    <row r="1054" spans="1:26" s="28" customFormat="1" hidden="1">
      <c r="A1054" s="580">
        <f t="shared" si="135"/>
        <v>4</v>
      </c>
      <c r="B1054" s="827" t="s">
        <v>1160</v>
      </c>
      <c r="C1054" s="593" t="s">
        <v>239</v>
      </c>
      <c r="D1054" s="878">
        <v>4622</v>
      </c>
      <c r="E1054" s="888">
        <v>999</v>
      </c>
      <c r="F1054" s="878" t="s">
        <v>251</v>
      </c>
      <c r="G1054" s="878">
        <v>910</v>
      </c>
      <c r="H1054" s="879">
        <v>2</v>
      </c>
      <c r="I1054" s="593">
        <v>3</v>
      </c>
      <c r="J1054" s="878">
        <v>18</v>
      </c>
      <c r="K1054" s="881" t="s">
        <v>33</v>
      </c>
      <c r="L1054" s="746">
        <f t="shared" si="134"/>
        <v>2454955.37</v>
      </c>
      <c r="M1054" s="882">
        <v>2422120.37</v>
      </c>
      <c r="N1054" s="883">
        <v>32835</v>
      </c>
      <c r="O1054" s="884"/>
      <c r="P1054" s="883"/>
      <c r="Q1054" s="586"/>
      <c r="R1054" s="599">
        <f>M1054/G1054</f>
        <v>2661.6707362637362</v>
      </c>
      <c r="S1054" s="564">
        <f t="shared" si="133"/>
        <v>0</v>
      </c>
      <c r="T1054" s="600"/>
      <c r="U1054" s="738"/>
      <c r="V1054" s="589"/>
      <c r="W1054" s="645"/>
      <c r="X1054" s="645"/>
      <c r="Y1054" s="592"/>
      <c r="Z1054" s="592"/>
    </row>
    <row r="1055" spans="1:26" s="28" customFormat="1" hidden="1">
      <c r="A1055" s="580">
        <f t="shared" si="135"/>
        <v>5</v>
      </c>
      <c r="B1055" s="827" t="s">
        <v>1161</v>
      </c>
      <c r="C1055" s="593" t="s">
        <v>217</v>
      </c>
      <c r="D1055" s="878">
        <v>11888</v>
      </c>
      <c r="E1055" s="888">
        <v>2400</v>
      </c>
      <c r="F1055" s="878" t="s">
        <v>227</v>
      </c>
      <c r="G1055" s="878">
        <v>1057</v>
      </c>
      <c r="H1055" s="879">
        <v>5</v>
      </c>
      <c r="I1055" s="593">
        <v>4</v>
      </c>
      <c r="J1055" s="878">
        <v>79</v>
      </c>
      <c r="K1055" s="881" t="s">
        <v>226</v>
      </c>
      <c r="L1055" s="746">
        <f t="shared" si="134"/>
        <v>5555547.5</v>
      </c>
      <c r="M1055" s="882">
        <v>5517240</v>
      </c>
      <c r="N1055" s="883">
        <v>38307.5</v>
      </c>
      <c r="O1055" s="884"/>
      <c r="P1055" s="883"/>
      <c r="Q1055" s="586"/>
      <c r="R1055" s="599">
        <f>M1055/E1055</f>
        <v>2298.85</v>
      </c>
      <c r="S1055" s="564">
        <f t="shared" si="133"/>
        <v>0</v>
      </c>
      <c r="T1055" s="600"/>
      <c r="U1055" s="738"/>
      <c r="V1055" s="589"/>
      <c r="W1055" s="645"/>
      <c r="X1055" s="645"/>
      <c r="Y1055" s="592"/>
      <c r="Z1055" s="592"/>
    </row>
    <row r="1056" spans="1:26" s="28" customFormat="1" hidden="1">
      <c r="A1056" s="580">
        <f t="shared" si="135"/>
        <v>6</v>
      </c>
      <c r="B1056" s="827" t="s">
        <v>1162</v>
      </c>
      <c r="C1056" s="593" t="s">
        <v>217</v>
      </c>
      <c r="D1056" s="878">
        <v>11919</v>
      </c>
      <c r="E1056" s="888">
        <v>2400</v>
      </c>
      <c r="F1056" s="878" t="s">
        <v>227</v>
      </c>
      <c r="G1056" s="878">
        <v>1060</v>
      </c>
      <c r="H1056" s="879">
        <v>5</v>
      </c>
      <c r="I1056" s="593">
        <v>4</v>
      </c>
      <c r="J1056" s="878">
        <v>80</v>
      </c>
      <c r="K1056" s="881" t="s">
        <v>226</v>
      </c>
      <c r="L1056" s="746">
        <f t="shared" si="134"/>
        <v>5568898.2999999998</v>
      </c>
      <c r="M1056" s="882">
        <v>5512300</v>
      </c>
      <c r="N1056" s="883">
        <v>18897</v>
      </c>
      <c r="O1056" s="884">
        <v>7701.3</v>
      </c>
      <c r="P1056" s="883"/>
      <c r="Q1056" s="586">
        <v>30000</v>
      </c>
      <c r="R1056" s="599">
        <f>M1056/E1056</f>
        <v>2296.7916666666665</v>
      </c>
      <c r="S1056" s="564">
        <f t="shared" si="133"/>
        <v>-1.8553691916167736E-10</v>
      </c>
      <c r="T1056" s="600"/>
      <c r="U1056" s="738"/>
      <c r="V1056" s="589"/>
      <c r="W1056" s="645"/>
      <c r="X1056" s="645"/>
      <c r="Y1056" s="592"/>
      <c r="Z1056" s="592"/>
    </row>
    <row r="1057" spans="1:26" s="28" customFormat="1" hidden="1">
      <c r="A1057" s="580">
        <f t="shared" si="135"/>
        <v>7</v>
      </c>
      <c r="B1057" s="827" t="s">
        <v>1163</v>
      </c>
      <c r="C1057" s="593" t="s">
        <v>221</v>
      </c>
      <c r="D1057" s="878">
        <v>10058</v>
      </c>
      <c r="E1057" s="878">
        <v>1341</v>
      </c>
      <c r="F1057" s="878" t="s">
        <v>227</v>
      </c>
      <c r="G1057" s="878">
        <v>811</v>
      </c>
      <c r="H1057" s="879">
        <v>5</v>
      </c>
      <c r="I1057" s="593">
        <v>3</v>
      </c>
      <c r="J1057" s="878">
        <v>60</v>
      </c>
      <c r="K1057" s="881" t="s">
        <v>33</v>
      </c>
      <c r="L1057" s="746">
        <f t="shared" si="134"/>
        <v>1429819.46</v>
      </c>
      <c r="M1057" s="882">
        <v>1424493.22</v>
      </c>
      <c r="N1057" s="883"/>
      <c r="O1057" s="884">
        <v>5326.24</v>
      </c>
      <c r="P1057" s="883"/>
      <c r="Q1057" s="586"/>
      <c r="R1057" s="599">
        <f>M1057/G1057</f>
        <v>1756.4651294697903</v>
      </c>
      <c r="S1057" s="564">
        <f t="shared" si="133"/>
        <v>-9.0949470177292824E-12</v>
      </c>
      <c r="T1057" s="600"/>
      <c r="U1057" s="738"/>
      <c r="V1057" s="589"/>
      <c r="W1057" s="645"/>
      <c r="X1057" s="645"/>
      <c r="Y1057" s="592"/>
      <c r="Z1057" s="592"/>
    </row>
    <row r="1058" spans="1:26" s="28" customFormat="1" hidden="1">
      <c r="A1058" s="580">
        <f t="shared" si="135"/>
        <v>8</v>
      </c>
      <c r="B1058" s="827" t="s">
        <v>1164</v>
      </c>
      <c r="C1058" s="593" t="s">
        <v>221</v>
      </c>
      <c r="D1058" s="878">
        <v>14278</v>
      </c>
      <c r="E1058" s="878">
        <v>3143.7</v>
      </c>
      <c r="F1058" s="878" t="s">
        <v>286</v>
      </c>
      <c r="G1058" s="878">
        <v>1059</v>
      </c>
      <c r="H1058" s="879">
        <v>5</v>
      </c>
      <c r="I1058" s="593">
        <v>5</v>
      </c>
      <c r="J1058" s="878">
        <v>78</v>
      </c>
      <c r="K1058" s="881" t="s">
        <v>33</v>
      </c>
      <c r="L1058" s="746">
        <f t="shared" si="134"/>
        <v>2374963.0499999998</v>
      </c>
      <c r="M1058" s="882">
        <v>2318151</v>
      </c>
      <c r="N1058" s="883"/>
      <c r="O1058" s="884">
        <v>6954.05</v>
      </c>
      <c r="P1058" s="883"/>
      <c r="Q1058" s="586">
        <v>49858</v>
      </c>
      <c r="R1058" s="599">
        <f>M1058/G1058</f>
        <v>2189</v>
      </c>
      <c r="S1058" s="564">
        <f t="shared" si="133"/>
        <v>-1.8917489796876907E-10</v>
      </c>
      <c r="T1058" s="600"/>
      <c r="U1058" s="738"/>
      <c r="V1058" s="589"/>
      <c r="W1058" s="645"/>
      <c r="X1058" s="645"/>
      <c r="Y1058" s="592"/>
      <c r="Z1058" s="592"/>
    </row>
    <row r="1059" spans="1:26" s="28" customFormat="1" hidden="1">
      <c r="A1059" s="580">
        <f t="shared" si="135"/>
        <v>9</v>
      </c>
      <c r="B1059" s="827" t="s">
        <v>1165</v>
      </c>
      <c r="C1059" s="593" t="s">
        <v>239</v>
      </c>
      <c r="D1059" s="878">
        <v>2813</v>
      </c>
      <c r="E1059" s="878">
        <v>629</v>
      </c>
      <c r="F1059" s="878" t="s">
        <v>251</v>
      </c>
      <c r="G1059" s="878">
        <v>561</v>
      </c>
      <c r="H1059" s="879">
        <v>2</v>
      </c>
      <c r="I1059" s="593">
        <v>2</v>
      </c>
      <c r="J1059" s="878">
        <v>12</v>
      </c>
      <c r="K1059" s="881" t="s">
        <v>33</v>
      </c>
      <c r="L1059" s="746">
        <f t="shared" si="134"/>
        <v>1587927</v>
      </c>
      <c r="M1059" s="882">
        <v>1555092</v>
      </c>
      <c r="N1059" s="883">
        <v>32835</v>
      </c>
      <c r="O1059" s="884"/>
      <c r="P1059" s="883"/>
      <c r="Q1059" s="586"/>
      <c r="R1059" s="599">
        <f>M1059/G1059</f>
        <v>2772</v>
      </c>
      <c r="S1059" s="564">
        <f t="shared" si="133"/>
        <v>0</v>
      </c>
      <c r="T1059" s="600"/>
      <c r="U1059" s="738"/>
      <c r="V1059" s="589"/>
      <c r="W1059" s="645"/>
      <c r="X1059" s="645"/>
      <c r="Y1059" s="592"/>
      <c r="Z1059" s="592"/>
    </row>
    <row r="1060" spans="1:26" s="28" customFormat="1" hidden="1">
      <c r="A1060" s="580">
        <f t="shared" si="135"/>
        <v>10</v>
      </c>
      <c r="B1060" s="827" t="s">
        <v>1166</v>
      </c>
      <c r="C1060" s="593" t="s">
        <v>221</v>
      </c>
      <c r="D1060" s="878">
        <v>9790</v>
      </c>
      <c r="E1060" s="888">
        <v>390</v>
      </c>
      <c r="F1060" s="878" t="s">
        <v>227</v>
      </c>
      <c r="G1060" s="878">
        <v>830</v>
      </c>
      <c r="H1060" s="879">
        <v>5</v>
      </c>
      <c r="I1060" s="593">
        <v>3</v>
      </c>
      <c r="J1060" s="878">
        <v>56</v>
      </c>
      <c r="K1060" s="881" t="s">
        <v>434</v>
      </c>
      <c r="L1060" s="746">
        <f t="shared" si="134"/>
        <v>920865</v>
      </c>
      <c r="M1060" s="882">
        <v>888030</v>
      </c>
      <c r="N1060" s="883">
        <v>32835</v>
      </c>
      <c r="O1060" s="884"/>
      <c r="P1060" s="883"/>
      <c r="Q1060" s="586"/>
      <c r="R1060" s="599">
        <f>M1060/E1060</f>
        <v>2277</v>
      </c>
      <c r="S1060" s="564">
        <f t="shared" si="133"/>
        <v>0</v>
      </c>
      <c r="T1060" s="600"/>
      <c r="U1060" s="738"/>
      <c r="V1060" s="589"/>
      <c r="W1060" s="645"/>
      <c r="X1060" s="645"/>
      <c r="Y1060" s="592"/>
      <c r="Z1060" s="592"/>
    </row>
    <row r="1061" spans="1:26" s="543" customFormat="1" hidden="1">
      <c r="A1061" s="580">
        <f t="shared" si="135"/>
        <v>11</v>
      </c>
      <c r="B1061" s="827" t="s">
        <v>1167</v>
      </c>
      <c r="C1061" s="700" t="s">
        <v>221</v>
      </c>
      <c r="D1061" s="889">
        <v>14717</v>
      </c>
      <c r="E1061" s="889">
        <v>2600</v>
      </c>
      <c r="F1061" s="889" t="s">
        <v>251</v>
      </c>
      <c r="G1061" s="889">
        <v>2137</v>
      </c>
      <c r="H1061" s="889">
        <v>4</v>
      </c>
      <c r="I1061" s="889">
        <v>3</v>
      </c>
      <c r="J1061" s="889">
        <v>48</v>
      </c>
      <c r="K1061" s="890" t="s">
        <v>38</v>
      </c>
      <c r="L1061" s="746">
        <f t="shared" si="134"/>
        <v>4151617.6</v>
      </c>
      <c r="M1061" s="882">
        <v>4139200</v>
      </c>
      <c r="N1061" s="891"/>
      <c r="O1061" s="892">
        <v>12417.6</v>
      </c>
      <c r="P1061" s="893"/>
      <c r="Q1061" s="586"/>
      <c r="R1061" s="599">
        <f>M1061/E1061</f>
        <v>1592</v>
      </c>
      <c r="S1061" s="564">
        <f t="shared" si="133"/>
        <v>9.276845958083868E-11</v>
      </c>
      <c r="T1061" s="600"/>
      <c r="U1061" s="738"/>
      <c r="V1061" s="589"/>
      <c r="W1061" s="645"/>
      <c r="X1061" s="645"/>
      <c r="Y1061" s="894"/>
      <c r="Z1061" s="894"/>
    </row>
    <row r="1062" spans="1:26" s="543" customFormat="1" hidden="1">
      <c r="A1062" s="580">
        <f t="shared" si="135"/>
        <v>12</v>
      </c>
      <c r="B1062" s="827" t="s">
        <v>1168</v>
      </c>
      <c r="C1062" s="895" t="s">
        <v>239</v>
      </c>
      <c r="D1062" s="889">
        <v>1955</v>
      </c>
      <c r="E1062" s="889">
        <v>764</v>
      </c>
      <c r="F1062" s="889" t="s">
        <v>251</v>
      </c>
      <c r="G1062" s="889">
        <v>786</v>
      </c>
      <c r="H1062" s="889">
        <v>2</v>
      </c>
      <c r="I1062" s="889">
        <v>2</v>
      </c>
      <c r="J1062" s="889">
        <v>12</v>
      </c>
      <c r="K1062" s="890" t="s">
        <v>33</v>
      </c>
      <c r="L1062" s="746">
        <f t="shared" si="134"/>
        <v>2217099.5</v>
      </c>
      <c r="M1062" s="882">
        <v>2178792</v>
      </c>
      <c r="N1062" s="883">
        <v>38307.5</v>
      </c>
      <c r="O1062" s="892"/>
      <c r="P1062" s="893"/>
      <c r="Q1062" s="586"/>
      <c r="R1062" s="582">
        <f>M1062/G1062</f>
        <v>2772</v>
      </c>
      <c r="S1062" s="564">
        <f t="shared" si="133"/>
        <v>0</v>
      </c>
      <c r="T1062" s="600"/>
      <c r="U1062" s="738"/>
      <c r="V1062" s="589"/>
      <c r="W1062" s="645"/>
      <c r="X1062" s="645"/>
      <c r="Y1062" s="894"/>
      <c r="Z1062" s="894"/>
    </row>
    <row r="1063" spans="1:26" s="28" customFormat="1" hidden="1">
      <c r="A1063" s="580">
        <f t="shared" si="135"/>
        <v>13</v>
      </c>
      <c r="B1063" s="827" t="s">
        <v>1169</v>
      </c>
      <c r="C1063" s="593" t="s">
        <v>239</v>
      </c>
      <c r="D1063" s="878">
        <v>1892</v>
      </c>
      <c r="E1063" s="878">
        <v>440</v>
      </c>
      <c r="F1063" s="878" t="s">
        <v>251</v>
      </c>
      <c r="G1063" s="878">
        <v>374</v>
      </c>
      <c r="H1063" s="879">
        <v>2</v>
      </c>
      <c r="I1063" s="593">
        <v>1</v>
      </c>
      <c r="J1063" s="878">
        <v>8</v>
      </c>
      <c r="K1063" s="881" t="s">
        <v>33</v>
      </c>
      <c r="L1063" s="746">
        <f t="shared" si="134"/>
        <v>1069563</v>
      </c>
      <c r="M1063" s="882">
        <v>1036728</v>
      </c>
      <c r="N1063" s="883">
        <v>32835</v>
      </c>
      <c r="O1063" s="884"/>
      <c r="P1063" s="883"/>
      <c r="Q1063" s="586"/>
      <c r="R1063" s="599">
        <f>M1063/G1063</f>
        <v>2772</v>
      </c>
      <c r="S1063" s="564">
        <f t="shared" si="133"/>
        <v>0</v>
      </c>
      <c r="T1063" s="600"/>
      <c r="U1063" s="738"/>
      <c r="V1063" s="589"/>
      <c r="W1063" s="645"/>
      <c r="X1063" s="645"/>
      <c r="Y1063" s="592"/>
      <c r="Z1063" s="592"/>
    </row>
    <row r="1064" spans="1:26" s="28" customFormat="1" hidden="1">
      <c r="A1064" s="580">
        <f t="shared" si="135"/>
        <v>14</v>
      </c>
      <c r="B1064" s="827" t="s">
        <v>1170</v>
      </c>
      <c r="C1064" s="593" t="s">
        <v>239</v>
      </c>
      <c r="D1064" s="878">
        <v>2861</v>
      </c>
      <c r="E1064" s="878">
        <v>534</v>
      </c>
      <c r="F1064" s="878" t="s">
        <v>251</v>
      </c>
      <c r="G1064" s="878">
        <v>702</v>
      </c>
      <c r="H1064" s="879">
        <v>2</v>
      </c>
      <c r="I1064" s="593">
        <v>2</v>
      </c>
      <c r="J1064" s="878">
        <v>12</v>
      </c>
      <c r="K1064" s="881" t="s">
        <v>33</v>
      </c>
      <c r="L1064" s="746">
        <f t="shared" si="134"/>
        <v>1996469.4</v>
      </c>
      <c r="M1064" s="882">
        <v>1963634.4</v>
      </c>
      <c r="N1064" s="883">
        <v>32835</v>
      </c>
      <c r="O1064" s="884"/>
      <c r="P1064" s="883"/>
      <c r="Q1064" s="586"/>
      <c r="R1064" s="599">
        <f>M1064/G1064</f>
        <v>2797.2</v>
      </c>
      <c r="S1064" s="564">
        <f t="shared" si="133"/>
        <v>0</v>
      </c>
      <c r="T1064" s="600"/>
      <c r="U1064" s="738"/>
      <c r="V1064" s="589"/>
      <c r="W1064" s="645"/>
      <c r="X1064" s="645"/>
      <c r="Y1064" s="592"/>
      <c r="Z1064" s="592"/>
    </row>
    <row r="1065" spans="1:26" s="28" customFormat="1" hidden="1">
      <c r="A1065" s="580">
        <f t="shared" si="135"/>
        <v>15</v>
      </c>
      <c r="B1065" s="827" t="s">
        <v>1171</v>
      </c>
      <c r="C1065" s="593" t="s">
        <v>239</v>
      </c>
      <c r="D1065" s="878">
        <v>3262</v>
      </c>
      <c r="E1065" s="888">
        <v>684</v>
      </c>
      <c r="F1065" s="878" t="s">
        <v>251</v>
      </c>
      <c r="G1065" s="878">
        <v>639</v>
      </c>
      <c r="H1065" s="879">
        <v>2</v>
      </c>
      <c r="I1065" s="593">
        <v>2</v>
      </c>
      <c r="J1065" s="878">
        <v>12</v>
      </c>
      <c r="K1065" s="881" t="s">
        <v>38</v>
      </c>
      <c r="L1065" s="746">
        <f t="shared" si="134"/>
        <v>1086722.58</v>
      </c>
      <c r="M1065" s="882">
        <v>1083456</v>
      </c>
      <c r="N1065" s="883"/>
      <c r="O1065" s="884">
        <v>3266.58</v>
      </c>
      <c r="P1065" s="883"/>
      <c r="Q1065" s="586"/>
      <c r="R1065" s="599">
        <f>M1065/E1065</f>
        <v>1584</v>
      </c>
      <c r="S1065" s="564">
        <f t="shared" si="133"/>
        <v>7.4578565545380116E-11</v>
      </c>
      <c r="T1065" s="600"/>
      <c r="U1065" s="738"/>
      <c r="V1065" s="589"/>
      <c r="W1065" s="645"/>
      <c r="X1065" s="645"/>
      <c r="Y1065" s="592"/>
      <c r="Z1065" s="592"/>
    </row>
    <row r="1066" spans="1:26" s="28" customFormat="1" hidden="1">
      <c r="A1066" s="580">
        <f t="shared" si="135"/>
        <v>16</v>
      </c>
      <c r="B1066" s="827" t="s">
        <v>1172</v>
      </c>
      <c r="C1066" s="593" t="s">
        <v>239</v>
      </c>
      <c r="D1066" s="878">
        <v>3359</v>
      </c>
      <c r="E1066" s="888">
        <v>684</v>
      </c>
      <c r="F1066" s="878" t="s">
        <v>251</v>
      </c>
      <c r="G1066" s="878">
        <v>656</v>
      </c>
      <c r="H1066" s="879">
        <v>2</v>
      </c>
      <c r="I1066" s="593">
        <v>2</v>
      </c>
      <c r="J1066" s="878">
        <v>12</v>
      </c>
      <c r="K1066" s="881" t="s">
        <v>38</v>
      </c>
      <c r="L1066" s="746">
        <f t="shared" si="134"/>
        <v>1086722.58</v>
      </c>
      <c r="M1066" s="882">
        <v>1083456</v>
      </c>
      <c r="N1066" s="883"/>
      <c r="O1066" s="884">
        <v>3266.58</v>
      </c>
      <c r="P1066" s="883"/>
      <c r="Q1066" s="586"/>
      <c r="R1066" s="599">
        <f>M1066/E1066</f>
        <v>1584</v>
      </c>
      <c r="S1066" s="564">
        <f t="shared" si="133"/>
        <v>7.4578565545380116E-11</v>
      </c>
      <c r="T1066" s="600"/>
      <c r="U1066" s="738"/>
      <c r="V1066" s="589"/>
      <c r="W1066" s="645"/>
      <c r="X1066" s="645"/>
      <c r="Y1066" s="592"/>
      <c r="Z1066" s="592"/>
    </row>
    <row r="1067" spans="1:26" s="543" customFormat="1" hidden="1">
      <c r="A1067" s="580">
        <f t="shared" si="135"/>
        <v>17</v>
      </c>
      <c r="B1067" s="827" t="s">
        <v>1173</v>
      </c>
      <c r="C1067" s="895" t="s">
        <v>239</v>
      </c>
      <c r="D1067" s="889">
        <v>2841</v>
      </c>
      <c r="E1067" s="889">
        <v>636</v>
      </c>
      <c r="F1067" s="889" t="s">
        <v>251</v>
      </c>
      <c r="G1067" s="889">
        <v>558</v>
      </c>
      <c r="H1067" s="889">
        <v>2</v>
      </c>
      <c r="I1067" s="889">
        <v>2</v>
      </c>
      <c r="J1067" s="889">
        <v>12</v>
      </c>
      <c r="K1067" s="890" t="s">
        <v>33</v>
      </c>
      <c r="L1067" s="746">
        <f t="shared" si="134"/>
        <v>1514080.35</v>
      </c>
      <c r="M1067" s="882">
        <v>1475772.85</v>
      </c>
      <c r="N1067" s="883">
        <v>38307.5</v>
      </c>
      <c r="O1067" s="892"/>
      <c r="P1067" s="893"/>
      <c r="Q1067" s="586"/>
      <c r="R1067" s="582">
        <f>M1067/G1067</f>
        <v>2644.7542114695343</v>
      </c>
      <c r="S1067" s="564">
        <f t="shared" si="133"/>
        <v>0</v>
      </c>
      <c r="T1067" s="600"/>
      <c r="U1067" s="586"/>
      <c r="V1067" s="589"/>
      <c r="W1067" s="645"/>
      <c r="X1067" s="645"/>
      <c r="Y1067" s="894"/>
      <c r="Z1067" s="894"/>
    </row>
    <row r="1068" spans="1:26" s="28" customFormat="1" hidden="1">
      <c r="A1068" s="580">
        <f t="shared" si="135"/>
        <v>18</v>
      </c>
      <c r="B1068" s="827" t="s">
        <v>1174</v>
      </c>
      <c r="C1068" s="593" t="s">
        <v>239</v>
      </c>
      <c r="D1068" s="878">
        <v>3381</v>
      </c>
      <c r="E1068" s="878">
        <v>740</v>
      </c>
      <c r="F1068" s="878" t="s">
        <v>251</v>
      </c>
      <c r="G1068" s="878">
        <v>656</v>
      </c>
      <c r="H1068" s="879">
        <v>2</v>
      </c>
      <c r="I1068" s="593">
        <v>2</v>
      </c>
      <c r="J1068" s="878">
        <v>12</v>
      </c>
      <c r="K1068" s="881" t="s">
        <v>33</v>
      </c>
      <c r="L1068" s="746">
        <f t="shared" si="134"/>
        <v>1668552.05</v>
      </c>
      <c r="M1068" s="882">
        <v>1635717.05</v>
      </c>
      <c r="N1068" s="883">
        <v>32835</v>
      </c>
      <c r="O1068" s="884"/>
      <c r="P1068" s="883"/>
      <c r="Q1068" s="586"/>
      <c r="R1068" s="599">
        <f>M1068/G1068</f>
        <v>2493.471112804878</v>
      </c>
      <c r="S1068" s="564">
        <f t="shared" si="133"/>
        <v>0</v>
      </c>
      <c r="T1068" s="600"/>
      <c r="U1068" s="738"/>
      <c r="V1068" s="589"/>
      <c r="W1068" s="645"/>
      <c r="X1068" s="645"/>
      <c r="Y1068" s="592"/>
      <c r="Z1068" s="592"/>
    </row>
    <row r="1069" spans="1:26" s="28" customFormat="1" hidden="1">
      <c r="A1069" s="580">
        <f t="shared" si="135"/>
        <v>19</v>
      </c>
      <c r="B1069" s="827" t="s">
        <v>1175</v>
      </c>
      <c r="C1069" s="593" t="s">
        <v>239</v>
      </c>
      <c r="D1069" s="878">
        <v>1912</v>
      </c>
      <c r="E1069" s="878">
        <v>441</v>
      </c>
      <c r="F1069" s="878" t="s">
        <v>251</v>
      </c>
      <c r="G1069" s="878">
        <v>478</v>
      </c>
      <c r="H1069" s="879">
        <v>2</v>
      </c>
      <c r="I1069" s="593">
        <v>1</v>
      </c>
      <c r="J1069" s="878">
        <v>8</v>
      </c>
      <c r="K1069" s="881" t="s">
        <v>33</v>
      </c>
      <c r="L1069" s="746">
        <f t="shared" si="134"/>
        <v>1047901.1699999999</v>
      </c>
      <c r="M1069" s="882">
        <v>1015066.1699999999</v>
      </c>
      <c r="N1069" s="883">
        <v>32835</v>
      </c>
      <c r="O1069" s="884"/>
      <c r="P1069" s="883"/>
      <c r="Q1069" s="586"/>
      <c r="R1069" s="599">
        <f>M1069/G1069</f>
        <v>2123.569393305439</v>
      </c>
      <c r="S1069" s="564">
        <f t="shared" si="133"/>
        <v>0</v>
      </c>
      <c r="T1069" s="600"/>
      <c r="U1069" s="586"/>
      <c r="V1069" s="589"/>
      <c r="W1069" s="645"/>
      <c r="X1069" s="645"/>
      <c r="Y1069" s="592"/>
      <c r="Z1069" s="592"/>
    </row>
    <row r="1070" spans="1:26" s="28" customFormat="1" hidden="1">
      <c r="A1070" s="580">
        <f t="shared" si="135"/>
        <v>20</v>
      </c>
      <c r="B1070" s="827" t="s">
        <v>1176</v>
      </c>
      <c r="C1070" s="593" t="s">
        <v>239</v>
      </c>
      <c r="D1070" s="878">
        <v>1854</v>
      </c>
      <c r="E1070" s="878">
        <v>440</v>
      </c>
      <c r="F1070" s="878" t="s">
        <v>251</v>
      </c>
      <c r="G1070" s="878">
        <v>478</v>
      </c>
      <c r="H1070" s="879">
        <v>2</v>
      </c>
      <c r="I1070" s="593">
        <v>1</v>
      </c>
      <c r="J1070" s="878">
        <v>8</v>
      </c>
      <c r="K1070" s="881" t="s">
        <v>33</v>
      </c>
      <c r="L1070" s="746">
        <f t="shared" si="134"/>
        <v>1254255.47</v>
      </c>
      <c r="M1070" s="882">
        <v>1221420.47</v>
      </c>
      <c r="N1070" s="883">
        <v>32835</v>
      </c>
      <c r="O1070" s="884"/>
      <c r="P1070" s="883"/>
      <c r="Q1070" s="586"/>
      <c r="R1070" s="599">
        <f>M1070/G1070</f>
        <v>2555.2729497907949</v>
      </c>
      <c r="S1070" s="564">
        <f t="shared" si="133"/>
        <v>0</v>
      </c>
      <c r="T1070" s="600"/>
      <c r="U1070" s="738"/>
      <c r="V1070" s="589"/>
      <c r="W1070" s="645"/>
      <c r="X1070" s="645"/>
      <c r="Y1070" s="592"/>
      <c r="Z1070" s="592"/>
    </row>
    <row r="1071" spans="1:26" s="28" customFormat="1" hidden="1">
      <c r="A1071" s="580">
        <f t="shared" si="135"/>
        <v>21</v>
      </c>
      <c r="B1071" s="827" t="s">
        <v>1177</v>
      </c>
      <c r="C1071" s="593" t="s">
        <v>217</v>
      </c>
      <c r="D1071" s="878">
        <v>19010</v>
      </c>
      <c r="E1071" s="888">
        <v>3780</v>
      </c>
      <c r="F1071" s="878" t="s">
        <v>287</v>
      </c>
      <c r="G1071" s="878">
        <v>1680</v>
      </c>
      <c r="H1071" s="879">
        <v>5</v>
      </c>
      <c r="I1071" s="593">
        <v>6</v>
      </c>
      <c r="J1071" s="878">
        <v>120</v>
      </c>
      <c r="K1071" s="881" t="s">
        <v>226</v>
      </c>
      <c r="L1071" s="746">
        <f t="shared" si="134"/>
        <v>9483508.8699999992</v>
      </c>
      <c r="M1071" s="882">
        <v>9445275</v>
      </c>
      <c r="N1071" s="883">
        <v>38233.870000000003</v>
      </c>
      <c r="O1071" s="884"/>
      <c r="P1071" s="883"/>
      <c r="Q1071" s="586"/>
      <c r="R1071" s="599">
        <f>M1071/E1071</f>
        <v>2498.75</v>
      </c>
      <c r="S1071" s="564">
        <f t="shared" si="133"/>
        <v>-8.2218321040272713E-10</v>
      </c>
      <c r="T1071" s="600"/>
      <c r="U1071" s="738"/>
      <c r="V1071" s="589"/>
      <c r="W1071" s="645"/>
      <c r="X1071" s="645"/>
      <c r="Y1071" s="592"/>
      <c r="Z1071" s="592"/>
    </row>
    <row r="1072" spans="1:26" s="28" customFormat="1" ht="37.5" hidden="1">
      <c r="A1072" s="580">
        <f t="shared" si="135"/>
        <v>22</v>
      </c>
      <c r="B1072" s="827" t="s">
        <v>1178</v>
      </c>
      <c r="C1072" s="593" t="s">
        <v>221</v>
      </c>
      <c r="D1072" s="878">
        <v>12342</v>
      </c>
      <c r="E1072" s="878">
        <v>1824.4</v>
      </c>
      <c r="F1072" s="878" t="s">
        <v>227</v>
      </c>
      <c r="G1072" s="878">
        <v>480</v>
      </c>
      <c r="H1072" s="879">
        <v>9</v>
      </c>
      <c r="I1072" s="593">
        <v>1</v>
      </c>
      <c r="J1072" s="878">
        <v>50</v>
      </c>
      <c r="K1072" s="881" t="s">
        <v>219</v>
      </c>
      <c r="L1072" s="746">
        <f t="shared" si="134"/>
        <v>2070750</v>
      </c>
      <c r="M1072" s="882">
        <v>1990000</v>
      </c>
      <c r="N1072" s="883">
        <v>80750</v>
      </c>
      <c r="O1072" s="884"/>
      <c r="P1072" s="883"/>
      <c r="Q1072" s="883"/>
      <c r="R1072" s="599">
        <f>M1072</f>
        <v>1990000</v>
      </c>
      <c r="S1072" s="564">
        <f t="shared" si="133"/>
        <v>0</v>
      </c>
      <c r="T1072" s="600"/>
      <c r="U1072" s="738"/>
      <c r="V1072" s="589"/>
      <c r="W1072" s="645"/>
      <c r="X1072" s="645"/>
      <c r="Y1072" s="592"/>
      <c r="Z1072" s="592"/>
    </row>
    <row r="1073" spans="1:26" s="28" customFormat="1" ht="37.5" hidden="1">
      <c r="A1073" s="580">
        <f t="shared" si="135"/>
        <v>23</v>
      </c>
      <c r="B1073" s="827" t="s">
        <v>1179</v>
      </c>
      <c r="C1073" s="593" t="s">
        <v>221</v>
      </c>
      <c r="D1073" s="878">
        <v>12170</v>
      </c>
      <c r="E1073" s="878">
        <v>1812.6</v>
      </c>
      <c r="F1073" s="878" t="s">
        <v>227</v>
      </c>
      <c r="G1073" s="878">
        <v>480</v>
      </c>
      <c r="H1073" s="879">
        <v>9</v>
      </c>
      <c r="I1073" s="593">
        <v>1</v>
      </c>
      <c r="J1073" s="878">
        <v>50</v>
      </c>
      <c r="K1073" s="881" t="s">
        <v>219</v>
      </c>
      <c r="L1073" s="746">
        <f t="shared" si="134"/>
        <v>2070750</v>
      </c>
      <c r="M1073" s="882">
        <v>1990000</v>
      </c>
      <c r="N1073" s="883">
        <v>80750</v>
      </c>
      <c r="O1073" s="884"/>
      <c r="P1073" s="883"/>
      <c r="Q1073" s="883"/>
      <c r="R1073" s="599">
        <f>M1073</f>
        <v>1990000</v>
      </c>
      <c r="S1073" s="564">
        <f t="shared" si="133"/>
        <v>0</v>
      </c>
      <c r="T1073" s="600"/>
      <c r="U1073" s="738"/>
      <c r="V1073" s="589"/>
      <c r="W1073" s="645"/>
      <c r="X1073" s="645"/>
      <c r="Y1073" s="592"/>
      <c r="Z1073" s="592"/>
    </row>
    <row r="1074" spans="1:26" s="28" customFormat="1" hidden="1">
      <c r="A1074" s="580">
        <f t="shared" si="135"/>
        <v>24</v>
      </c>
      <c r="B1074" s="827" t="s">
        <v>1180</v>
      </c>
      <c r="C1074" s="593" t="s">
        <v>221</v>
      </c>
      <c r="D1074" s="878">
        <v>91610</v>
      </c>
      <c r="E1074" s="888">
        <v>14220</v>
      </c>
      <c r="F1074" s="878" t="s">
        <v>227</v>
      </c>
      <c r="G1074" s="878">
        <v>3171</v>
      </c>
      <c r="H1074" s="879">
        <v>9</v>
      </c>
      <c r="I1074" s="593">
        <v>9</v>
      </c>
      <c r="J1074" s="878">
        <v>288</v>
      </c>
      <c r="K1074" s="881" t="s">
        <v>38</v>
      </c>
      <c r="L1074" s="746">
        <f t="shared" si="134"/>
        <v>12726304.720000001</v>
      </c>
      <c r="M1074" s="882">
        <v>12688240</v>
      </c>
      <c r="N1074" s="883"/>
      <c r="O1074" s="884">
        <v>38064.720000000001</v>
      </c>
      <c r="P1074" s="883"/>
      <c r="Q1074" s="586"/>
      <c r="R1074" s="599">
        <f>M1074/E1074</f>
        <v>892.28129395218002</v>
      </c>
      <c r="S1074" s="564">
        <f t="shared" si="133"/>
        <v>6.6938810050487518E-10</v>
      </c>
      <c r="T1074" s="600"/>
      <c r="U1074" s="738"/>
      <c r="V1074" s="589"/>
      <c r="W1074" s="645"/>
      <c r="X1074" s="645"/>
      <c r="Y1074" s="592"/>
      <c r="Z1074" s="592"/>
    </row>
    <row r="1075" spans="1:26" s="28" customFormat="1" hidden="1">
      <c r="A1075" s="580">
        <f t="shared" si="135"/>
        <v>25</v>
      </c>
      <c r="B1075" s="827" t="s">
        <v>1181</v>
      </c>
      <c r="C1075" s="593" t="s">
        <v>217</v>
      </c>
      <c r="D1075" s="878">
        <v>20860</v>
      </c>
      <c r="E1075" s="888">
        <v>4170</v>
      </c>
      <c r="F1075" s="878" t="s">
        <v>227</v>
      </c>
      <c r="G1075" s="878">
        <v>1827</v>
      </c>
      <c r="H1075" s="879">
        <v>5</v>
      </c>
      <c r="I1075" s="593">
        <v>7</v>
      </c>
      <c r="J1075" s="878">
        <v>140</v>
      </c>
      <c r="K1075" s="881" t="s">
        <v>226</v>
      </c>
      <c r="L1075" s="746">
        <f t="shared" si="134"/>
        <v>8364495</v>
      </c>
      <c r="M1075" s="882">
        <v>8331660</v>
      </c>
      <c r="N1075" s="883">
        <v>32835</v>
      </c>
      <c r="O1075" s="884"/>
      <c r="P1075" s="883"/>
      <c r="Q1075" s="586"/>
      <c r="R1075" s="599">
        <f>M1075/E1075</f>
        <v>1998</v>
      </c>
      <c r="S1075" s="564">
        <f t="shared" si="133"/>
        <v>0</v>
      </c>
      <c r="T1075" s="600"/>
      <c r="U1075" s="738" t="s">
        <v>3913</v>
      </c>
      <c r="V1075" s="589"/>
      <c r="W1075" s="645"/>
      <c r="X1075" s="645"/>
      <c r="Y1075" s="592"/>
      <c r="Z1075" s="592"/>
    </row>
    <row r="1076" spans="1:26" s="28" customFormat="1" hidden="1">
      <c r="A1076" s="580">
        <f t="shared" si="135"/>
        <v>26</v>
      </c>
      <c r="B1076" s="827" t="s">
        <v>1182</v>
      </c>
      <c r="C1076" s="593" t="s">
        <v>217</v>
      </c>
      <c r="D1076" s="878">
        <v>30623</v>
      </c>
      <c r="E1076" s="888">
        <v>7348.3</v>
      </c>
      <c r="F1076" s="878" t="s">
        <v>227</v>
      </c>
      <c r="G1076" s="878">
        <v>2658</v>
      </c>
      <c r="H1076" s="879">
        <v>5</v>
      </c>
      <c r="I1076" s="593">
        <v>10</v>
      </c>
      <c r="J1076" s="878">
        <v>152</v>
      </c>
      <c r="K1076" s="881" t="s">
        <v>33</v>
      </c>
      <c r="L1076" s="746">
        <f t="shared" si="134"/>
        <v>5835817.29</v>
      </c>
      <c r="M1076" s="882">
        <v>5818362</v>
      </c>
      <c r="N1076" s="883"/>
      <c r="O1076" s="884">
        <v>17455.29</v>
      </c>
      <c r="P1076" s="883"/>
      <c r="Q1076" s="586"/>
      <c r="R1076" s="599">
        <f>M1076/G1076</f>
        <v>2189</v>
      </c>
      <c r="S1076" s="564">
        <f t="shared" si="133"/>
        <v>3.637978807091713E-11</v>
      </c>
      <c r="T1076" s="600"/>
      <c r="U1076" s="738"/>
      <c r="V1076" s="589"/>
      <c r="W1076" s="645"/>
      <c r="X1076" s="645"/>
      <c r="Y1076" s="592"/>
      <c r="Z1076" s="592"/>
    </row>
    <row r="1077" spans="1:26" s="28" customFormat="1" hidden="1">
      <c r="A1077" s="580">
        <f t="shared" si="135"/>
        <v>27</v>
      </c>
      <c r="B1077" s="827" t="s">
        <v>1183</v>
      </c>
      <c r="C1077" s="593" t="s">
        <v>217</v>
      </c>
      <c r="D1077" s="878">
        <v>21867</v>
      </c>
      <c r="E1077" s="888">
        <v>810</v>
      </c>
      <c r="F1077" s="878" t="s">
        <v>227</v>
      </c>
      <c r="G1077" s="878">
        <v>796</v>
      </c>
      <c r="H1077" s="879">
        <v>9</v>
      </c>
      <c r="I1077" s="593">
        <v>2</v>
      </c>
      <c r="J1077" s="878">
        <v>79</v>
      </c>
      <c r="K1077" s="881" t="s">
        <v>226</v>
      </c>
      <c r="L1077" s="746">
        <f t="shared" si="134"/>
        <v>7825059.0999999996</v>
      </c>
      <c r="M1077" s="882">
        <v>7770950</v>
      </c>
      <c r="N1077" s="883">
        <v>24259.1</v>
      </c>
      <c r="O1077" s="884"/>
      <c r="P1077" s="883"/>
      <c r="Q1077" s="586">
        <v>29850</v>
      </c>
      <c r="R1077" s="599">
        <f>M1077/E1077</f>
        <v>9593.7654320987658</v>
      </c>
      <c r="S1077" s="564">
        <f t="shared" si="133"/>
        <v>-3.7107383832335472E-10</v>
      </c>
      <c r="T1077" s="600"/>
      <c r="U1077" s="589" t="s">
        <v>3585</v>
      </c>
      <c r="V1077" s="589"/>
      <c r="W1077" s="592"/>
      <c r="X1077" s="645"/>
      <c r="Y1077" s="592"/>
      <c r="Z1077" s="592"/>
    </row>
    <row r="1078" spans="1:26" s="28" customFormat="1" hidden="1">
      <c r="A1078" s="580">
        <f t="shared" si="135"/>
        <v>28</v>
      </c>
      <c r="B1078" s="827" t="s">
        <v>1184</v>
      </c>
      <c r="C1078" s="593" t="s">
        <v>217</v>
      </c>
      <c r="D1078" s="878">
        <v>22932</v>
      </c>
      <c r="E1078" s="878">
        <v>4680</v>
      </c>
      <c r="F1078" s="878" t="s">
        <v>227</v>
      </c>
      <c r="G1078" s="878">
        <v>1800</v>
      </c>
      <c r="H1078" s="879">
        <v>5</v>
      </c>
      <c r="I1078" s="593">
        <v>8</v>
      </c>
      <c r="J1078" s="878">
        <v>120</v>
      </c>
      <c r="K1078" s="881" t="s">
        <v>33</v>
      </c>
      <c r="L1078" s="746">
        <f t="shared" si="134"/>
        <v>3952020.6</v>
      </c>
      <c r="M1078" s="882">
        <v>3940200</v>
      </c>
      <c r="N1078" s="883"/>
      <c r="O1078" s="884">
        <v>11820.6</v>
      </c>
      <c r="P1078" s="883"/>
      <c r="Q1078" s="586"/>
      <c r="R1078" s="599">
        <f>M1078/G1078</f>
        <v>2189</v>
      </c>
      <c r="S1078" s="564">
        <f t="shared" si="133"/>
        <v>9.276845958083868E-11</v>
      </c>
      <c r="T1078" s="600"/>
      <c r="U1078" s="738"/>
      <c r="V1078" s="589"/>
      <c r="W1078" s="645"/>
      <c r="X1078" s="645"/>
      <c r="Y1078" s="592"/>
      <c r="Z1078" s="592"/>
    </row>
    <row r="1079" spans="1:26" s="28" customFormat="1" hidden="1">
      <c r="A1079" s="580">
        <f t="shared" si="135"/>
        <v>29</v>
      </c>
      <c r="B1079" s="827" t="s">
        <v>1185</v>
      </c>
      <c r="C1079" s="593" t="s">
        <v>221</v>
      </c>
      <c r="D1079" s="878">
        <v>12023</v>
      </c>
      <c r="E1079" s="888">
        <v>195</v>
      </c>
      <c r="F1079" s="878" t="s">
        <v>288</v>
      </c>
      <c r="G1079" s="878">
        <v>1036</v>
      </c>
      <c r="H1079" s="879">
        <v>5</v>
      </c>
      <c r="I1079" s="593">
        <v>4</v>
      </c>
      <c r="J1079" s="878">
        <v>55</v>
      </c>
      <c r="K1079" s="881" t="s">
        <v>434</v>
      </c>
      <c r="L1079" s="746">
        <f t="shared" si="134"/>
        <v>510485</v>
      </c>
      <c r="M1079" s="882">
        <v>482625</v>
      </c>
      <c r="N1079" s="883">
        <v>27860</v>
      </c>
      <c r="O1079" s="884"/>
      <c r="P1079" s="883"/>
      <c r="Q1079" s="586"/>
      <c r="R1079" s="599">
        <f>M1079/E1079</f>
        <v>2475</v>
      </c>
      <c r="S1079" s="564">
        <f t="shared" si="133"/>
        <v>0</v>
      </c>
      <c r="T1079" s="600"/>
      <c r="U1079" s="738"/>
      <c r="V1079" s="589"/>
      <c r="W1079" s="645"/>
      <c r="X1079" s="645"/>
      <c r="Y1079" s="592"/>
      <c r="Z1079" s="592"/>
    </row>
    <row r="1080" spans="1:26" s="28" customFormat="1" ht="37.5" hidden="1">
      <c r="A1080" s="580">
        <f t="shared" si="135"/>
        <v>30</v>
      </c>
      <c r="B1080" s="827" t="s">
        <v>1186</v>
      </c>
      <c r="C1080" s="593" t="s">
        <v>217</v>
      </c>
      <c r="D1080" s="878">
        <v>22123</v>
      </c>
      <c r="E1080" s="878">
        <v>3500</v>
      </c>
      <c r="F1080" s="878" t="s">
        <v>227</v>
      </c>
      <c r="G1080" s="878">
        <v>1000</v>
      </c>
      <c r="H1080" s="879">
        <v>9</v>
      </c>
      <c r="I1080" s="593">
        <v>1</v>
      </c>
      <c r="J1080" s="878">
        <v>144</v>
      </c>
      <c r="K1080" s="881" t="s">
        <v>219</v>
      </c>
      <c r="L1080" s="746">
        <f t="shared" si="134"/>
        <v>2070750</v>
      </c>
      <c r="M1080" s="882">
        <v>1990000</v>
      </c>
      <c r="N1080" s="883">
        <v>80750</v>
      </c>
      <c r="O1080" s="884"/>
      <c r="P1080" s="883"/>
      <c r="Q1080" s="883"/>
      <c r="R1080" s="599">
        <f>M1080</f>
        <v>1990000</v>
      </c>
      <c r="S1080" s="564">
        <f t="shared" si="133"/>
        <v>0</v>
      </c>
      <c r="T1080" s="600"/>
      <c r="U1080" s="738"/>
      <c r="V1080" s="589"/>
      <c r="W1080" s="645"/>
      <c r="X1080" s="645"/>
      <c r="Y1080" s="592"/>
      <c r="Z1080" s="592"/>
    </row>
    <row r="1081" spans="1:26" s="28" customFormat="1" ht="37.5" hidden="1">
      <c r="A1081" s="580">
        <f t="shared" si="135"/>
        <v>31</v>
      </c>
      <c r="B1081" s="827" t="s">
        <v>1187</v>
      </c>
      <c r="C1081" s="593" t="s">
        <v>217</v>
      </c>
      <c r="D1081" s="878">
        <v>24432</v>
      </c>
      <c r="E1081" s="878">
        <v>6190</v>
      </c>
      <c r="F1081" s="878" t="s">
        <v>227</v>
      </c>
      <c r="G1081" s="878">
        <v>1154</v>
      </c>
      <c r="H1081" s="879">
        <v>9</v>
      </c>
      <c r="I1081" s="593">
        <v>3</v>
      </c>
      <c r="J1081" s="878">
        <v>129</v>
      </c>
      <c r="K1081" s="881" t="s">
        <v>219</v>
      </c>
      <c r="L1081" s="746">
        <f t="shared" si="134"/>
        <v>6091125</v>
      </c>
      <c r="M1081" s="882">
        <v>5970000</v>
      </c>
      <c r="N1081" s="883">
        <v>121125</v>
      </c>
      <c r="O1081" s="884"/>
      <c r="P1081" s="883"/>
      <c r="Q1081" s="883"/>
      <c r="R1081" s="599">
        <f>M1081/3</f>
        <v>1990000</v>
      </c>
      <c r="S1081" s="564">
        <f t="shared" ref="S1081:S1112" si="136">L1081-M1081-N1081-O1081-P1081-Q1081</f>
        <v>0</v>
      </c>
      <c r="T1081" s="600"/>
      <c r="U1081" s="738"/>
      <c r="V1081" s="589"/>
      <c r="W1081" s="645"/>
      <c r="X1081" s="645"/>
      <c r="Y1081" s="592"/>
      <c r="Z1081" s="592"/>
    </row>
    <row r="1082" spans="1:26" s="28" customFormat="1" hidden="1">
      <c r="A1082" s="580">
        <f t="shared" si="135"/>
        <v>32</v>
      </c>
      <c r="B1082" s="827" t="s">
        <v>1189</v>
      </c>
      <c r="C1082" s="593" t="s">
        <v>221</v>
      </c>
      <c r="D1082" s="878">
        <v>11457</v>
      </c>
      <c r="E1082" s="878">
        <v>2168</v>
      </c>
      <c r="F1082" s="878" t="s">
        <v>253</v>
      </c>
      <c r="G1082" s="878">
        <v>961</v>
      </c>
      <c r="H1082" s="879">
        <v>5</v>
      </c>
      <c r="I1082" s="593">
        <v>4</v>
      </c>
      <c r="J1082" s="878">
        <v>70</v>
      </c>
      <c r="K1082" s="881" t="s">
        <v>33</v>
      </c>
      <c r="L1082" s="746">
        <f t="shared" si="134"/>
        <v>2099369.29</v>
      </c>
      <c r="M1082" s="882">
        <v>2093058</v>
      </c>
      <c r="N1082" s="883"/>
      <c r="O1082" s="884">
        <v>6311.29</v>
      </c>
      <c r="P1082" s="883"/>
      <c r="Q1082" s="586"/>
      <c r="R1082" s="599">
        <f>M1082/G1082</f>
        <v>2178</v>
      </c>
      <c r="S1082" s="564">
        <f t="shared" si="136"/>
        <v>3.7289282772690058E-11</v>
      </c>
      <c r="T1082" s="600"/>
      <c r="U1082" s="738"/>
      <c r="V1082" s="589"/>
      <c r="W1082" s="645"/>
      <c r="X1082" s="645"/>
      <c r="Y1082" s="592"/>
      <c r="Z1082" s="592"/>
    </row>
    <row r="1083" spans="1:26" s="28" customFormat="1" ht="37.5" hidden="1">
      <c r="A1083" s="580">
        <f t="shared" si="135"/>
        <v>33</v>
      </c>
      <c r="B1083" s="827" t="s">
        <v>1190</v>
      </c>
      <c r="C1083" s="593" t="s">
        <v>221</v>
      </c>
      <c r="D1083" s="878">
        <v>26666</v>
      </c>
      <c r="E1083" s="878">
        <v>5577</v>
      </c>
      <c r="F1083" s="878" t="s">
        <v>233</v>
      </c>
      <c r="G1083" s="878">
        <v>2269</v>
      </c>
      <c r="H1083" s="879">
        <v>5</v>
      </c>
      <c r="I1083" s="593">
        <v>10</v>
      </c>
      <c r="J1083" s="878">
        <v>127</v>
      </c>
      <c r="K1083" s="881" t="s">
        <v>30</v>
      </c>
      <c r="L1083" s="746">
        <f t="shared" ref="L1083:L1114" si="137">M1083+N1083+O1083+P1083+Q1083</f>
        <v>3175638.52</v>
      </c>
      <c r="M1083" s="882">
        <v>3165402.95</v>
      </c>
      <c r="N1083" s="883"/>
      <c r="O1083" s="884">
        <v>10235.57</v>
      </c>
      <c r="P1083" s="883"/>
      <c r="Q1083" s="586"/>
      <c r="R1083" s="599">
        <f>M1083/J1083</f>
        <v>24924.432677165354</v>
      </c>
      <c r="S1083" s="564">
        <f t="shared" si="136"/>
        <v>-1.673470251262188E-10</v>
      </c>
      <c r="T1083" s="600"/>
      <c r="U1083" s="586"/>
      <c r="V1083" s="589"/>
      <c r="W1083" s="645"/>
      <c r="X1083" s="645"/>
      <c r="Y1083" s="592"/>
      <c r="Z1083" s="592"/>
    </row>
    <row r="1084" spans="1:26" s="28" customFormat="1" hidden="1">
      <c r="A1084" s="580">
        <f t="shared" si="135"/>
        <v>34</v>
      </c>
      <c r="B1084" s="827" t="s">
        <v>1191</v>
      </c>
      <c r="C1084" s="593" t="s">
        <v>239</v>
      </c>
      <c r="D1084" s="878">
        <v>6456</v>
      </c>
      <c r="E1084" s="878">
        <v>1445</v>
      </c>
      <c r="F1084" s="878" t="s">
        <v>251</v>
      </c>
      <c r="G1084" s="878">
        <v>1242</v>
      </c>
      <c r="H1084" s="879">
        <v>2</v>
      </c>
      <c r="I1084" s="593">
        <v>3</v>
      </c>
      <c r="J1084" s="878">
        <v>18</v>
      </c>
      <c r="K1084" s="881" t="s">
        <v>33</v>
      </c>
      <c r="L1084" s="746">
        <f t="shared" si="137"/>
        <v>3493047</v>
      </c>
      <c r="M1084" s="882">
        <v>3460212</v>
      </c>
      <c r="N1084" s="883">
        <v>32835</v>
      </c>
      <c r="O1084" s="884"/>
      <c r="P1084" s="883"/>
      <c r="Q1084" s="586"/>
      <c r="R1084" s="599">
        <f>M1084/G1084</f>
        <v>2786</v>
      </c>
      <c r="S1084" s="564">
        <f t="shared" si="136"/>
        <v>0</v>
      </c>
      <c r="T1084" s="600"/>
      <c r="U1084" s="738"/>
      <c r="V1084" s="589"/>
      <c r="W1084" s="645"/>
      <c r="X1084" s="645"/>
      <c r="Y1084" s="592"/>
      <c r="Z1084" s="592"/>
    </row>
    <row r="1085" spans="1:26" s="28" customFormat="1" hidden="1">
      <c r="A1085" s="580">
        <f t="shared" si="135"/>
        <v>35</v>
      </c>
      <c r="B1085" s="827" t="s">
        <v>1192</v>
      </c>
      <c r="C1085" s="593" t="s">
        <v>221</v>
      </c>
      <c r="D1085" s="878">
        <v>7529</v>
      </c>
      <c r="E1085" s="878">
        <v>7988.64</v>
      </c>
      <c r="F1085" s="878" t="s">
        <v>289</v>
      </c>
      <c r="G1085" s="878">
        <v>990</v>
      </c>
      <c r="H1085" s="879">
        <v>4</v>
      </c>
      <c r="I1085" s="593">
        <v>2</v>
      </c>
      <c r="J1085" s="878">
        <v>16</v>
      </c>
      <c r="K1085" s="881" t="s">
        <v>33</v>
      </c>
      <c r="L1085" s="746">
        <f t="shared" si="137"/>
        <v>2102926.7800000003</v>
      </c>
      <c r="M1085" s="882">
        <v>2064619.28</v>
      </c>
      <c r="N1085" s="883">
        <v>38307.5</v>
      </c>
      <c r="O1085" s="884"/>
      <c r="P1085" s="883"/>
      <c r="Q1085" s="586"/>
      <c r="R1085" s="599">
        <f>M1085/G1085</f>
        <v>2085.4740202020203</v>
      </c>
      <c r="S1085" s="564">
        <f t="shared" si="136"/>
        <v>2.3283064365386963E-10</v>
      </c>
      <c r="T1085" s="600"/>
      <c r="U1085" s="586"/>
      <c r="V1085" s="589"/>
      <c r="W1085" s="645"/>
      <c r="X1085" s="645"/>
      <c r="Y1085" s="592"/>
      <c r="Z1085" s="592"/>
    </row>
    <row r="1086" spans="1:26" s="28" customFormat="1" hidden="1">
      <c r="A1086" s="580">
        <f t="shared" si="135"/>
        <v>36</v>
      </c>
      <c r="B1086" s="827" t="s">
        <v>1193</v>
      </c>
      <c r="C1086" s="593" t="s">
        <v>221</v>
      </c>
      <c r="D1086" s="878">
        <v>13401</v>
      </c>
      <c r="E1086" s="878">
        <v>2600</v>
      </c>
      <c r="F1086" s="878" t="s">
        <v>290</v>
      </c>
      <c r="G1086" s="878">
        <v>1200</v>
      </c>
      <c r="H1086" s="879">
        <v>5</v>
      </c>
      <c r="I1086" s="593">
        <v>5</v>
      </c>
      <c r="J1086" s="878">
        <v>74</v>
      </c>
      <c r="K1086" s="881" t="s">
        <v>33</v>
      </c>
      <c r="L1086" s="746">
        <f t="shared" si="137"/>
        <v>2439868.94</v>
      </c>
      <c r="M1086" s="882">
        <v>2431988.54</v>
      </c>
      <c r="N1086" s="883"/>
      <c r="O1086" s="884">
        <v>7880.4</v>
      </c>
      <c r="P1086" s="883"/>
      <c r="Q1086" s="586"/>
      <c r="R1086" s="599">
        <f>M1086/G1086</f>
        <v>2026.6571166666668</v>
      </c>
      <c r="S1086" s="564">
        <f t="shared" si="136"/>
        <v>-9.276845958083868E-11</v>
      </c>
      <c r="T1086" s="600"/>
      <c r="U1086" s="738"/>
      <c r="V1086" s="589"/>
      <c r="W1086" s="645"/>
      <c r="X1086" s="645"/>
      <c r="Y1086" s="592"/>
      <c r="Z1086" s="592"/>
    </row>
    <row r="1087" spans="1:26" s="28" customFormat="1" hidden="1">
      <c r="A1087" s="580">
        <f t="shared" si="135"/>
        <v>37</v>
      </c>
      <c r="B1087" s="827" t="s">
        <v>1194</v>
      </c>
      <c r="C1087" s="593" t="s">
        <v>239</v>
      </c>
      <c r="D1087" s="878">
        <v>3251</v>
      </c>
      <c r="E1087" s="888">
        <v>684</v>
      </c>
      <c r="F1087" s="878" t="s">
        <v>251</v>
      </c>
      <c r="G1087" s="878">
        <v>654</v>
      </c>
      <c r="H1087" s="879">
        <v>2</v>
      </c>
      <c r="I1087" s="593">
        <v>2</v>
      </c>
      <c r="J1087" s="878">
        <v>12</v>
      </c>
      <c r="K1087" s="881" t="s">
        <v>38</v>
      </c>
      <c r="L1087" s="746">
        <f t="shared" si="137"/>
        <v>1086722.58</v>
      </c>
      <c r="M1087" s="882">
        <v>1083456</v>
      </c>
      <c r="N1087" s="883"/>
      <c r="O1087" s="884">
        <v>3266.58</v>
      </c>
      <c r="P1087" s="883"/>
      <c r="Q1087" s="586"/>
      <c r="R1087" s="599">
        <f>M1087/E1087</f>
        <v>1584</v>
      </c>
      <c r="S1087" s="564">
        <f t="shared" si="136"/>
        <v>7.4578565545380116E-11</v>
      </c>
      <c r="T1087" s="600"/>
      <c r="U1087" s="738"/>
      <c r="V1087" s="589"/>
      <c r="W1087" s="645"/>
      <c r="X1087" s="645"/>
      <c r="Y1087" s="592"/>
      <c r="Z1087" s="592"/>
    </row>
    <row r="1088" spans="1:26" s="28" customFormat="1" hidden="1">
      <c r="A1088" s="580">
        <f t="shared" si="135"/>
        <v>38</v>
      </c>
      <c r="B1088" s="827" t="s">
        <v>1195</v>
      </c>
      <c r="C1088" s="593" t="s">
        <v>239</v>
      </c>
      <c r="D1088" s="878">
        <v>2911</v>
      </c>
      <c r="E1088" s="878">
        <v>621</v>
      </c>
      <c r="F1088" s="878" t="s">
        <v>251</v>
      </c>
      <c r="G1088" s="878">
        <v>561</v>
      </c>
      <c r="H1088" s="879">
        <v>2</v>
      </c>
      <c r="I1088" s="593">
        <v>2</v>
      </c>
      <c r="J1088" s="878">
        <v>12</v>
      </c>
      <c r="K1088" s="881" t="s">
        <v>33</v>
      </c>
      <c r="L1088" s="746">
        <f t="shared" si="137"/>
        <v>1587927</v>
      </c>
      <c r="M1088" s="882">
        <v>1555092</v>
      </c>
      <c r="N1088" s="883">
        <v>32835</v>
      </c>
      <c r="O1088" s="884"/>
      <c r="P1088" s="883"/>
      <c r="Q1088" s="586"/>
      <c r="R1088" s="599">
        <f>M1088/G1088</f>
        <v>2772</v>
      </c>
      <c r="S1088" s="564">
        <f t="shared" si="136"/>
        <v>0</v>
      </c>
      <c r="T1088" s="600"/>
      <c r="U1088" s="738"/>
      <c r="V1088" s="589"/>
      <c r="W1088" s="645"/>
      <c r="X1088" s="645"/>
      <c r="Y1088" s="592"/>
      <c r="Z1088" s="592"/>
    </row>
    <row r="1089" spans="1:26" s="28" customFormat="1" hidden="1">
      <c r="A1089" s="580">
        <f t="shared" si="135"/>
        <v>39</v>
      </c>
      <c r="B1089" s="827" t="s">
        <v>1196</v>
      </c>
      <c r="C1089" s="593" t="s">
        <v>221</v>
      </c>
      <c r="D1089" s="878">
        <v>691</v>
      </c>
      <c r="E1089" s="878">
        <v>680</v>
      </c>
      <c r="F1089" s="878" t="s">
        <v>251</v>
      </c>
      <c r="G1089" s="878">
        <v>680</v>
      </c>
      <c r="H1089" s="879">
        <v>2</v>
      </c>
      <c r="I1089" s="593">
        <v>1</v>
      </c>
      <c r="J1089" s="878">
        <v>20</v>
      </c>
      <c r="K1089" s="881" t="s">
        <v>33</v>
      </c>
      <c r="L1089" s="746">
        <f t="shared" si="137"/>
        <v>1917795</v>
      </c>
      <c r="M1089" s="882">
        <v>1884960</v>
      </c>
      <c r="N1089" s="883">
        <v>32835</v>
      </c>
      <c r="O1089" s="884"/>
      <c r="P1089" s="883"/>
      <c r="Q1089" s="586"/>
      <c r="R1089" s="599">
        <f>M1089/G1089</f>
        <v>2772</v>
      </c>
      <c r="S1089" s="564">
        <f t="shared" si="136"/>
        <v>0</v>
      </c>
      <c r="T1089" s="600"/>
      <c r="U1089" s="738"/>
      <c r="V1089" s="589"/>
      <c r="W1089" s="645"/>
      <c r="X1089" s="645"/>
      <c r="Y1089" s="592"/>
      <c r="Z1089" s="592"/>
    </row>
    <row r="1090" spans="1:26" s="28" customFormat="1" hidden="1">
      <c r="A1090" s="580">
        <f t="shared" si="135"/>
        <v>40</v>
      </c>
      <c r="B1090" s="827" t="s">
        <v>1197</v>
      </c>
      <c r="C1090" s="593" t="s">
        <v>221</v>
      </c>
      <c r="D1090" s="878">
        <v>11227</v>
      </c>
      <c r="E1090" s="878">
        <v>2124</v>
      </c>
      <c r="F1090" s="878" t="s">
        <v>253</v>
      </c>
      <c r="G1090" s="878">
        <v>962</v>
      </c>
      <c r="H1090" s="879">
        <v>5</v>
      </c>
      <c r="I1090" s="593">
        <v>4</v>
      </c>
      <c r="J1090" s="878">
        <v>80</v>
      </c>
      <c r="K1090" s="881" t="s">
        <v>33</v>
      </c>
      <c r="L1090" s="746">
        <f t="shared" si="137"/>
        <v>2122505.6199999996</v>
      </c>
      <c r="M1090" s="882">
        <v>2116188.36</v>
      </c>
      <c r="N1090" s="883"/>
      <c r="O1090" s="884">
        <v>6317.26</v>
      </c>
      <c r="P1090" s="883"/>
      <c r="Q1090" s="586"/>
      <c r="R1090" s="599">
        <f>M1090/G1090</f>
        <v>2199.7799999999997</v>
      </c>
      <c r="S1090" s="564">
        <f t="shared" si="136"/>
        <v>-2.2373569663614035E-10</v>
      </c>
      <c r="T1090" s="600"/>
      <c r="U1090" s="738"/>
      <c r="V1090" s="589"/>
      <c r="W1090" s="645"/>
      <c r="X1090" s="645"/>
      <c r="Y1090" s="592"/>
      <c r="Z1090" s="592"/>
    </row>
    <row r="1091" spans="1:26" s="28" customFormat="1" ht="37.5" hidden="1">
      <c r="A1091" s="580">
        <f t="shared" si="135"/>
        <v>41</v>
      </c>
      <c r="B1091" s="827" t="s">
        <v>1198</v>
      </c>
      <c r="C1091" s="593" t="s">
        <v>221</v>
      </c>
      <c r="D1091" s="878">
        <v>21151</v>
      </c>
      <c r="E1091" s="878">
        <v>3975</v>
      </c>
      <c r="F1091" s="878" t="s">
        <v>227</v>
      </c>
      <c r="G1091" s="878">
        <v>999</v>
      </c>
      <c r="H1091" s="879">
        <v>9</v>
      </c>
      <c r="I1091" s="593">
        <v>1</v>
      </c>
      <c r="J1091" s="878">
        <v>143</v>
      </c>
      <c r="K1091" s="881" t="s">
        <v>219</v>
      </c>
      <c r="L1091" s="746">
        <f t="shared" si="137"/>
        <v>2070750</v>
      </c>
      <c r="M1091" s="882">
        <v>1990000</v>
      </c>
      <c r="N1091" s="883">
        <v>80750</v>
      </c>
      <c r="O1091" s="884"/>
      <c r="P1091" s="883"/>
      <c r="Q1091" s="883"/>
      <c r="R1091" s="599">
        <f>M1091</f>
        <v>1990000</v>
      </c>
      <c r="S1091" s="564">
        <f t="shared" si="136"/>
        <v>0</v>
      </c>
      <c r="T1091" s="600"/>
      <c r="U1091" s="738"/>
      <c r="V1091" s="589"/>
      <c r="W1091" s="645"/>
      <c r="X1091" s="645"/>
      <c r="Y1091" s="592"/>
      <c r="Z1091" s="592"/>
    </row>
    <row r="1092" spans="1:26" s="28" customFormat="1" ht="37.5" hidden="1">
      <c r="A1092" s="580">
        <f t="shared" si="135"/>
        <v>42</v>
      </c>
      <c r="B1092" s="827" t="s">
        <v>1199</v>
      </c>
      <c r="C1092" s="593" t="s">
        <v>221</v>
      </c>
      <c r="D1092" s="878">
        <v>21664</v>
      </c>
      <c r="E1092" s="878">
        <v>3975</v>
      </c>
      <c r="F1092" s="878" t="s">
        <v>227</v>
      </c>
      <c r="G1092" s="878">
        <v>1008</v>
      </c>
      <c r="H1092" s="879">
        <v>9</v>
      </c>
      <c r="I1092" s="593">
        <v>1</v>
      </c>
      <c r="J1092" s="878">
        <v>144</v>
      </c>
      <c r="K1092" s="881" t="s">
        <v>219</v>
      </c>
      <c r="L1092" s="746">
        <f t="shared" si="137"/>
        <v>2070750</v>
      </c>
      <c r="M1092" s="882">
        <v>1990000</v>
      </c>
      <c r="N1092" s="883">
        <v>80750</v>
      </c>
      <c r="O1092" s="884"/>
      <c r="P1092" s="883"/>
      <c r="Q1092" s="883"/>
      <c r="R1092" s="599">
        <f>M1092</f>
        <v>1990000</v>
      </c>
      <c r="S1092" s="564">
        <f t="shared" si="136"/>
        <v>0</v>
      </c>
      <c r="T1092" s="600"/>
      <c r="U1092" s="738"/>
      <c r="V1092" s="589"/>
      <c r="W1092" s="645"/>
      <c r="X1092" s="645"/>
      <c r="Y1092" s="592"/>
      <c r="Z1092" s="592"/>
    </row>
    <row r="1093" spans="1:26" s="28" customFormat="1" ht="37.5" hidden="1">
      <c r="A1093" s="580">
        <f t="shared" si="135"/>
        <v>43</v>
      </c>
      <c r="B1093" s="827" t="s">
        <v>1200</v>
      </c>
      <c r="C1093" s="593" t="s">
        <v>221</v>
      </c>
      <c r="D1093" s="878">
        <v>21794</v>
      </c>
      <c r="E1093" s="878">
        <v>4175</v>
      </c>
      <c r="F1093" s="878" t="s">
        <v>227</v>
      </c>
      <c r="G1093" s="878">
        <v>1010</v>
      </c>
      <c r="H1093" s="879">
        <v>9</v>
      </c>
      <c r="I1093" s="593">
        <v>1</v>
      </c>
      <c r="J1093" s="878">
        <v>136</v>
      </c>
      <c r="K1093" s="881" t="s">
        <v>219</v>
      </c>
      <c r="L1093" s="746">
        <f t="shared" si="137"/>
        <v>2070750</v>
      </c>
      <c r="M1093" s="882">
        <v>1990000</v>
      </c>
      <c r="N1093" s="883">
        <v>80750</v>
      </c>
      <c r="O1093" s="884"/>
      <c r="P1093" s="883"/>
      <c r="Q1093" s="883"/>
      <c r="R1093" s="599">
        <f>M1093</f>
        <v>1990000</v>
      </c>
      <c r="S1093" s="564">
        <f t="shared" si="136"/>
        <v>0</v>
      </c>
      <c r="T1093" s="600"/>
      <c r="U1093" s="738"/>
      <c r="V1093" s="589"/>
      <c r="W1093" s="645"/>
      <c r="X1093" s="645"/>
      <c r="Y1093" s="592"/>
      <c r="Z1093" s="592"/>
    </row>
    <row r="1094" spans="1:26" s="28" customFormat="1" hidden="1">
      <c r="A1094" s="580">
        <f t="shared" si="135"/>
        <v>44</v>
      </c>
      <c r="B1094" s="827" t="s">
        <v>1201</v>
      </c>
      <c r="C1094" s="593" t="s">
        <v>239</v>
      </c>
      <c r="D1094" s="878">
        <v>2854</v>
      </c>
      <c r="E1094" s="878">
        <v>629</v>
      </c>
      <c r="F1094" s="878" t="s">
        <v>251</v>
      </c>
      <c r="G1094" s="878">
        <v>564</v>
      </c>
      <c r="H1094" s="879">
        <v>2</v>
      </c>
      <c r="I1094" s="593">
        <v>2</v>
      </c>
      <c r="J1094" s="878">
        <v>12</v>
      </c>
      <c r="K1094" s="881" t="s">
        <v>33</v>
      </c>
      <c r="L1094" s="746">
        <f t="shared" si="137"/>
        <v>1596243</v>
      </c>
      <c r="M1094" s="882">
        <v>1563408</v>
      </c>
      <c r="N1094" s="883">
        <v>32835</v>
      </c>
      <c r="O1094" s="884"/>
      <c r="P1094" s="883"/>
      <c r="Q1094" s="586"/>
      <c r="R1094" s="599">
        <f t="shared" ref="R1094:R1109" si="138">M1094/G1094</f>
        <v>2772</v>
      </c>
      <c r="S1094" s="564">
        <f t="shared" si="136"/>
        <v>0</v>
      </c>
      <c r="T1094" s="600"/>
      <c r="U1094" s="738"/>
      <c r="V1094" s="589"/>
      <c r="W1094" s="645"/>
      <c r="X1094" s="645"/>
      <c r="Y1094" s="592"/>
      <c r="Z1094" s="592"/>
    </row>
    <row r="1095" spans="1:26" s="28" customFormat="1" hidden="1">
      <c r="A1095" s="580">
        <f t="shared" si="135"/>
        <v>45</v>
      </c>
      <c r="B1095" s="827" t="s">
        <v>1202</v>
      </c>
      <c r="C1095" s="593" t="s">
        <v>239</v>
      </c>
      <c r="D1095" s="878">
        <v>2505</v>
      </c>
      <c r="E1095" s="878">
        <v>524</v>
      </c>
      <c r="F1095" s="878" t="s">
        <v>251</v>
      </c>
      <c r="G1095" s="878">
        <v>474</v>
      </c>
      <c r="H1095" s="879">
        <v>2</v>
      </c>
      <c r="I1095" s="593">
        <v>1</v>
      </c>
      <c r="J1095" s="878">
        <v>8</v>
      </c>
      <c r="K1095" s="881" t="s">
        <v>33</v>
      </c>
      <c r="L1095" s="746">
        <f t="shared" si="137"/>
        <v>1265146.1499999999</v>
      </c>
      <c r="M1095" s="882">
        <v>1232311.1499999999</v>
      </c>
      <c r="N1095" s="883">
        <v>32835</v>
      </c>
      <c r="O1095" s="884"/>
      <c r="P1095" s="883"/>
      <c r="Q1095" s="586"/>
      <c r="R1095" s="599">
        <f t="shared" si="138"/>
        <v>2599.8125527426159</v>
      </c>
      <c r="S1095" s="564">
        <f t="shared" si="136"/>
        <v>0</v>
      </c>
      <c r="T1095" s="600"/>
      <c r="U1095" s="586"/>
      <c r="V1095" s="589"/>
      <c r="W1095" s="645"/>
      <c r="X1095" s="645"/>
      <c r="Y1095" s="592"/>
      <c r="Z1095" s="592"/>
    </row>
    <row r="1096" spans="1:26" s="28" customFormat="1" hidden="1">
      <c r="A1096" s="580">
        <f t="shared" si="135"/>
        <v>46</v>
      </c>
      <c r="B1096" s="827" t="s">
        <v>1203</v>
      </c>
      <c r="C1096" s="593" t="s">
        <v>239</v>
      </c>
      <c r="D1096" s="878">
        <v>1934</v>
      </c>
      <c r="E1096" s="878">
        <v>437</v>
      </c>
      <c r="F1096" s="878" t="s">
        <v>251</v>
      </c>
      <c r="G1096" s="878">
        <v>381</v>
      </c>
      <c r="H1096" s="879">
        <v>2</v>
      </c>
      <c r="I1096" s="593">
        <v>1</v>
      </c>
      <c r="J1096" s="878">
        <v>8</v>
      </c>
      <c r="K1096" s="881" t="s">
        <v>33</v>
      </c>
      <c r="L1096" s="746">
        <f t="shared" si="137"/>
        <v>1088967</v>
      </c>
      <c r="M1096" s="882">
        <v>1056132</v>
      </c>
      <c r="N1096" s="883">
        <v>32835</v>
      </c>
      <c r="O1096" s="884"/>
      <c r="P1096" s="883"/>
      <c r="Q1096" s="586"/>
      <c r="R1096" s="599">
        <f t="shared" si="138"/>
        <v>2772</v>
      </c>
      <c r="S1096" s="564">
        <f t="shared" si="136"/>
        <v>0</v>
      </c>
      <c r="T1096" s="600"/>
      <c r="U1096" s="586"/>
      <c r="V1096" s="589"/>
      <c r="W1096" s="645"/>
      <c r="X1096" s="645"/>
      <c r="Y1096" s="592"/>
      <c r="Z1096" s="592"/>
    </row>
    <row r="1097" spans="1:26" s="28" customFormat="1" hidden="1">
      <c r="A1097" s="580">
        <f t="shared" si="135"/>
        <v>47</v>
      </c>
      <c r="B1097" s="827" t="s">
        <v>1204</v>
      </c>
      <c r="C1097" s="593" t="s">
        <v>221</v>
      </c>
      <c r="D1097" s="878">
        <v>17805</v>
      </c>
      <c r="E1097" s="878">
        <v>3249</v>
      </c>
      <c r="F1097" s="878" t="s">
        <v>233</v>
      </c>
      <c r="G1097" s="878">
        <v>1526</v>
      </c>
      <c r="H1097" s="879">
        <v>5</v>
      </c>
      <c r="I1097" s="593">
        <v>6</v>
      </c>
      <c r="J1097" s="878">
        <v>90</v>
      </c>
      <c r="K1097" s="881" t="s">
        <v>33</v>
      </c>
      <c r="L1097" s="746">
        <f t="shared" si="137"/>
        <v>3366885.92</v>
      </c>
      <c r="M1097" s="882">
        <v>3356864.28</v>
      </c>
      <c r="N1097" s="883"/>
      <c r="O1097" s="884">
        <v>10021.64</v>
      </c>
      <c r="P1097" s="883"/>
      <c r="Q1097" s="586"/>
      <c r="R1097" s="599">
        <f t="shared" si="138"/>
        <v>2199.7799999999997</v>
      </c>
      <c r="S1097" s="564">
        <f t="shared" si="136"/>
        <v>1.3096723705530167E-10</v>
      </c>
      <c r="T1097" s="600"/>
      <c r="U1097" s="738"/>
      <c r="V1097" s="589"/>
      <c r="W1097" s="645"/>
      <c r="X1097" s="645"/>
      <c r="Y1097" s="592"/>
      <c r="Z1097" s="592"/>
    </row>
    <row r="1098" spans="1:26" s="28" customFormat="1" hidden="1">
      <c r="A1098" s="580">
        <f t="shared" si="135"/>
        <v>48</v>
      </c>
      <c r="B1098" s="827" t="s">
        <v>1205</v>
      </c>
      <c r="C1098" s="593" t="s">
        <v>239</v>
      </c>
      <c r="D1098" s="878">
        <v>3192</v>
      </c>
      <c r="E1098" s="878">
        <v>684</v>
      </c>
      <c r="F1098" s="878" t="s">
        <v>251</v>
      </c>
      <c r="G1098" s="878">
        <v>644</v>
      </c>
      <c r="H1098" s="879">
        <v>2</v>
      </c>
      <c r="I1098" s="593">
        <v>2</v>
      </c>
      <c r="J1098" s="878">
        <v>12</v>
      </c>
      <c r="K1098" s="881" t="s">
        <v>33</v>
      </c>
      <c r="L1098" s="746">
        <f t="shared" si="137"/>
        <v>1703582.8</v>
      </c>
      <c r="M1098" s="882">
        <v>1670747.8</v>
      </c>
      <c r="N1098" s="883">
        <v>32835</v>
      </c>
      <c r="O1098" s="884"/>
      <c r="P1098" s="883"/>
      <c r="Q1098" s="586"/>
      <c r="R1098" s="599">
        <f t="shared" si="138"/>
        <v>2594.3288819875779</v>
      </c>
      <c r="S1098" s="564">
        <f t="shared" si="136"/>
        <v>0</v>
      </c>
      <c r="T1098" s="600"/>
      <c r="U1098" s="586"/>
      <c r="V1098" s="589"/>
      <c r="W1098" s="645"/>
      <c r="X1098" s="645"/>
      <c r="Y1098" s="592"/>
      <c r="Z1098" s="592"/>
    </row>
    <row r="1099" spans="1:26" s="28" customFormat="1" hidden="1">
      <c r="A1099" s="580">
        <f t="shared" si="135"/>
        <v>49</v>
      </c>
      <c r="B1099" s="827" t="s">
        <v>1206</v>
      </c>
      <c r="C1099" s="593" t="s">
        <v>239</v>
      </c>
      <c r="D1099" s="878">
        <v>1920</v>
      </c>
      <c r="E1099" s="878">
        <v>450</v>
      </c>
      <c r="F1099" s="878" t="s">
        <v>251</v>
      </c>
      <c r="G1099" s="878">
        <v>378</v>
      </c>
      <c r="H1099" s="879">
        <v>2</v>
      </c>
      <c r="I1099" s="593">
        <v>1</v>
      </c>
      <c r="J1099" s="878">
        <v>8</v>
      </c>
      <c r="K1099" s="881" t="s">
        <v>33</v>
      </c>
      <c r="L1099" s="746">
        <f t="shared" si="137"/>
        <v>1080651</v>
      </c>
      <c r="M1099" s="882">
        <v>1047816</v>
      </c>
      <c r="N1099" s="883">
        <v>32835</v>
      </c>
      <c r="O1099" s="884"/>
      <c r="P1099" s="883"/>
      <c r="Q1099" s="586"/>
      <c r="R1099" s="599">
        <f t="shared" si="138"/>
        <v>2772</v>
      </c>
      <c r="S1099" s="564">
        <f t="shared" si="136"/>
        <v>0</v>
      </c>
      <c r="T1099" s="600"/>
      <c r="U1099" s="738"/>
      <c r="V1099" s="589"/>
      <c r="W1099" s="645"/>
      <c r="X1099" s="645"/>
      <c r="Y1099" s="592"/>
      <c r="Z1099" s="592"/>
    </row>
    <row r="1100" spans="1:26" s="28" customFormat="1" hidden="1">
      <c r="A1100" s="580">
        <f t="shared" si="135"/>
        <v>50</v>
      </c>
      <c r="B1100" s="827" t="s">
        <v>1207</v>
      </c>
      <c r="C1100" s="593" t="s">
        <v>239</v>
      </c>
      <c r="D1100" s="878">
        <v>4092</v>
      </c>
      <c r="E1100" s="878">
        <v>779</v>
      </c>
      <c r="F1100" s="878" t="s">
        <v>251</v>
      </c>
      <c r="G1100" s="878">
        <v>787</v>
      </c>
      <c r="H1100" s="879">
        <v>2</v>
      </c>
      <c r="I1100" s="593">
        <v>2</v>
      </c>
      <c r="J1100" s="878">
        <v>12</v>
      </c>
      <c r="K1100" s="881" t="s">
        <v>33</v>
      </c>
      <c r="L1100" s="746">
        <f t="shared" si="137"/>
        <v>1964751.59</v>
      </c>
      <c r="M1100" s="882">
        <v>1931916.59</v>
      </c>
      <c r="N1100" s="883">
        <v>32835</v>
      </c>
      <c r="O1100" s="884"/>
      <c r="P1100" s="883"/>
      <c r="Q1100" s="586"/>
      <c r="R1100" s="599">
        <f t="shared" si="138"/>
        <v>2454.7860101651845</v>
      </c>
      <c r="S1100" s="564">
        <f t="shared" si="136"/>
        <v>0</v>
      </c>
      <c r="T1100" s="600"/>
      <c r="U1100" s="586"/>
      <c r="V1100" s="589"/>
      <c r="W1100" s="645"/>
      <c r="X1100" s="645"/>
      <c r="Y1100" s="592"/>
      <c r="Z1100" s="592"/>
    </row>
    <row r="1101" spans="1:26" s="28" customFormat="1" hidden="1">
      <c r="A1101" s="580">
        <f t="shared" si="135"/>
        <v>51</v>
      </c>
      <c r="B1101" s="827" t="s">
        <v>2101</v>
      </c>
      <c r="C1101" s="593" t="s">
        <v>221</v>
      </c>
      <c r="D1101" s="878">
        <v>19626</v>
      </c>
      <c r="E1101" s="888">
        <v>2430</v>
      </c>
      <c r="F1101" s="878" t="s">
        <v>227</v>
      </c>
      <c r="G1101" s="878">
        <v>1768</v>
      </c>
      <c r="H1101" s="879">
        <v>5</v>
      </c>
      <c r="I1101" s="593">
        <v>8</v>
      </c>
      <c r="J1101" s="878">
        <v>128</v>
      </c>
      <c r="K1101" s="881" t="s">
        <v>33</v>
      </c>
      <c r="L1101" s="746">
        <f t="shared" si="137"/>
        <v>3851667.74</v>
      </c>
      <c r="M1101" s="882">
        <v>3816842.74</v>
      </c>
      <c r="N1101" s="883">
        <v>34825</v>
      </c>
      <c r="O1101" s="884"/>
      <c r="P1101" s="883"/>
      <c r="Q1101" s="597"/>
      <c r="R1101" s="896">
        <f t="shared" si="138"/>
        <v>2158.8477036199097</v>
      </c>
      <c r="S1101" s="564">
        <f t="shared" si="136"/>
        <v>0</v>
      </c>
      <c r="T1101" s="885"/>
      <c r="U1101" s="591"/>
      <c r="V1101" s="592"/>
      <c r="W1101" s="645"/>
      <c r="X1101" s="645"/>
      <c r="Y1101" s="592"/>
      <c r="Z1101" s="592"/>
    </row>
    <row r="1102" spans="1:26" s="28" customFormat="1" hidden="1">
      <c r="A1102" s="580">
        <f t="shared" si="135"/>
        <v>52</v>
      </c>
      <c r="B1102" s="827" t="s">
        <v>3719</v>
      </c>
      <c r="C1102" s="593" t="s">
        <v>239</v>
      </c>
      <c r="D1102" s="878">
        <v>1928</v>
      </c>
      <c r="E1102" s="888">
        <v>440</v>
      </c>
      <c r="F1102" s="878" t="s">
        <v>251</v>
      </c>
      <c r="G1102" s="878">
        <v>374</v>
      </c>
      <c r="H1102" s="879">
        <v>2</v>
      </c>
      <c r="I1102" s="593">
        <v>1</v>
      </c>
      <c r="J1102" s="878">
        <v>8</v>
      </c>
      <c r="K1102" s="881" t="s">
        <v>33</v>
      </c>
      <c r="L1102" s="746">
        <f t="shared" si="137"/>
        <v>943685.39</v>
      </c>
      <c r="M1102" s="882">
        <v>916300</v>
      </c>
      <c r="N1102" s="883">
        <v>17991.59</v>
      </c>
      <c r="O1102" s="897"/>
      <c r="P1102" s="898"/>
      <c r="Q1102" s="597">
        <v>9393.7999999999993</v>
      </c>
      <c r="R1102" s="896">
        <f t="shared" si="138"/>
        <v>2450</v>
      </c>
      <c r="S1102" s="564">
        <f t="shared" si="136"/>
        <v>1.4551915228366852E-11</v>
      </c>
      <c r="T1102" s="885"/>
      <c r="U1102" s="591"/>
      <c r="V1102" s="592"/>
      <c r="W1102" s="645"/>
      <c r="X1102" s="645"/>
      <c r="Y1102" s="592"/>
      <c r="Z1102" s="592"/>
    </row>
    <row r="1103" spans="1:26" s="28" customFormat="1" hidden="1">
      <c r="A1103" s="580">
        <f t="shared" si="135"/>
        <v>53</v>
      </c>
      <c r="B1103" s="827" t="s">
        <v>3541</v>
      </c>
      <c r="C1103" s="593" t="s">
        <v>221</v>
      </c>
      <c r="D1103" s="878">
        <v>9594</v>
      </c>
      <c r="E1103" s="888">
        <v>1987</v>
      </c>
      <c r="F1103" s="878" t="s">
        <v>251</v>
      </c>
      <c r="G1103" s="878">
        <v>871</v>
      </c>
      <c r="H1103" s="879">
        <v>5</v>
      </c>
      <c r="I1103" s="593">
        <v>3</v>
      </c>
      <c r="J1103" s="878">
        <v>60</v>
      </c>
      <c r="K1103" s="881" t="s">
        <v>33</v>
      </c>
      <c r="L1103" s="746">
        <f t="shared" si="137"/>
        <v>2460416.8199999998</v>
      </c>
      <c r="M1103" s="882">
        <v>2414412</v>
      </c>
      <c r="N1103" s="883">
        <v>16425.46</v>
      </c>
      <c r="O1103" s="897"/>
      <c r="P1103" s="898"/>
      <c r="Q1103" s="597">
        <v>29579.360000000001</v>
      </c>
      <c r="R1103" s="896">
        <f t="shared" si="138"/>
        <v>2772</v>
      </c>
      <c r="S1103" s="564">
        <f t="shared" si="136"/>
        <v>-1.673470251262188E-10</v>
      </c>
      <c r="T1103" s="885"/>
      <c r="U1103" s="591"/>
      <c r="V1103" s="592"/>
      <c r="W1103" s="645"/>
      <c r="X1103" s="645"/>
      <c r="Y1103" s="592"/>
      <c r="Z1103" s="592"/>
    </row>
    <row r="1104" spans="1:26" s="28" customFormat="1" hidden="1">
      <c r="A1104" s="580">
        <f t="shared" si="135"/>
        <v>54</v>
      </c>
      <c r="B1104" s="827" t="s">
        <v>3720</v>
      </c>
      <c r="C1104" s="593" t="s">
        <v>239</v>
      </c>
      <c r="D1104" s="878">
        <v>4208</v>
      </c>
      <c r="E1104" s="888">
        <v>800</v>
      </c>
      <c r="F1104" s="878" t="s">
        <v>251</v>
      </c>
      <c r="G1104" s="878">
        <v>545</v>
      </c>
      <c r="H1104" s="879">
        <v>3</v>
      </c>
      <c r="I1104" s="593">
        <v>2</v>
      </c>
      <c r="J1104" s="878">
        <v>12</v>
      </c>
      <c r="K1104" s="881" t="s">
        <v>33</v>
      </c>
      <c r="L1104" s="746">
        <f t="shared" si="137"/>
        <v>1541205.9100000001</v>
      </c>
      <c r="M1104" s="882">
        <v>1510740</v>
      </c>
      <c r="N1104" s="883">
        <v>17492.099999999999</v>
      </c>
      <c r="O1104" s="897"/>
      <c r="P1104" s="898"/>
      <c r="Q1104" s="597">
        <v>12973.81</v>
      </c>
      <c r="R1104" s="896">
        <f t="shared" si="138"/>
        <v>2772</v>
      </c>
      <c r="S1104" s="564">
        <f t="shared" si="136"/>
        <v>1.5097612049430609E-10</v>
      </c>
      <c r="T1104" s="885"/>
      <c r="U1104" s="591"/>
      <c r="V1104" s="592"/>
      <c r="W1104" s="645"/>
      <c r="X1104" s="645"/>
      <c r="Y1104" s="592"/>
      <c r="Z1104" s="592"/>
    </row>
    <row r="1105" spans="1:26" s="28" customFormat="1" hidden="1">
      <c r="A1105" s="580">
        <f t="shared" si="135"/>
        <v>55</v>
      </c>
      <c r="B1105" s="827" t="s">
        <v>3721</v>
      </c>
      <c r="C1105" s="593" t="s">
        <v>239</v>
      </c>
      <c r="D1105" s="878">
        <v>1942</v>
      </c>
      <c r="E1105" s="888">
        <v>420</v>
      </c>
      <c r="F1105" s="878" t="s">
        <v>251</v>
      </c>
      <c r="G1105" s="878">
        <v>385</v>
      </c>
      <c r="H1105" s="879">
        <v>2</v>
      </c>
      <c r="I1105" s="593">
        <v>1</v>
      </c>
      <c r="J1105" s="878">
        <v>8</v>
      </c>
      <c r="K1105" s="881" t="s">
        <v>33</v>
      </c>
      <c r="L1105" s="746">
        <f t="shared" si="137"/>
        <v>976115.92999999993</v>
      </c>
      <c r="M1105" s="882">
        <v>948640</v>
      </c>
      <c r="N1105" s="883">
        <v>18014.48</v>
      </c>
      <c r="O1105" s="897"/>
      <c r="P1105" s="898"/>
      <c r="Q1105" s="597">
        <v>9461.4500000000007</v>
      </c>
      <c r="R1105" s="896">
        <f t="shared" si="138"/>
        <v>2464</v>
      </c>
      <c r="S1105" s="564">
        <f t="shared" si="136"/>
        <v>-6.5483618527650833E-11</v>
      </c>
      <c r="T1105" s="885"/>
      <c r="U1105" s="591"/>
      <c r="V1105" s="592"/>
      <c r="W1105" s="645"/>
      <c r="X1105" s="645"/>
      <c r="Y1105" s="592"/>
      <c r="Z1105" s="592"/>
    </row>
    <row r="1106" spans="1:26" s="28" customFormat="1" ht="37.5" hidden="1">
      <c r="A1106" s="580">
        <f t="shared" si="135"/>
        <v>56</v>
      </c>
      <c r="B1106" s="827" t="s">
        <v>3722</v>
      </c>
      <c r="C1106" s="593" t="s">
        <v>239</v>
      </c>
      <c r="D1106" s="878">
        <v>2808</v>
      </c>
      <c r="E1106" s="888">
        <v>620</v>
      </c>
      <c r="F1106" s="878" t="s">
        <v>313</v>
      </c>
      <c r="G1106" s="878">
        <v>403</v>
      </c>
      <c r="H1106" s="879">
        <v>2</v>
      </c>
      <c r="I1106" s="593">
        <v>2</v>
      </c>
      <c r="J1106" s="878">
        <v>12</v>
      </c>
      <c r="K1106" s="881" t="s">
        <v>3717</v>
      </c>
      <c r="L1106" s="746">
        <f t="shared" si="137"/>
        <v>439434.62</v>
      </c>
      <c r="M1106" s="882">
        <v>430404</v>
      </c>
      <c r="N1106" s="898"/>
      <c r="O1106" s="884">
        <v>2190</v>
      </c>
      <c r="P1106" s="898"/>
      <c r="Q1106" s="597">
        <v>6840.62</v>
      </c>
      <c r="R1106" s="896">
        <f t="shared" si="138"/>
        <v>1068</v>
      </c>
      <c r="S1106" s="564">
        <f t="shared" si="136"/>
        <v>0</v>
      </c>
      <c r="T1106" s="885"/>
      <c r="U1106" s="591"/>
      <c r="V1106" s="592"/>
      <c r="W1106" s="645"/>
      <c r="X1106" s="645"/>
      <c r="Y1106" s="592"/>
      <c r="Z1106" s="592"/>
    </row>
    <row r="1107" spans="1:26" s="28" customFormat="1" hidden="1">
      <c r="A1107" s="580">
        <f t="shared" si="135"/>
        <v>57</v>
      </c>
      <c r="B1107" s="827" t="s">
        <v>3723</v>
      </c>
      <c r="C1107" s="593" t="s">
        <v>239</v>
      </c>
      <c r="D1107" s="878">
        <v>1881</v>
      </c>
      <c r="E1107" s="888">
        <v>440</v>
      </c>
      <c r="F1107" s="878" t="s">
        <v>251</v>
      </c>
      <c r="G1107" s="878">
        <v>374</v>
      </c>
      <c r="H1107" s="879">
        <v>2</v>
      </c>
      <c r="I1107" s="593">
        <v>1</v>
      </c>
      <c r="J1107" s="878">
        <v>8</v>
      </c>
      <c r="K1107" s="881" t="s">
        <v>33</v>
      </c>
      <c r="L1107" s="746">
        <f t="shared" si="137"/>
        <v>1063806.93</v>
      </c>
      <c r="M1107" s="882">
        <v>1036728</v>
      </c>
      <c r="N1107" s="883">
        <v>17913.98</v>
      </c>
      <c r="O1107" s="897"/>
      <c r="P1107" s="898"/>
      <c r="Q1107" s="597">
        <v>9164.9500000000007</v>
      </c>
      <c r="R1107" s="896">
        <f t="shared" si="138"/>
        <v>2772</v>
      </c>
      <c r="S1107" s="564">
        <f t="shared" si="136"/>
        <v>-6.5483618527650833E-11</v>
      </c>
      <c r="T1107" s="885"/>
      <c r="U1107" s="591"/>
      <c r="V1107" s="592"/>
      <c r="W1107" s="645"/>
      <c r="X1107" s="645"/>
      <c r="Y1107" s="592"/>
      <c r="Z1107" s="592"/>
    </row>
    <row r="1108" spans="1:26" s="28" customFormat="1" ht="37.5" hidden="1">
      <c r="A1108" s="580">
        <f t="shared" si="135"/>
        <v>58</v>
      </c>
      <c r="B1108" s="827" t="s">
        <v>3724</v>
      </c>
      <c r="C1108" s="593" t="s">
        <v>239</v>
      </c>
      <c r="D1108" s="878">
        <v>3241</v>
      </c>
      <c r="E1108" s="888">
        <v>714</v>
      </c>
      <c r="F1108" s="878" t="s">
        <v>313</v>
      </c>
      <c r="G1108" s="878">
        <v>403</v>
      </c>
      <c r="H1108" s="879">
        <v>2</v>
      </c>
      <c r="I1108" s="593">
        <v>2</v>
      </c>
      <c r="J1108" s="878">
        <v>12</v>
      </c>
      <c r="K1108" s="881" t="s">
        <v>3717</v>
      </c>
      <c r="L1108" s="746">
        <f t="shared" si="137"/>
        <v>440569.92000000004</v>
      </c>
      <c r="M1108" s="882">
        <v>430404</v>
      </c>
      <c r="N1108" s="898"/>
      <c r="O1108" s="884">
        <v>2270.59</v>
      </c>
      <c r="P1108" s="898"/>
      <c r="Q1108" s="597">
        <v>7895.33</v>
      </c>
      <c r="R1108" s="896">
        <f t="shared" si="138"/>
        <v>1068</v>
      </c>
      <c r="S1108" s="564">
        <f t="shared" si="136"/>
        <v>4.1836756281554699E-11</v>
      </c>
      <c r="T1108" s="885"/>
      <c r="U1108" s="591"/>
      <c r="V1108" s="592"/>
      <c r="W1108" s="645"/>
      <c r="X1108" s="645"/>
      <c r="Y1108" s="592"/>
      <c r="Z1108" s="592"/>
    </row>
    <row r="1109" spans="1:26" s="28" customFormat="1" hidden="1">
      <c r="A1109" s="580">
        <f t="shared" si="135"/>
        <v>59</v>
      </c>
      <c r="B1109" s="827" t="s">
        <v>3725</v>
      </c>
      <c r="C1109" s="593" t="s">
        <v>239</v>
      </c>
      <c r="D1109" s="878">
        <v>3197</v>
      </c>
      <c r="E1109" s="888">
        <v>678</v>
      </c>
      <c r="F1109" s="878" t="s">
        <v>251</v>
      </c>
      <c r="G1109" s="878">
        <v>645</v>
      </c>
      <c r="H1109" s="879">
        <v>2</v>
      </c>
      <c r="I1109" s="593">
        <v>2</v>
      </c>
      <c r="J1109" s="878">
        <v>12</v>
      </c>
      <c r="K1109" s="881" t="s">
        <v>33</v>
      </c>
      <c r="L1109" s="746">
        <f t="shared" si="137"/>
        <v>1615907.82</v>
      </c>
      <c r="M1109" s="882">
        <v>1580250</v>
      </c>
      <c r="N1109" s="883">
        <v>20081.09</v>
      </c>
      <c r="O1109" s="897"/>
      <c r="P1109" s="898"/>
      <c r="Q1109" s="597">
        <v>15576.73</v>
      </c>
      <c r="R1109" s="896">
        <f t="shared" si="138"/>
        <v>2450</v>
      </c>
      <c r="S1109" s="564">
        <f t="shared" si="136"/>
        <v>6.5483618527650833E-11</v>
      </c>
      <c r="T1109" s="885"/>
      <c r="U1109" s="591"/>
      <c r="V1109" s="592"/>
      <c r="W1109" s="645"/>
      <c r="X1109" s="645"/>
      <c r="Y1109" s="592"/>
      <c r="Z1109" s="592"/>
    </row>
    <row r="1110" spans="1:26" s="28" customFormat="1" hidden="1">
      <c r="A1110" s="580">
        <f t="shared" si="135"/>
        <v>60</v>
      </c>
      <c r="B1110" s="827" t="s">
        <v>3058</v>
      </c>
      <c r="C1110" s="593" t="s">
        <v>221</v>
      </c>
      <c r="D1110" s="878">
        <v>10138</v>
      </c>
      <c r="E1110" s="888">
        <v>1936</v>
      </c>
      <c r="F1110" s="878" t="s">
        <v>227</v>
      </c>
      <c r="G1110" s="878" t="s">
        <v>3726</v>
      </c>
      <c r="H1110" s="879">
        <v>5</v>
      </c>
      <c r="I1110" s="593">
        <v>3</v>
      </c>
      <c r="J1110" s="878">
        <v>60</v>
      </c>
      <c r="K1110" s="881" t="s">
        <v>224</v>
      </c>
      <c r="L1110" s="746">
        <f t="shared" si="137"/>
        <v>1395606.23</v>
      </c>
      <c r="M1110" s="882">
        <v>1366200</v>
      </c>
      <c r="N1110" s="883">
        <v>21025.35</v>
      </c>
      <c r="O1110" s="897"/>
      <c r="P1110" s="898"/>
      <c r="Q1110" s="597">
        <v>8380.8799999999992</v>
      </c>
      <c r="R1110" s="896">
        <f>M1110/J1110</f>
        <v>22770</v>
      </c>
      <c r="S1110" s="564">
        <f t="shared" si="136"/>
        <v>-1.6370904631912708E-11</v>
      </c>
      <c r="T1110" s="885"/>
      <c r="U1110" s="591"/>
      <c r="V1110" s="592"/>
      <c r="W1110" s="645"/>
      <c r="X1110" s="645"/>
      <c r="Y1110" s="592"/>
      <c r="Z1110" s="592"/>
    </row>
    <row r="1111" spans="1:26" s="28" customFormat="1" hidden="1">
      <c r="A1111" s="580">
        <f t="shared" si="135"/>
        <v>61</v>
      </c>
      <c r="B1111" s="827" t="s">
        <v>3061</v>
      </c>
      <c r="C1111" s="593" t="s">
        <v>221</v>
      </c>
      <c r="D1111" s="878">
        <v>10022</v>
      </c>
      <c r="E1111" s="888">
        <v>1916</v>
      </c>
      <c r="F1111" s="878" t="s">
        <v>251</v>
      </c>
      <c r="G1111" s="878">
        <v>864</v>
      </c>
      <c r="H1111" s="879">
        <v>5</v>
      </c>
      <c r="I1111" s="593">
        <v>3</v>
      </c>
      <c r="J1111" s="878">
        <v>60</v>
      </c>
      <c r="K1111" s="881" t="s">
        <v>224</v>
      </c>
      <c r="L1111" s="746">
        <f t="shared" si="137"/>
        <v>1395466.9300000002</v>
      </c>
      <c r="M1111" s="882">
        <v>1366200</v>
      </c>
      <c r="N1111" s="883">
        <v>20982.560000000001</v>
      </c>
      <c r="O1111" s="897"/>
      <c r="P1111" s="898"/>
      <c r="Q1111" s="597">
        <v>8284.3700000000008</v>
      </c>
      <c r="R1111" s="896">
        <f>M1111/J1111</f>
        <v>22770</v>
      </c>
      <c r="S1111" s="564">
        <f t="shared" si="136"/>
        <v>1.6552803572267294E-10</v>
      </c>
      <c r="T1111" s="885"/>
      <c r="U1111" s="591"/>
      <c r="V1111" s="592"/>
      <c r="W1111" s="645"/>
      <c r="X1111" s="645"/>
      <c r="Y1111" s="592"/>
      <c r="Z1111" s="592"/>
    </row>
    <row r="1112" spans="1:26" s="28" customFormat="1" hidden="1">
      <c r="A1112" s="580">
        <f t="shared" si="135"/>
        <v>62</v>
      </c>
      <c r="B1112" s="827" t="s">
        <v>3727</v>
      </c>
      <c r="C1112" s="593" t="s">
        <v>239</v>
      </c>
      <c r="D1112" s="878">
        <v>2506</v>
      </c>
      <c r="E1112" s="888">
        <v>524</v>
      </c>
      <c r="F1112" s="878" t="s">
        <v>251</v>
      </c>
      <c r="G1112" s="878">
        <v>475</v>
      </c>
      <c r="H1112" s="879">
        <v>2</v>
      </c>
      <c r="I1112" s="593">
        <v>1</v>
      </c>
      <c r="J1112" s="878">
        <v>8</v>
      </c>
      <c r="K1112" s="881" t="s">
        <v>33</v>
      </c>
      <c r="L1112" s="746">
        <f t="shared" si="137"/>
        <v>1201552.46</v>
      </c>
      <c r="M1112" s="882">
        <v>1170400</v>
      </c>
      <c r="N1112" s="883">
        <v>18942.810000000001</v>
      </c>
      <c r="O1112" s="897"/>
      <c r="P1112" s="898"/>
      <c r="Q1112" s="597">
        <v>12209.65</v>
      </c>
      <c r="R1112" s="896">
        <f t="shared" ref="R1112:R1117" si="139">M1112/G1112</f>
        <v>2464</v>
      </c>
      <c r="S1112" s="564">
        <f t="shared" si="136"/>
        <v>-3.8198777474462986E-11</v>
      </c>
      <c r="T1112" s="885"/>
      <c r="U1112" s="591"/>
      <c r="V1112" s="592"/>
      <c r="W1112" s="645"/>
      <c r="X1112" s="645"/>
      <c r="Y1112" s="592"/>
      <c r="Z1112" s="592"/>
    </row>
    <row r="1113" spans="1:26" s="28" customFormat="1" hidden="1">
      <c r="A1113" s="580">
        <f t="shared" si="135"/>
        <v>63</v>
      </c>
      <c r="B1113" s="827" t="s">
        <v>3728</v>
      </c>
      <c r="C1113" s="593" t="s">
        <v>239</v>
      </c>
      <c r="D1113" s="878">
        <v>2754</v>
      </c>
      <c r="E1113" s="888">
        <v>610</v>
      </c>
      <c r="F1113" s="878" t="s">
        <v>251</v>
      </c>
      <c r="G1113" s="878">
        <v>551</v>
      </c>
      <c r="H1113" s="879">
        <v>2</v>
      </c>
      <c r="I1113" s="593">
        <v>2</v>
      </c>
      <c r="J1113" s="878">
        <v>12</v>
      </c>
      <c r="K1113" s="881" t="s">
        <v>33</v>
      </c>
      <c r="L1113" s="746">
        <f t="shared" si="137"/>
        <v>1390433.33</v>
      </c>
      <c r="M1113" s="882">
        <v>1357664</v>
      </c>
      <c r="N1113" s="883">
        <v>19351.759999999998</v>
      </c>
      <c r="O1113" s="884"/>
      <c r="P1113" s="883"/>
      <c r="Q1113" s="597">
        <v>13417.57</v>
      </c>
      <c r="R1113" s="896">
        <f t="shared" si="139"/>
        <v>2464</v>
      </c>
      <c r="S1113" s="564">
        <f t="shared" ref="S1113:S1137" si="140">L1113-M1113-N1113-O1113-P1113-Q1113</f>
        <v>7.6397554948925972E-11</v>
      </c>
      <c r="T1113" s="885"/>
      <c r="U1113" s="591"/>
      <c r="V1113" s="592"/>
      <c r="W1113" s="645"/>
      <c r="X1113" s="645"/>
      <c r="Y1113" s="592"/>
      <c r="Z1113" s="592"/>
    </row>
    <row r="1114" spans="1:26" s="28" customFormat="1" hidden="1">
      <c r="A1114" s="580">
        <f>A1113+1</f>
        <v>64</v>
      </c>
      <c r="B1114" s="827" t="s">
        <v>3729</v>
      </c>
      <c r="C1114" s="593" t="s">
        <v>239</v>
      </c>
      <c r="D1114" s="878">
        <v>4186</v>
      </c>
      <c r="E1114" s="888">
        <v>868</v>
      </c>
      <c r="F1114" s="878" t="s">
        <v>251</v>
      </c>
      <c r="G1114" s="878">
        <v>799</v>
      </c>
      <c r="H1114" s="879">
        <v>2</v>
      </c>
      <c r="I1114" s="593">
        <v>2</v>
      </c>
      <c r="J1114" s="878">
        <v>12</v>
      </c>
      <c r="K1114" s="881" t="s">
        <v>33</v>
      </c>
      <c r="L1114" s="746">
        <f t="shared" si="137"/>
        <v>2010839.43</v>
      </c>
      <c r="M1114" s="882">
        <v>1968736</v>
      </c>
      <c r="N1114" s="883">
        <v>21708.91</v>
      </c>
      <c r="O1114" s="897"/>
      <c r="P1114" s="898"/>
      <c r="Q1114" s="597">
        <v>20394.52</v>
      </c>
      <c r="R1114" s="896">
        <f t="shared" si="139"/>
        <v>2464</v>
      </c>
      <c r="S1114" s="564">
        <f t="shared" si="140"/>
        <v>-6.5483618527650833E-11</v>
      </c>
      <c r="T1114" s="885"/>
      <c r="U1114" s="591"/>
      <c r="V1114" s="592"/>
      <c r="W1114" s="645"/>
      <c r="X1114" s="645"/>
      <c r="Y1114" s="592"/>
      <c r="Z1114" s="592"/>
    </row>
    <row r="1115" spans="1:26" s="28" customFormat="1" hidden="1">
      <c r="A1115" s="580">
        <f>A1114+1</f>
        <v>65</v>
      </c>
      <c r="B1115" s="827" t="s">
        <v>3730</v>
      </c>
      <c r="C1115" s="593" t="s">
        <v>221</v>
      </c>
      <c r="D1115" s="878">
        <v>13056</v>
      </c>
      <c r="E1115" s="888">
        <v>2160</v>
      </c>
      <c r="F1115" s="878" t="s">
        <v>251</v>
      </c>
      <c r="G1115" s="878">
        <v>1624</v>
      </c>
      <c r="H1115" s="879">
        <v>3</v>
      </c>
      <c r="I1115" s="593">
        <v>4</v>
      </c>
      <c r="J1115" s="878">
        <v>48</v>
      </c>
      <c r="K1115" s="881" t="s">
        <v>33</v>
      </c>
      <c r="L1115" s="746">
        <f t="shared" ref="L1115:L1118" si="141">M1115+N1115+O1115+P1115+Q1115</f>
        <v>4545025.18</v>
      </c>
      <c r="M1115" s="882">
        <v>4478992</v>
      </c>
      <c r="N1115" s="883">
        <v>26233.18</v>
      </c>
      <c r="O1115" s="897"/>
      <c r="P1115" s="898"/>
      <c r="Q1115" s="597">
        <v>39800</v>
      </c>
      <c r="R1115" s="896">
        <f t="shared" si="139"/>
        <v>2758</v>
      </c>
      <c r="S1115" s="564">
        <f t="shared" si="140"/>
        <v>-2.9831426218152046E-10</v>
      </c>
      <c r="T1115" s="885"/>
      <c r="U1115" s="591"/>
      <c r="V1115" s="592"/>
      <c r="W1115" s="645"/>
      <c r="X1115" s="645"/>
      <c r="Y1115" s="592"/>
      <c r="Z1115" s="592"/>
    </row>
    <row r="1116" spans="1:26" s="28" customFormat="1" hidden="1">
      <c r="A1116" s="580">
        <f>A1115+1</f>
        <v>66</v>
      </c>
      <c r="B1116" s="827" t="s">
        <v>3731</v>
      </c>
      <c r="C1116" s="593" t="s">
        <v>239</v>
      </c>
      <c r="D1116" s="878">
        <v>9375</v>
      </c>
      <c r="E1116" s="888">
        <v>1618</v>
      </c>
      <c r="F1116" s="878" t="s">
        <v>251</v>
      </c>
      <c r="G1116" s="878">
        <v>1155</v>
      </c>
      <c r="H1116" s="879">
        <v>3</v>
      </c>
      <c r="I1116" s="593">
        <v>3</v>
      </c>
      <c r="J1116" s="878">
        <v>36</v>
      </c>
      <c r="K1116" s="881" t="s">
        <v>33</v>
      </c>
      <c r="L1116" s="746">
        <f t="shared" si="141"/>
        <v>2881251.2</v>
      </c>
      <c r="M1116" s="882">
        <v>2829750</v>
      </c>
      <c r="N1116" s="883">
        <v>22596.45</v>
      </c>
      <c r="O1116" s="897"/>
      <c r="P1116" s="898"/>
      <c r="Q1116" s="597">
        <v>28904.75</v>
      </c>
      <c r="R1116" s="896">
        <f t="shared" si="139"/>
        <v>2450</v>
      </c>
      <c r="S1116" s="564">
        <f t="shared" si="140"/>
        <v>1.8553691916167736E-10</v>
      </c>
      <c r="T1116" s="885"/>
      <c r="U1116" s="591"/>
      <c r="V1116" s="592"/>
      <c r="W1116" s="645"/>
      <c r="X1116" s="645"/>
      <c r="Y1116" s="592"/>
      <c r="Z1116" s="592"/>
    </row>
    <row r="1117" spans="1:26" s="28" customFormat="1" ht="37.5" hidden="1">
      <c r="A1117" s="580">
        <f>A1116+1</f>
        <v>67</v>
      </c>
      <c r="B1117" s="827" t="s">
        <v>3732</v>
      </c>
      <c r="C1117" s="593" t="s">
        <v>239</v>
      </c>
      <c r="D1117" s="878">
        <v>1920</v>
      </c>
      <c r="E1117" s="888">
        <v>714</v>
      </c>
      <c r="F1117" s="878" t="s">
        <v>313</v>
      </c>
      <c r="G1117" s="878">
        <v>425</v>
      </c>
      <c r="H1117" s="879">
        <v>2</v>
      </c>
      <c r="I1117" s="593">
        <v>2</v>
      </c>
      <c r="J1117" s="878">
        <v>12</v>
      </c>
      <c r="K1117" s="881" t="s">
        <v>3717</v>
      </c>
      <c r="L1117" s="746">
        <f t="shared" si="141"/>
        <v>460603.32</v>
      </c>
      <c r="M1117" s="882">
        <v>453900</v>
      </c>
      <c r="N1117" s="898"/>
      <c r="O1117" s="884">
        <v>2025.82</v>
      </c>
      <c r="P1117" s="898"/>
      <c r="Q1117" s="597">
        <v>4677.5</v>
      </c>
      <c r="R1117" s="896">
        <f t="shared" si="139"/>
        <v>1068</v>
      </c>
      <c r="S1117" s="564">
        <f t="shared" si="140"/>
        <v>7.2759576141834259E-12</v>
      </c>
      <c r="T1117" s="885"/>
      <c r="U1117" s="591"/>
      <c r="V1117" s="592"/>
      <c r="W1117" s="645"/>
      <c r="X1117" s="645"/>
      <c r="Y1117" s="592"/>
      <c r="Z1117" s="592"/>
    </row>
    <row r="1118" spans="1:26" s="28" customFormat="1" hidden="1">
      <c r="A1118" s="580">
        <f>A1117+1</f>
        <v>68</v>
      </c>
      <c r="B1118" s="827" t="s">
        <v>3733</v>
      </c>
      <c r="C1118" s="593" t="s">
        <v>239</v>
      </c>
      <c r="D1118" s="878">
        <v>1710</v>
      </c>
      <c r="E1118" s="888">
        <v>441</v>
      </c>
      <c r="F1118" s="878" t="s">
        <v>251</v>
      </c>
      <c r="G1118" s="878">
        <v>361</v>
      </c>
      <c r="H1118" s="879">
        <v>2</v>
      </c>
      <c r="I1118" s="593">
        <v>2</v>
      </c>
      <c r="J1118" s="878">
        <v>8</v>
      </c>
      <c r="K1118" s="881" t="s">
        <v>38</v>
      </c>
      <c r="L1118" s="746">
        <f t="shared" si="141"/>
        <v>780567.14</v>
      </c>
      <c r="M1118" s="882">
        <v>767928.65</v>
      </c>
      <c r="N1118" s="898"/>
      <c r="O1118" s="884">
        <v>1987.02</v>
      </c>
      <c r="P1118" s="898"/>
      <c r="Q1118" s="597">
        <v>10651.47</v>
      </c>
      <c r="R1118" s="599">
        <f>M1118/E1118</f>
        <v>1741.334807256236</v>
      </c>
      <c r="S1118" s="564">
        <f t="shared" si="140"/>
        <v>0</v>
      </c>
      <c r="T1118" s="885"/>
      <c r="U1118" s="591"/>
      <c r="V1118" s="592"/>
      <c r="W1118" s="645"/>
      <c r="X1118" s="645"/>
      <c r="Y1118" s="592"/>
      <c r="Z1118" s="592"/>
    </row>
    <row r="1119" spans="1:26" s="36" customFormat="1" hidden="1">
      <c r="A1119" s="1349" t="s">
        <v>143</v>
      </c>
      <c r="B1119" s="1349"/>
      <c r="C1119" s="582" t="s">
        <v>28</v>
      </c>
      <c r="D1119" s="586">
        <f>SUM(D1051:D1118)</f>
        <v>718365</v>
      </c>
      <c r="E1119" s="586">
        <f>SUM(E1051:E1118)</f>
        <v>135036.64000000001</v>
      </c>
      <c r="F1119" s="586" t="s">
        <v>28</v>
      </c>
      <c r="G1119" s="586">
        <f>SUM(G1051:G1118)</f>
        <v>62547</v>
      </c>
      <c r="H1119" s="582" t="s">
        <v>28</v>
      </c>
      <c r="I1119" s="582" t="s">
        <v>28</v>
      </c>
      <c r="J1119" s="582">
        <f>SUM(J1051:J1118)</f>
        <v>3612</v>
      </c>
      <c r="K1119" s="590" t="s">
        <v>28</v>
      </c>
      <c r="L1119" s="584">
        <f t="shared" ref="L1119:Q1119" si="142">SUM(L1051:L1118)</f>
        <v>177700433.07999998</v>
      </c>
      <c r="M1119" s="585">
        <f t="shared" si="142"/>
        <v>175333114.50000006</v>
      </c>
      <c r="N1119" s="586">
        <f t="shared" si="142"/>
        <v>1851224.6900000002</v>
      </c>
      <c r="O1119" s="587">
        <f t="shared" si="142"/>
        <v>158779.13</v>
      </c>
      <c r="P1119" s="586">
        <f t="shared" si="142"/>
        <v>0</v>
      </c>
      <c r="Q1119" s="586">
        <f t="shared" si="142"/>
        <v>357314.76</v>
      </c>
      <c r="R1119" s="582" t="s">
        <v>28</v>
      </c>
      <c r="S1119" s="564">
        <f t="shared" si="140"/>
        <v>-7.6484866440296173E-8</v>
      </c>
      <c r="T1119" s="577"/>
      <c r="U1119" s="589"/>
      <c r="V1119" s="578"/>
      <c r="W1119" s="578"/>
      <c r="X1119" s="899"/>
      <c r="Y1119" s="645"/>
      <c r="Z1119" s="586"/>
    </row>
    <row r="1120" spans="1:26" s="36" customFormat="1" hidden="1">
      <c r="A1120" s="1347" t="s">
        <v>3879</v>
      </c>
      <c r="B1120" s="1347"/>
      <c r="C1120" s="1347"/>
      <c r="D1120" s="1347"/>
      <c r="E1120" s="1347"/>
      <c r="F1120" s="1347"/>
      <c r="G1120" s="1347"/>
      <c r="H1120" s="1347"/>
      <c r="I1120" s="1347"/>
      <c r="J1120" s="1347"/>
      <c r="K1120" s="1347"/>
      <c r="L1120" s="1347"/>
      <c r="M1120" s="1347"/>
      <c r="N1120" s="1347"/>
      <c r="O1120" s="1347"/>
      <c r="P1120" s="1347"/>
      <c r="Q1120" s="1347"/>
      <c r="R1120" s="1347"/>
      <c r="S1120" s="564">
        <f t="shared" si="140"/>
        <v>0</v>
      </c>
      <c r="T1120" s="577"/>
      <c r="U1120" s="589"/>
      <c r="V1120" s="589"/>
      <c r="W1120" s="593"/>
      <c r="X1120" s="899"/>
      <c r="Y1120" s="645"/>
      <c r="Z1120" s="593"/>
    </row>
    <row r="1121" spans="1:26" s="28" customFormat="1" hidden="1">
      <c r="A1121" s="591">
        <v>1</v>
      </c>
      <c r="B1121" s="592" t="s">
        <v>1208</v>
      </c>
      <c r="C1121" s="602" t="s">
        <v>282</v>
      </c>
      <c r="D1121" s="878"/>
      <c r="E1121" s="878">
        <v>3238.33</v>
      </c>
      <c r="F1121" s="878" t="s">
        <v>291</v>
      </c>
      <c r="G1121" s="878">
        <v>1632</v>
      </c>
      <c r="H1121" s="900">
        <v>5</v>
      </c>
      <c r="I1121" s="900">
        <v>6</v>
      </c>
      <c r="J1121" s="878">
        <v>100</v>
      </c>
      <c r="K1121" s="881" t="s">
        <v>33</v>
      </c>
      <c r="L1121" s="746">
        <f>M1121+N1121+O1121+P1121+Q1121</f>
        <v>4436818.5999999996</v>
      </c>
      <c r="M1121" s="882">
        <v>4401993.5999999996</v>
      </c>
      <c r="N1121" s="883">
        <v>34825</v>
      </c>
      <c r="O1121" s="884"/>
      <c r="P1121" s="883"/>
      <c r="Q1121" s="597"/>
      <c r="R1121" s="901">
        <f>M1121/G1121</f>
        <v>2697.2999999999997</v>
      </c>
      <c r="S1121" s="564">
        <f t="shared" si="140"/>
        <v>0</v>
      </c>
      <c r="T1121" s="597"/>
      <c r="U1121" s="586"/>
      <c r="V1121" s="589"/>
      <c r="W1121" s="592"/>
      <c r="X1121" s="592"/>
      <c r="Y1121" s="592"/>
      <c r="Z1121" s="592"/>
    </row>
    <row r="1122" spans="1:26" s="28" customFormat="1" ht="56.25" hidden="1">
      <c r="A1122" s="591">
        <f>A1121+1</f>
        <v>2</v>
      </c>
      <c r="B1122" s="592" t="s">
        <v>1209</v>
      </c>
      <c r="C1122" s="602" t="s">
        <v>292</v>
      </c>
      <c r="D1122" s="878"/>
      <c r="E1122" s="878">
        <v>3147</v>
      </c>
      <c r="F1122" s="878" t="s">
        <v>291</v>
      </c>
      <c r="G1122" s="878">
        <v>1642</v>
      </c>
      <c r="H1122" s="900">
        <v>5</v>
      </c>
      <c r="I1122" s="900">
        <v>6</v>
      </c>
      <c r="J1122" s="878">
        <v>101</v>
      </c>
      <c r="K1122" s="881" t="s">
        <v>3910</v>
      </c>
      <c r="L1122" s="746">
        <f>M1122+N1122+O1122+P1122+Q1122</f>
        <v>2598790.09</v>
      </c>
      <c r="M1122" s="882">
        <v>2590650</v>
      </c>
      <c r="N1122" s="883"/>
      <c r="O1122" s="884">
        <v>8140.09</v>
      </c>
      <c r="P1122" s="883"/>
      <c r="Q1122" s="597"/>
      <c r="R1122" s="901">
        <f>M1122/J1122</f>
        <v>25650</v>
      </c>
      <c r="S1122" s="564">
        <f t="shared" si="140"/>
        <v>-1.4915713109076023E-10</v>
      </c>
      <c r="T1122" s="597"/>
      <c r="U1122" s="586"/>
      <c r="V1122" s="589"/>
      <c r="W1122" s="592"/>
      <c r="X1122" s="592"/>
      <c r="Y1122" s="592"/>
      <c r="Z1122" s="592"/>
    </row>
    <row r="1123" spans="1:26" s="28" customFormat="1" hidden="1">
      <c r="A1123" s="591">
        <v>3</v>
      </c>
      <c r="B1123" s="592" t="s">
        <v>1210</v>
      </c>
      <c r="C1123" s="602" t="s">
        <v>293</v>
      </c>
      <c r="D1123" s="878"/>
      <c r="E1123" s="878">
        <v>499</v>
      </c>
      <c r="F1123" s="878" t="s">
        <v>291</v>
      </c>
      <c r="G1123" s="878">
        <v>859</v>
      </c>
      <c r="H1123" s="900">
        <v>2</v>
      </c>
      <c r="I1123" s="900">
        <v>3</v>
      </c>
      <c r="J1123" s="878">
        <v>8</v>
      </c>
      <c r="K1123" s="881" t="s">
        <v>33</v>
      </c>
      <c r="L1123" s="746">
        <f>M1123+N1123+O1123+P1123+Q1123</f>
        <v>2312505.06</v>
      </c>
      <c r="M1123" s="882">
        <v>2282655.06</v>
      </c>
      <c r="N1123" s="883">
        <v>29850</v>
      </c>
      <c r="O1123" s="884"/>
      <c r="P1123" s="883"/>
      <c r="Q1123" s="597"/>
      <c r="R1123" s="901">
        <f>M1123/G1123</f>
        <v>2657.34</v>
      </c>
      <c r="S1123" s="564">
        <f t="shared" si="140"/>
        <v>0</v>
      </c>
      <c r="T1123" s="597"/>
      <c r="U1123" s="738"/>
      <c r="V1123" s="589"/>
      <c r="W1123" s="592"/>
      <c r="X1123" s="592"/>
      <c r="Y1123" s="592"/>
      <c r="Z1123" s="592"/>
    </row>
    <row r="1124" spans="1:26" s="28" customFormat="1" hidden="1">
      <c r="A1124" s="591">
        <v>4</v>
      </c>
      <c r="B1124" s="1346" t="s">
        <v>1211</v>
      </c>
      <c r="C1124" s="602" t="s">
        <v>293</v>
      </c>
      <c r="D1124" s="878"/>
      <c r="E1124" s="888">
        <v>499</v>
      </c>
      <c r="F1124" s="878" t="s">
        <v>291</v>
      </c>
      <c r="G1124" s="878">
        <v>430</v>
      </c>
      <c r="H1124" s="900">
        <v>2</v>
      </c>
      <c r="I1124" s="900">
        <v>2</v>
      </c>
      <c r="J1124" s="878">
        <v>8</v>
      </c>
      <c r="K1124" s="881" t="s">
        <v>33</v>
      </c>
      <c r="L1124" s="1348">
        <f>M1124+N1124+O1124+P1124+Q1124+M1125+N1125+O1125+P1125+Q1125</f>
        <v>1985725.2</v>
      </c>
      <c r="M1124" s="882">
        <v>1208869.67</v>
      </c>
      <c r="N1124" s="883">
        <v>29850</v>
      </c>
      <c r="O1124" s="884"/>
      <c r="P1124" s="883"/>
      <c r="Q1124" s="597"/>
      <c r="R1124" s="901">
        <f>M1124/G1124</f>
        <v>2811.324813953488</v>
      </c>
      <c r="S1124" s="564">
        <f t="shared" si="140"/>
        <v>747005.53</v>
      </c>
      <c r="T1124" s="597"/>
      <c r="U1124" s="586"/>
      <c r="V1124" s="589"/>
      <c r="W1124" s="645"/>
      <c r="X1124" s="592"/>
      <c r="Y1124" s="592"/>
      <c r="Z1124" s="592"/>
    </row>
    <row r="1125" spans="1:26" s="28" customFormat="1" hidden="1">
      <c r="A1125" s="591"/>
      <c r="B1125" s="1346"/>
      <c r="C1125" s="602"/>
      <c r="D1125" s="878"/>
      <c r="E1125" s="593"/>
      <c r="F1125" s="878"/>
      <c r="G1125" s="878"/>
      <c r="H1125" s="900"/>
      <c r="I1125" s="900"/>
      <c r="J1125" s="878"/>
      <c r="K1125" s="881" t="s">
        <v>38</v>
      </c>
      <c r="L1125" s="1348"/>
      <c r="M1125" s="882">
        <v>744713.05</v>
      </c>
      <c r="N1125" s="883"/>
      <c r="O1125" s="884">
        <v>2292.48</v>
      </c>
      <c r="P1125" s="883"/>
      <c r="Q1125" s="597"/>
      <c r="R1125" s="599">
        <f>M1125/E1124</f>
        <v>1492.4109218436874</v>
      </c>
      <c r="S1125" s="564">
        <f t="shared" si="140"/>
        <v>-747005.53</v>
      </c>
      <c r="T1125" s="597"/>
      <c r="U1125" s="586"/>
      <c r="V1125" s="589"/>
      <c r="W1125" s="592"/>
      <c r="X1125" s="592"/>
      <c r="Y1125" s="592"/>
      <c r="Z1125" s="592"/>
    </row>
    <row r="1126" spans="1:26" s="28" customFormat="1" ht="56.25" hidden="1">
      <c r="A1126" s="591">
        <f>A1124+1</f>
        <v>5</v>
      </c>
      <c r="B1126" s="592" t="s">
        <v>1212</v>
      </c>
      <c r="C1126" s="602" t="s">
        <v>294</v>
      </c>
      <c r="D1126" s="878"/>
      <c r="E1126" s="878">
        <v>2460.1</v>
      </c>
      <c r="F1126" s="878" t="s">
        <v>251</v>
      </c>
      <c r="G1126" s="878">
        <v>1220.28</v>
      </c>
      <c r="H1126" s="900">
        <v>5</v>
      </c>
      <c r="I1126" s="900">
        <v>2</v>
      </c>
      <c r="J1126" s="878">
        <v>146</v>
      </c>
      <c r="K1126" s="881" t="s">
        <v>3911</v>
      </c>
      <c r="L1126" s="746">
        <f>M1126+N1126+O1126+P1126+Q1126</f>
        <v>3060987.82</v>
      </c>
      <c r="M1126" s="882">
        <v>3051400</v>
      </c>
      <c r="N1126" s="883"/>
      <c r="O1126" s="884">
        <v>9587.82</v>
      </c>
      <c r="P1126" s="883"/>
      <c r="Q1126" s="597"/>
      <c r="R1126" s="901">
        <f>M1126/J1126</f>
        <v>20900</v>
      </c>
      <c r="S1126" s="564">
        <f t="shared" si="140"/>
        <v>-1.673470251262188E-10</v>
      </c>
      <c r="T1126" s="597"/>
      <c r="U1126" s="738"/>
      <c r="V1126" s="589"/>
      <c r="W1126" s="592"/>
      <c r="X1126" s="592"/>
      <c r="Y1126" s="592"/>
      <c r="Z1126" s="592"/>
    </row>
    <row r="1127" spans="1:26" s="28" customFormat="1" hidden="1">
      <c r="A1127" s="591">
        <f>A1126+1</f>
        <v>6</v>
      </c>
      <c r="B1127" s="1346" t="s">
        <v>1213</v>
      </c>
      <c r="C1127" s="602" t="s">
        <v>295</v>
      </c>
      <c r="D1127" s="878"/>
      <c r="E1127" s="888">
        <v>390</v>
      </c>
      <c r="F1127" s="878" t="s">
        <v>291</v>
      </c>
      <c r="G1127" s="878">
        <v>432</v>
      </c>
      <c r="H1127" s="900">
        <v>2</v>
      </c>
      <c r="I1127" s="900">
        <v>2</v>
      </c>
      <c r="J1127" s="878">
        <v>8</v>
      </c>
      <c r="K1127" s="881" t="s">
        <v>33</v>
      </c>
      <c r="L1127" s="584">
        <f>M1127+N1127+O1127+P1127+Q1127+M1128+N1128+O1128+P1128+Q1128</f>
        <v>1959803.6400000001</v>
      </c>
      <c r="M1127" s="882">
        <v>1166669.29</v>
      </c>
      <c r="N1127" s="883">
        <v>29850</v>
      </c>
      <c r="O1127" s="884"/>
      <c r="P1127" s="883"/>
      <c r="Q1127" s="597"/>
      <c r="R1127" s="901">
        <f>M1127/G1127</f>
        <v>2700.6233564814816</v>
      </c>
      <c r="S1127" s="564">
        <f t="shared" si="140"/>
        <v>763284.35000000009</v>
      </c>
      <c r="T1127" s="597"/>
      <c r="U1127" s="738"/>
      <c r="V1127" s="589"/>
      <c r="W1127" s="592"/>
      <c r="X1127" s="592"/>
      <c r="Y1127" s="592"/>
      <c r="Z1127" s="592"/>
    </row>
    <row r="1128" spans="1:26" s="28" customFormat="1" hidden="1">
      <c r="A1128" s="591"/>
      <c r="B1128" s="1346"/>
      <c r="C1128" s="602"/>
      <c r="D1128" s="878"/>
      <c r="E1128" s="593"/>
      <c r="F1128" s="878"/>
      <c r="G1128" s="878"/>
      <c r="H1128" s="900"/>
      <c r="I1128" s="900"/>
      <c r="J1128" s="878"/>
      <c r="K1128" s="881" t="s">
        <v>38</v>
      </c>
      <c r="L1128" s="584"/>
      <c r="M1128" s="882">
        <v>760991.87</v>
      </c>
      <c r="N1128" s="883"/>
      <c r="O1128" s="884">
        <v>2292.48</v>
      </c>
      <c r="P1128" s="883"/>
      <c r="Q1128" s="597"/>
      <c r="R1128" s="599">
        <f>M1128/E1127</f>
        <v>1951.2612051282051</v>
      </c>
      <c r="S1128" s="564">
        <f t="shared" si="140"/>
        <v>-763284.35</v>
      </c>
      <c r="T1128" s="597"/>
      <c r="U1128" s="738"/>
      <c r="V1128" s="589"/>
      <c r="W1128" s="592"/>
      <c r="X1128" s="592"/>
      <c r="Y1128" s="592"/>
      <c r="Z1128" s="592"/>
    </row>
    <row r="1129" spans="1:26" s="28" customFormat="1" hidden="1">
      <c r="A1129" s="591">
        <f>A1127+1</f>
        <v>7</v>
      </c>
      <c r="B1129" s="592" t="s">
        <v>1214</v>
      </c>
      <c r="C1129" s="602" t="s">
        <v>221</v>
      </c>
      <c r="D1129" s="878"/>
      <c r="E1129" s="878">
        <v>3844.65</v>
      </c>
      <c r="F1129" s="878" t="s">
        <v>223</v>
      </c>
      <c r="G1129" s="878">
        <v>1131</v>
      </c>
      <c r="H1129" s="900">
        <v>5</v>
      </c>
      <c r="I1129" s="900">
        <v>6</v>
      </c>
      <c r="J1129" s="878">
        <v>77</v>
      </c>
      <c r="K1129" s="881" t="s">
        <v>33</v>
      </c>
      <c r="L1129" s="746">
        <f t="shared" ref="L1129:L1137" si="143">M1129+N1129+O1129+P1129+Q1129</f>
        <v>2481257.6800000002</v>
      </c>
      <c r="M1129" s="882">
        <v>2473840.9500000002</v>
      </c>
      <c r="N1129" s="883"/>
      <c r="O1129" s="884">
        <v>7416.73</v>
      </c>
      <c r="P1129" s="883"/>
      <c r="Q1129" s="597"/>
      <c r="R1129" s="901">
        <f>M1129/G1129</f>
        <v>2187.3041114058356</v>
      </c>
      <c r="S1129" s="564">
        <f t="shared" si="140"/>
        <v>-1.8189894035458565E-11</v>
      </c>
      <c r="T1129" s="597"/>
      <c r="U1129" s="738"/>
      <c r="V1129" s="589"/>
      <c r="W1129" s="592"/>
      <c r="X1129" s="592"/>
      <c r="Y1129" s="592"/>
      <c r="Z1129" s="592"/>
    </row>
    <row r="1130" spans="1:26" s="28" customFormat="1" hidden="1">
      <c r="A1130" s="591">
        <v>8</v>
      </c>
      <c r="B1130" s="592" t="s">
        <v>1215</v>
      </c>
      <c r="C1130" s="602" t="s">
        <v>221</v>
      </c>
      <c r="D1130" s="878"/>
      <c r="E1130" s="878">
        <v>3844.65</v>
      </c>
      <c r="F1130" s="878" t="s">
        <v>223</v>
      </c>
      <c r="G1130" s="878">
        <v>1544</v>
      </c>
      <c r="H1130" s="900">
        <v>5</v>
      </c>
      <c r="I1130" s="900">
        <v>7</v>
      </c>
      <c r="J1130" s="878">
        <v>106</v>
      </c>
      <c r="K1130" s="881" t="s">
        <v>33</v>
      </c>
      <c r="L1130" s="746">
        <f t="shared" si="143"/>
        <v>3357639.6799999997</v>
      </c>
      <c r="M1130" s="882">
        <v>3347546.4</v>
      </c>
      <c r="N1130" s="883"/>
      <c r="O1130" s="884">
        <v>10093.280000000001</v>
      </c>
      <c r="P1130" s="883"/>
      <c r="Q1130" s="597"/>
      <c r="R1130" s="901">
        <f>M1130/G1130</f>
        <v>2168.1</v>
      </c>
      <c r="S1130" s="564">
        <f t="shared" si="140"/>
        <v>-2.0554580260068178E-10</v>
      </c>
      <c r="T1130" s="597"/>
      <c r="U1130" s="738"/>
      <c r="V1130" s="589"/>
      <c r="W1130" s="592"/>
      <c r="X1130" s="592"/>
      <c r="Y1130" s="592"/>
      <c r="Z1130" s="592"/>
    </row>
    <row r="1131" spans="1:26" s="28" customFormat="1" hidden="1">
      <c r="A1131" s="591">
        <v>9</v>
      </c>
      <c r="B1131" s="592" t="s">
        <v>1216</v>
      </c>
      <c r="C1131" s="602" t="s">
        <v>294</v>
      </c>
      <c r="D1131" s="878"/>
      <c r="E1131" s="878">
        <v>1820</v>
      </c>
      <c r="F1131" s="878" t="s">
        <v>291</v>
      </c>
      <c r="G1131" s="878">
        <v>1006</v>
      </c>
      <c r="H1131" s="900">
        <v>5</v>
      </c>
      <c r="I1131" s="900">
        <v>4</v>
      </c>
      <c r="J1131" s="878">
        <v>70</v>
      </c>
      <c r="K1131" s="881" t="s">
        <v>33</v>
      </c>
      <c r="L1131" s="746">
        <f t="shared" si="143"/>
        <v>2440023.0100000002</v>
      </c>
      <c r="M1131" s="882">
        <v>2405198.0100000002</v>
      </c>
      <c r="N1131" s="883">
        <v>34825</v>
      </c>
      <c r="O1131" s="884"/>
      <c r="P1131" s="883"/>
      <c r="Q1131" s="597"/>
      <c r="R1131" s="901">
        <f>M1131/G1131</f>
        <v>2390.8528926441354</v>
      </c>
      <c r="S1131" s="564">
        <f t="shared" si="140"/>
        <v>0</v>
      </c>
      <c r="T1131" s="597"/>
      <c r="U1131" s="738"/>
      <c r="V1131" s="589"/>
      <c r="W1131" s="592"/>
      <c r="X1131" s="592"/>
      <c r="Y1131" s="592"/>
      <c r="Z1131" s="592"/>
    </row>
    <row r="1132" spans="1:26" s="28" customFormat="1" hidden="1">
      <c r="A1132" s="591">
        <f t="shared" ref="A1132:A1138" si="144">A1131+1</f>
        <v>10</v>
      </c>
      <c r="B1132" s="592" t="s">
        <v>1217</v>
      </c>
      <c r="C1132" s="602" t="s">
        <v>294</v>
      </c>
      <c r="D1132" s="878"/>
      <c r="E1132" s="878">
        <v>3259</v>
      </c>
      <c r="F1132" s="878" t="s">
        <v>291</v>
      </c>
      <c r="G1132" s="878">
        <v>1006</v>
      </c>
      <c r="H1132" s="900">
        <v>5</v>
      </c>
      <c r="I1132" s="900">
        <v>4</v>
      </c>
      <c r="J1132" s="878">
        <v>70</v>
      </c>
      <c r="K1132" s="881" t="s">
        <v>33</v>
      </c>
      <c r="L1132" s="746">
        <f t="shared" si="143"/>
        <v>2174653.35</v>
      </c>
      <c r="M1132" s="882">
        <v>2139828.35</v>
      </c>
      <c r="N1132" s="883">
        <v>34825</v>
      </c>
      <c r="O1132" s="884"/>
      <c r="P1132" s="883"/>
      <c r="Q1132" s="597"/>
      <c r="R1132" s="901">
        <f>M1132/G1132</f>
        <v>2127.0659542743538</v>
      </c>
      <c r="S1132" s="564">
        <f t="shared" si="140"/>
        <v>0</v>
      </c>
      <c r="T1132" s="597"/>
      <c r="U1132" s="586"/>
      <c r="V1132" s="589"/>
      <c r="W1132" s="592"/>
      <c r="X1132" s="592"/>
      <c r="Y1132" s="592"/>
      <c r="Z1132" s="592"/>
    </row>
    <row r="1133" spans="1:26" s="28" customFormat="1" ht="37.5" hidden="1">
      <c r="A1133" s="591">
        <f t="shared" si="144"/>
        <v>11</v>
      </c>
      <c r="B1133" s="592" t="s">
        <v>1218</v>
      </c>
      <c r="C1133" s="602" t="s">
        <v>296</v>
      </c>
      <c r="D1133" s="878"/>
      <c r="E1133" s="878">
        <v>4300</v>
      </c>
      <c r="F1133" s="878" t="s">
        <v>223</v>
      </c>
      <c r="G1133" s="878">
        <v>1169.4000000000001</v>
      </c>
      <c r="H1133" s="900">
        <v>9</v>
      </c>
      <c r="I1133" s="900">
        <v>3</v>
      </c>
      <c r="J1133" s="878">
        <v>108</v>
      </c>
      <c r="K1133" s="881" t="s">
        <v>219</v>
      </c>
      <c r="L1133" s="746">
        <f t="shared" si="143"/>
        <v>6116518.75</v>
      </c>
      <c r="M1133" s="882">
        <v>5970000</v>
      </c>
      <c r="N1133" s="586">
        <v>146518.75</v>
      </c>
      <c r="O1133" s="884"/>
      <c r="P1133" s="883"/>
      <c r="Q1133" s="597"/>
      <c r="R1133" s="901">
        <f>M1133/I1133</f>
        <v>1990000</v>
      </c>
      <c r="S1133" s="564">
        <f t="shared" si="140"/>
        <v>0</v>
      </c>
      <c r="T1133" s="597"/>
      <c r="U1133" s="591" t="s">
        <v>3596</v>
      </c>
      <c r="V1133" s="589"/>
      <c r="W1133" s="592"/>
      <c r="X1133" s="592"/>
      <c r="Y1133" s="592"/>
      <c r="Z1133" s="592"/>
    </row>
    <row r="1134" spans="1:26" s="28" customFormat="1" hidden="1">
      <c r="A1134" s="591">
        <f t="shared" si="144"/>
        <v>12</v>
      </c>
      <c r="B1134" s="592" t="s">
        <v>1219</v>
      </c>
      <c r="C1134" s="602" t="s">
        <v>292</v>
      </c>
      <c r="D1134" s="878"/>
      <c r="E1134" s="878">
        <v>3123</v>
      </c>
      <c r="F1134" s="878" t="s">
        <v>291</v>
      </c>
      <c r="G1134" s="878">
        <v>1629</v>
      </c>
      <c r="H1134" s="900">
        <v>5</v>
      </c>
      <c r="I1134" s="900">
        <v>6</v>
      </c>
      <c r="J1134" s="878">
        <v>100</v>
      </c>
      <c r="K1134" s="881" t="s">
        <v>33</v>
      </c>
      <c r="L1134" s="746">
        <f t="shared" si="143"/>
        <v>4519375.38</v>
      </c>
      <c r="M1134" s="882">
        <v>4484550.38</v>
      </c>
      <c r="N1134" s="883">
        <v>34825</v>
      </c>
      <c r="O1134" s="884"/>
      <c r="P1134" s="883"/>
      <c r="Q1134" s="597"/>
      <c r="R1134" s="901">
        <f>M1134/G1134</f>
        <v>2752.9468262737873</v>
      </c>
      <c r="S1134" s="564">
        <f t="shared" si="140"/>
        <v>0</v>
      </c>
      <c r="T1134" s="597"/>
      <c r="U1134" s="738"/>
      <c r="V1134" s="589"/>
      <c r="W1134" s="592"/>
      <c r="X1134" s="592"/>
      <c r="Y1134" s="592"/>
      <c r="Z1134" s="592"/>
    </row>
    <row r="1135" spans="1:26" s="28" customFormat="1" hidden="1">
      <c r="A1135" s="591">
        <f t="shared" si="144"/>
        <v>13</v>
      </c>
      <c r="B1135" s="592" t="s">
        <v>1220</v>
      </c>
      <c r="C1135" s="602" t="s">
        <v>292</v>
      </c>
      <c r="D1135" s="878"/>
      <c r="E1135" s="878">
        <v>2228</v>
      </c>
      <c r="F1135" s="878" t="s">
        <v>233</v>
      </c>
      <c r="G1135" s="878">
        <v>766</v>
      </c>
      <c r="H1135" s="900">
        <v>5</v>
      </c>
      <c r="I1135" s="900">
        <v>1</v>
      </c>
      <c r="J1135" s="878">
        <v>70</v>
      </c>
      <c r="K1135" s="881" t="s">
        <v>33</v>
      </c>
      <c r="L1135" s="746">
        <f t="shared" si="143"/>
        <v>1648949.5999999999</v>
      </c>
      <c r="M1135" s="882">
        <v>1643918.88</v>
      </c>
      <c r="N1135" s="883"/>
      <c r="O1135" s="884">
        <v>5030.72</v>
      </c>
      <c r="P1135" s="883"/>
      <c r="Q1135" s="597"/>
      <c r="R1135" s="901">
        <f>M1135/G1135</f>
        <v>2146.1081984334201</v>
      </c>
      <c r="S1135" s="564">
        <f t="shared" si="140"/>
        <v>-2.8194335754960775E-11</v>
      </c>
      <c r="T1135" s="597"/>
      <c r="U1135" s="586"/>
      <c r="V1135" s="589"/>
      <c r="W1135" s="592"/>
      <c r="X1135" s="592"/>
      <c r="Y1135" s="592"/>
      <c r="Z1135" s="592"/>
    </row>
    <row r="1136" spans="1:26" s="28" customFormat="1" hidden="1">
      <c r="A1136" s="591">
        <f t="shared" si="144"/>
        <v>14</v>
      </c>
      <c r="B1136" s="592" t="s">
        <v>1221</v>
      </c>
      <c r="C1136" s="602" t="s">
        <v>221</v>
      </c>
      <c r="D1136" s="878"/>
      <c r="E1136" s="878">
        <v>3760</v>
      </c>
      <c r="F1136" s="878" t="s">
        <v>251</v>
      </c>
      <c r="G1136" s="878">
        <v>2212</v>
      </c>
      <c r="H1136" s="900">
        <v>5</v>
      </c>
      <c r="I1136" s="900">
        <v>8</v>
      </c>
      <c r="J1136" s="878">
        <v>128</v>
      </c>
      <c r="K1136" s="881" t="s">
        <v>33</v>
      </c>
      <c r="L1136" s="746">
        <f t="shared" si="143"/>
        <v>6105348.8300000001</v>
      </c>
      <c r="M1136" s="882">
        <v>6070523.8300000001</v>
      </c>
      <c r="N1136" s="883">
        <v>34825</v>
      </c>
      <c r="O1136" s="884"/>
      <c r="P1136" s="883"/>
      <c r="Q1136" s="597"/>
      <c r="R1136" s="901">
        <f>M1136/G1136</f>
        <v>2744.3597784810127</v>
      </c>
      <c r="S1136" s="564">
        <f t="shared" si="140"/>
        <v>0</v>
      </c>
      <c r="T1136" s="597"/>
      <c r="U1136" s="738"/>
      <c r="V1136" s="589"/>
      <c r="W1136" s="592"/>
      <c r="X1136" s="592"/>
      <c r="Y1136" s="592"/>
      <c r="Z1136" s="592"/>
    </row>
    <row r="1137" spans="1:26" s="28" customFormat="1" hidden="1">
      <c r="A1137" s="591">
        <f t="shared" si="144"/>
        <v>15</v>
      </c>
      <c r="B1137" s="592" t="s">
        <v>1222</v>
      </c>
      <c r="C1137" s="602" t="s">
        <v>295</v>
      </c>
      <c r="D1137" s="878"/>
      <c r="E1137" s="878">
        <v>652</v>
      </c>
      <c r="F1137" s="878" t="s">
        <v>291</v>
      </c>
      <c r="G1137" s="878">
        <v>743</v>
      </c>
      <c r="H1137" s="900">
        <v>2</v>
      </c>
      <c r="I1137" s="900">
        <v>2</v>
      </c>
      <c r="J1137" s="878">
        <v>12</v>
      </c>
      <c r="K1137" s="881" t="s">
        <v>33</v>
      </c>
      <c r="L1137" s="746">
        <f t="shared" si="143"/>
        <v>2095390</v>
      </c>
      <c r="M1137" s="882">
        <v>2065540</v>
      </c>
      <c r="N1137" s="883">
        <v>29850</v>
      </c>
      <c r="O1137" s="884"/>
      <c r="P1137" s="883"/>
      <c r="Q1137" s="597"/>
      <c r="R1137" s="901">
        <f>M1137/G1137</f>
        <v>2780</v>
      </c>
      <c r="S1137" s="564">
        <f t="shared" si="140"/>
        <v>0</v>
      </c>
      <c r="T1137" s="597"/>
      <c r="U1137" s="738"/>
      <c r="V1137" s="589"/>
      <c r="W1137" s="592"/>
      <c r="X1137" s="592"/>
      <c r="Y1137" s="592"/>
      <c r="Z1137" s="592"/>
    </row>
    <row r="1138" spans="1:26" s="28" customFormat="1" hidden="1">
      <c r="A1138" s="591">
        <f t="shared" si="144"/>
        <v>16</v>
      </c>
      <c r="B1138" s="1346" t="s">
        <v>3680</v>
      </c>
      <c r="C1138" s="602" t="s">
        <v>3681</v>
      </c>
      <c r="D1138" s="878">
        <v>1696</v>
      </c>
      <c r="E1138" s="878">
        <v>490</v>
      </c>
      <c r="F1138" s="878" t="s">
        <v>251</v>
      </c>
      <c r="G1138" s="878">
        <v>450</v>
      </c>
      <c r="H1138" s="900">
        <v>2</v>
      </c>
      <c r="I1138" s="900">
        <v>2</v>
      </c>
      <c r="J1138" s="878">
        <v>8</v>
      </c>
      <c r="K1138" s="881" t="s">
        <v>33</v>
      </c>
      <c r="L1138" s="1373">
        <f>M1138+N1138+O1138+P1138+Q1138+M1139+N1139+O1139+P1139+Q1139</f>
        <v>2353041.9300000002</v>
      </c>
      <c r="M1138" s="882">
        <v>1247400</v>
      </c>
      <c r="N1138" s="883">
        <v>17609.509999999998</v>
      </c>
      <c r="O1138" s="897"/>
      <c r="P1138" s="898"/>
      <c r="Q1138" s="597">
        <v>8263.48</v>
      </c>
      <c r="R1138" s="901">
        <f>M1138/G1138</f>
        <v>2772</v>
      </c>
      <c r="S1138" s="564"/>
      <c r="T1138" s="597"/>
      <c r="U1138" s="738"/>
      <c r="V1138" s="589"/>
      <c r="W1138" s="592"/>
      <c r="X1138" s="592"/>
      <c r="Y1138" s="592"/>
      <c r="Z1138" s="592"/>
    </row>
    <row r="1139" spans="1:26" s="28" customFormat="1" hidden="1">
      <c r="A1139" s="591"/>
      <c r="B1139" s="1346"/>
      <c r="C1139" s="602"/>
      <c r="D1139" s="878"/>
      <c r="E1139" s="878"/>
      <c r="F1139" s="878"/>
      <c r="G1139" s="878"/>
      <c r="H1139" s="900"/>
      <c r="I1139" s="900"/>
      <c r="J1139" s="878"/>
      <c r="K1139" s="881" t="s">
        <v>38</v>
      </c>
      <c r="L1139" s="1373"/>
      <c r="M1139" s="882">
        <v>1067220</v>
      </c>
      <c r="N1139" s="898"/>
      <c r="O1139" s="884">
        <v>1984.03</v>
      </c>
      <c r="P1139" s="898"/>
      <c r="Q1139" s="597">
        <v>10564.91</v>
      </c>
      <c r="R1139" s="599">
        <f>M1139/E1138</f>
        <v>2178</v>
      </c>
      <c r="S1139" s="564"/>
      <c r="T1139" s="597"/>
      <c r="U1139" s="738"/>
      <c r="V1139" s="589"/>
      <c r="W1139" s="592"/>
      <c r="X1139" s="592"/>
      <c r="Y1139" s="592"/>
      <c r="Z1139" s="592"/>
    </row>
    <row r="1140" spans="1:26" s="28" customFormat="1" hidden="1">
      <c r="A1140" s="591">
        <v>17</v>
      </c>
      <c r="B1140" s="1346" t="s">
        <v>3682</v>
      </c>
      <c r="C1140" s="602" t="s">
        <v>3681</v>
      </c>
      <c r="D1140" s="878">
        <v>3583</v>
      </c>
      <c r="E1140" s="878">
        <v>768.3</v>
      </c>
      <c r="F1140" s="878" t="s">
        <v>251</v>
      </c>
      <c r="G1140" s="878">
        <v>751.3</v>
      </c>
      <c r="H1140" s="900">
        <v>2</v>
      </c>
      <c r="I1140" s="900">
        <v>2</v>
      </c>
      <c r="J1140" s="878">
        <v>12</v>
      </c>
      <c r="K1140" s="881" t="s">
        <v>33</v>
      </c>
      <c r="L1140" s="1373">
        <f>M1140+N1140+O1140+P1140+Q1140+M1141+N1141+O1141+P1141+Q1141</f>
        <v>3818788.29</v>
      </c>
      <c r="M1140" s="882">
        <v>2082603.6</v>
      </c>
      <c r="N1140" s="883">
        <v>20716.900000000001</v>
      </c>
      <c r="O1140" s="897"/>
      <c r="P1140" s="898"/>
      <c r="Q1140" s="597">
        <v>17457.27</v>
      </c>
      <c r="R1140" s="901">
        <f>M1140/G1140</f>
        <v>2772.0000000000005</v>
      </c>
      <c r="S1140" s="564"/>
      <c r="T1140" s="597"/>
      <c r="U1140" s="738"/>
      <c r="V1140" s="589"/>
      <c r="W1140" s="592"/>
      <c r="X1140" s="592"/>
      <c r="Y1140" s="592"/>
      <c r="Z1140" s="592"/>
    </row>
    <row r="1141" spans="1:26" s="28" customFormat="1" hidden="1">
      <c r="A1141" s="591"/>
      <c r="B1141" s="1346"/>
      <c r="C1141" s="602"/>
      <c r="D1141" s="878"/>
      <c r="E1141" s="878"/>
      <c r="F1141" s="878"/>
      <c r="G1141" s="878"/>
      <c r="H1141" s="900"/>
      <c r="I1141" s="900"/>
      <c r="J1141" s="878"/>
      <c r="K1141" s="881" t="s">
        <v>38</v>
      </c>
      <c r="L1141" s="1373"/>
      <c r="M1141" s="882">
        <v>1673357.4</v>
      </c>
      <c r="N1141" s="898"/>
      <c r="O1141" s="884">
        <v>2334.27</v>
      </c>
      <c r="P1141" s="898"/>
      <c r="Q1141" s="597">
        <v>22318.85</v>
      </c>
      <c r="R1141" s="599">
        <f>M1141/E1140</f>
        <v>2178</v>
      </c>
      <c r="S1141" s="564"/>
      <c r="T1141" s="597"/>
      <c r="U1141" s="738"/>
      <c r="V1141" s="589"/>
      <c r="W1141" s="592"/>
      <c r="X1141" s="592"/>
      <c r="Y1141" s="592"/>
      <c r="Z1141" s="592"/>
    </row>
    <row r="1142" spans="1:26" s="36" customFormat="1" hidden="1">
      <c r="A1142" s="1349" t="s">
        <v>144</v>
      </c>
      <c r="B1142" s="1349"/>
      <c r="C1142" s="582" t="s">
        <v>28</v>
      </c>
      <c r="D1142" s="582"/>
      <c r="E1142" s="582">
        <f>SUM(E1121:E1141)</f>
        <v>38323.03</v>
      </c>
      <c r="F1142" s="582" t="s">
        <v>28</v>
      </c>
      <c r="G1142" s="582">
        <f>SUM(G1121:G1141)</f>
        <v>18622.98</v>
      </c>
      <c r="H1142" s="582" t="s">
        <v>28</v>
      </c>
      <c r="I1142" s="582" t="s">
        <v>28</v>
      </c>
      <c r="J1142" s="582">
        <f>SUM(J1121:J1141)</f>
        <v>1132</v>
      </c>
      <c r="K1142" s="590" t="s">
        <v>28</v>
      </c>
      <c r="L1142" s="584">
        <f t="shared" ref="L1142:Q1142" si="145">SUM(L1121:L1141)</f>
        <v>53465616.910000004</v>
      </c>
      <c r="M1142" s="585">
        <f t="shared" si="145"/>
        <v>52879470.340000004</v>
      </c>
      <c r="N1142" s="586">
        <f t="shared" si="145"/>
        <v>478370.16000000003</v>
      </c>
      <c r="O1142" s="587">
        <f t="shared" si="145"/>
        <v>49171.899999999994</v>
      </c>
      <c r="P1142" s="586">
        <f t="shared" si="145"/>
        <v>0</v>
      </c>
      <c r="Q1142" s="586">
        <f t="shared" si="145"/>
        <v>58604.51</v>
      </c>
      <c r="R1142" s="582" t="s">
        <v>28</v>
      </c>
      <c r="S1142" s="564">
        <f>L1142-M1142-N1142-O1142-P1142-Q1142</f>
        <v>2.6921043172478676E-10</v>
      </c>
      <c r="T1142" s="577"/>
      <c r="U1142" s="591"/>
      <c r="V1142" s="578"/>
      <c r="W1142" s="578"/>
      <c r="X1142" s="899"/>
      <c r="Y1142" s="645"/>
      <c r="Z1142" s="593"/>
    </row>
    <row r="1143" spans="1:26" s="36" customFormat="1" hidden="1">
      <c r="A1143" s="1347" t="s">
        <v>166</v>
      </c>
      <c r="B1143" s="1347"/>
      <c r="C1143" s="1347"/>
      <c r="D1143" s="1347"/>
      <c r="E1143" s="1347"/>
      <c r="F1143" s="1347"/>
      <c r="G1143" s="1347"/>
      <c r="H1143" s="1347"/>
      <c r="I1143" s="1347"/>
      <c r="J1143" s="1347"/>
      <c r="K1143" s="1347"/>
      <c r="L1143" s="1347"/>
      <c r="M1143" s="1347"/>
      <c r="N1143" s="1347"/>
      <c r="O1143" s="1347"/>
      <c r="P1143" s="1347"/>
      <c r="Q1143" s="1347"/>
      <c r="R1143" s="1347"/>
      <c r="S1143" s="564"/>
      <c r="T1143" s="577"/>
      <c r="U1143" s="591"/>
      <c r="V1143" s="589"/>
      <c r="W1143" s="593"/>
      <c r="X1143" s="899"/>
      <c r="Y1143" s="645"/>
      <c r="Z1143" s="593"/>
    </row>
    <row r="1144" spans="1:26" s="28" customFormat="1" hidden="1">
      <c r="A1144" s="580">
        <v>1</v>
      </c>
      <c r="B1144" s="592" t="s">
        <v>1223</v>
      </c>
      <c r="C1144" s="700" t="s">
        <v>217</v>
      </c>
      <c r="D1144" s="902">
        <f t="shared" ref="D1144:D1181" si="146">E1144/1.16/2*13</f>
        <v>23142.241379310344</v>
      </c>
      <c r="E1144" s="593">
        <v>4130</v>
      </c>
      <c r="F1144" s="582" t="s">
        <v>218</v>
      </c>
      <c r="G1144" s="786">
        <v>1694</v>
      </c>
      <c r="H1144" s="593">
        <v>5</v>
      </c>
      <c r="I1144" s="593">
        <v>8</v>
      </c>
      <c r="J1144" s="593">
        <v>160</v>
      </c>
      <c r="K1144" s="903" t="s">
        <v>33</v>
      </c>
      <c r="L1144" s="746">
        <f t="shared" ref="L1144:L1175" si="147">M1144+N1144+O1144+P1144+Q1144</f>
        <v>3903934.3499999996</v>
      </c>
      <c r="M1144" s="585">
        <v>3892303.8</v>
      </c>
      <c r="N1144" s="586"/>
      <c r="O1144" s="587">
        <v>11630.55</v>
      </c>
      <c r="P1144" s="586"/>
      <c r="Q1144" s="586"/>
      <c r="R1144" s="582">
        <f>M1144/G1144</f>
        <v>2297.6999999999998</v>
      </c>
      <c r="S1144" s="564">
        <f t="shared" ref="S1144:S1175" si="148">L1144-M1144-N1144-O1144-P1144-Q1144</f>
        <v>-1.8553691916167736E-10</v>
      </c>
      <c r="T1144" s="586"/>
      <c r="U1144" s="589"/>
      <c r="V1144" s="589"/>
      <c r="W1144" s="592"/>
      <c r="X1144" s="592"/>
      <c r="Y1144" s="592"/>
      <c r="Z1144" s="592"/>
    </row>
    <row r="1145" spans="1:26" s="28" customFormat="1" hidden="1">
      <c r="A1145" s="580">
        <f>A1144+1</f>
        <v>2</v>
      </c>
      <c r="B1145" s="592" t="s">
        <v>1225</v>
      </c>
      <c r="C1145" s="700" t="s">
        <v>217</v>
      </c>
      <c r="D1145" s="902">
        <f t="shared" si="146"/>
        <v>28577.586206896551</v>
      </c>
      <c r="E1145" s="888">
        <v>5100</v>
      </c>
      <c r="F1145" s="582" t="s">
        <v>218</v>
      </c>
      <c r="G1145" s="786">
        <v>990</v>
      </c>
      <c r="H1145" s="593">
        <v>9</v>
      </c>
      <c r="I1145" s="593">
        <v>3</v>
      </c>
      <c r="J1145" s="593">
        <v>108</v>
      </c>
      <c r="K1145" s="903" t="s">
        <v>226</v>
      </c>
      <c r="L1145" s="746">
        <f t="shared" si="147"/>
        <v>10737597.500000002</v>
      </c>
      <c r="M1145" s="585">
        <v>10699290.000000002</v>
      </c>
      <c r="N1145" s="586">
        <v>38307.5</v>
      </c>
      <c r="O1145" s="587"/>
      <c r="P1145" s="586"/>
      <c r="Q1145" s="586"/>
      <c r="R1145" s="599">
        <f>M1145/E1145</f>
        <v>2097.9000000000005</v>
      </c>
      <c r="S1145" s="564">
        <f t="shared" si="148"/>
        <v>0</v>
      </c>
      <c r="T1145" s="586"/>
      <c r="U1145" s="589"/>
      <c r="V1145" s="589"/>
      <c r="W1145" s="592"/>
      <c r="X1145" s="592"/>
      <c r="Y1145" s="592"/>
      <c r="Z1145" s="592"/>
    </row>
    <row r="1146" spans="1:26" s="28" customFormat="1" ht="37.5" hidden="1">
      <c r="A1146" s="580">
        <f t="shared" ref="A1146:A1206" si="149">A1145+1</f>
        <v>3</v>
      </c>
      <c r="B1146" s="592" t="s">
        <v>1226</v>
      </c>
      <c r="C1146" s="700" t="s">
        <v>298</v>
      </c>
      <c r="D1146" s="902">
        <f t="shared" si="146"/>
        <v>16401.293103448275</v>
      </c>
      <c r="E1146" s="593">
        <v>2927</v>
      </c>
      <c r="F1146" s="582" t="s">
        <v>218</v>
      </c>
      <c r="G1146" s="786">
        <v>948</v>
      </c>
      <c r="H1146" s="593">
        <v>5</v>
      </c>
      <c r="I1146" s="593">
        <v>4</v>
      </c>
      <c r="J1146" s="593">
        <v>69</v>
      </c>
      <c r="K1146" s="903" t="s">
        <v>33</v>
      </c>
      <c r="L1146" s="746">
        <f t="shared" si="147"/>
        <v>1841574.01</v>
      </c>
      <c r="M1146" s="882">
        <v>1835065.72</v>
      </c>
      <c r="N1146" s="586"/>
      <c r="O1146" s="587">
        <v>6508.29</v>
      </c>
      <c r="P1146" s="586"/>
      <c r="Q1146" s="586"/>
      <c r="R1146" s="582">
        <f>M1146/G1146</f>
        <v>1935.7233333333334</v>
      </c>
      <c r="S1146" s="564">
        <f t="shared" si="148"/>
        <v>3.7289282772690058E-11</v>
      </c>
      <c r="T1146" s="586"/>
      <c r="U1146" s="589"/>
      <c r="V1146" s="589"/>
      <c r="W1146" s="592"/>
      <c r="X1146" s="592"/>
      <c r="Y1146" s="592"/>
      <c r="Z1146" s="592"/>
    </row>
    <row r="1147" spans="1:26" s="28" customFormat="1" ht="37.5" hidden="1">
      <c r="A1147" s="580">
        <f t="shared" si="149"/>
        <v>4</v>
      </c>
      <c r="B1147" s="592" t="s">
        <v>1227</v>
      </c>
      <c r="C1147" s="700" t="s">
        <v>298</v>
      </c>
      <c r="D1147" s="902">
        <f t="shared" si="146"/>
        <v>16306.034482758621</v>
      </c>
      <c r="E1147" s="593">
        <v>2910</v>
      </c>
      <c r="F1147" s="582" t="s">
        <v>218</v>
      </c>
      <c r="G1147" s="786">
        <v>937.9</v>
      </c>
      <c r="H1147" s="593">
        <v>5</v>
      </c>
      <c r="I1147" s="593">
        <v>4</v>
      </c>
      <c r="J1147" s="593">
        <v>68</v>
      </c>
      <c r="K1147" s="903" t="s">
        <v>33</v>
      </c>
      <c r="L1147" s="746">
        <f t="shared" si="147"/>
        <v>1848592.63</v>
      </c>
      <c r="M1147" s="585">
        <v>1842152.99</v>
      </c>
      <c r="N1147" s="586"/>
      <c r="O1147" s="587">
        <v>6439.64</v>
      </c>
      <c r="P1147" s="586"/>
      <c r="Q1147" s="586"/>
      <c r="R1147" s="582">
        <f>M1147/G1147</f>
        <v>1964.1251625972918</v>
      </c>
      <c r="S1147" s="564">
        <f t="shared" si="148"/>
        <v>-1.0277290130034089E-10</v>
      </c>
      <c r="T1147" s="586"/>
      <c r="U1147" s="589"/>
      <c r="V1147" s="589"/>
      <c r="W1147" s="592"/>
      <c r="X1147" s="592"/>
      <c r="Y1147" s="592"/>
      <c r="Z1147" s="592"/>
    </row>
    <row r="1148" spans="1:26" s="28" customFormat="1" ht="37.5" hidden="1">
      <c r="A1148" s="580">
        <f t="shared" si="149"/>
        <v>5</v>
      </c>
      <c r="B1148" s="592" t="s">
        <v>1228</v>
      </c>
      <c r="C1148" s="700" t="s">
        <v>298</v>
      </c>
      <c r="D1148" s="902">
        <f t="shared" si="146"/>
        <v>16289.224137931036</v>
      </c>
      <c r="E1148" s="593">
        <v>2907</v>
      </c>
      <c r="F1148" s="582" t="s">
        <v>218</v>
      </c>
      <c r="G1148" s="786">
        <v>936</v>
      </c>
      <c r="H1148" s="593">
        <v>5</v>
      </c>
      <c r="I1148" s="593">
        <v>4</v>
      </c>
      <c r="J1148" s="593">
        <v>70</v>
      </c>
      <c r="K1148" s="903" t="s">
        <v>33</v>
      </c>
      <c r="L1148" s="746">
        <f t="shared" si="147"/>
        <v>1837269.9200000002</v>
      </c>
      <c r="M1148" s="882">
        <v>1830844.2100000002</v>
      </c>
      <c r="N1148" s="586"/>
      <c r="O1148" s="587">
        <v>6425.71</v>
      </c>
      <c r="P1148" s="586"/>
      <c r="Q1148" s="586"/>
      <c r="R1148" s="582">
        <f>M1148/G1148</f>
        <v>1956.030138888889</v>
      </c>
      <c r="S1148" s="564">
        <f t="shared" si="148"/>
        <v>-3.7289282772690058E-11</v>
      </c>
      <c r="T1148" s="586"/>
      <c r="U1148" s="589"/>
      <c r="V1148" s="589"/>
      <c r="W1148" s="592"/>
      <c r="X1148" s="592"/>
      <c r="Y1148" s="592"/>
      <c r="Z1148" s="592"/>
    </row>
    <row r="1149" spans="1:26" s="28" customFormat="1" hidden="1">
      <c r="A1149" s="580">
        <f t="shared" si="149"/>
        <v>6</v>
      </c>
      <c r="B1149" s="592" t="s">
        <v>1229</v>
      </c>
      <c r="C1149" s="700" t="s">
        <v>221</v>
      </c>
      <c r="D1149" s="902">
        <f t="shared" si="146"/>
        <v>20340.517241379312</v>
      </c>
      <c r="E1149" s="888">
        <v>3630</v>
      </c>
      <c r="F1149" s="582" t="s">
        <v>218</v>
      </c>
      <c r="G1149" s="786">
        <v>547</v>
      </c>
      <c r="H1149" s="593">
        <v>9</v>
      </c>
      <c r="I1149" s="593">
        <v>1</v>
      </c>
      <c r="J1149" s="593">
        <v>62</v>
      </c>
      <c r="K1149" s="903" t="s">
        <v>226</v>
      </c>
      <c r="L1149" s="746">
        <f t="shared" si="147"/>
        <v>8842687.3300000001</v>
      </c>
      <c r="M1149" s="585">
        <f>8340651+469201.33</f>
        <v>8809852.3300000001</v>
      </c>
      <c r="N1149" s="586">
        <v>32835</v>
      </c>
      <c r="O1149" s="587"/>
      <c r="P1149" s="586"/>
      <c r="Q1149" s="586"/>
      <c r="R1149" s="599">
        <f>M1149/E1149</f>
        <v>2426.9565647382919</v>
      </c>
      <c r="S1149" s="564">
        <f t="shared" si="148"/>
        <v>0</v>
      </c>
      <c r="T1149" s="586"/>
      <c r="U1149" s="589"/>
      <c r="V1149" s="589"/>
      <c r="W1149" s="592"/>
      <c r="X1149" s="592"/>
      <c r="Y1149" s="592"/>
      <c r="Z1149" s="592"/>
    </row>
    <row r="1150" spans="1:26" s="28" customFormat="1" ht="37.5" hidden="1">
      <c r="A1150" s="580">
        <f t="shared" si="149"/>
        <v>7</v>
      </c>
      <c r="B1150" s="592" t="s">
        <v>1230</v>
      </c>
      <c r="C1150" s="700" t="s">
        <v>298</v>
      </c>
      <c r="D1150" s="902">
        <f t="shared" si="146"/>
        <v>46648.706896551732</v>
      </c>
      <c r="E1150" s="593">
        <v>8325</v>
      </c>
      <c r="F1150" s="582" t="s">
        <v>218</v>
      </c>
      <c r="G1150" s="786">
        <v>3484</v>
      </c>
      <c r="H1150" s="593">
        <v>5</v>
      </c>
      <c r="I1150" s="593">
        <v>15</v>
      </c>
      <c r="J1150" s="593">
        <v>239</v>
      </c>
      <c r="K1150" s="903" t="s">
        <v>33</v>
      </c>
      <c r="L1150" s="746">
        <f t="shared" si="147"/>
        <v>6884629.4500000002</v>
      </c>
      <c r="M1150" s="585">
        <v>6860709.6500000004</v>
      </c>
      <c r="N1150" s="586"/>
      <c r="O1150" s="587">
        <v>23919.8</v>
      </c>
      <c r="P1150" s="586"/>
      <c r="Q1150" s="586"/>
      <c r="R1150" s="582">
        <f>M1150/G1150</f>
        <v>1969.2048363949484</v>
      </c>
      <c r="S1150" s="564">
        <f t="shared" si="148"/>
        <v>-1.8553691916167736E-10</v>
      </c>
      <c r="T1150" s="586"/>
      <c r="U1150" s="589"/>
      <c r="V1150" s="589"/>
      <c r="W1150" s="592"/>
      <c r="X1150" s="592"/>
      <c r="Y1150" s="592"/>
      <c r="Z1150" s="592"/>
    </row>
    <row r="1151" spans="1:26" s="28" customFormat="1" ht="37.5" hidden="1">
      <c r="A1151" s="580">
        <f t="shared" si="149"/>
        <v>8</v>
      </c>
      <c r="B1151" s="592" t="s">
        <v>1231</v>
      </c>
      <c r="C1151" s="700" t="s">
        <v>298</v>
      </c>
      <c r="D1151" s="902">
        <f t="shared" si="146"/>
        <v>14120.689655172415</v>
      </c>
      <c r="E1151" s="593">
        <v>2520</v>
      </c>
      <c r="F1151" s="582" t="s">
        <v>218</v>
      </c>
      <c r="G1151" s="786">
        <v>991.7</v>
      </c>
      <c r="H1151" s="593">
        <v>5</v>
      </c>
      <c r="I1151" s="593">
        <v>4</v>
      </c>
      <c r="J1151" s="593">
        <v>70</v>
      </c>
      <c r="K1151" s="903" t="s">
        <v>226</v>
      </c>
      <c r="L1151" s="746">
        <f t="shared" si="147"/>
        <v>5446139.5299999993</v>
      </c>
      <c r="M1151" s="585">
        <v>5411314.5299999993</v>
      </c>
      <c r="N1151" s="586">
        <v>34825</v>
      </c>
      <c r="O1151" s="587"/>
      <c r="P1151" s="586"/>
      <c r="Q1151" s="586"/>
      <c r="R1151" s="599">
        <f>M1151/E1151</f>
        <v>2147.3470357142855</v>
      </c>
      <c r="S1151" s="564">
        <f t="shared" si="148"/>
        <v>0</v>
      </c>
      <c r="T1151" s="586"/>
      <c r="U1151" s="589"/>
      <c r="V1151" s="589"/>
      <c r="W1151" s="592"/>
      <c r="X1151" s="592"/>
      <c r="Y1151" s="592"/>
      <c r="Z1151" s="592"/>
    </row>
    <row r="1152" spans="1:26" s="28" customFormat="1" ht="37.5" hidden="1">
      <c r="A1152" s="580">
        <f t="shared" si="149"/>
        <v>9</v>
      </c>
      <c r="B1152" s="592" t="s">
        <v>1232</v>
      </c>
      <c r="C1152" s="700" t="s">
        <v>298</v>
      </c>
      <c r="D1152" s="902">
        <f t="shared" si="146"/>
        <v>9839.6551724137935</v>
      </c>
      <c r="E1152" s="593">
        <v>1756</v>
      </c>
      <c r="F1152" s="582" t="s">
        <v>251</v>
      </c>
      <c r="G1152" s="786">
        <v>1200</v>
      </c>
      <c r="H1152" s="593">
        <v>5</v>
      </c>
      <c r="I1152" s="593">
        <v>4</v>
      </c>
      <c r="J1152" s="593">
        <v>76</v>
      </c>
      <c r="K1152" s="903" t="s">
        <v>33</v>
      </c>
      <c r="L1152" s="746">
        <f t="shared" si="147"/>
        <v>3500907.5</v>
      </c>
      <c r="M1152" s="585">
        <v>3462600</v>
      </c>
      <c r="N1152" s="586">
        <v>38307.5</v>
      </c>
      <c r="O1152" s="587"/>
      <c r="P1152" s="586"/>
      <c r="Q1152" s="586"/>
      <c r="R1152" s="582">
        <f>M1152/G1152</f>
        <v>2885.5</v>
      </c>
      <c r="S1152" s="564">
        <f t="shared" si="148"/>
        <v>0</v>
      </c>
      <c r="T1152" s="586"/>
      <c r="U1152" s="589"/>
      <c r="V1152" s="589"/>
      <c r="W1152" s="592"/>
      <c r="X1152" s="592"/>
      <c r="Y1152" s="592"/>
      <c r="Z1152" s="592"/>
    </row>
    <row r="1153" spans="1:26" s="28" customFormat="1" ht="37.5" hidden="1">
      <c r="A1153" s="580">
        <f t="shared" si="149"/>
        <v>10</v>
      </c>
      <c r="B1153" s="592" t="s">
        <v>1233</v>
      </c>
      <c r="C1153" s="700" t="s">
        <v>298</v>
      </c>
      <c r="D1153" s="902">
        <f t="shared" si="146"/>
        <v>3922.4137931034484</v>
      </c>
      <c r="E1153" s="593">
        <v>700</v>
      </c>
      <c r="F1153" s="582" t="s">
        <v>251</v>
      </c>
      <c r="G1153" s="786">
        <v>1092</v>
      </c>
      <c r="H1153" s="593">
        <v>5</v>
      </c>
      <c r="I1153" s="593">
        <v>2</v>
      </c>
      <c r="J1153" s="593">
        <v>39</v>
      </c>
      <c r="K1153" s="903" t="s">
        <v>381</v>
      </c>
      <c r="L1153" s="746">
        <f t="shared" si="147"/>
        <v>781548.3</v>
      </c>
      <c r="M1153" s="585">
        <v>779220</v>
      </c>
      <c r="N1153" s="586"/>
      <c r="O1153" s="587">
        <v>2328.3000000000002</v>
      </c>
      <c r="P1153" s="586"/>
      <c r="Q1153" s="586"/>
      <c r="R1153" s="582">
        <f>M1153/J1153</f>
        <v>19980</v>
      </c>
      <c r="S1153" s="564">
        <f t="shared" si="148"/>
        <v>4.638422979041934E-11</v>
      </c>
      <c r="T1153" s="586"/>
      <c r="U1153" s="589"/>
      <c r="V1153" s="589"/>
      <c r="W1153" s="592"/>
      <c r="X1153" s="592"/>
      <c r="Y1153" s="592"/>
      <c r="Z1153" s="592"/>
    </row>
    <row r="1154" spans="1:26" s="28" customFormat="1" ht="37.5" hidden="1">
      <c r="A1154" s="580">
        <f t="shared" si="149"/>
        <v>11</v>
      </c>
      <c r="B1154" s="592" t="s">
        <v>1234</v>
      </c>
      <c r="C1154" s="700" t="s">
        <v>298</v>
      </c>
      <c r="D1154" s="902">
        <f t="shared" si="146"/>
        <v>9441.810344827587</v>
      </c>
      <c r="E1154" s="593">
        <v>1685</v>
      </c>
      <c r="F1154" s="582" t="s">
        <v>251</v>
      </c>
      <c r="G1154" s="786">
        <v>1200</v>
      </c>
      <c r="H1154" s="593">
        <v>5</v>
      </c>
      <c r="I1154" s="593">
        <v>4</v>
      </c>
      <c r="J1154" s="593">
        <v>76</v>
      </c>
      <c r="K1154" s="903" t="s">
        <v>33</v>
      </c>
      <c r="L1154" s="746">
        <f t="shared" si="147"/>
        <v>3381507.5</v>
      </c>
      <c r="M1154" s="585">
        <v>3343200</v>
      </c>
      <c r="N1154" s="586">
        <v>38307.5</v>
      </c>
      <c r="O1154" s="587"/>
      <c r="P1154" s="586"/>
      <c r="Q1154" s="586"/>
      <c r="R1154" s="582">
        <f>M1154/G1154</f>
        <v>2786</v>
      </c>
      <c r="S1154" s="564">
        <f t="shared" si="148"/>
        <v>0</v>
      </c>
      <c r="T1154" s="586"/>
      <c r="U1154" s="589"/>
      <c r="V1154" s="589"/>
      <c r="W1154" s="592"/>
      <c r="X1154" s="592"/>
      <c r="Y1154" s="592"/>
      <c r="Z1154" s="592"/>
    </row>
    <row r="1155" spans="1:26" s="28" customFormat="1" ht="37.5" hidden="1">
      <c r="A1155" s="580">
        <f t="shared" si="149"/>
        <v>12</v>
      </c>
      <c r="B1155" s="592" t="s">
        <v>1235</v>
      </c>
      <c r="C1155" s="700" t="s">
        <v>298</v>
      </c>
      <c r="D1155" s="902">
        <f t="shared" si="146"/>
        <v>11599.137931034484</v>
      </c>
      <c r="E1155" s="888">
        <v>2070</v>
      </c>
      <c r="F1155" s="582" t="s">
        <v>218</v>
      </c>
      <c r="G1155" s="786">
        <v>828</v>
      </c>
      <c r="H1155" s="593">
        <v>5</v>
      </c>
      <c r="I1155" s="593">
        <v>1</v>
      </c>
      <c r="J1155" s="593">
        <v>111</v>
      </c>
      <c r="K1155" s="903" t="s">
        <v>226</v>
      </c>
      <c r="L1155" s="746">
        <f t="shared" si="147"/>
        <v>4709335</v>
      </c>
      <c r="M1155" s="585">
        <v>4676500</v>
      </c>
      <c r="N1155" s="586">
        <v>32835</v>
      </c>
      <c r="O1155" s="587"/>
      <c r="P1155" s="586"/>
      <c r="Q1155" s="586"/>
      <c r="R1155" s="599">
        <f>M1155/E1155</f>
        <v>2259.1787439613527</v>
      </c>
      <c r="S1155" s="564">
        <f t="shared" si="148"/>
        <v>0</v>
      </c>
      <c r="T1155" s="586"/>
      <c r="U1155" s="589"/>
      <c r="V1155" s="589"/>
      <c r="W1155" s="592"/>
      <c r="X1155" s="592"/>
      <c r="Y1155" s="592"/>
      <c r="Z1155" s="592"/>
    </row>
    <row r="1156" spans="1:26" s="28" customFormat="1" ht="37.5" hidden="1">
      <c r="A1156" s="580">
        <f t="shared" si="149"/>
        <v>13</v>
      </c>
      <c r="B1156" s="592" t="s">
        <v>1236</v>
      </c>
      <c r="C1156" s="700" t="s">
        <v>298</v>
      </c>
      <c r="D1156" s="902">
        <f t="shared" si="146"/>
        <v>6737.0258620689656</v>
      </c>
      <c r="E1156" s="593">
        <v>1202.3</v>
      </c>
      <c r="F1156" s="582" t="s">
        <v>218</v>
      </c>
      <c r="G1156" s="786">
        <v>720</v>
      </c>
      <c r="H1156" s="593">
        <v>5</v>
      </c>
      <c r="I1156" s="593">
        <v>1</v>
      </c>
      <c r="J1156" s="593">
        <v>50</v>
      </c>
      <c r="K1156" s="903" t="s">
        <v>30</v>
      </c>
      <c r="L1156" s="746">
        <f t="shared" si="147"/>
        <v>1297410.1800000002</v>
      </c>
      <c r="M1156" s="882">
        <v>1293380.4300000002</v>
      </c>
      <c r="N1156" s="586"/>
      <c r="O1156" s="587">
        <v>4029.75</v>
      </c>
      <c r="P1156" s="586"/>
      <c r="Q1156" s="586"/>
      <c r="R1156" s="582">
        <f>M1156/J1156</f>
        <v>25867.608600000003</v>
      </c>
      <c r="S1156" s="564">
        <f t="shared" si="148"/>
        <v>0</v>
      </c>
      <c r="T1156" s="586"/>
      <c r="U1156" s="586"/>
      <c r="V1156" s="589"/>
      <c r="W1156" s="592"/>
      <c r="X1156" s="592"/>
      <c r="Y1156" s="592"/>
      <c r="Z1156" s="592"/>
    </row>
    <row r="1157" spans="1:26" s="28" customFormat="1" ht="37.5" hidden="1">
      <c r="A1157" s="580">
        <f t="shared" si="149"/>
        <v>14</v>
      </c>
      <c r="B1157" s="592" t="s">
        <v>1237</v>
      </c>
      <c r="C1157" s="700" t="s">
        <v>298</v>
      </c>
      <c r="D1157" s="902">
        <f t="shared" si="146"/>
        <v>8758.1896551724149</v>
      </c>
      <c r="E1157" s="593">
        <v>1563</v>
      </c>
      <c r="F1157" s="582" t="s">
        <v>218</v>
      </c>
      <c r="G1157" s="786">
        <v>450</v>
      </c>
      <c r="H1157" s="593">
        <v>5</v>
      </c>
      <c r="I1157" s="593">
        <v>2</v>
      </c>
      <c r="J1157" s="593">
        <v>34</v>
      </c>
      <c r="K1157" s="903" t="s">
        <v>30</v>
      </c>
      <c r="L1157" s="746">
        <f t="shared" si="147"/>
        <v>919822.23</v>
      </c>
      <c r="M1157" s="882">
        <v>917082</v>
      </c>
      <c r="N1157" s="586"/>
      <c r="O1157" s="587">
        <v>2740.23</v>
      </c>
      <c r="P1157" s="586"/>
      <c r="Q1157" s="586"/>
      <c r="R1157" s="582">
        <f>M1157/J1157</f>
        <v>26973</v>
      </c>
      <c r="S1157" s="564">
        <f t="shared" si="148"/>
        <v>-1.8644641386345029E-11</v>
      </c>
      <c r="T1157" s="586"/>
      <c r="U1157" s="589"/>
      <c r="V1157" s="589"/>
      <c r="W1157" s="592"/>
      <c r="X1157" s="592"/>
      <c r="Y1157" s="592"/>
      <c r="Z1157" s="592"/>
    </row>
    <row r="1158" spans="1:26" s="28" customFormat="1" ht="37.5" hidden="1">
      <c r="A1158" s="580">
        <f t="shared" si="149"/>
        <v>15</v>
      </c>
      <c r="B1158" s="592" t="s">
        <v>1238</v>
      </c>
      <c r="C1158" s="700" t="s">
        <v>298</v>
      </c>
      <c r="D1158" s="902">
        <f t="shared" si="146"/>
        <v>16328.448275862069</v>
      </c>
      <c r="E1158" s="593">
        <v>2914</v>
      </c>
      <c r="F1158" s="582" t="s">
        <v>218</v>
      </c>
      <c r="G1158" s="786">
        <v>935</v>
      </c>
      <c r="H1158" s="593">
        <v>5</v>
      </c>
      <c r="I1158" s="593">
        <v>4</v>
      </c>
      <c r="J1158" s="593">
        <v>68</v>
      </c>
      <c r="K1158" s="903" t="s">
        <v>30</v>
      </c>
      <c r="L1158" s="746">
        <f t="shared" si="147"/>
        <v>1839644.46</v>
      </c>
      <c r="M1158" s="882">
        <v>1834164</v>
      </c>
      <c r="N1158" s="586"/>
      <c r="O1158" s="587">
        <v>5480.46</v>
      </c>
      <c r="P1158" s="586"/>
      <c r="Q1158" s="586"/>
      <c r="R1158" s="582">
        <f>M1158/J1158</f>
        <v>26973</v>
      </c>
      <c r="S1158" s="564">
        <f t="shared" si="148"/>
        <v>-3.7289282772690058E-11</v>
      </c>
      <c r="T1158" s="586"/>
      <c r="U1158" s="589"/>
      <c r="V1158" s="589"/>
      <c r="W1158" s="592"/>
      <c r="X1158" s="592"/>
      <c r="Y1158" s="592"/>
      <c r="Z1158" s="592"/>
    </row>
    <row r="1159" spans="1:26" s="28" customFormat="1" ht="37.5" hidden="1">
      <c r="A1159" s="580">
        <f t="shared" si="149"/>
        <v>16</v>
      </c>
      <c r="B1159" s="592" t="s">
        <v>1239</v>
      </c>
      <c r="C1159" s="700" t="s">
        <v>298</v>
      </c>
      <c r="D1159" s="902">
        <f t="shared" si="146"/>
        <v>25253.060344827587</v>
      </c>
      <c r="E1159" s="593">
        <v>4506.7</v>
      </c>
      <c r="F1159" s="582" t="s">
        <v>218</v>
      </c>
      <c r="G1159" s="786">
        <v>1980.1</v>
      </c>
      <c r="H1159" s="593">
        <v>5</v>
      </c>
      <c r="I1159" s="593">
        <v>9</v>
      </c>
      <c r="J1159" s="593">
        <v>115</v>
      </c>
      <c r="K1159" s="903" t="s">
        <v>33</v>
      </c>
      <c r="L1159" s="746">
        <f t="shared" si="147"/>
        <v>3572610.0500000003</v>
      </c>
      <c r="M1159" s="585">
        <v>3559015.37</v>
      </c>
      <c r="N1159" s="586"/>
      <c r="O1159" s="587">
        <v>13594.68</v>
      </c>
      <c r="P1159" s="586"/>
      <c r="Q1159" s="586"/>
      <c r="R1159" s="582">
        <f>M1159/G1159</f>
        <v>1797.3917327407707</v>
      </c>
      <c r="S1159" s="564">
        <f t="shared" si="148"/>
        <v>1.673470251262188E-10</v>
      </c>
      <c r="T1159" s="586"/>
      <c r="U1159" s="589"/>
      <c r="V1159" s="589"/>
      <c r="W1159" s="592"/>
      <c r="X1159" s="592"/>
      <c r="Y1159" s="592"/>
      <c r="Z1159" s="592"/>
    </row>
    <row r="1160" spans="1:26" s="28" customFormat="1" ht="37.5" hidden="1">
      <c r="A1160" s="580">
        <f t="shared" si="149"/>
        <v>17</v>
      </c>
      <c r="B1160" s="592" t="s">
        <v>1240</v>
      </c>
      <c r="C1160" s="700" t="s">
        <v>298</v>
      </c>
      <c r="D1160" s="902">
        <f t="shared" si="146"/>
        <v>12708.620689655172</v>
      </c>
      <c r="E1160" s="593">
        <v>2268</v>
      </c>
      <c r="F1160" s="582" t="s">
        <v>218</v>
      </c>
      <c r="G1160" s="786">
        <v>1339</v>
      </c>
      <c r="H1160" s="593">
        <v>5</v>
      </c>
      <c r="I1160" s="593">
        <v>6</v>
      </c>
      <c r="J1160" s="593">
        <v>119</v>
      </c>
      <c r="K1160" s="903" t="s">
        <v>33</v>
      </c>
      <c r="L1160" s="746">
        <f t="shared" si="147"/>
        <v>2615774.21</v>
      </c>
      <c r="M1160" s="585">
        <v>2606581.41</v>
      </c>
      <c r="N1160" s="586"/>
      <c r="O1160" s="587">
        <v>9192.7999999999993</v>
      </c>
      <c r="P1160" s="586"/>
      <c r="Q1160" s="586"/>
      <c r="R1160" s="582">
        <f>M1160/G1160</f>
        <v>1946.6627408513818</v>
      </c>
      <c r="S1160" s="564">
        <f t="shared" si="148"/>
        <v>-1.8553691916167736E-10</v>
      </c>
      <c r="T1160" s="586"/>
      <c r="U1160" s="589"/>
      <c r="V1160" s="589"/>
      <c r="W1160" s="592"/>
      <c r="X1160" s="592"/>
      <c r="Y1160" s="592"/>
      <c r="Z1160" s="592"/>
    </row>
    <row r="1161" spans="1:26" s="28" customFormat="1" ht="37.5" hidden="1">
      <c r="A1161" s="580">
        <f t="shared" si="149"/>
        <v>18</v>
      </c>
      <c r="B1161" s="592" t="s">
        <v>1241</v>
      </c>
      <c r="C1161" s="700" t="s">
        <v>298</v>
      </c>
      <c r="D1161" s="902">
        <f t="shared" si="146"/>
        <v>17107.327586206899</v>
      </c>
      <c r="E1161" s="593">
        <v>3053</v>
      </c>
      <c r="F1161" s="582" t="s">
        <v>218</v>
      </c>
      <c r="G1161" s="786">
        <v>1300</v>
      </c>
      <c r="H1161" s="593">
        <v>5</v>
      </c>
      <c r="I1161" s="593">
        <v>6</v>
      </c>
      <c r="J1161" s="593">
        <v>90</v>
      </c>
      <c r="K1161" s="903" t="s">
        <v>33</v>
      </c>
      <c r="L1161" s="746">
        <f t="shared" si="147"/>
        <v>2983975.15</v>
      </c>
      <c r="M1161" s="585">
        <v>2975050</v>
      </c>
      <c r="N1161" s="586"/>
      <c r="O1161" s="587">
        <v>8925.15</v>
      </c>
      <c r="P1161" s="586"/>
      <c r="Q1161" s="586"/>
      <c r="R1161" s="582">
        <f>M1161/G1161</f>
        <v>2288.5</v>
      </c>
      <c r="S1161" s="564">
        <f t="shared" si="148"/>
        <v>-9.276845958083868E-11</v>
      </c>
      <c r="T1161" s="586"/>
      <c r="U1161" s="589"/>
      <c r="V1161" s="589"/>
      <c r="W1161" s="592"/>
      <c r="X1161" s="592"/>
      <c r="Y1161" s="592"/>
      <c r="Z1161" s="592"/>
    </row>
    <row r="1162" spans="1:26" s="28" customFormat="1" hidden="1">
      <c r="A1162" s="580">
        <f t="shared" si="149"/>
        <v>19</v>
      </c>
      <c r="B1162" s="592" t="s">
        <v>1242</v>
      </c>
      <c r="C1162" s="700" t="s">
        <v>217</v>
      </c>
      <c r="D1162" s="902">
        <f t="shared" si="146"/>
        <v>16266.810344827589</v>
      </c>
      <c r="E1162" s="593">
        <v>2903</v>
      </c>
      <c r="F1162" s="582" t="s">
        <v>218</v>
      </c>
      <c r="G1162" s="786">
        <v>1226.5999999999999</v>
      </c>
      <c r="H1162" s="593">
        <v>5</v>
      </c>
      <c r="I1162" s="593">
        <v>5</v>
      </c>
      <c r="J1162" s="593">
        <v>70</v>
      </c>
      <c r="K1162" s="903" t="s">
        <v>33</v>
      </c>
      <c r="L1162" s="746">
        <f t="shared" si="147"/>
        <v>2815495.7800000003</v>
      </c>
      <c r="M1162" s="585">
        <v>2807074.1</v>
      </c>
      <c r="N1162" s="586"/>
      <c r="O1162" s="587">
        <v>8421.68</v>
      </c>
      <c r="P1162" s="586"/>
      <c r="Q1162" s="586"/>
      <c r="R1162" s="582">
        <f>M1162/G1162</f>
        <v>2288.5000000000005</v>
      </c>
      <c r="S1162" s="564">
        <f t="shared" si="148"/>
        <v>1.673470251262188E-10</v>
      </c>
      <c r="T1162" s="586"/>
      <c r="U1162" s="589"/>
      <c r="V1162" s="589"/>
      <c r="W1162" s="592"/>
      <c r="X1162" s="592"/>
      <c r="Y1162" s="592"/>
      <c r="Z1162" s="592"/>
    </row>
    <row r="1163" spans="1:26" s="28" customFormat="1" ht="37.5" hidden="1">
      <c r="A1163" s="580">
        <f t="shared" si="149"/>
        <v>20</v>
      </c>
      <c r="B1163" s="592" t="s">
        <v>1243</v>
      </c>
      <c r="C1163" s="700" t="s">
        <v>298</v>
      </c>
      <c r="D1163" s="902">
        <f t="shared" si="146"/>
        <v>6550.4310344827591</v>
      </c>
      <c r="E1163" s="593">
        <v>1169</v>
      </c>
      <c r="F1163" s="582" t="s">
        <v>218</v>
      </c>
      <c r="G1163" s="786">
        <v>680</v>
      </c>
      <c r="H1163" s="593">
        <v>3</v>
      </c>
      <c r="I1163" s="593">
        <v>2</v>
      </c>
      <c r="J1163" s="593">
        <v>18</v>
      </c>
      <c r="K1163" s="903" t="s">
        <v>30</v>
      </c>
      <c r="L1163" s="746">
        <f t="shared" si="147"/>
        <v>449924</v>
      </c>
      <c r="M1163" s="882">
        <v>448473.29</v>
      </c>
      <c r="N1163" s="586"/>
      <c r="O1163" s="587">
        <v>1450.71</v>
      </c>
      <c r="P1163" s="586"/>
      <c r="Q1163" s="586"/>
      <c r="R1163" s="582">
        <f>M1163/J1163</f>
        <v>24915.182777777776</v>
      </c>
      <c r="S1163" s="564">
        <f t="shared" si="148"/>
        <v>2.0918378140777349E-11</v>
      </c>
      <c r="T1163" s="586"/>
      <c r="U1163" s="589"/>
      <c r="V1163" s="589"/>
      <c r="W1163" s="592"/>
      <c r="X1163" s="592"/>
      <c r="Y1163" s="592"/>
      <c r="Z1163" s="592"/>
    </row>
    <row r="1164" spans="1:26" s="28" customFormat="1" ht="37.5" hidden="1">
      <c r="A1164" s="580">
        <f t="shared" si="149"/>
        <v>21</v>
      </c>
      <c r="B1164" s="592" t="s">
        <v>1244</v>
      </c>
      <c r="C1164" s="700" t="s">
        <v>298</v>
      </c>
      <c r="D1164" s="902">
        <f t="shared" si="146"/>
        <v>20120.189655172413</v>
      </c>
      <c r="E1164" s="593">
        <v>3590.68</v>
      </c>
      <c r="F1164" s="582" t="s">
        <v>218</v>
      </c>
      <c r="G1164" s="786">
        <v>2887</v>
      </c>
      <c r="H1164" s="593">
        <v>5</v>
      </c>
      <c r="I1164" s="593">
        <v>11</v>
      </c>
      <c r="J1164" s="593">
        <v>147</v>
      </c>
      <c r="K1164" s="903" t="s">
        <v>33</v>
      </c>
      <c r="L1164" s="746">
        <f t="shared" si="147"/>
        <v>5572339.5700000003</v>
      </c>
      <c r="M1164" s="585">
        <v>5552519.1699999999</v>
      </c>
      <c r="N1164" s="586"/>
      <c r="O1164" s="587">
        <v>19820.400000000001</v>
      </c>
      <c r="P1164" s="586"/>
      <c r="Q1164" s="586"/>
      <c r="R1164" s="582">
        <f>M1164/G1164</f>
        <v>1923.283397990994</v>
      </c>
      <c r="S1164" s="564">
        <f t="shared" si="148"/>
        <v>3.7107383832335472E-10</v>
      </c>
      <c r="T1164" s="586"/>
      <c r="U1164" s="589"/>
      <c r="V1164" s="589"/>
      <c r="W1164" s="592"/>
      <c r="X1164" s="592"/>
      <c r="Y1164" s="592"/>
      <c r="Z1164" s="592"/>
    </row>
    <row r="1165" spans="1:26" s="28" customFormat="1" ht="37.5" hidden="1">
      <c r="A1165" s="580">
        <f t="shared" si="149"/>
        <v>22</v>
      </c>
      <c r="B1165" s="592" t="s">
        <v>1245</v>
      </c>
      <c r="C1165" s="700" t="s">
        <v>298</v>
      </c>
      <c r="D1165" s="902">
        <f t="shared" si="146"/>
        <v>6969.7931034482763</v>
      </c>
      <c r="E1165" s="593">
        <v>1243.8399999999999</v>
      </c>
      <c r="F1165" s="582" t="s">
        <v>218</v>
      </c>
      <c r="G1165" s="786">
        <v>627</v>
      </c>
      <c r="H1165" s="593">
        <v>3</v>
      </c>
      <c r="I1165" s="593">
        <v>2</v>
      </c>
      <c r="J1165" s="593">
        <v>25</v>
      </c>
      <c r="K1165" s="903" t="s">
        <v>33</v>
      </c>
      <c r="L1165" s="746">
        <f t="shared" si="147"/>
        <v>3676992.12</v>
      </c>
      <c r="M1165" s="585">
        <v>3637032.12</v>
      </c>
      <c r="N1165" s="586">
        <v>39960</v>
      </c>
      <c r="O1165" s="587"/>
      <c r="P1165" s="586"/>
      <c r="Q1165" s="586"/>
      <c r="R1165" s="582">
        <f>M1165/G1165</f>
        <v>5800.6891866028709</v>
      </c>
      <c r="S1165" s="564">
        <f t="shared" si="148"/>
        <v>0</v>
      </c>
      <c r="T1165" s="586"/>
      <c r="U1165" s="589"/>
      <c r="V1165" s="589"/>
      <c r="W1165" s="592"/>
      <c r="X1165" s="592"/>
      <c r="Y1165" s="592"/>
      <c r="Z1165" s="592"/>
    </row>
    <row r="1166" spans="1:26" s="28" customFormat="1" ht="37.5" hidden="1">
      <c r="A1166" s="580">
        <f t="shared" si="149"/>
        <v>23</v>
      </c>
      <c r="B1166" s="592" t="s">
        <v>1247</v>
      </c>
      <c r="C1166" s="700" t="s">
        <v>298</v>
      </c>
      <c r="D1166" s="902">
        <f t="shared" si="146"/>
        <v>25304.051724137935</v>
      </c>
      <c r="E1166" s="593">
        <v>4515.8</v>
      </c>
      <c r="F1166" s="582" t="s">
        <v>218</v>
      </c>
      <c r="G1166" s="786">
        <v>2118</v>
      </c>
      <c r="H1166" s="593">
        <v>5</v>
      </c>
      <c r="I1166" s="593">
        <v>9</v>
      </c>
      <c r="J1166" s="593">
        <v>134</v>
      </c>
      <c r="K1166" s="903" t="s">
        <v>33</v>
      </c>
      <c r="L1166" s="746">
        <f t="shared" si="147"/>
        <v>4881069.5299999993</v>
      </c>
      <c r="M1166" s="585">
        <v>4866528.5999999996</v>
      </c>
      <c r="N1166" s="586"/>
      <c r="O1166" s="587">
        <v>14540.93</v>
      </c>
      <c r="P1166" s="586"/>
      <c r="Q1166" s="586"/>
      <c r="R1166" s="582">
        <f>M1166/G1166</f>
        <v>2297.6999999999998</v>
      </c>
      <c r="S1166" s="564">
        <f t="shared" si="148"/>
        <v>-2.9831426218152046E-10</v>
      </c>
      <c r="T1166" s="586"/>
      <c r="U1166" s="589"/>
      <c r="V1166" s="589"/>
      <c r="W1166" s="592"/>
      <c r="X1166" s="592"/>
      <c r="Y1166" s="592"/>
      <c r="Z1166" s="592"/>
    </row>
    <row r="1167" spans="1:26" s="28" customFormat="1" ht="37.5" hidden="1">
      <c r="A1167" s="580">
        <f t="shared" si="149"/>
        <v>24</v>
      </c>
      <c r="B1167" s="592" t="s">
        <v>1248</v>
      </c>
      <c r="C1167" s="700" t="s">
        <v>298</v>
      </c>
      <c r="D1167" s="902">
        <f t="shared" si="146"/>
        <v>7844.8275862068967</v>
      </c>
      <c r="E1167" s="593">
        <v>1400</v>
      </c>
      <c r="F1167" s="582" t="s">
        <v>251</v>
      </c>
      <c r="G1167" s="786">
        <v>562</v>
      </c>
      <c r="H1167" s="593">
        <v>4</v>
      </c>
      <c r="I1167" s="593">
        <v>2</v>
      </c>
      <c r="J1167" s="593">
        <v>24</v>
      </c>
      <c r="K1167" s="903" t="s">
        <v>381</v>
      </c>
      <c r="L1167" s="746">
        <f t="shared" si="147"/>
        <v>480952.8</v>
      </c>
      <c r="M1167" s="585">
        <v>479520</v>
      </c>
      <c r="N1167" s="586"/>
      <c r="O1167" s="587">
        <v>1432.8</v>
      </c>
      <c r="P1167" s="586"/>
      <c r="Q1167" s="586"/>
      <c r="R1167" s="582">
        <f>M1167/J1167</f>
        <v>19980</v>
      </c>
      <c r="S1167" s="564">
        <f t="shared" si="148"/>
        <v>-1.1596057447604835E-11</v>
      </c>
      <c r="T1167" s="586"/>
      <c r="U1167" s="589"/>
      <c r="V1167" s="589"/>
      <c r="W1167" s="592"/>
      <c r="X1167" s="592"/>
      <c r="Y1167" s="592"/>
      <c r="Z1167" s="592"/>
    </row>
    <row r="1168" spans="1:26" s="28" customFormat="1" ht="37.5" hidden="1">
      <c r="A1168" s="580">
        <f t="shared" si="149"/>
        <v>25</v>
      </c>
      <c r="B1168" s="592" t="s">
        <v>1249</v>
      </c>
      <c r="C1168" s="700" t="s">
        <v>298</v>
      </c>
      <c r="D1168" s="902">
        <f t="shared" si="146"/>
        <v>12943.96551724138</v>
      </c>
      <c r="E1168" s="593">
        <v>2310</v>
      </c>
      <c r="F1168" s="582" t="s">
        <v>251</v>
      </c>
      <c r="G1168" s="786">
        <v>1256.9000000000001</v>
      </c>
      <c r="H1168" s="593">
        <v>4</v>
      </c>
      <c r="I1168" s="593">
        <v>4</v>
      </c>
      <c r="J1168" s="593">
        <v>48</v>
      </c>
      <c r="K1168" s="903" t="s">
        <v>381</v>
      </c>
      <c r="L1168" s="746">
        <f t="shared" si="147"/>
        <v>961905.6</v>
      </c>
      <c r="M1168" s="585">
        <v>959040</v>
      </c>
      <c r="N1168" s="586"/>
      <c r="O1168" s="587">
        <v>2865.6</v>
      </c>
      <c r="P1168" s="586"/>
      <c r="Q1168" s="586"/>
      <c r="R1168" s="582">
        <f>M1168/J1168</f>
        <v>19980</v>
      </c>
      <c r="S1168" s="564">
        <f t="shared" si="148"/>
        <v>-2.319211489520967E-11</v>
      </c>
      <c r="T1168" s="586"/>
      <c r="U1168" s="589"/>
      <c r="V1168" s="589"/>
      <c r="W1168" s="592"/>
      <c r="X1168" s="592"/>
      <c r="Y1168" s="592"/>
      <c r="Z1168" s="592"/>
    </row>
    <row r="1169" spans="1:26" s="28" customFormat="1" ht="37.5" hidden="1">
      <c r="A1169" s="580">
        <f t="shared" si="149"/>
        <v>26</v>
      </c>
      <c r="B1169" s="592" t="s">
        <v>1250</v>
      </c>
      <c r="C1169" s="700" t="s">
        <v>298</v>
      </c>
      <c r="D1169" s="902">
        <f t="shared" si="146"/>
        <v>6443.9655172413795</v>
      </c>
      <c r="E1169" s="593">
        <v>1150</v>
      </c>
      <c r="F1169" s="582" t="s">
        <v>251</v>
      </c>
      <c r="G1169" s="786">
        <v>612</v>
      </c>
      <c r="H1169" s="593">
        <v>4</v>
      </c>
      <c r="I1169" s="593">
        <v>2</v>
      </c>
      <c r="J1169" s="593">
        <v>24</v>
      </c>
      <c r="K1169" s="903" t="s">
        <v>33</v>
      </c>
      <c r="L1169" s="746">
        <f t="shared" si="147"/>
        <v>1773786.5</v>
      </c>
      <c r="M1169" s="585">
        <v>1735479</v>
      </c>
      <c r="N1169" s="586">
        <v>38307.5</v>
      </c>
      <c r="O1169" s="587"/>
      <c r="P1169" s="586"/>
      <c r="Q1169" s="586"/>
      <c r="R1169" s="582">
        <f>M1169/G1169</f>
        <v>2835.75</v>
      </c>
      <c r="S1169" s="564">
        <f t="shared" si="148"/>
        <v>0</v>
      </c>
      <c r="T1169" s="586"/>
      <c r="U1169" s="589"/>
      <c r="V1169" s="589"/>
      <c r="W1169" s="592"/>
      <c r="X1169" s="592"/>
      <c r="Y1169" s="592"/>
      <c r="Z1169" s="592"/>
    </row>
    <row r="1170" spans="1:26" s="28" customFormat="1" ht="37.5" hidden="1">
      <c r="A1170" s="580">
        <f t="shared" si="149"/>
        <v>27</v>
      </c>
      <c r="B1170" s="592" t="s">
        <v>1251</v>
      </c>
      <c r="C1170" s="700" t="s">
        <v>298</v>
      </c>
      <c r="D1170" s="902">
        <f t="shared" si="146"/>
        <v>10573.706896551725</v>
      </c>
      <c r="E1170" s="593">
        <v>1887</v>
      </c>
      <c r="F1170" s="582" t="s">
        <v>218</v>
      </c>
      <c r="G1170" s="786">
        <v>717</v>
      </c>
      <c r="H1170" s="593">
        <v>5</v>
      </c>
      <c r="I1170" s="593">
        <v>3</v>
      </c>
      <c r="J1170" s="593">
        <v>45</v>
      </c>
      <c r="K1170" s="903" t="s">
        <v>33</v>
      </c>
      <c r="L1170" s="746">
        <f t="shared" si="147"/>
        <v>1610106.01</v>
      </c>
      <c r="M1170" s="585">
        <v>1605183.75</v>
      </c>
      <c r="N1170" s="586"/>
      <c r="O1170" s="587">
        <v>4922.26</v>
      </c>
      <c r="P1170" s="586"/>
      <c r="Q1170" s="586"/>
      <c r="R1170" s="582">
        <f>M1170/G1170</f>
        <v>2238.75</v>
      </c>
      <c r="S1170" s="564">
        <f t="shared" si="148"/>
        <v>9.0949470177292824E-12</v>
      </c>
      <c r="T1170" s="586"/>
      <c r="U1170" s="589"/>
      <c r="V1170" s="589"/>
      <c r="W1170" s="592"/>
      <c r="X1170" s="592"/>
      <c r="Y1170" s="592"/>
      <c r="Z1170" s="592"/>
    </row>
    <row r="1171" spans="1:26" s="28" customFormat="1" ht="37.5" hidden="1">
      <c r="A1171" s="580">
        <f t="shared" si="149"/>
        <v>28</v>
      </c>
      <c r="B1171" s="592" t="s">
        <v>1252</v>
      </c>
      <c r="C1171" s="700" t="s">
        <v>298</v>
      </c>
      <c r="D1171" s="902">
        <f t="shared" si="146"/>
        <v>10573.706896551725</v>
      </c>
      <c r="E1171" s="593">
        <v>1887</v>
      </c>
      <c r="F1171" s="582" t="s">
        <v>218</v>
      </c>
      <c r="G1171" s="786">
        <v>717</v>
      </c>
      <c r="H1171" s="593">
        <v>5</v>
      </c>
      <c r="I1171" s="593">
        <v>3</v>
      </c>
      <c r="J1171" s="593">
        <v>45</v>
      </c>
      <c r="K1171" s="903" t="s">
        <v>33</v>
      </c>
      <c r="L1171" s="746">
        <f t="shared" si="147"/>
        <v>1610106.01</v>
      </c>
      <c r="M1171" s="585">
        <v>1605183.75</v>
      </c>
      <c r="N1171" s="586"/>
      <c r="O1171" s="587">
        <v>4922.26</v>
      </c>
      <c r="P1171" s="586"/>
      <c r="Q1171" s="586"/>
      <c r="R1171" s="582">
        <f>M1171/G1171</f>
        <v>2238.75</v>
      </c>
      <c r="S1171" s="564">
        <f t="shared" si="148"/>
        <v>9.0949470177292824E-12</v>
      </c>
      <c r="T1171" s="586"/>
      <c r="U1171" s="589"/>
      <c r="V1171" s="589"/>
      <c r="W1171" s="592"/>
      <c r="X1171" s="592"/>
      <c r="Y1171" s="592"/>
      <c r="Z1171" s="592"/>
    </row>
    <row r="1172" spans="1:26" s="28" customFormat="1" ht="37.5" hidden="1">
      <c r="A1172" s="580">
        <f t="shared" si="149"/>
        <v>29</v>
      </c>
      <c r="B1172" s="592" t="s">
        <v>1253</v>
      </c>
      <c r="C1172" s="700" t="s">
        <v>298</v>
      </c>
      <c r="D1172" s="902">
        <f t="shared" si="146"/>
        <v>16306.034482758621</v>
      </c>
      <c r="E1172" s="593">
        <v>2910</v>
      </c>
      <c r="F1172" s="582" t="s">
        <v>218</v>
      </c>
      <c r="G1172" s="786">
        <v>938</v>
      </c>
      <c r="H1172" s="593">
        <v>5</v>
      </c>
      <c r="I1172" s="593">
        <v>4</v>
      </c>
      <c r="J1172" s="593">
        <v>56</v>
      </c>
      <c r="K1172" s="903" t="s">
        <v>33</v>
      </c>
      <c r="L1172" s="746">
        <f t="shared" si="147"/>
        <v>1665893.82</v>
      </c>
      <c r="M1172" s="882">
        <f>1510488+150892.5</f>
        <v>1661380.5</v>
      </c>
      <c r="N1172" s="586"/>
      <c r="O1172" s="587">
        <v>4513.32</v>
      </c>
      <c r="P1172" s="586"/>
      <c r="Q1172" s="586"/>
      <c r="R1172" s="582">
        <f>M1172/J1172</f>
        <v>29667.508928571428</v>
      </c>
      <c r="S1172" s="564">
        <f t="shared" si="148"/>
        <v>6.5483618527650833E-11</v>
      </c>
      <c r="T1172" s="586"/>
      <c r="U1172" s="589"/>
      <c r="V1172" s="589"/>
      <c r="W1172" s="592"/>
      <c r="X1172" s="592"/>
      <c r="Y1172" s="592"/>
      <c r="Z1172" s="592"/>
    </row>
    <row r="1173" spans="1:26" s="28" customFormat="1" ht="37.5" hidden="1">
      <c r="A1173" s="580">
        <f t="shared" si="149"/>
        <v>30</v>
      </c>
      <c r="B1173" s="592" t="s">
        <v>1254</v>
      </c>
      <c r="C1173" s="700" t="s">
        <v>298</v>
      </c>
      <c r="D1173" s="902">
        <f t="shared" si="146"/>
        <v>13224.137931034484</v>
      </c>
      <c r="E1173" s="593">
        <v>2360</v>
      </c>
      <c r="F1173" s="582" t="s">
        <v>218</v>
      </c>
      <c r="G1173" s="786">
        <v>930</v>
      </c>
      <c r="H1173" s="593">
        <v>5</v>
      </c>
      <c r="I1173" s="593">
        <v>2</v>
      </c>
      <c r="J1173" s="593">
        <v>156</v>
      </c>
      <c r="K1173" s="903" t="s">
        <v>33</v>
      </c>
      <c r="L1173" s="746">
        <f t="shared" si="147"/>
        <v>2088422.42</v>
      </c>
      <c r="M1173" s="585">
        <v>2082037.5</v>
      </c>
      <c r="N1173" s="586"/>
      <c r="O1173" s="587">
        <v>6384.92</v>
      </c>
      <c r="P1173" s="586"/>
      <c r="Q1173" s="586"/>
      <c r="R1173" s="582">
        <f>M1173/G1173</f>
        <v>2238.75</v>
      </c>
      <c r="S1173" s="564">
        <f t="shared" si="148"/>
        <v>-7.4578565545380116E-11</v>
      </c>
      <c r="T1173" s="586"/>
      <c r="U1173" s="589"/>
      <c r="V1173" s="589"/>
      <c r="W1173" s="592"/>
      <c r="X1173" s="592"/>
      <c r="Y1173" s="592"/>
      <c r="Z1173" s="592"/>
    </row>
    <row r="1174" spans="1:26" s="28" customFormat="1" ht="37.5" hidden="1">
      <c r="A1174" s="580">
        <f t="shared" si="149"/>
        <v>31</v>
      </c>
      <c r="B1174" s="592" t="s">
        <v>1255</v>
      </c>
      <c r="C1174" s="700" t="s">
        <v>298</v>
      </c>
      <c r="D1174" s="902">
        <f t="shared" si="146"/>
        <v>13212.931034482759</v>
      </c>
      <c r="E1174" s="593">
        <v>2358</v>
      </c>
      <c r="F1174" s="582" t="s">
        <v>218</v>
      </c>
      <c r="G1174" s="786">
        <v>930</v>
      </c>
      <c r="H1174" s="593">
        <v>5</v>
      </c>
      <c r="I1174" s="593">
        <v>2</v>
      </c>
      <c r="J1174" s="593">
        <v>154</v>
      </c>
      <c r="K1174" s="903" t="s">
        <v>33</v>
      </c>
      <c r="L1174" s="746">
        <f t="shared" si="147"/>
        <v>2088422.42</v>
      </c>
      <c r="M1174" s="585">
        <v>2082037.5</v>
      </c>
      <c r="N1174" s="586"/>
      <c r="O1174" s="587">
        <v>6384.92</v>
      </c>
      <c r="P1174" s="586"/>
      <c r="Q1174" s="586"/>
      <c r="R1174" s="582">
        <f>M1174/G1174</f>
        <v>2238.75</v>
      </c>
      <c r="S1174" s="564">
        <f t="shared" si="148"/>
        <v>-7.4578565545380116E-11</v>
      </c>
      <c r="T1174" s="586"/>
      <c r="U1174" s="589"/>
      <c r="V1174" s="589"/>
      <c r="W1174" s="592"/>
      <c r="X1174" s="592"/>
      <c r="Y1174" s="592"/>
      <c r="Z1174" s="592"/>
    </row>
    <row r="1175" spans="1:26" s="28" customFormat="1" ht="37.5" hidden="1">
      <c r="A1175" s="580">
        <f t="shared" si="149"/>
        <v>32</v>
      </c>
      <c r="B1175" s="592" t="s">
        <v>1256</v>
      </c>
      <c r="C1175" s="700" t="s">
        <v>298</v>
      </c>
      <c r="D1175" s="902">
        <f t="shared" si="146"/>
        <v>16838.362068965518</v>
      </c>
      <c r="E1175" s="593">
        <v>3005</v>
      </c>
      <c r="F1175" s="582" t="s">
        <v>218</v>
      </c>
      <c r="G1175" s="786">
        <v>1376</v>
      </c>
      <c r="H1175" s="593">
        <v>5</v>
      </c>
      <c r="I1175" s="593">
        <v>6</v>
      </c>
      <c r="J1175" s="593">
        <v>116</v>
      </c>
      <c r="K1175" s="903" t="s">
        <v>33</v>
      </c>
      <c r="L1175" s="746">
        <f t="shared" si="147"/>
        <v>6088305.5999999996</v>
      </c>
      <c r="M1175" s="585">
        <v>6048345.5999999996</v>
      </c>
      <c r="N1175" s="586">
        <v>39960</v>
      </c>
      <c r="O1175" s="587"/>
      <c r="P1175" s="586"/>
      <c r="Q1175" s="586"/>
      <c r="R1175" s="582">
        <f>M1175/G1175</f>
        <v>4395.5999999999995</v>
      </c>
      <c r="S1175" s="564">
        <f t="shared" si="148"/>
        <v>0</v>
      </c>
      <c r="T1175" s="586"/>
      <c r="U1175" s="589"/>
      <c r="V1175" s="589"/>
      <c r="W1175" s="592"/>
      <c r="X1175" s="592"/>
      <c r="Y1175" s="592"/>
      <c r="Z1175" s="592"/>
    </row>
    <row r="1176" spans="1:26" s="28" customFormat="1" ht="37.5" hidden="1">
      <c r="A1176" s="580">
        <f t="shared" si="149"/>
        <v>33</v>
      </c>
      <c r="B1176" s="592" t="s">
        <v>1257</v>
      </c>
      <c r="C1176" s="700" t="s">
        <v>298</v>
      </c>
      <c r="D1176" s="902">
        <f t="shared" si="146"/>
        <v>12450.862068965518</v>
      </c>
      <c r="E1176" s="593">
        <v>2222</v>
      </c>
      <c r="F1176" s="582" t="s">
        <v>218</v>
      </c>
      <c r="G1176" s="786">
        <v>1640</v>
      </c>
      <c r="H1176" s="593">
        <v>5</v>
      </c>
      <c r="I1176" s="593">
        <v>7</v>
      </c>
      <c r="J1176" s="593">
        <v>105</v>
      </c>
      <c r="K1176" s="903" t="s">
        <v>33</v>
      </c>
      <c r="L1176" s="746">
        <f t="shared" ref="L1176:L1205" si="150">M1176+N1176+O1176+P1176+Q1176</f>
        <v>3188681.76</v>
      </c>
      <c r="M1176" s="585">
        <v>3177422.34</v>
      </c>
      <c r="N1176" s="586"/>
      <c r="O1176" s="587">
        <v>11259.42</v>
      </c>
      <c r="P1176" s="586"/>
      <c r="Q1176" s="586"/>
      <c r="R1176" s="582">
        <f>M1176/G1176</f>
        <v>1937.4526463414634</v>
      </c>
      <c r="S1176" s="564">
        <f t="shared" ref="S1176:S1207" si="151">L1176-M1176-N1176-O1176-P1176-Q1176</f>
        <v>-7.4578565545380116E-11</v>
      </c>
      <c r="T1176" s="586"/>
      <c r="U1176" s="589"/>
      <c r="V1176" s="589"/>
      <c r="W1176" s="592"/>
      <c r="X1176" s="592"/>
      <c r="Y1176" s="592"/>
      <c r="Z1176" s="592"/>
    </row>
    <row r="1177" spans="1:26" s="28" customFormat="1" ht="37.5" hidden="1">
      <c r="A1177" s="580">
        <f t="shared" si="149"/>
        <v>34</v>
      </c>
      <c r="B1177" s="592" t="s">
        <v>1258</v>
      </c>
      <c r="C1177" s="700" t="s">
        <v>298</v>
      </c>
      <c r="D1177" s="902">
        <f t="shared" si="146"/>
        <v>18995.689655172413</v>
      </c>
      <c r="E1177" s="888">
        <f>(100+13)*2*15</f>
        <v>3390</v>
      </c>
      <c r="F1177" s="582" t="s">
        <v>218</v>
      </c>
      <c r="G1177" s="786">
        <v>1902</v>
      </c>
      <c r="H1177" s="593">
        <v>5</v>
      </c>
      <c r="I1177" s="593">
        <v>6</v>
      </c>
      <c r="J1177" s="593">
        <v>90</v>
      </c>
      <c r="K1177" s="903" t="s">
        <v>226</v>
      </c>
      <c r="L1177" s="746">
        <f t="shared" si="150"/>
        <v>7822038</v>
      </c>
      <c r="M1177" s="585">
        <v>7789203</v>
      </c>
      <c r="N1177" s="586">
        <v>32835</v>
      </c>
      <c r="O1177" s="587"/>
      <c r="P1177" s="586"/>
      <c r="Q1177" s="586"/>
      <c r="R1177" s="599">
        <f>M1177/E1177</f>
        <v>2297.6999999999998</v>
      </c>
      <c r="S1177" s="564">
        <f t="shared" si="151"/>
        <v>0</v>
      </c>
      <c r="T1177" s="586"/>
      <c r="U1177" s="589"/>
      <c r="V1177" s="589"/>
      <c r="W1177" s="592"/>
      <c r="X1177" s="592"/>
      <c r="Y1177" s="592"/>
      <c r="Z1177" s="592"/>
    </row>
    <row r="1178" spans="1:26" s="28" customFormat="1" ht="37.5" hidden="1">
      <c r="A1178" s="580">
        <f t="shared" si="149"/>
        <v>35</v>
      </c>
      <c r="B1178" s="592" t="s">
        <v>1259</v>
      </c>
      <c r="C1178" s="700" t="s">
        <v>298</v>
      </c>
      <c r="D1178" s="902">
        <f t="shared" si="146"/>
        <v>18995.689655172413</v>
      </c>
      <c r="E1178" s="888">
        <f>(100+13)*2*15</f>
        <v>3390</v>
      </c>
      <c r="F1178" s="582" t="s">
        <v>218</v>
      </c>
      <c r="G1178" s="786">
        <v>1902</v>
      </c>
      <c r="H1178" s="593">
        <v>5</v>
      </c>
      <c r="I1178" s="593">
        <v>6</v>
      </c>
      <c r="J1178" s="593">
        <v>89</v>
      </c>
      <c r="K1178" s="903" t="s">
        <v>226</v>
      </c>
      <c r="L1178" s="746">
        <f t="shared" si="150"/>
        <v>7822038</v>
      </c>
      <c r="M1178" s="585">
        <v>7789203</v>
      </c>
      <c r="N1178" s="586">
        <v>32835</v>
      </c>
      <c r="O1178" s="587"/>
      <c r="P1178" s="586"/>
      <c r="Q1178" s="586"/>
      <c r="R1178" s="599">
        <f>M1178/E1178</f>
        <v>2297.6999999999998</v>
      </c>
      <c r="S1178" s="564">
        <f t="shared" si="151"/>
        <v>0</v>
      </c>
      <c r="T1178" s="586"/>
      <c r="U1178" s="589"/>
      <c r="V1178" s="589"/>
      <c r="W1178" s="592"/>
      <c r="X1178" s="592"/>
      <c r="Y1178" s="592"/>
      <c r="Z1178" s="592"/>
    </row>
    <row r="1179" spans="1:26" s="28" customFormat="1" ht="37.5" hidden="1">
      <c r="A1179" s="580">
        <f t="shared" si="149"/>
        <v>36</v>
      </c>
      <c r="B1179" s="592" t="s">
        <v>1260</v>
      </c>
      <c r="C1179" s="700" t="s">
        <v>298</v>
      </c>
      <c r="D1179" s="902">
        <f t="shared" si="146"/>
        <v>21780.603448275866</v>
      </c>
      <c r="E1179" s="593">
        <v>3887</v>
      </c>
      <c r="F1179" s="582" t="s">
        <v>218</v>
      </c>
      <c r="G1179" s="786">
        <v>1580</v>
      </c>
      <c r="H1179" s="593">
        <v>5</v>
      </c>
      <c r="I1179" s="593">
        <v>7</v>
      </c>
      <c r="J1179" s="593">
        <v>105</v>
      </c>
      <c r="K1179" s="903" t="s">
        <v>30</v>
      </c>
      <c r="L1179" s="746">
        <f t="shared" si="150"/>
        <v>2840627.47</v>
      </c>
      <c r="M1179" s="882">
        <v>2832165</v>
      </c>
      <c r="N1179" s="586"/>
      <c r="O1179" s="587">
        <v>8462.4699999999993</v>
      </c>
      <c r="P1179" s="586"/>
      <c r="Q1179" s="586"/>
      <c r="R1179" s="582">
        <f>M1179/J1179</f>
        <v>26973</v>
      </c>
      <c r="S1179" s="564">
        <f t="shared" si="151"/>
        <v>2.0554580260068178E-10</v>
      </c>
      <c r="T1179" s="586"/>
      <c r="U1179" s="589"/>
      <c r="V1179" s="589"/>
      <c r="W1179" s="592"/>
      <c r="X1179" s="592"/>
      <c r="Y1179" s="592"/>
      <c r="Z1179" s="592"/>
    </row>
    <row r="1180" spans="1:26" s="28" customFormat="1" ht="37.5" hidden="1">
      <c r="A1180" s="580">
        <f t="shared" si="149"/>
        <v>37</v>
      </c>
      <c r="B1180" s="592" t="s">
        <v>1261</v>
      </c>
      <c r="C1180" s="700" t="s">
        <v>298</v>
      </c>
      <c r="D1180" s="902">
        <f t="shared" si="146"/>
        <v>21780.603448275866</v>
      </c>
      <c r="E1180" s="593">
        <v>3887</v>
      </c>
      <c r="F1180" s="582" t="s">
        <v>218</v>
      </c>
      <c r="G1180" s="786">
        <v>1580</v>
      </c>
      <c r="H1180" s="593">
        <v>5</v>
      </c>
      <c r="I1180" s="593">
        <v>7</v>
      </c>
      <c r="J1180" s="593">
        <v>105</v>
      </c>
      <c r="K1180" s="903" t="s">
        <v>30</v>
      </c>
      <c r="L1180" s="746">
        <f t="shared" si="150"/>
        <v>2840627.47</v>
      </c>
      <c r="M1180" s="882">
        <v>2832165</v>
      </c>
      <c r="N1180" s="586"/>
      <c r="O1180" s="587">
        <v>8462.4699999999993</v>
      </c>
      <c r="P1180" s="586"/>
      <c r="Q1180" s="586"/>
      <c r="R1180" s="582">
        <f>M1180/J1180</f>
        <v>26973</v>
      </c>
      <c r="S1180" s="564">
        <f t="shared" si="151"/>
        <v>2.0554580260068178E-10</v>
      </c>
      <c r="T1180" s="586"/>
      <c r="U1180" s="589"/>
      <c r="V1180" s="589"/>
      <c r="W1180" s="592"/>
      <c r="X1180" s="592"/>
      <c r="Y1180" s="592"/>
      <c r="Z1180" s="592"/>
    </row>
    <row r="1181" spans="1:26" s="28" customFormat="1" ht="37.5" hidden="1">
      <c r="A1181" s="580">
        <f t="shared" si="149"/>
        <v>38</v>
      </c>
      <c r="B1181" s="592" t="s">
        <v>1262</v>
      </c>
      <c r="C1181" s="700" t="s">
        <v>298</v>
      </c>
      <c r="D1181" s="902">
        <f t="shared" si="146"/>
        <v>6443.9655172413795</v>
      </c>
      <c r="E1181" s="593">
        <v>1150</v>
      </c>
      <c r="F1181" s="582" t="s">
        <v>218</v>
      </c>
      <c r="G1181" s="786">
        <v>609</v>
      </c>
      <c r="H1181" s="593">
        <v>3</v>
      </c>
      <c r="I1181" s="593">
        <v>2</v>
      </c>
      <c r="J1181" s="593">
        <v>24</v>
      </c>
      <c r="K1181" s="903" t="s">
        <v>33</v>
      </c>
      <c r="L1181" s="746">
        <f t="shared" si="150"/>
        <v>1397877.49</v>
      </c>
      <c r="M1181" s="585">
        <v>1393696.5</v>
      </c>
      <c r="N1181" s="586"/>
      <c r="O1181" s="587">
        <v>4180.99</v>
      </c>
      <c r="P1181" s="586"/>
      <c r="Q1181" s="586"/>
      <c r="R1181" s="582">
        <f t="shared" ref="R1181:R1205" si="152">M1181/G1181</f>
        <v>2288.5</v>
      </c>
      <c r="S1181" s="564">
        <f t="shared" si="151"/>
        <v>-9.0949470177292824E-12</v>
      </c>
      <c r="T1181" s="586"/>
      <c r="U1181" s="589"/>
      <c r="V1181" s="589"/>
      <c r="W1181" s="592"/>
      <c r="X1181" s="592"/>
      <c r="Y1181" s="592"/>
      <c r="Z1181" s="592"/>
    </row>
    <row r="1182" spans="1:26" s="28" customFormat="1" ht="37.5" hidden="1">
      <c r="A1182" s="580">
        <f t="shared" si="149"/>
        <v>39</v>
      </c>
      <c r="B1182" s="592" t="s">
        <v>1263</v>
      </c>
      <c r="C1182" s="700" t="s">
        <v>298</v>
      </c>
      <c r="D1182" s="902">
        <v>18547</v>
      </c>
      <c r="E1182" s="593">
        <v>3310</v>
      </c>
      <c r="F1182" s="582" t="s">
        <v>218</v>
      </c>
      <c r="G1182" s="786">
        <v>1414</v>
      </c>
      <c r="H1182" s="593">
        <v>5</v>
      </c>
      <c r="I1182" s="593">
        <v>7</v>
      </c>
      <c r="J1182" s="593">
        <v>95</v>
      </c>
      <c r="K1182" s="903" t="s">
        <v>33</v>
      </c>
      <c r="L1182" s="746">
        <f t="shared" si="150"/>
        <v>3258656.01</v>
      </c>
      <c r="M1182" s="585">
        <v>3248947.8</v>
      </c>
      <c r="N1182" s="586"/>
      <c r="O1182" s="587">
        <v>9708.2099999999991</v>
      </c>
      <c r="P1182" s="586"/>
      <c r="Q1182" s="586"/>
      <c r="R1182" s="582">
        <f t="shared" si="152"/>
        <v>2297.6999999999998</v>
      </c>
      <c r="S1182" s="564">
        <f t="shared" si="151"/>
        <v>-3.637978807091713E-11</v>
      </c>
      <c r="T1182" s="586"/>
      <c r="U1182" s="589"/>
      <c r="V1182" s="589"/>
      <c r="W1182" s="592"/>
      <c r="X1182" s="592"/>
      <c r="Y1182" s="592"/>
      <c r="Z1182" s="592"/>
    </row>
    <row r="1183" spans="1:26" s="28" customFormat="1" ht="37.5" hidden="1">
      <c r="A1183" s="580">
        <f t="shared" si="149"/>
        <v>40</v>
      </c>
      <c r="B1183" s="592" t="s">
        <v>1264</v>
      </c>
      <c r="C1183" s="700" t="s">
        <v>298</v>
      </c>
      <c r="D1183" s="902">
        <f t="shared" ref="D1183:D1208" si="153">E1183/1.16/2*13</f>
        <v>7368.5344827586214</v>
      </c>
      <c r="E1183" s="904">
        <v>1315</v>
      </c>
      <c r="F1183" s="582" t="s">
        <v>218</v>
      </c>
      <c r="G1183" s="786">
        <v>466</v>
      </c>
      <c r="H1183" s="593">
        <v>5</v>
      </c>
      <c r="I1183" s="593">
        <v>1</v>
      </c>
      <c r="J1183" s="593">
        <v>20</v>
      </c>
      <c r="K1183" s="903" t="s">
        <v>33</v>
      </c>
      <c r="L1183" s="746">
        <f t="shared" si="150"/>
        <v>1073927.1199999999</v>
      </c>
      <c r="M1183" s="882">
        <v>1070728.2</v>
      </c>
      <c r="N1183" s="586"/>
      <c r="O1183" s="587">
        <v>3198.92</v>
      </c>
      <c r="P1183" s="586"/>
      <c r="Q1183" s="586"/>
      <c r="R1183" s="582">
        <f t="shared" si="152"/>
        <v>2297.6999999999998</v>
      </c>
      <c r="S1183" s="564">
        <f t="shared" si="151"/>
        <v>-7.4578565545380116E-11</v>
      </c>
      <c r="T1183" s="586"/>
      <c r="U1183" s="589"/>
      <c r="V1183" s="589"/>
      <c r="W1183" s="592"/>
      <c r="X1183" s="592"/>
      <c r="Y1183" s="592"/>
      <c r="Z1183" s="592"/>
    </row>
    <row r="1184" spans="1:26" s="28" customFormat="1" ht="37.5" hidden="1">
      <c r="A1184" s="580">
        <f t="shared" si="149"/>
        <v>41</v>
      </c>
      <c r="B1184" s="592" t="s">
        <v>1265</v>
      </c>
      <c r="C1184" s="593" t="s">
        <v>298</v>
      </c>
      <c r="D1184" s="905">
        <f t="shared" si="153"/>
        <v>7850.43103448276</v>
      </c>
      <c r="E1184" s="602">
        <v>1401</v>
      </c>
      <c r="F1184" s="593" t="s">
        <v>218</v>
      </c>
      <c r="G1184" s="602">
        <v>355</v>
      </c>
      <c r="H1184" s="602">
        <v>5</v>
      </c>
      <c r="I1184" s="602">
        <v>2</v>
      </c>
      <c r="J1184" s="602">
        <v>30</v>
      </c>
      <c r="K1184" s="772" t="s">
        <v>33</v>
      </c>
      <c r="L1184" s="746">
        <f t="shared" si="150"/>
        <v>900497.83</v>
      </c>
      <c r="M1184" s="882">
        <f>816418.35+81641.73</f>
        <v>898060.08</v>
      </c>
      <c r="N1184" s="586"/>
      <c r="O1184" s="587">
        <v>2437.75</v>
      </c>
      <c r="P1184" s="586"/>
      <c r="Q1184" s="586"/>
      <c r="R1184" s="582">
        <f t="shared" si="152"/>
        <v>2529.746704225352</v>
      </c>
      <c r="S1184" s="564">
        <f t="shared" si="151"/>
        <v>0</v>
      </c>
      <c r="T1184" s="586"/>
      <c r="U1184" s="589"/>
      <c r="V1184" s="589"/>
      <c r="W1184" s="592"/>
      <c r="X1184" s="592"/>
      <c r="Y1184" s="592"/>
      <c r="Z1184" s="592"/>
    </row>
    <row r="1185" spans="1:26" s="28" customFormat="1" ht="37.5" hidden="1">
      <c r="A1185" s="580">
        <f t="shared" si="149"/>
        <v>42</v>
      </c>
      <c r="B1185" s="592" t="s">
        <v>1266</v>
      </c>
      <c r="C1185" s="593" t="s">
        <v>298</v>
      </c>
      <c r="D1185" s="905">
        <f t="shared" si="153"/>
        <v>12983.189655172415</v>
      </c>
      <c r="E1185" s="602">
        <v>2317</v>
      </c>
      <c r="F1185" s="593" t="s">
        <v>218</v>
      </c>
      <c r="G1185" s="602">
        <v>2100</v>
      </c>
      <c r="H1185" s="602">
        <v>5</v>
      </c>
      <c r="I1185" s="602">
        <v>8</v>
      </c>
      <c r="J1185" s="602">
        <v>110</v>
      </c>
      <c r="K1185" s="772" t="s">
        <v>33</v>
      </c>
      <c r="L1185" s="746">
        <f t="shared" si="150"/>
        <v>3019579</v>
      </c>
      <c r="M1185" s="882">
        <v>3005161.45</v>
      </c>
      <c r="N1185" s="586"/>
      <c r="O1185" s="587">
        <v>14417.55</v>
      </c>
      <c r="P1185" s="586"/>
      <c r="Q1185" s="586"/>
      <c r="R1185" s="582">
        <f t="shared" si="152"/>
        <v>1431.0292619047621</v>
      </c>
      <c r="S1185" s="564">
        <f t="shared" si="151"/>
        <v>-1.8553691916167736E-10</v>
      </c>
      <c r="T1185" s="586"/>
      <c r="U1185" s="589"/>
      <c r="V1185" s="589"/>
      <c r="W1185" s="592"/>
      <c r="X1185" s="592"/>
      <c r="Y1185" s="592"/>
      <c r="Z1185" s="592"/>
    </row>
    <row r="1186" spans="1:26" s="28" customFormat="1" ht="37.5" hidden="1">
      <c r="A1186" s="580">
        <f t="shared" si="149"/>
        <v>43</v>
      </c>
      <c r="B1186" s="592" t="s">
        <v>1267</v>
      </c>
      <c r="C1186" s="593" t="s">
        <v>298</v>
      </c>
      <c r="D1186" s="905">
        <f t="shared" si="153"/>
        <v>7222.8448275862074</v>
      </c>
      <c r="E1186" s="602">
        <v>1289</v>
      </c>
      <c r="F1186" s="593" t="s">
        <v>218</v>
      </c>
      <c r="G1186" s="602">
        <v>655</v>
      </c>
      <c r="H1186" s="602">
        <v>5</v>
      </c>
      <c r="I1186" s="602">
        <v>2</v>
      </c>
      <c r="J1186" s="602">
        <v>58</v>
      </c>
      <c r="K1186" s="772" t="s">
        <v>33</v>
      </c>
      <c r="L1186" s="746">
        <f t="shared" si="150"/>
        <v>1509490.9</v>
      </c>
      <c r="M1186" s="882">
        <v>1504993.5</v>
      </c>
      <c r="N1186" s="586"/>
      <c r="O1186" s="587">
        <v>4497.3999999999996</v>
      </c>
      <c r="P1186" s="586"/>
      <c r="Q1186" s="586"/>
      <c r="R1186" s="582">
        <f t="shared" si="152"/>
        <v>2297.6999999999998</v>
      </c>
      <c r="S1186" s="564">
        <f t="shared" si="151"/>
        <v>-9.276845958083868E-11</v>
      </c>
      <c r="T1186" s="586"/>
      <c r="U1186" s="589"/>
      <c r="V1186" s="589"/>
      <c r="W1186" s="592"/>
      <c r="X1186" s="592"/>
      <c r="Y1186" s="592"/>
      <c r="Z1186" s="592"/>
    </row>
    <row r="1187" spans="1:26" s="28" customFormat="1" ht="37.5" hidden="1">
      <c r="A1187" s="580">
        <f t="shared" si="149"/>
        <v>44</v>
      </c>
      <c r="B1187" s="592" t="s">
        <v>1268</v>
      </c>
      <c r="C1187" s="593" t="s">
        <v>298</v>
      </c>
      <c r="D1187" s="905">
        <f t="shared" si="153"/>
        <v>21595.689655172413</v>
      </c>
      <c r="E1187" s="602">
        <v>3854</v>
      </c>
      <c r="F1187" s="593" t="s">
        <v>218</v>
      </c>
      <c r="G1187" s="602">
        <v>1470</v>
      </c>
      <c r="H1187" s="602">
        <v>5</v>
      </c>
      <c r="I1187" s="602">
        <v>6</v>
      </c>
      <c r="J1187" s="602">
        <v>94</v>
      </c>
      <c r="K1187" s="772" t="s">
        <v>33</v>
      </c>
      <c r="L1187" s="746">
        <f t="shared" si="150"/>
        <v>3257268.81</v>
      </c>
      <c r="M1187" s="882">
        <v>3247176.5300000003</v>
      </c>
      <c r="N1187" s="586"/>
      <c r="O1187" s="587">
        <v>10092.280000000001</v>
      </c>
      <c r="P1187" s="586"/>
      <c r="Q1187" s="586"/>
      <c r="R1187" s="582">
        <f t="shared" si="152"/>
        <v>2208.9636258503401</v>
      </c>
      <c r="S1187" s="564">
        <f t="shared" si="151"/>
        <v>-2.0554580260068178E-10</v>
      </c>
      <c r="T1187" s="586"/>
      <c r="U1187" s="589"/>
      <c r="V1187" s="589"/>
      <c r="W1187" s="592"/>
      <c r="X1187" s="592"/>
      <c r="Y1187" s="592"/>
      <c r="Z1187" s="592"/>
    </row>
    <row r="1188" spans="1:26" s="28" customFormat="1" ht="37.5" hidden="1">
      <c r="A1188" s="580">
        <f t="shared" si="149"/>
        <v>45</v>
      </c>
      <c r="B1188" s="592" t="s">
        <v>1269</v>
      </c>
      <c r="C1188" s="593" t="s">
        <v>298</v>
      </c>
      <c r="D1188" s="905">
        <f>E1188/1.16/2*13</f>
        <v>6191.8103448275861</v>
      </c>
      <c r="E1188" s="582">
        <v>1105</v>
      </c>
      <c r="F1188" s="593" t="s">
        <v>218</v>
      </c>
      <c r="G1188" s="582">
        <v>937</v>
      </c>
      <c r="H1188" s="582">
        <v>4</v>
      </c>
      <c r="I1188" s="582">
        <v>1</v>
      </c>
      <c r="J1188" s="582">
        <v>24</v>
      </c>
      <c r="K1188" s="679" t="s">
        <v>234</v>
      </c>
      <c r="L1188" s="746">
        <f t="shared" si="150"/>
        <v>2008223.46</v>
      </c>
      <c r="M1188" s="882">
        <v>2001790.78</v>
      </c>
      <c r="N1188" s="586"/>
      <c r="O1188" s="587">
        <v>6432.68</v>
      </c>
      <c r="P1188" s="586"/>
      <c r="Q1188" s="586"/>
      <c r="R1188" s="582">
        <f t="shared" si="152"/>
        <v>2136.3829028815367</v>
      </c>
      <c r="S1188" s="564">
        <f t="shared" si="151"/>
        <v>-6.5483618527650833E-11</v>
      </c>
      <c r="T1188" s="586"/>
      <c r="U1188" s="589"/>
      <c r="V1188" s="589"/>
      <c r="W1188" s="592"/>
      <c r="X1188" s="592"/>
      <c r="Y1188" s="592"/>
      <c r="Z1188" s="592"/>
    </row>
    <row r="1189" spans="1:26" s="28" customFormat="1" ht="37.5" hidden="1">
      <c r="A1189" s="580">
        <f t="shared" si="149"/>
        <v>46</v>
      </c>
      <c r="B1189" s="592" t="s">
        <v>1270</v>
      </c>
      <c r="C1189" s="593" t="s">
        <v>298</v>
      </c>
      <c r="D1189" s="905">
        <f t="shared" si="153"/>
        <v>15622.413793103451</v>
      </c>
      <c r="E1189" s="582">
        <v>2788</v>
      </c>
      <c r="F1189" s="593" t="s">
        <v>218</v>
      </c>
      <c r="G1189" s="582">
        <v>1008</v>
      </c>
      <c r="H1189" s="582">
        <v>5</v>
      </c>
      <c r="I1189" s="582">
        <v>1</v>
      </c>
      <c r="J1189" s="582">
        <v>180</v>
      </c>
      <c r="K1189" s="679" t="s">
        <v>234</v>
      </c>
      <c r="L1189" s="746">
        <f t="shared" si="150"/>
        <v>2323001.83</v>
      </c>
      <c r="M1189" s="882">
        <v>2316081.6</v>
      </c>
      <c r="N1189" s="586"/>
      <c r="O1189" s="587">
        <v>6920.23</v>
      </c>
      <c r="P1189" s="586"/>
      <c r="Q1189" s="586"/>
      <c r="R1189" s="582">
        <f t="shared" si="152"/>
        <v>2297.7000000000003</v>
      </c>
      <c r="S1189" s="564">
        <f t="shared" si="151"/>
        <v>-1.8189894035458565E-11</v>
      </c>
      <c r="T1189" s="586"/>
      <c r="U1189" s="589"/>
      <c r="V1189" s="589"/>
      <c r="W1189" s="592"/>
      <c r="X1189" s="592"/>
      <c r="Y1189" s="592"/>
      <c r="Z1189" s="592"/>
    </row>
    <row r="1190" spans="1:26" s="28" customFormat="1" ht="37.5" hidden="1">
      <c r="A1190" s="580">
        <f t="shared" si="149"/>
        <v>47</v>
      </c>
      <c r="B1190" s="592" t="s">
        <v>1271</v>
      </c>
      <c r="C1190" s="593" t="s">
        <v>298</v>
      </c>
      <c r="D1190" s="905">
        <f t="shared" si="153"/>
        <v>14300</v>
      </c>
      <c r="E1190" s="594">
        <v>2552</v>
      </c>
      <c r="F1190" s="593" t="s">
        <v>218</v>
      </c>
      <c r="G1190" s="594">
        <v>966</v>
      </c>
      <c r="H1190" s="594">
        <v>5</v>
      </c>
      <c r="I1190" s="594">
        <v>3</v>
      </c>
      <c r="J1190" s="594">
        <v>90</v>
      </c>
      <c r="K1190" s="679" t="s">
        <v>234</v>
      </c>
      <c r="L1190" s="746">
        <f t="shared" si="150"/>
        <v>2089526.48</v>
      </c>
      <c r="M1190" s="882">
        <v>2082894.8</v>
      </c>
      <c r="N1190" s="586"/>
      <c r="O1190" s="587">
        <v>6631.68</v>
      </c>
      <c r="P1190" s="586"/>
      <c r="Q1190" s="586"/>
      <c r="R1190" s="582">
        <f t="shared" si="152"/>
        <v>2156.2057971014492</v>
      </c>
      <c r="S1190" s="564">
        <f t="shared" si="151"/>
        <v>-6.5483618527650833E-11</v>
      </c>
      <c r="T1190" s="586"/>
      <c r="U1190" s="589"/>
      <c r="V1190" s="589"/>
      <c r="W1190" s="592"/>
      <c r="X1190" s="592"/>
      <c r="Y1190" s="592"/>
      <c r="Z1190" s="592"/>
    </row>
    <row r="1191" spans="1:26" s="28" customFormat="1" ht="37.5" hidden="1">
      <c r="A1191" s="580">
        <f t="shared" si="149"/>
        <v>48</v>
      </c>
      <c r="B1191" s="592" t="s">
        <v>1272</v>
      </c>
      <c r="C1191" s="593" t="s">
        <v>298</v>
      </c>
      <c r="D1191" s="905">
        <f t="shared" si="153"/>
        <v>26392.241379310344</v>
      </c>
      <c r="E1191" s="594">
        <v>4710</v>
      </c>
      <c r="F1191" s="593" t="s">
        <v>218</v>
      </c>
      <c r="G1191" s="594">
        <v>1846</v>
      </c>
      <c r="H1191" s="594">
        <v>5</v>
      </c>
      <c r="I1191" s="594">
        <v>8</v>
      </c>
      <c r="J1191" s="594">
        <v>128</v>
      </c>
      <c r="K1191" s="590" t="s">
        <v>33</v>
      </c>
      <c r="L1191" s="746">
        <f t="shared" si="150"/>
        <v>3443596.46</v>
      </c>
      <c r="M1191" s="882">
        <v>3430923.15</v>
      </c>
      <c r="N1191" s="586"/>
      <c r="O1191" s="587">
        <v>12673.31</v>
      </c>
      <c r="P1191" s="586"/>
      <c r="Q1191" s="586"/>
      <c r="R1191" s="582">
        <f t="shared" si="152"/>
        <v>1858.5715872156013</v>
      </c>
      <c r="S1191" s="564">
        <f t="shared" si="151"/>
        <v>5.6388671509921551E-11</v>
      </c>
      <c r="T1191" s="586"/>
      <c r="U1191" s="589"/>
      <c r="V1191" s="589"/>
      <c r="W1191" s="592"/>
      <c r="X1191" s="592"/>
      <c r="Y1191" s="592"/>
      <c r="Z1191" s="592"/>
    </row>
    <row r="1192" spans="1:26" s="28" customFormat="1" ht="37.5" hidden="1">
      <c r="A1192" s="580">
        <f t="shared" si="149"/>
        <v>49</v>
      </c>
      <c r="B1192" s="592" t="s">
        <v>1273</v>
      </c>
      <c r="C1192" s="593" t="s">
        <v>298</v>
      </c>
      <c r="D1192" s="905">
        <f t="shared" si="153"/>
        <v>14120.689655172415</v>
      </c>
      <c r="E1192" s="594">
        <v>2520</v>
      </c>
      <c r="F1192" s="593" t="s">
        <v>218</v>
      </c>
      <c r="G1192" s="594">
        <v>1423</v>
      </c>
      <c r="H1192" s="594">
        <v>5</v>
      </c>
      <c r="I1192" s="594">
        <v>6</v>
      </c>
      <c r="J1192" s="594">
        <v>120</v>
      </c>
      <c r="K1192" s="590" t="s">
        <v>33</v>
      </c>
      <c r="L1192" s="746">
        <f t="shared" si="150"/>
        <v>2655209.66</v>
      </c>
      <c r="M1192" s="882">
        <v>2645439.75</v>
      </c>
      <c r="N1192" s="586"/>
      <c r="O1192" s="587">
        <v>9769.91</v>
      </c>
      <c r="P1192" s="586"/>
      <c r="Q1192" s="586"/>
      <c r="R1192" s="582">
        <f t="shared" si="152"/>
        <v>1859.0581517919888</v>
      </c>
      <c r="S1192" s="564">
        <f t="shared" si="151"/>
        <v>1.4915713109076023E-10</v>
      </c>
      <c r="T1192" s="586"/>
      <c r="U1192" s="589"/>
      <c r="V1192" s="589"/>
      <c r="W1192" s="592"/>
      <c r="X1192" s="592"/>
      <c r="Y1192" s="592"/>
      <c r="Z1192" s="592"/>
    </row>
    <row r="1193" spans="1:26" s="28" customFormat="1" ht="37.5" hidden="1">
      <c r="A1193" s="580">
        <f t="shared" si="149"/>
        <v>50</v>
      </c>
      <c r="B1193" s="592" t="s">
        <v>1274</v>
      </c>
      <c r="C1193" s="593" t="s">
        <v>298</v>
      </c>
      <c r="D1193" s="905">
        <f t="shared" si="153"/>
        <v>8035.3448275862074</v>
      </c>
      <c r="E1193" s="594">
        <v>1434</v>
      </c>
      <c r="F1193" s="593" t="s">
        <v>218</v>
      </c>
      <c r="G1193" s="594">
        <v>490</v>
      </c>
      <c r="H1193" s="594">
        <v>5</v>
      </c>
      <c r="I1193" s="594">
        <v>2</v>
      </c>
      <c r="J1193" s="594">
        <v>37</v>
      </c>
      <c r="K1193" s="590" t="s">
        <v>33</v>
      </c>
      <c r="L1193" s="746">
        <f t="shared" si="150"/>
        <v>1130251.4000000001</v>
      </c>
      <c r="M1193" s="882">
        <v>1126887.3</v>
      </c>
      <c r="N1193" s="586"/>
      <c r="O1193" s="587">
        <v>3364.1</v>
      </c>
      <c r="P1193" s="586"/>
      <c r="Q1193" s="586"/>
      <c r="R1193" s="582">
        <f t="shared" si="152"/>
        <v>2299.77</v>
      </c>
      <c r="S1193" s="564">
        <f t="shared" si="151"/>
        <v>9.3223206931725144E-11</v>
      </c>
      <c r="T1193" s="586"/>
      <c r="U1193" s="589"/>
      <c r="V1193" s="589"/>
      <c r="W1193" s="592"/>
      <c r="X1193" s="592"/>
      <c r="Y1193" s="592"/>
      <c r="Z1193" s="592"/>
    </row>
    <row r="1194" spans="1:26" s="28" customFormat="1" ht="37.5" hidden="1">
      <c r="A1194" s="580">
        <f t="shared" si="149"/>
        <v>51</v>
      </c>
      <c r="B1194" s="592" t="s">
        <v>1275</v>
      </c>
      <c r="C1194" s="593" t="s">
        <v>298</v>
      </c>
      <c r="D1194" s="602">
        <f t="shared" si="153"/>
        <v>12742.241379310346</v>
      </c>
      <c r="E1194" s="608">
        <v>2274</v>
      </c>
      <c r="F1194" s="594" t="s">
        <v>251</v>
      </c>
      <c r="G1194" s="608">
        <v>1150</v>
      </c>
      <c r="H1194" s="608">
        <v>3</v>
      </c>
      <c r="I1194" s="608">
        <v>4</v>
      </c>
      <c r="J1194" s="599">
        <v>64</v>
      </c>
      <c r="K1194" s="679" t="s">
        <v>33</v>
      </c>
      <c r="L1194" s="746">
        <f t="shared" si="150"/>
        <v>2873979.1100000003</v>
      </c>
      <c r="M1194" s="882">
        <v>2844129.1100000003</v>
      </c>
      <c r="N1194" s="586">
        <v>29850</v>
      </c>
      <c r="O1194" s="587"/>
      <c r="P1194" s="586"/>
      <c r="Q1194" s="586"/>
      <c r="R1194" s="582">
        <f t="shared" si="152"/>
        <v>2473.1557478260875</v>
      </c>
      <c r="S1194" s="564">
        <f t="shared" si="151"/>
        <v>0</v>
      </c>
      <c r="T1194" s="586"/>
      <c r="U1194" s="589"/>
      <c r="V1194" s="589"/>
      <c r="W1194" s="592"/>
      <c r="X1194" s="592"/>
      <c r="Y1194" s="592"/>
      <c r="Z1194" s="592"/>
    </row>
    <row r="1195" spans="1:26" s="28" customFormat="1" ht="37.5" hidden="1">
      <c r="A1195" s="580">
        <f t="shared" si="149"/>
        <v>52</v>
      </c>
      <c r="B1195" s="592" t="s">
        <v>1276</v>
      </c>
      <c r="C1195" s="593" t="s">
        <v>298</v>
      </c>
      <c r="D1195" s="905">
        <f t="shared" si="153"/>
        <v>19382.327586206899</v>
      </c>
      <c r="E1195" s="594">
        <v>3459</v>
      </c>
      <c r="F1195" s="593" t="s">
        <v>218</v>
      </c>
      <c r="G1195" s="906">
        <v>1400</v>
      </c>
      <c r="H1195" s="594">
        <v>5</v>
      </c>
      <c r="I1195" s="594">
        <v>6</v>
      </c>
      <c r="J1195" s="594">
        <v>104</v>
      </c>
      <c r="K1195" s="590" t="s">
        <v>33</v>
      </c>
      <c r="L1195" s="746">
        <f t="shared" si="150"/>
        <v>2258562.6100000003</v>
      </c>
      <c r="M1195" s="882">
        <v>2248950.91</v>
      </c>
      <c r="N1195" s="586"/>
      <c r="O1195" s="587">
        <v>9611.7000000000007</v>
      </c>
      <c r="P1195" s="586"/>
      <c r="Q1195" s="586"/>
      <c r="R1195" s="582">
        <f t="shared" si="152"/>
        <v>1606.3935071428573</v>
      </c>
      <c r="S1195" s="564">
        <f t="shared" si="151"/>
        <v>1.8553691916167736E-10</v>
      </c>
      <c r="T1195" s="586"/>
      <c r="U1195" s="589"/>
      <c r="V1195" s="589"/>
      <c r="W1195" s="592"/>
      <c r="X1195" s="592"/>
      <c r="Y1195" s="592"/>
      <c r="Z1195" s="592"/>
    </row>
    <row r="1196" spans="1:26" s="28" customFormat="1" ht="37.5" hidden="1">
      <c r="A1196" s="580">
        <f t="shared" si="149"/>
        <v>53</v>
      </c>
      <c r="B1196" s="592" t="s">
        <v>1277</v>
      </c>
      <c r="C1196" s="593" t="s">
        <v>298</v>
      </c>
      <c r="D1196" s="602">
        <f t="shared" si="153"/>
        <v>9637.9310344827591</v>
      </c>
      <c r="E1196" s="608">
        <v>1720</v>
      </c>
      <c r="F1196" s="594" t="s">
        <v>251</v>
      </c>
      <c r="G1196" s="608">
        <v>1005</v>
      </c>
      <c r="H1196" s="608">
        <v>5</v>
      </c>
      <c r="I1196" s="608">
        <v>4</v>
      </c>
      <c r="J1196" s="599">
        <v>76</v>
      </c>
      <c r="K1196" s="679" t="s">
        <v>33</v>
      </c>
      <c r="L1196" s="746">
        <f t="shared" si="150"/>
        <v>2848543.53</v>
      </c>
      <c r="M1196" s="882">
        <v>2813718.53</v>
      </c>
      <c r="N1196" s="586">
        <v>34825</v>
      </c>
      <c r="O1196" s="587"/>
      <c r="P1196" s="586"/>
      <c r="Q1196" s="586"/>
      <c r="R1196" s="582">
        <f t="shared" si="152"/>
        <v>2799.7199303482585</v>
      </c>
      <c r="S1196" s="564">
        <f t="shared" si="151"/>
        <v>0</v>
      </c>
      <c r="T1196" s="586"/>
      <c r="U1196" s="589"/>
      <c r="V1196" s="589"/>
      <c r="W1196" s="592"/>
      <c r="X1196" s="592"/>
      <c r="Y1196" s="592"/>
      <c r="Z1196" s="592"/>
    </row>
    <row r="1197" spans="1:26" s="28" customFormat="1" ht="37.5" hidden="1">
      <c r="A1197" s="580">
        <f t="shared" si="149"/>
        <v>54</v>
      </c>
      <c r="B1197" s="616" t="s">
        <v>1278</v>
      </c>
      <c r="C1197" s="593" t="s">
        <v>298</v>
      </c>
      <c r="D1197" s="905">
        <f t="shared" si="153"/>
        <v>0</v>
      </c>
      <c r="E1197" s="582"/>
      <c r="F1197" s="593" t="s">
        <v>218</v>
      </c>
      <c r="G1197" s="582">
        <v>1261</v>
      </c>
      <c r="H1197" s="582">
        <v>5</v>
      </c>
      <c r="I1197" s="582">
        <v>5</v>
      </c>
      <c r="J1197" s="582">
        <v>80</v>
      </c>
      <c r="K1197" s="590" t="s">
        <v>33</v>
      </c>
      <c r="L1197" s="746">
        <f t="shared" si="150"/>
        <v>2906057.2</v>
      </c>
      <c r="M1197" s="882">
        <v>2897399.7</v>
      </c>
      <c r="N1197" s="586"/>
      <c r="O1197" s="587">
        <v>8657.5</v>
      </c>
      <c r="P1197" s="586"/>
      <c r="Q1197" s="586"/>
      <c r="R1197" s="582">
        <f t="shared" si="152"/>
        <v>2297.7000000000003</v>
      </c>
      <c r="S1197" s="564">
        <f t="shared" si="151"/>
        <v>0</v>
      </c>
      <c r="T1197" s="586"/>
      <c r="U1197" s="589"/>
      <c r="V1197" s="589"/>
      <c r="W1197" s="592"/>
      <c r="X1197" s="592"/>
      <c r="Y1197" s="592"/>
      <c r="Z1197" s="592"/>
    </row>
    <row r="1198" spans="1:26" s="28" customFormat="1" ht="37.5" hidden="1">
      <c r="A1198" s="580">
        <f t="shared" si="149"/>
        <v>55</v>
      </c>
      <c r="B1198" s="616" t="s">
        <v>1279</v>
      </c>
      <c r="C1198" s="593" t="s">
        <v>298</v>
      </c>
      <c r="D1198" s="905">
        <f t="shared" si="153"/>
        <v>0</v>
      </c>
      <c r="E1198" s="582"/>
      <c r="F1198" s="593" t="s">
        <v>218</v>
      </c>
      <c r="G1198" s="582">
        <v>1161</v>
      </c>
      <c r="H1198" s="582">
        <v>5</v>
      </c>
      <c r="I1198" s="582">
        <v>3</v>
      </c>
      <c r="J1198" s="582">
        <v>90</v>
      </c>
      <c r="K1198" s="590" t="s">
        <v>33</v>
      </c>
      <c r="L1198" s="746">
        <f t="shared" si="150"/>
        <v>2675600.6500000004</v>
      </c>
      <c r="M1198" s="882">
        <v>2667629.7000000002</v>
      </c>
      <c r="N1198" s="586"/>
      <c r="O1198" s="587">
        <v>7970.95</v>
      </c>
      <c r="P1198" s="586"/>
      <c r="Q1198" s="586"/>
      <c r="R1198" s="582">
        <f t="shared" si="152"/>
        <v>2297.7000000000003</v>
      </c>
      <c r="S1198" s="564">
        <f t="shared" si="151"/>
        <v>1.8644641386345029E-10</v>
      </c>
      <c r="T1198" s="586"/>
      <c r="U1198" s="589"/>
      <c r="V1198" s="589"/>
      <c r="W1198" s="592"/>
      <c r="X1198" s="592"/>
      <c r="Y1198" s="592"/>
      <c r="Z1198" s="592"/>
    </row>
    <row r="1199" spans="1:26" s="28" customFormat="1" ht="37.5" hidden="1">
      <c r="A1199" s="580">
        <f t="shared" si="149"/>
        <v>56</v>
      </c>
      <c r="B1199" s="616" t="s">
        <v>1280</v>
      </c>
      <c r="C1199" s="593" t="s">
        <v>298</v>
      </c>
      <c r="D1199" s="905">
        <f t="shared" si="153"/>
        <v>14871.551724137931</v>
      </c>
      <c r="E1199" s="582">
        <v>2654</v>
      </c>
      <c r="F1199" s="593" t="s">
        <v>218</v>
      </c>
      <c r="G1199" s="602">
        <v>2083</v>
      </c>
      <c r="H1199" s="602">
        <v>5</v>
      </c>
      <c r="I1199" s="602">
        <v>10</v>
      </c>
      <c r="J1199" s="602">
        <v>137</v>
      </c>
      <c r="K1199" s="679" t="s">
        <v>33</v>
      </c>
      <c r="L1199" s="746">
        <f t="shared" si="150"/>
        <v>4365089.8499999996</v>
      </c>
      <c r="M1199" s="882">
        <v>4350788.71</v>
      </c>
      <c r="N1199" s="586"/>
      <c r="O1199" s="587">
        <v>14301.14</v>
      </c>
      <c r="P1199" s="586"/>
      <c r="Q1199" s="586"/>
      <c r="R1199" s="582">
        <f t="shared" si="152"/>
        <v>2088.7127748439752</v>
      </c>
      <c r="S1199" s="564">
        <f t="shared" si="151"/>
        <v>-3.3469405025243759E-10</v>
      </c>
      <c r="T1199" s="586"/>
      <c r="U1199" s="589"/>
      <c r="V1199" s="589"/>
      <c r="W1199" s="592"/>
      <c r="X1199" s="592"/>
      <c r="Y1199" s="592"/>
      <c r="Z1199" s="592"/>
    </row>
    <row r="1200" spans="1:26" s="28" customFormat="1" ht="37.5" hidden="1">
      <c r="A1200" s="580">
        <f t="shared" si="149"/>
        <v>57</v>
      </c>
      <c r="B1200" s="616" t="s">
        <v>1281</v>
      </c>
      <c r="C1200" s="593" t="s">
        <v>298</v>
      </c>
      <c r="D1200" s="905">
        <f t="shared" si="153"/>
        <v>11212.500000000002</v>
      </c>
      <c r="E1200" s="907">
        <v>2001</v>
      </c>
      <c r="F1200" s="593" t="s">
        <v>218</v>
      </c>
      <c r="G1200" s="602">
        <v>950</v>
      </c>
      <c r="H1200" s="602">
        <v>5</v>
      </c>
      <c r="I1200" s="602">
        <v>4</v>
      </c>
      <c r="J1200" s="602">
        <v>60</v>
      </c>
      <c r="K1200" s="679" t="s">
        <v>33</v>
      </c>
      <c r="L1200" s="746">
        <f t="shared" si="150"/>
        <v>1827597.43</v>
      </c>
      <c r="M1200" s="882">
        <v>1821075.2</v>
      </c>
      <c r="N1200" s="586"/>
      <c r="O1200" s="587">
        <v>6522.23</v>
      </c>
      <c r="P1200" s="586"/>
      <c r="Q1200" s="586"/>
      <c r="R1200" s="582">
        <f t="shared" si="152"/>
        <v>1916.9212631578946</v>
      </c>
      <c r="S1200" s="564">
        <f t="shared" si="151"/>
        <v>-1.8189894035458565E-11</v>
      </c>
      <c r="T1200" s="586"/>
      <c r="U1200" s="589"/>
      <c r="V1200" s="589"/>
      <c r="W1200" s="592"/>
      <c r="X1200" s="592"/>
      <c r="Y1200" s="592"/>
      <c r="Z1200" s="592"/>
    </row>
    <row r="1201" spans="1:26" s="28" customFormat="1" ht="37.5" hidden="1">
      <c r="A1201" s="580">
        <f t="shared" si="149"/>
        <v>58</v>
      </c>
      <c r="B1201" s="616" t="s">
        <v>1282</v>
      </c>
      <c r="C1201" s="593" t="s">
        <v>298</v>
      </c>
      <c r="D1201" s="905">
        <f t="shared" si="153"/>
        <v>10965.948275862069</v>
      </c>
      <c r="E1201" s="582">
        <v>1957</v>
      </c>
      <c r="F1201" s="593" t="s">
        <v>218</v>
      </c>
      <c r="G1201" s="602">
        <v>1020</v>
      </c>
      <c r="H1201" s="602">
        <v>5</v>
      </c>
      <c r="I1201" s="602">
        <v>4</v>
      </c>
      <c r="J1201" s="602">
        <v>64</v>
      </c>
      <c r="K1201" s="679" t="s">
        <v>33</v>
      </c>
      <c r="L1201" s="746">
        <f t="shared" si="150"/>
        <v>2352768.21</v>
      </c>
      <c r="M1201" s="882">
        <v>2345765.4</v>
      </c>
      <c r="N1201" s="586"/>
      <c r="O1201" s="587">
        <v>7002.81</v>
      </c>
      <c r="P1201" s="586"/>
      <c r="Q1201" s="586"/>
      <c r="R1201" s="582">
        <f t="shared" si="152"/>
        <v>2299.77</v>
      </c>
      <c r="S1201" s="564">
        <f t="shared" si="151"/>
        <v>5.5479176808148623E-11</v>
      </c>
      <c r="T1201" s="586"/>
      <c r="U1201" s="589"/>
      <c r="V1201" s="589"/>
      <c r="W1201" s="592"/>
      <c r="X1201" s="592"/>
      <c r="Y1201" s="592"/>
      <c r="Z1201" s="592"/>
    </row>
    <row r="1202" spans="1:26" s="28" customFormat="1" ht="37.5" hidden="1">
      <c r="A1202" s="580">
        <f t="shared" si="149"/>
        <v>59</v>
      </c>
      <c r="B1202" s="616" t="s">
        <v>1283</v>
      </c>
      <c r="C1202" s="593" t="s">
        <v>298</v>
      </c>
      <c r="D1202" s="905">
        <f t="shared" si="153"/>
        <v>10355.172413793103</v>
      </c>
      <c r="E1202" s="907">
        <v>1848</v>
      </c>
      <c r="F1202" s="593" t="s">
        <v>218</v>
      </c>
      <c r="G1202" s="602">
        <v>845</v>
      </c>
      <c r="H1202" s="602">
        <v>5</v>
      </c>
      <c r="I1202" s="602">
        <v>4</v>
      </c>
      <c r="J1202" s="602">
        <v>60</v>
      </c>
      <c r="K1202" s="679" t="s">
        <v>33</v>
      </c>
      <c r="L1202" s="746">
        <f t="shared" si="150"/>
        <v>1803535.3800000001</v>
      </c>
      <c r="M1202" s="882">
        <v>1797733.53</v>
      </c>
      <c r="N1202" s="586"/>
      <c r="O1202" s="587">
        <v>5801.85</v>
      </c>
      <c r="P1202" s="586"/>
      <c r="Q1202" s="586"/>
      <c r="R1202" s="582">
        <f t="shared" si="152"/>
        <v>2127.4953017751482</v>
      </c>
      <c r="S1202" s="564">
        <f t="shared" si="151"/>
        <v>9.276845958083868E-11</v>
      </c>
      <c r="T1202" s="586"/>
      <c r="U1202" s="589"/>
      <c r="V1202" s="589"/>
      <c r="W1202" s="592"/>
      <c r="X1202" s="592"/>
      <c r="Y1202" s="592"/>
      <c r="Z1202" s="592"/>
    </row>
    <row r="1203" spans="1:26" s="28" customFormat="1" ht="37.5" hidden="1">
      <c r="A1203" s="580">
        <f t="shared" si="149"/>
        <v>60</v>
      </c>
      <c r="B1203" s="616" t="s">
        <v>1284</v>
      </c>
      <c r="C1203" s="593" t="s">
        <v>298</v>
      </c>
      <c r="D1203" s="905">
        <f t="shared" si="153"/>
        <v>3916.8103448275865</v>
      </c>
      <c r="E1203" s="582">
        <v>699</v>
      </c>
      <c r="F1203" s="593" t="s">
        <v>218</v>
      </c>
      <c r="G1203" s="602">
        <v>459</v>
      </c>
      <c r="H1203" s="602">
        <v>5</v>
      </c>
      <c r="I1203" s="602">
        <v>2</v>
      </c>
      <c r="J1203" s="602">
        <v>40</v>
      </c>
      <c r="K1203" s="679" t="s">
        <v>224</v>
      </c>
      <c r="L1203" s="746">
        <f t="shared" si="150"/>
        <v>1080311.2299999997</v>
      </c>
      <c r="M1203" s="882">
        <v>1055594.43</v>
      </c>
      <c r="N1203" s="586">
        <v>21565.63</v>
      </c>
      <c r="O1203" s="587">
        <v>3151.17</v>
      </c>
      <c r="P1203" s="586"/>
      <c r="Q1203" s="586"/>
      <c r="R1203" s="582">
        <f t="shared" si="152"/>
        <v>2299.77</v>
      </c>
      <c r="S1203" s="564">
        <f t="shared" si="151"/>
        <v>-1.8735590856522322E-10</v>
      </c>
      <c r="T1203" s="586"/>
      <c r="U1203" s="589"/>
      <c r="V1203" s="589"/>
      <c r="W1203" s="592"/>
      <c r="X1203" s="592"/>
      <c r="Y1203" s="592"/>
      <c r="Z1203" s="592"/>
    </row>
    <row r="1204" spans="1:26" s="28" customFormat="1" ht="37.5" hidden="1">
      <c r="A1204" s="580">
        <f t="shared" si="149"/>
        <v>61</v>
      </c>
      <c r="B1204" s="616" t="s">
        <v>1285</v>
      </c>
      <c r="C1204" s="593" t="s">
        <v>298</v>
      </c>
      <c r="D1204" s="905">
        <f t="shared" si="153"/>
        <v>6242.2413793103451</v>
      </c>
      <c r="E1204" s="582">
        <v>1114</v>
      </c>
      <c r="F1204" s="593" t="s">
        <v>218</v>
      </c>
      <c r="G1204" s="602">
        <v>455</v>
      </c>
      <c r="H1204" s="602">
        <v>5</v>
      </c>
      <c r="I1204" s="602">
        <v>2</v>
      </c>
      <c r="J1204" s="602">
        <v>30</v>
      </c>
      <c r="K1204" s="679" t="s">
        <v>33</v>
      </c>
      <c r="L1204" s="746">
        <f t="shared" si="150"/>
        <v>1019092.5800000001</v>
      </c>
      <c r="M1204" s="882">
        <v>1015968.28</v>
      </c>
      <c r="N1204" s="586"/>
      <c r="O1204" s="587">
        <v>3124.3</v>
      </c>
      <c r="P1204" s="586"/>
      <c r="Q1204" s="586"/>
      <c r="R1204" s="582">
        <f t="shared" si="152"/>
        <v>2232.8973186813187</v>
      </c>
      <c r="S1204" s="564">
        <f t="shared" si="151"/>
        <v>4.638422979041934E-11</v>
      </c>
      <c r="T1204" s="586"/>
      <c r="U1204" s="589"/>
      <c r="V1204" s="589"/>
      <c r="W1204" s="592"/>
      <c r="X1204" s="592"/>
      <c r="Y1204" s="592"/>
      <c r="Z1204" s="592"/>
    </row>
    <row r="1205" spans="1:26" s="28" customFormat="1" ht="37.5" hidden="1">
      <c r="A1205" s="580">
        <f t="shared" si="149"/>
        <v>62</v>
      </c>
      <c r="B1205" s="908" t="s">
        <v>1286</v>
      </c>
      <c r="C1205" s="617" t="s">
        <v>298</v>
      </c>
      <c r="D1205" s="602">
        <f t="shared" si="153"/>
        <v>6057.3275862068967</v>
      </c>
      <c r="E1205" s="602">
        <v>1081</v>
      </c>
      <c r="F1205" s="617" t="s">
        <v>218</v>
      </c>
      <c r="G1205" s="602">
        <v>456</v>
      </c>
      <c r="H1205" s="602">
        <v>5</v>
      </c>
      <c r="I1205" s="602">
        <v>2</v>
      </c>
      <c r="J1205" s="582">
        <v>30</v>
      </c>
      <c r="K1205" s="610" t="s">
        <v>33</v>
      </c>
      <c r="L1205" s="746">
        <f t="shared" si="150"/>
        <v>1014039.37</v>
      </c>
      <c r="M1205" s="585">
        <v>1010909.1</v>
      </c>
      <c r="N1205" s="586"/>
      <c r="O1205" s="587">
        <v>3130.27</v>
      </c>
      <c r="P1205" s="586"/>
      <c r="Q1205" s="586"/>
      <c r="R1205" s="582">
        <f t="shared" si="152"/>
        <v>2216.9059210526316</v>
      </c>
      <c r="S1205" s="564">
        <f t="shared" si="151"/>
        <v>1.8644641386345029E-11</v>
      </c>
      <c r="T1205" s="586"/>
      <c r="U1205" s="589"/>
      <c r="V1205" s="589"/>
      <c r="W1205" s="592"/>
      <c r="X1205" s="592"/>
      <c r="Y1205" s="592"/>
      <c r="Z1205" s="592"/>
    </row>
    <row r="1206" spans="1:26" s="28" customFormat="1" ht="37.5" hidden="1">
      <c r="A1206" s="580">
        <f t="shared" si="149"/>
        <v>63</v>
      </c>
      <c r="B1206" s="1366" t="s">
        <v>1287</v>
      </c>
      <c r="C1206" s="700" t="s">
        <v>298</v>
      </c>
      <c r="D1206" s="902">
        <f t="shared" si="153"/>
        <v>31603.448275862072</v>
      </c>
      <c r="E1206" s="593">
        <v>5640</v>
      </c>
      <c r="F1206" s="582" t="s">
        <v>233</v>
      </c>
      <c r="G1206" s="786">
        <v>1185</v>
      </c>
      <c r="H1206" s="593">
        <v>9</v>
      </c>
      <c r="I1206" s="593">
        <v>3</v>
      </c>
      <c r="J1206" s="593">
        <v>108</v>
      </c>
      <c r="K1206" s="590" t="s">
        <v>38</v>
      </c>
      <c r="L1206" s="1373">
        <f>M1206+N1206+O1206+P1206+Q1206+M1207+N1207+O1207+P1207+Q1207</f>
        <v>15141796.74</v>
      </c>
      <c r="M1206" s="882">
        <v>9023097.5999999996</v>
      </c>
      <c r="N1206" s="586"/>
      <c r="O1206" s="587">
        <v>26936.639999999999</v>
      </c>
      <c r="P1206" s="586"/>
      <c r="Q1206" s="586"/>
      <c r="R1206" s="599">
        <f>M1206/E1206</f>
        <v>1599.84</v>
      </c>
      <c r="S1206" s="564">
        <f t="shared" si="151"/>
        <v>6091762.5000000009</v>
      </c>
      <c r="T1206" s="586"/>
      <c r="U1206" s="589"/>
      <c r="V1206" s="589"/>
      <c r="W1206" s="592"/>
      <c r="X1206" s="592"/>
      <c r="Y1206" s="592"/>
      <c r="Z1206" s="592"/>
    </row>
    <row r="1207" spans="1:26" s="28" customFormat="1" ht="37.5" hidden="1">
      <c r="A1207" s="580"/>
      <c r="B1207" s="1366"/>
      <c r="C1207" s="700"/>
      <c r="D1207" s="902"/>
      <c r="E1207" s="593"/>
      <c r="F1207" s="582"/>
      <c r="G1207" s="786"/>
      <c r="H1207" s="593"/>
      <c r="I1207" s="593"/>
      <c r="J1207" s="593"/>
      <c r="K1207" s="590" t="s">
        <v>219</v>
      </c>
      <c r="L1207" s="1373"/>
      <c r="M1207" s="882">
        <v>5970000</v>
      </c>
      <c r="N1207" s="586">
        <v>121762.5</v>
      </c>
      <c r="O1207" s="587"/>
      <c r="P1207" s="586"/>
      <c r="Q1207" s="586"/>
      <c r="R1207" s="582">
        <f>M1207/I1206</f>
        <v>1990000</v>
      </c>
      <c r="S1207" s="564">
        <f t="shared" si="151"/>
        <v>-6091762.5</v>
      </c>
      <c r="T1207" s="586"/>
      <c r="U1207" s="591" t="s">
        <v>3587</v>
      </c>
      <c r="V1207" s="589"/>
      <c r="W1207" s="592"/>
      <c r="X1207" s="592"/>
      <c r="Y1207" s="592"/>
      <c r="Z1207" s="592"/>
    </row>
    <row r="1208" spans="1:26" s="28" customFormat="1" ht="37.5" hidden="1">
      <c r="A1208" s="580">
        <f>A1206+1</f>
        <v>64</v>
      </c>
      <c r="B1208" s="616" t="s">
        <v>1288</v>
      </c>
      <c r="C1208" s="700" t="s">
        <v>298</v>
      </c>
      <c r="D1208" s="902">
        <f t="shared" si="153"/>
        <v>25904.741379310344</v>
      </c>
      <c r="E1208" s="593">
        <v>4623</v>
      </c>
      <c r="F1208" s="582" t="s">
        <v>233</v>
      </c>
      <c r="G1208" s="786">
        <v>2000</v>
      </c>
      <c r="H1208" s="593">
        <v>5</v>
      </c>
      <c r="I1208" s="593">
        <v>8</v>
      </c>
      <c r="J1208" s="593">
        <v>140</v>
      </c>
      <c r="K1208" s="903" t="s">
        <v>33</v>
      </c>
      <c r="L1208" s="746">
        <f t="shared" ref="L1208:L1226" si="154">M1208+N1208+O1208+P1208+Q1208</f>
        <v>8415600</v>
      </c>
      <c r="M1208" s="882">
        <v>8365500</v>
      </c>
      <c r="N1208" s="586">
        <v>50100</v>
      </c>
      <c r="O1208" s="587"/>
      <c r="P1208" s="586"/>
      <c r="Q1208" s="586"/>
      <c r="R1208" s="582">
        <f>M1208/G1208</f>
        <v>4182.75</v>
      </c>
      <c r="S1208" s="564">
        <f t="shared" ref="S1208:S1230" si="155">L1208-M1208-N1208-O1208-P1208-Q1208</f>
        <v>0</v>
      </c>
      <c r="T1208" s="586"/>
      <c r="U1208" s="589" t="s">
        <v>3914</v>
      </c>
      <c r="V1208" s="589"/>
      <c r="W1208" s="592"/>
      <c r="X1208" s="592"/>
      <c r="Y1208" s="592"/>
      <c r="Z1208" s="592"/>
    </row>
    <row r="1209" spans="1:26" s="36" customFormat="1" hidden="1" outlineLevel="1">
      <c r="A1209" s="580">
        <f>A1208+1</f>
        <v>65</v>
      </c>
      <c r="B1209" s="616" t="s">
        <v>3899</v>
      </c>
      <c r="C1209" s="594" t="s">
        <v>314</v>
      </c>
      <c r="D1209" s="593"/>
      <c r="E1209" s="786">
        <v>2735</v>
      </c>
      <c r="F1209" s="594" t="s">
        <v>218</v>
      </c>
      <c r="G1209" s="602">
        <v>542</v>
      </c>
      <c r="H1209" s="602">
        <v>9</v>
      </c>
      <c r="I1209" s="594">
        <v>1</v>
      </c>
      <c r="J1209" s="594">
        <v>64</v>
      </c>
      <c r="K1209" s="679" t="s">
        <v>226</v>
      </c>
      <c r="L1209" s="746">
        <f t="shared" si="154"/>
        <v>7731150</v>
      </c>
      <c r="M1209" s="585">
        <v>7701300</v>
      </c>
      <c r="N1209" s="586">
        <v>29850</v>
      </c>
      <c r="O1209" s="587"/>
      <c r="P1209" s="586"/>
      <c r="Q1209" s="586"/>
      <c r="R1209" s="599">
        <f>M1209/E1209</f>
        <v>2815.8318098720292</v>
      </c>
      <c r="S1209" s="564">
        <f t="shared" si="155"/>
        <v>0</v>
      </c>
      <c r="T1209" s="593"/>
      <c r="U1209" s="591"/>
      <c r="V1209" s="593"/>
      <c r="W1209" s="593"/>
      <c r="X1209" s="593"/>
      <c r="Y1209" s="593"/>
      <c r="Z1209" s="593"/>
    </row>
    <row r="1210" spans="1:26" s="36" customFormat="1" hidden="1" outlineLevel="1">
      <c r="A1210" s="580">
        <f t="shared" ref="A1210:A1229" si="156">A1209+1</f>
        <v>66</v>
      </c>
      <c r="B1210" s="616" t="s">
        <v>3900</v>
      </c>
      <c r="C1210" s="594" t="s">
        <v>314</v>
      </c>
      <c r="D1210" s="593"/>
      <c r="E1210" s="786">
        <v>3088</v>
      </c>
      <c r="F1210" s="594" t="s">
        <v>218</v>
      </c>
      <c r="G1210" s="602">
        <v>986</v>
      </c>
      <c r="H1210" s="602">
        <v>5</v>
      </c>
      <c r="I1210" s="594">
        <v>2</v>
      </c>
      <c r="J1210" s="594">
        <v>138</v>
      </c>
      <c r="K1210" s="679" t="s">
        <v>226</v>
      </c>
      <c r="L1210" s="746">
        <f t="shared" si="154"/>
        <v>5799855</v>
      </c>
      <c r="M1210" s="585">
        <v>5767020</v>
      </c>
      <c r="N1210" s="586">
        <v>32835</v>
      </c>
      <c r="O1210" s="587"/>
      <c r="P1210" s="586"/>
      <c r="Q1210" s="586"/>
      <c r="R1210" s="599">
        <f>M1210/E1210</f>
        <v>1867.5582901554403</v>
      </c>
      <c r="S1210" s="564">
        <f t="shared" si="155"/>
        <v>0</v>
      </c>
      <c r="T1210" s="593"/>
      <c r="U1210" s="591"/>
      <c r="V1210" s="593"/>
      <c r="W1210" s="593"/>
      <c r="X1210" s="593"/>
      <c r="Y1210" s="593"/>
      <c r="Z1210" s="593"/>
    </row>
    <row r="1211" spans="1:26" s="36" customFormat="1" hidden="1" outlineLevel="1">
      <c r="A1211" s="580">
        <f t="shared" si="156"/>
        <v>67</v>
      </c>
      <c r="B1211" s="616" t="s">
        <v>3901</v>
      </c>
      <c r="C1211" s="594" t="s">
        <v>314</v>
      </c>
      <c r="D1211" s="593"/>
      <c r="E1211" s="786">
        <v>3087</v>
      </c>
      <c r="F1211" s="594" t="s">
        <v>218</v>
      </c>
      <c r="G1211" s="602">
        <v>1243</v>
      </c>
      <c r="H1211" s="602">
        <v>5</v>
      </c>
      <c r="I1211" s="594">
        <v>6</v>
      </c>
      <c r="J1211" s="594">
        <v>91</v>
      </c>
      <c r="K1211" s="679" t="s">
        <v>226</v>
      </c>
      <c r="L1211" s="746">
        <f t="shared" si="154"/>
        <v>7890969</v>
      </c>
      <c r="M1211" s="585">
        <v>7858134</v>
      </c>
      <c r="N1211" s="586">
        <v>32835</v>
      </c>
      <c r="O1211" s="587"/>
      <c r="P1211" s="586"/>
      <c r="Q1211" s="586"/>
      <c r="R1211" s="599">
        <f>M1211/E1211</f>
        <v>2545.5568513119533</v>
      </c>
      <c r="S1211" s="564">
        <f t="shared" si="155"/>
        <v>0</v>
      </c>
      <c r="T1211" s="593"/>
      <c r="U1211" s="591"/>
      <c r="V1211" s="593"/>
      <c r="W1211" s="593"/>
      <c r="X1211" s="593"/>
      <c r="Y1211" s="593"/>
      <c r="Z1211" s="593"/>
    </row>
    <row r="1212" spans="1:26" s="36" customFormat="1" hidden="1" outlineLevel="1">
      <c r="A1212" s="580">
        <f t="shared" si="156"/>
        <v>68</v>
      </c>
      <c r="B1212" s="616" t="s">
        <v>4070</v>
      </c>
      <c r="C1212" s="594" t="s">
        <v>314</v>
      </c>
      <c r="D1212" s="593"/>
      <c r="E1212" s="786">
        <v>3174</v>
      </c>
      <c r="F1212" s="594" t="s">
        <v>218</v>
      </c>
      <c r="G1212" s="602">
        <v>1288</v>
      </c>
      <c r="H1212" s="602">
        <v>5</v>
      </c>
      <c r="I1212" s="602">
        <v>6</v>
      </c>
      <c r="J1212" s="602">
        <v>96</v>
      </c>
      <c r="K1212" s="679" t="s">
        <v>226</v>
      </c>
      <c r="L1212" s="746">
        <f t="shared" si="154"/>
        <v>7890969</v>
      </c>
      <c r="M1212" s="585">
        <v>7858134</v>
      </c>
      <c r="N1212" s="586">
        <v>32835</v>
      </c>
      <c r="O1212" s="587"/>
      <c r="P1212" s="586"/>
      <c r="Q1212" s="586"/>
      <c r="R1212" s="599">
        <f>M1212/E1212</f>
        <v>2475.782608695652</v>
      </c>
      <c r="S1212" s="564">
        <f t="shared" si="155"/>
        <v>0</v>
      </c>
      <c r="T1212" s="593"/>
      <c r="U1212" s="591"/>
      <c r="V1212" s="593"/>
      <c r="W1212" s="593"/>
      <c r="X1212" s="593"/>
      <c r="Y1212" s="593"/>
      <c r="Z1212" s="593"/>
    </row>
    <row r="1213" spans="1:26" s="249" customFormat="1" hidden="1">
      <c r="A1213" s="580">
        <f t="shared" si="156"/>
        <v>69</v>
      </c>
      <c r="B1213" s="909" t="s">
        <v>3588</v>
      </c>
      <c r="C1213" s="582" t="s">
        <v>217</v>
      </c>
      <c r="D1213" s="582">
        <v>11806</v>
      </c>
      <c r="E1213" s="582">
        <v>2107</v>
      </c>
      <c r="F1213" s="582" t="s">
        <v>233</v>
      </c>
      <c r="G1213" s="582">
        <v>755</v>
      </c>
      <c r="H1213" s="582">
        <v>5</v>
      </c>
      <c r="I1213" s="582">
        <v>4</v>
      </c>
      <c r="J1213" s="582">
        <v>60</v>
      </c>
      <c r="K1213" s="903" t="s">
        <v>33</v>
      </c>
      <c r="L1213" s="746">
        <f t="shared" si="154"/>
        <v>3554262.18</v>
      </c>
      <c r="M1213" s="585">
        <f>3319101.6+196655.58</f>
        <v>3515757.18</v>
      </c>
      <c r="N1213" s="586">
        <v>38505</v>
      </c>
      <c r="O1213" s="587"/>
      <c r="P1213" s="586"/>
      <c r="Q1213" s="586"/>
      <c r="R1213" s="582">
        <f>M1213/G1213</f>
        <v>4656.6320264900669</v>
      </c>
      <c r="S1213" s="564">
        <f t="shared" si="155"/>
        <v>0</v>
      </c>
      <c r="T1213" s="588"/>
      <c r="U1213" s="591"/>
      <c r="V1213" s="590"/>
      <c r="W1213" s="590"/>
      <c r="X1213" s="590"/>
      <c r="Y1213" s="590"/>
      <c r="Z1213" s="590"/>
    </row>
    <row r="1214" spans="1:26" s="249" customFormat="1" hidden="1">
      <c r="A1214" s="580">
        <f t="shared" si="156"/>
        <v>70</v>
      </c>
      <c r="B1214" s="592" t="s">
        <v>3589</v>
      </c>
      <c r="C1214" s="910" t="s">
        <v>221</v>
      </c>
      <c r="D1214" s="582">
        <v>2622.4137931034484</v>
      </c>
      <c r="E1214" s="582">
        <v>468</v>
      </c>
      <c r="F1214" s="786" t="s">
        <v>218</v>
      </c>
      <c r="G1214" s="786">
        <v>1050</v>
      </c>
      <c r="H1214" s="786">
        <v>5</v>
      </c>
      <c r="I1214" s="786">
        <v>4</v>
      </c>
      <c r="J1214" s="786">
        <v>56</v>
      </c>
      <c r="K1214" s="903" t="s">
        <v>33</v>
      </c>
      <c r="L1214" s="746">
        <f t="shared" si="154"/>
        <v>4478496.33</v>
      </c>
      <c r="M1214" s="585">
        <f>4059000+386661.33</f>
        <v>4445661.33</v>
      </c>
      <c r="N1214" s="586">
        <v>32835</v>
      </c>
      <c r="O1214" s="587"/>
      <c r="P1214" s="586"/>
      <c r="Q1214" s="586"/>
      <c r="R1214" s="582">
        <f>M1214/G1214</f>
        <v>4233.9631714285715</v>
      </c>
      <c r="S1214" s="564">
        <f t="shared" si="155"/>
        <v>0</v>
      </c>
      <c r="T1214" s="588"/>
      <c r="U1214" s="591"/>
      <c r="V1214" s="590"/>
      <c r="W1214" s="590"/>
      <c r="X1214" s="590"/>
      <c r="Y1214" s="590"/>
      <c r="Z1214" s="590"/>
    </row>
    <row r="1215" spans="1:26" s="249" customFormat="1" ht="37.5" hidden="1">
      <c r="A1215" s="580">
        <f t="shared" si="156"/>
        <v>71</v>
      </c>
      <c r="B1215" s="909" t="s">
        <v>3590</v>
      </c>
      <c r="C1215" s="910" t="s">
        <v>3591</v>
      </c>
      <c r="D1215" s="582">
        <v>4713</v>
      </c>
      <c r="E1215" s="582">
        <v>841</v>
      </c>
      <c r="F1215" s="582" t="s">
        <v>233</v>
      </c>
      <c r="G1215" s="582">
        <v>1172</v>
      </c>
      <c r="H1215" s="582">
        <v>5</v>
      </c>
      <c r="I1215" s="582">
        <v>1</v>
      </c>
      <c r="J1215" s="582">
        <v>169</v>
      </c>
      <c r="K1215" s="903" t="s">
        <v>33</v>
      </c>
      <c r="L1215" s="746">
        <f t="shared" si="154"/>
        <v>4680624.5599999996</v>
      </c>
      <c r="M1215" s="585">
        <v>4641948.5599999996</v>
      </c>
      <c r="N1215" s="586">
        <v>38676.000000000007</v>
      </c>
      <c r="O1215" s="587"/>
      <c r="P1215" s="586"/>
      <c r="Q1215" s="586"/>
      <c r="R1215" s="582">
        <f>M1215/G1215</f>
        <v>3960.7069624573373</v>
      </c>
      <c r="S1215" s="564">
        <f t="shared" si="155"/>
        <v>-7.2759576141834259E-12</v>
      </c>
      <c r="T1215" s="588"/>
      <c r="U1215" s="591"/>
      <c r="V1215" s="590"/>
      <c r="W1215" s="590"/>
      <c r="X1215" s="590"/>
      <c r="Y1215" s="590"/>
      <c r="Z1215" s="590"/>
    </row>
    <row r="1216" spans="1:26" s="249" customFormat="1" ht="37.5" hidden="1">
      <c r="A1216" s="580">
        <f t="shared" si="156"/>
        <v>72</v>
      </c>
      <c r="B1216" s="909" t="s">
        <v>3592</v>
      </c>
      <c r="C1216" s="910" t="s">
        <v>298</v>
      </c>
      <c r="D1216" s="582">
        <v>13257.758620689656</v>
      </c>
      <c r="E1216" s="582">
        <v>2366</v>
      </c>
      <c r="F1216" s="582" t="s">
        <v>218</v>
      </c>
      <c r="G1216" s="582">
        <v>953</v>
      </c>
      <c r="H1216" s="582">
        <v>4</v>
      </c>
      <c r="I1216" s="582">
        <v>4</v>
      </c>
      <c r="J1216" s="582">
        <v>60</v>
      </c>
      <c r="K1216" s="679" t="s">
        <v>30</v>
      </c>
      <c r="L1216" s="746">
        <f t="shared" si="154"/>
        <v>1616735.7</v>
      </c>
      <c r="M1216" s="585">
        <v>1611900</v>
      </c>
      <c r="N1216" s="586"/>
      <c r="O1216" s="587">
        <v>4835.7</v>
      </c>
      <c r="P1216" s="586"/>
      <c r="Q1216" s="586"/>
      <c r="R1216" s="561">
        <f>M1216/J1216</f>
        <v>26865</v>
      </c>
      <c r="S1216" s="564">
        <f t="shared" si="155"/>
        <v>-4.638422979041934E-11</v>
      </c>
      <c r="T1216" s="588"/>
      <c r="U1216" s="591"/>
      <c r="V1216" s="590"/>
      <c r="W1216" s="590"/>
      <c r="X1216" s="590"/>
      <c r="Y1216" s="590"/>
      <c r="Z1216" s="590"/>
    </row>
    <row r="1217" spans="1:26" s="249" customFormat="1" ht="37.5" hidden="1">
      <c r="A1217" s="580">
        <f t="shared" si="156"/>
        <v>73</v>
      </c>
      <c r="B1217" s="909" t="s">
        <v>3897</v>
      </c>
      <c r="C1217" s="910" t="s">
        <v>298</v>
      </c>
      <c r="D1217" s="582">
        <f t="shared" ref="D1217:D1225" si="157">E1217/1.16/2*13</f>
        <v>14356.034482758621</v>
      </c>
      <c r="E1217" s="582">
        <v>2562</v>
      </c>
      <c r="F1217" s="582" t="s">
        <v>218</v>
      </c>
      <c r="G1217" s="582">
        <v>793</v>
      </c>
      <c r="H1217" s="582">
        <v>7</v>
      </c>
      <c r="I1217" s="582">
        <v>2</v>
      </c>
      <c r="J1217" s="582">
        <v>86</v>
      </c>
      <c r="K1217" s="679" t="s">
        <v>219</v>
      </c>
      <c r="L1217" s="746">
        <f t="shared" si="154"/>
        <v>4081468.75</v>
      </c>
      <c r="M1217" s="585">
        <v>3980000</v>
      </c>
      <c r="N1217" s="586">
        <v>101468.75</v>
      </c>
      <c r="O1217" s="587"/>
      <c r="P1217" s="586"/>
      <c r="Q1217" s="586"/>
      <c r="R1217" s="901">
        <f>M1217/I1217</f>
        <v>1990000</v>
      </c>
      <c r="S1217" s="564">
        <f t="shared" si="155"/>
        <v>0</v>
      </c>
      <c r="T1217" s="588"/>
      <c r="U1217" s="591"/>
      <c r="V1217" s="590"/>
      <c r="W1217" s="590"/>
      <c r="X1217" s="590"/>
      <c r="Y1217" s="590"/>
      <c r="Z1217" s="590"/>
    </row>
    <row r="1218" spans="1:26" s="249" customFormat="1" ht="37.5" hidden="1">
      <c r="A1218" s="580">
        <f t="shared" si="156"/>
        <v>74</v>
      </c>
      <c r="B1218" s="909" t="s">
        <v>3896</v>
      </c>
      <c r="C1218" s="910" t="s">
        <v>298</v>
      </c>
      <c r="D1218" s="582">
        <f t="shared" si="157"/>
        <v>26182.784482758623</v>
      </c>
      <c r="E1218" s="582">
        <v>4672.62</v>
      </c>
      <c r="F1218" s="582" t="s">
        <v>218</v>
      </c>
      <c r="G1218" s="582">
        <v>810</v>
      </c>
      <c r="H1218" s="582">
        <v>9</v>
      </c>
      <c r="I1218" s="582">
        <v>3</v>
      </c>
      <c r="J1218" s="582">
        <v>108</v>
      </c>
      <c r="K1218" s="679" t="s">
        <v>219</v>
      </c>
      <c r="L1218" s="746">
        <f t="shared" si="154"/>
        <v>6091762.5</v>
      </c>
      <c r="M1218" s="585">
        <v>5970000</v>
      </c>
      <c r="N1218" s="586">
        <v>121762.5</v>
      </c>
      <c r="O1218" s="587"/>
      <c r="P1218" s="586"/>
      <c r="Q1218" s="586"/>
      <c r="R1218" s="901">
        <f>M1218/I1218</f>
        <v>1990000</v>
      </c>
      <c r="S1218" s="564">
        <f t="shared" si="155"/>
        <v>0</v>
      </c>
      <c r="T1218" s="588"/>
      <c r="U1218" s="591"/>
      <c r="V1218" s="590"/>
      <c r="W1218" s="590"/>
      <c r="X1218" s="590"/>
      <c r="Y1218" s="590"/>
      <c r="Z1218" s="590"/>
    </row>
    <row r="1219" spans="1:26" s="249" customFormat="1" ht="37.5" hidden="1">
      <c r="A1219" s="580">
        <f t="shared" si="156"/>
        <v>75</v>
      </c>
      <c r="B1219" s="909" t="s">
        <v>3895</v>
      </c>
      <c r="C1219" s="910" t="s">
        <v>298</v>
      </c>
      <c r="D1219" s="582">
        <f t="shared" si="157"/>
        <v>26182.672413793109</v>
      </c>
      <c r="E1219" s="582">
        <v>4672.6000000000004</v>
      </c>
      <c r="F1219" s="582" t="s">
        <v>218</v>
      </c>
      <c r="G1219" s="582">
        <v>815</v>
      </c>
      <c r="H1219" s="582">
        <v>9</v>
      </c>
      <c r="I1219" s="582">
        <v>3</v>
      </c>
      <c r="J1219" s="582">
        <v>108</v>
      </c>
      <c r="K1219" s="679" t="s">
        <v>219</v>
      </c>
      <c r="L1219" s="746">
        <f t="shared" si="154"/>
        <v>6091762.5</v>
      </c>
      <c r="M1219" s="585">
        <v>5970000</v>
      </c>
      <c r="N1219" s="586">
        <v>121762.5</v>
      </c>
      <c r="O1219" s="587"/>
      <c r="P1219" s="586"/>
      <c r="Q1219" s="586"/>
      <c r="R1219" s="901">
        <f>M1219/I1219</f>
        <v>1990000</v>
      </c>
      <c r="S1219" s="564">
        <f t="shared" si="155"/>
        <v>0</v>
      </c>
      <c r="T1219" s="588"/>
      <c r="U1219" s="591"/>
      <c r="V1219" s="590"/>
      <c r="W1219" s="590"/>
      <c r="X1219" s="590"/>
      <c r="Y1219" s="590"/>
      <c r="Z1219" s="590"/>
    </row>
    <row r="1220" spans="1:26" s="249" customFormat="1" ht="37.5" hidden="1">
      <c r="A1220" s="580">
        <f t="shared" si="156"/>
        <v>76</v>
      </c>
      <c r="B1220" s="909" t="s">
        <v>2164</v>
      </c>
      <c r="C1220" s="910" t="s">
        <v>298</v>
      </c>
      <c r="D1220" s="582">
        <f t="shared" si="157"/>
        <v>80577.586206896551</v>
      </c>
      <c r="E1220" s="582">
        <v>14380</v>
      </c>
      <c r="F1220" s="582" t="s">
        <v>218</v>
      </c>
      <c r="G1220" s="582">
        <v>3570.1</v>
      </c>
      <c r="H1220" s="582">
        <v>9</v>
      </c>
      <c r="I1220" s="582">
        <v>11</v>
      </c>
      <c r="J1220" s="582">
        <v>415</v>
      </c>
      <c r="K1220" s="679" t="s">
        <v>219</v>
      </c>
      <c r="L1220" s="746">
        <f t="shared" si="154"/>
        <v>10112350</v>
      </c>
      <c r="M1220" s="585">
        <v>9950000</v>
      </c>
      <c r="N1220" s="586">
        <v>162350</v>
      </c>
      <c r="O1220" s="587"/>
      <c r="P1220" s="586"/>
      <c r="Q1220" s="586"/>
      <c r="R1220" s="901">
        <f>M1220/5</f>
        <v>1990000</v>
      </c>
      <c r="S1220" s="564">
        <f t="shared" si="155"/>
        <v>0</v>
      </c>
      <c r="T1220" s="588"/>
      <c r="U1220" s="591"/>
      <c r="V1220" s="590"/>
      <c r="W1220" s="590"/>
      <c r="X1220" s="590"/>
      <c r="Y1220" s="590"/>
      <c r="Z1220" s="590"/>
    </row>
    <row r="1221" spans="1:26" s="249" customFormat="1" ht="37.5" hidden="1">
      <c r="A1221" s="580">
        <f t="shared" si="156"/>
        <v>77</v>
      </c>
      <c r="B1221" s="909" t="s">
        <v>3893</v>
      </c>
      <c r="C1221" s="910" t="s">
        <v>298</v>
      </c>
      <c r="D1221" s="582">
        <f t="shared" si="157"/>
        <v>34181.034482758623</v>
      </c>
      <c r="E1221" s="582">
        <v>6100</v>
      </c>
      <c r="F1221" s="582" t="s">
        <v>218</v>
      </c>
      <c r="G1221" s="582">
        <v>1360.3</v>
      </c>
      <c r="H1221" s="582">
        <v>9</v>
      </c>
      <c r="I1221" s="582">
        <v>4</v>
      </c>
      <c r="J1221" s="582">
        <v>145</v>
      </c>
      <c r="K1221" s="679" t="s">
        <v>219</v>
      </c>
      <c r="L1221" s="746">
        <f t="shared" si="154"/>
        <v>8102056.25</v>
      </c>
      <c r="M1221" s="585">
        <v>7960000</v>
      </c>
      <c r="N1221" s="586">
        <v>142056.25</v>
      </c>
      <c r="O1221" s="587"/>
      <c r="P1221" s="586"/>
      <c r="Q1221" s="586"/>
      <c r="R1221" s="901">
        <f>M1221/I1221</f>
        <v>1990000</v>
      </c>
      <c r="S1221" s="564">
        <f t="shared" si="155"/>
        <v>0</v>
      </c>
      <c r="T1221" s="588"/>
      <c r="U1221" s="591"/>
      <c r="V1221" s="590"/>
      <c r="W1221" s="590"/>
      <c r="X1221" s="590"/>
      <c r="Y1221" s="590"/>
      <c r="Z1221" s="590"/>
    </row>
    <row r="1222" spans="1:26" s="249" customFormat="1" ht="37.5" hidden="1">
      <c r="A1222" s="580">
        <f t="shared" si="156"/>
        <v>78</v>
      </c>
      <c r="B1222" s="909" t="s">
        <v>3892</v>
      </c>
      <c r="C1222" s="910" t="s">
        <v>298</v>
      </c>
      <c r="D1222" s="582">
        <f t="shared" si="157"/>
        <v>55485.34482758621</v>
      </c>
      <c r="E1222" s="582">
        <v>9902</v>
      </c>
      <c r="F1222" s="582" t="s">
        <v>218</v>
      </c>
      <c r="G1222" s="582">
        <v>1755</v>
      </c>
      <c r="H1222" s="582">
        <v>9</v>
      </c>
      <c r="I1222" s="582">
        <v>5</v>
      </c>
      <c r="J1222" s="582">
        <v>182</v>
      </c>
      <c r="K1222" s="679" t="s">
        <v>219</v>
      </c>
      <c r="L1222" s="746">
        <f t="shared" si="154"/>
        <v>10112350</v>
      </c>
      <c r="M1222" s="585">
        <v>9950000</v>
      </c>
      <c r="N1222" s="586">
        <v>162350</v>
      </c>
      <c r="O1222" s="587"/>
      <c r="P1222" s="586"/>
      <c r="Q1222" s="586"/>
      <c r="R1222" s="901">
        <f>M1222/I1222</f>
        <v>1990000</v>
      </c>
      <c r="S1222" s="564">
        <f t="shared" si="155"/>
        <v>0</v>
      </c>
      <c r="T1222" s="588"/>
      <c r="U1222" s="591"/>
      <c r="V1222" s="590"/>
      <c r="W1222" s="590"/>
      <c r="X1222" s="590"/>
      <c r="Y1222" s="590"/>
      <c r="Z1222" s="590"/>
    </row>
    <row r="1223" spans="1:26" s="249" customFormat="1" ht="37.5" hidden="1">
      <c r="A1223" s="580">
        <f t="shared" si="156"/>
        <v>79</v>
      </c>
      <c r="B1223" s="909" t="s">
        <v>3556</v>
      </c>
      <c r="C1223" s="910" t="s">
        <v>298</v>
      </c>
      <c r="D1223" s="582">
        <f t="shared" si="157"/>
        <v>19992.150862068967</v>
      </c>
      <c r="E1223" s="582">
        <v>3567.83</v>
      </c>
      <c r="F1223" s="582" t="s">
        <v>218</v>
      </c>
      <c r="G1223" s="582">
        <v>847</v>
      </c>
      <c r="H1223" s="582">
        <v>9</v>
      </c>
      <c r="I1223" s="582">
        <v>2</v>
      </c>
      <c r="J1223" s="582">
        <v>102</v>
      </c>
      <c r="K1223" s="679" t="s">
        <v>219</v>
      </c>
      <c r="L1223" s="746">
        <f t="shared" si="154"/>
        <v>4081468.75</v>
      </c>
      <c r="M1223" s="585">
        <v>3980000</v>
      </c>
      <c r="N1223" s="586">
        <v>101468.75</v>
      </c>
      <c r="O1223" s="587"/>
      <c r="P1223" s="586"/>
      <c r="Q1223" s="586"/>
      <c r="R1223" s="901">
        <f>M1223/I1223</f>
        <v>1990000</v>
      </c>
      <c r="S1223" s="564">
        <f t="shared" si="155"/>
        <v>0</v>
      </c>
      <c r="T1223" s="588"/>
      <c r="U1223" s="591"/>
      <c r="V1223" s="590"/>
      <c r="W1223" s="590"/>
      <c r="X1223" s="590"/>
      <c r="Y1223" s="590"/>
      <c r="Z1223" s="590"/>
    </row>
    <row r="1224" spans="1:26" s="249" customFormat="1" ht="37.5" hidden="1">
      <c r="A1224" s="580">
        <f t="shared" si="156"/>
        <v>80</v>
      </c>
      <c r="B1224" s="909" t="s">
        <v>3891</v>
      </c>
      <c r="C1224" s="910" t="s">
        <v>298</v>
      </c>
      <c r="D1224" s="582">
        <f t="shared" si="157"/>
        <v>13420.258620689654</v>
      </c>
      <c r="E1224" s="582">
        <v>2395</v>
      </c>
      <c r="F1224" s="582" t="s">
        <v>233</v>
      </c>
      <c r="G1224" s="582">
        <v>1010</v>
      </c>
      <c r="H1224" s="582">
        <v>12</v>
      </c>
      <c r="I1224" s="582">
        <v>1</v>
      </c>
      <c r="J1224" s="582">
        <v>62</v>
      </c>
      <c r="K1224" s="679" t="s">
        <v>219</v>
      </c>
      <c r="L1224" s="746">
        <f t="shared" si="154"/>
        <v>4479468.75</v>
      </c>
      <c r="M1224" s="585">
        <v>4378000</v>
      </c>
      <c r="N1224" s="586">
        <v>101468.75</v>
      </c>
      <c r="O1224" s="587"/>
      <c r="P1224" s="586"/>
      <c r="Q1224" s="586"/>
      <c r="R1224" s="561">
        <v>2200000</v>
      </c>
      <c r="S1224" s="564">
        <f t="shared" si="155"/>
        <v>0</v>
      </c>
      <c r="T1224" s="588"/>
      <c r="U1224" s="591"/>
      <c r="V1224" s="590"/>
      <c r="W1224" s="590"/>
      <c r="X1224" s="590"/>
      <c r="Y1224" s="590"/>
      <c r="Z1224" s="590"/>
    </row>
    <row r="1225" spans="1:26" s="249" customFormat="1" ht="37.5" hidden="1">
      <c r="A1225" s="580">
        <f t="shared" si="156"/>
        <v>81</v>
      </c>
      <c r="B1225" s="909" t="s">
        <v>3894</v>
      </c>
      <c r="C1225" s="910" t="s">
        <v>217</v>
      </c>
      <c r="D1225" s="582">
        <f t="shared" si="157"/>
        <v>25054.698275862072</v>
      </c>
      <c r="E1225" s="582">
        <v>4471.3</v>
      </c>
      <c r="F1225" s="582" t="s">
        <v>233</v>
      </c>
      <c r="G1225" s="582">
        <v>966</v>
      </c>
      <c r="H1225" s="582">
        <v>9</v>
      </c>
      <c r="I1225" s="582">
        <v>3</v>
      </c>
      <c r="J1225" s="582">
        <v>108</v>
      </c>
      <c r="K1225" s="679" t="s">
        <v>219</v>
      </c>
      <c r="L1225" s="746">
        <f t="shared" si="154"/>
        <v>6091762.5</v>
      </c>
      <c r="M1225" s="585">
        <v>5970000</v>
      </c>
      <c r="N1225" s="586">
        <v>121762.5</v>
      </c>
      <c r="O1225" s="587"/>
      <c r="P1225" s="586"/>
      <c r="Q1225" s="586"/>
      <c r="R1225" s="901">
        <f>M1225/I1225</f>
        <v>1990000</v>
      </c>
      <c r="S1225" s="564">
        <f t="shared" si="155"/>
        <v>0</v>
      </c>
      <c r="T1225" s="588"/>
      <c r="U1225" s="591"/>
      <c r="V1225" s="590"/>
      <c r="W1225" s="590"/>
      <c r="X1225" s="590"/>
      <c r="Y1225" s="590"/>
      <c r="Z1225" s="590"/>
    </row>
    <row r="1226" spans="1:26" s="28" customFormat="1" ht="37.5" hidden="1">
      <c r="A1226" s="580">
        <f t="shared" si="156"/>
        <v>82</v>
      </c>
      <c r="B1226" s="592" t="s">
        <v>3890</v>
      </c>
      <c r="C1226" s="593" t="s">
        <v>314</v>
      </c>
      <c r="D1226" s="905">
        <v>13650</v>
      </c>
      <c r="E1226" s="594">
        <v>2490</v>
      </c>
      <c r="F1226" s="593" t="s">
        <v>233</v>
      </c>
      <c r="G1226" s="594">
        <v>910</v>
      </c>
      <c r="H1226" s="594">
        <v>5</v>
      </c>
      <c r="I1226" s="594">
        <v>3</v>
      </c>
      <c r="J1226" s="594">
        <v>161</v>
      </c>
      <c r="K1226" s="590" t="s">
        <v>30</v>
      </c>
      <c r="L1226" s="746">
        <f t="shared" si="154"/>
        <v>2465156.79</v>
      </c>
      <c r="M1226" s="882">
        <v>2452245.67</v>
      </c>
      <c r="N1226" s="586"/>
      <c r="O1226" s="587">
        <v>12911.12</v>
      </c>
      <c r="P1226" s="586"/>
      <c r="Q1226" s="586"/>
      <c r="R1226" s="582">
        <f>M1226/J1226</f>
        <v>15231.339565217391</v>
      </c>
      <c r="S1226" s="564">
        <f t="shared" si="155"/>
        <v>1.1095835361629725E-10</v>
      </c>
      <c r="T1226" s="911"/>
      <c r="U1226" s="586"/>
      <c r="V1226" s="592"/>
      <c r="W1226" s="592"/>
      <c r="X1226" s="592"/>
      <c r="Y1226" s="592"/>
      <c r="Z1226" s="592"/>
    </row>
    <row r="1227" spans="1:26" s="89" customFormat="1" ht="37.5" hidden="1">
      <c r="A1227" s="580">
        <f t="shared" si="156"/>
        <v>83</v>
      </c>
      <c r="B1227" s="616" t="s">
        <v>2189</v>
      </c>
      <c r="C1227" s="593" t="s">
        <v>298</v>
      </c>
      <c r="D1227" s="895">
        <f>E1227/1.16/2*13</f>
        <v>11418.931034482759</v>
      </c>
      <c r="E1227" s="602">
        <v>2037.84</v>
      </c>
      <c r="F1227" s="593" t="s">
        <v>218</v>
      </c>
      <c r="G1227" s="602">
        <v>918.9</v>
      </c>
      <c r="H1227" s="602">
        <v>5</v>
      </c>
      <c r="I1227" s="602">
        <v>4</v>
      </c>
      <c r="J1227" s="602">
        <v>70</v>
      </c>
      <c r="K1227" s="606" t="s">
        <v>30</v>
      </c>
      <c r="L1227" s="584">
        <f>SUM(M1227:Q1227)</f>
        <v>2121252.5</v>
      </c>
      <c r="M1227" s="912">
        <v>2079000</v>
      </c>
      <c r="N1227" s="893"/>
      <c r="O1227" s="631">
        <v>14890</v>
      </c>
      <c r="P1227" s="586"/>
      <c r="Q1227" s="586">
        <v>27362.5</v>
      </c>
      <c r="R1227" s="582">
        <f>M1227/J1227</f>
        <v>29700</v>
      </c>
      <c r="S1227" s="575">
        <f t="shared" si="155"/>
        <v>0</v>
      </c>
      <c r="T1227" s="592"/>
      <c r="U1227" s="591"/>
      <c r="V1227" s="589"/>
      <c r="W1227" s="592"/>
      <c r="X1227" s="592"/>
      <c r="Y1227" s="592"/>
      <c r="Z1227" s="592"/>
    </row>
    <row r="1228" spans="1:26" s="107" customFormat="1" ht="37.5" hidden="1">
      <c r="A1228" s="580">
        <f t="shared" si="156"/>
        <v>84</v>
      </c>
      <c r="B1228" s="592" t="s">
        <v>2218</v>
      </c>
      <c r="C1228" s="593" t="s">
        <v>298</v>
      </c>
      <c r="D1228" s="913">
        <f>E1228/1.16/2*13</f>
        <v>3749.0431034482754</v>
      </c>
      <c r="E1228" s="608">
        <v>669.06</v>
      </c>
      <c r="F1228" s="594" t="s">
        <v>251</v>
      </c>
      <c r="G1228" s="608">
        <v>693</v>
      </c>
      <c r="H1228" s="608">
        <v>2</v>
      </c>
      <c r="I1228" s="608">
        <v>2</v>
      </c>
      <c r="J1228" s="608">
        <v>14</v>
      </c>
      <c r="K1228" s="606" t="s">
        <v>33</v>
      </c>
      <c r="L1228" s="562">
        <f>SUM(M1228:Q1228)</f>
        <v>2436265.94</v>
      </c>
      <c r="M1228" s="623">
        <v>2388000</v>
      </c>
      <c r="N1228" s="564">
        <v>30000</v>
      </c>
      <c r="O1228" s="565"/>
      <c r="P1228" s="564"/>
      <c r="Q1228" s="586">
        <v>18265.939999999999</v>
      </c>
      <c r="R1228" s="582">
        <f>M1228/G1228</f>
        <v>3445.8874458874457</v>
      </c>
      <c r="S1228" s="575">
        <f t="shared" si="155"/>
        <v>-5.4569682106375694E-11</v>
      </c>
      <c r="T1228" s="593"/>
      <c r="U1228" s="591"/>
      <c r="V1228" s="589"/>
      <c r="W1228" s="593"/>
      <c r="X1228" s="593"/>
      <c r="Y1228" s="593"/>
      <c r="Z1228" s="593"/>
    </row>
    <row r="1229" spans="1:26" s="107" customFormat="1" ht="37.5" hidden="1">
      <c r="A1229" s="580">
        <f t="shared" si="156"/>
        <v>85</v>
      </c>
      <c r="B1229" s="592" t="s">
        <v>2233</v>
      </c>
      <c r="C1229" s="593" t="s">
        <v>298</v>
      </c>
      <c r="D1229" s="913">
        <f>E1229/1.16/2*13</f>
        <v>4242.5948275862074</v>
      </c>
      <c r="E1229" s="608">
        <v>757.14</v>
      </c>
      <c r="F1229" s="594" t="s">
        <v>251</v>
      </c>
      <c r="G1229" s="608">
        <v>793</v>
      </c>
      <c r="H1229" s="608">
        <v>2</v>
      </c>
      <c r="I1229" s="608">
        <v>2</v>
      </c>
      <c r="J1229" s="599">
        <v>12</v>
      </c>
      <c r="K1229" s="606" t="s">
        <v>30</v>
      </c>
      <c r="L1229" s="562">
        <f>SUM(M1229:Q1229)</f>
        <v>459985.4</v>
      </c>
      <c r="M1229" s="623">
        <v>427850</v>
      </c>
      <c r="N1229" s="586"/>
      <c r="O1229" s="631">
        <v>10802</v>
      </c>
      <c r="P1229" s="586"/>
      <c r="Q1229" s="586">
        <v>21333.4</v>
      </c>
      <c r="R1229" s="582">
        <f>M1229/J1229</f>
        <v>35654.166666666664</v>
      </c>
      <c r="S1229" s="575">
        <f t="shared" si="155"/>
        <v>0</v>
      </c>
      <c r="T1229" s="593"/>
      <c r="U1229" s="591"/>
      <c r="V1229" s="589"/>
      <c r="W1229" s="593"/>
      <c r="X1229" s="593"/>
      <c r="Y1229" s="593"/>
      <c r="Z1229" s="593"/>
    </row>
    <row r="1230" spans="1:26" s="28" customFormat="1" hidden="1">
      <c r="A1230" s="1349" t="s">
        <v>167</v>
      </c>
      <c r="B1230" s="1349"/>
      <c r="C1230" s="582" t="s">
        <v>28</v>
      </c>
      <c r="D1230" s="586">
        <f>SUM(D1144:D1229)</f>
        <v>1271157.0474137934</v>
      </c>
      <c r="E1230" s="586">
        <f>SUM(E1144:E1229)</f>
        <v>238990.71</v>
      </c>
      <c r="F1230" s="582" t="s">
        <v>28</v>
      </c>
      <c r="G1230" s="586">
        <f>SUM(G1144:G1229)</f>
        <v>98153.5</v>
      </c>
      <c r="H1230" s="582" t="s">
        <v>28</v>
      </c>
      <c r="I1230" s="582" t="s">
        <v>28</v>
      </c>
      <c r="J1230" s="582">
        <f>SUM(J1144:J1229)</f>
        <v>7580</v>
      </c>
      <c r="K1230" s="590" t="s">
        <v>28</v>
      </c>
      <c r="L1230" s="584">
        <f t="shared" ref="L1230:Q1230" si="158">SUM(L1144:L1229)</f>
        <v>316242546.92000008</v>
      </c>
      <c r="M1230" s="585">
        <f t="shared" si="158"/>
        <v>313674312.04000002</v>
      </c>
      <c r="N1230" s="586">
        <f t="shared" si="158"/>
        <v>2062239.13</v>
      </c>
      <c r="O1230" s="587">
        <f t="shared" si="158"/>
        <v>439033.91</v>
      </c>
      <c r="P1230" s="586">
        <f t="shared" si="158"/>
        <v>0</v>
      </c>
      <c r="Q1230" s="586">
        <f t="shared" si="158"/>
        <v>66961.84</v>
      </c>
      <c r="R1230" s="582" t="s">
        <v>28</v>
      </c>
      <c r="S1230" s="564">
        <f t="shared" si="155"/>
        <v>5.4977135732769966E-8</v>
      </c>
      <c r="T1230" s="577">
        <f>'1.перечень МКД'!M105</f>
        <v>316242546.92000008</v>
      </c>
      <c r="U1230" s="589">
        <f>L1230-T1230</f>
        <v>0</v>
      </c>
      <c r="V1230" s="578"/>
      <c r="W1230" s="578"/>
      <c r="X1230" s="592"/>
      <c r="Y1230" s="592"/>
      <c r="Z1230" s="592"/>
    </row>
    <row r="1231" spans="1:26" s="28" customFormat="1" hidden="1">
      <c r="A1231" s="1347" t="s">
        <v>168</v>
      </c>
      <c r="B1231" s="1347"/>
      <c r="C1231" s="1347"/>
      <c r="D1231" s="1347"/>
      <c r="E1231" s="1347"/>
      <c r="F1231" s="1347"/>
      <c r="G1231" s="1347"/>
      <c r="H1231" s="1347"/>
      <c r="I1231" s="1347"/>
      <c r="J1231" s="1347"/>
      <c r="K1231" s="1347"/>
      <c r="L1231" s="1347"/>
      <c r="M1231" s="1347"/>
      <c r="N1231" s="1347"/>
      <c r="O1231" s="1347"/>
      <c r="P1231" s="1347"/>
      <c r="Q1231" s="1347"/>
      <c r="R1231" s="1347"/>
      <c r="S1231" s="564"/>
      <c r="T1231" s="577"/>
      <c r="U1231" s="591"/>
      <c r="V1231" s="589"/>
      <c r="W1231" s="592"/>
      <c r="X1231" s="592"/>
      <c r="Y1231" s="592"/>
      <c r="Z1231" s="592"/>
    </row>
    <row r="1232" spans="1:26" s="28" customFormat="1" hidden="1">
      <c r="A1232" s="580">
        <v>1</v>
      </c>
      <c r="B1232" s="592" t="s">
        <v>1290</v>
      </c>
      <c r="C1232" s="902" t="s">
        <v>217</v>
      </c>
      <c r="D1232" s="593"/>
      <c r="E1232" s="593"/>
      <c r="F1232" s="582" t="s">
        <v>233</v>
      </c>
      <c r="G1232" s="914">
        <v>1235.5</v>
      </c>
      <c r="H1232" s="593">
        <v>9</v>
      </c>
      <c r="I1232" s="593">
        <v>4</v>
      </c>
      <c r="J1232" s="582">
        <v>144</v>
      </c>
      <c r="K1232" s="903" t="s">
        <v>33</v>
      </c>
      <c r="L1232" s="584">
        <f t="shared" ref="L1232:L1241" si="159">SUM(M1232:Q1232)</f>
        <v>2183929.31</v>
      </c>
      <c r="M1232" s="585">
        <v>2176922.52</v>
      </c>
      <c r="N1232" s="586"/>
      <c r="O1232" s="587">
        <v>7006.79</v>
      </c>
      <c r="P1232" s="586"/>
      <c r="Q1232" s="586"/>
      <c r="R1232" s="582">
        <f>M1232/G1232</f>
        <v>1761.9769486038042</v>
      </c>
      <c r="S1232" s="592"/>
      <c r="T1232" s="592"/>
      <c r="U1232" s="591"/>
      <c r="V1232" s="589"/>
      <c r="W1232" s="592"/>
      <c r="X1232" s="592"/>
      <c r="Y1232" s="592"/>
      <c r="Z1232" s="592"/>
    </row>
    <row r="1233" spans="1:26" s="28" customFormat="1" hidden="1">
      <c r="A1233" s="580">
        <f>A1232+1</f>
        <v>2</v>
      </c>
      <c r="B1233" s="592" t="s">
        <v>1291</v>
      </c>
      <c r="C1233" s="902" t="s">
        <v>217</v>
      </c>
      <c r="D1233" s="593"/>
      <c r="E1233" s="593"/>
      <c r="F1233" s="582" t="s">
        <v>233</v>
      </c>
      <c r="G1233" s="914">
        <v>1106.7</v>
      </c>
      <c r="H1233" s="593">
        <v>5</v>
      </c>
      <c r="I1233" s="593">
        <v>4</v>
      </c>
      <c r="J1233" s="582">
        <v>62</v>
      </c>
      <c r="K1233" s="903" t="s">
        <v>33</v>
      </c>
      <c r="L1233" s="584">
        <f t="shared" si="159"/>
        <v>2008421.39</v>
      </c>
      <c r="M1233" s="585">
        <v>2002144.93</v>
      </c>
      <c r="N1233" s="586"/>
      <c r="O1233" s="587">
        <v>6276.46</v>
      </c>
      <c r="P1233" s="586"/>
      <c r="Q1233" s="586"/>
      <c r="R1233" s="582">
        <f>M1233/G1233</f>
        <v>1809.112614077889</v>
      </c>
      <c r="S1233" s="592"/>
      <c r="T1233" s="592"/>
      <c r="U1233" s="591"/>
      <c r="V1233" s="589"/>
      <c r="W1233" s="592"/>
      <c r="X1233" s="592"/>
      <c r="Y1233" s="592"/>
      <c r="Z1233" s="592"/>
    </row>
    <row r="1234" spans="1:26" s="28" customFormat="1" hidden="1">
      <c r="A1234" s="580">
        <f t="shared" ref="A1234:A1241" si="160">A1233+1</f>
        <v>3</v>
      </c>
      <c r="B1234" s="592" t="s">
        <v>1292</v>
      </c>
      <c r="C1234" s="902" t="s">
        <v>217</v>
      </c>
      <c r="D1234" s="593"/>
      <c r="E1234" s="593"/>
      <c r="F1234" s="582" t="s">
        <v>233</v>
      </c>
      <c r="G1234" s="914">
        <v>1105.9000000000001</v>
      </c>
      <c r="H1234" s="593">
        <v>5</v>
      </c>
      <c r="I1234" s="593">
        <v>4</v>
      </c>
      <c r="J1234" s="582">
        <v>65</v>
      </c>
      <c r="K1234" s="903" t="s">
        <v>33</v>
      </c>
      <c r="L1234" s="584">
        <f t="shared" si="159"/>
        <v>1971689.8599999999</v>
      </c>
      <c r="M1234" s="585">
        <v>1965417.38</v>
      </c>
      <c r="N1234" s="586"/>
      <c r="O1234" s="587">
        <v>6272.48</v>
      </c>
      <c r="P1234" s="586"/>
      <c r="Q1234" s="586"/>
      <c r="R1234" s="582">
        <f>M1234/G1234</f>
        <v>1777.210760466588</v>
      </c>
      <c r="S1234" s="592"/>
      <c r="T1234" s="592"/>
      <c r="U1234" s="591"/>
      <c r="V1234" s="589"/>
      <c r="W1234" s="592"/>
      <c r="X1234" s="592"/>
      <c r="Y1234" s="592"/>
      <c r="Z1234" s="592"/>
    </row>
    <row r="1235" spans="1:26" s="28" customFormat="1" hidden="1">
      <c r="A1235" s="580">
        <f t="shared" si="160"/>
        <v>4</v>
      </c>
      <c r="B1235" s="592" t="s">
        <v>1293</v>
      </c>
      <c r="C1235" s="902" t="s">
        <v>217</v>
      </c>
      <c r="D1235" s="593"/>
      <c r="E1235" s="593"/>
      <c r="F1235" s="582" t="s">
        <v>233</v>
      </c>
      <c r="G1235" s="914">
        <v>824.5</v>
      </c>
      <c r="H1235" s="593">
        <v>5</v>
      </c>
      <c r="I1235" s="593">
        <v>4</v>
      </c>
      <c r="J1235" s="582">
        <v>60</v>
      </c>
      <c r="K1235" s="903" t="s">
        <v>33</v>
      </c>
      <c r="L1235" s="584">
        <f t="shared" si="159"/>
        <v>1555454.65</v>
      </c>
      <c r="M1235" s="585">
        <v>1550778.15</v>
      </c>
      <c r="N1235" s="586"/>
      <c r="O1235" s="587">
        <v>4676.5</v>
      </c>
      <c r="P1235" s="586"/>
      <c r="Q1235" s="586"/>
      <c r="R1235" s="582">
        <f>M1235/G1235</f>
        <v>1880.8710127349907</v>
      </c>
      <c r="S1235" s="592"/>
      <c r="T1235" s="592"/>
      <c r="U1235" s="591"/>
      <c r="V1235" s="589"/>
      <c r="W1235" s="592"/>
      <c r="X1235" s="592"/>
      <c r="Y1235" s="592"/>
      <c r="Z1235" s="592"/>
    </row>
    <row r="1236" spans="1:26" s="28" customFormat="1" ht="37.5" hidden="1">
      <c r="A1236" s="580">
        <f t="shared" si="160"/>
        <v>5</v>
      </c>
      <c r="B1236" s="592" t="s">
        <v>1294</v>
      </c>
      <c r="C1236" s="902" t="s">
        <v>217</v>
      </c>
      <c r="D1236" s="593"/>
      <c r="E1236" s="593"/>
      <c r="F1236" s="582" t="s">
        <v>233</v>
      </c>
      <c r="G1236" s="914"/>
      <c r="H1236" s="593">
        <v>5</v>
      </c>
      <c r="I1236" s="593">
        <v>2</v>
      </c>
      <c r="J1236" s="582">
        <v>72</v>
      </c>
      <c r="K1236" s="903" t="s">
        <v>219</v>
      </c>
      <c r="L1236" s="584">
        <f t="shared" si="159"/>
        <v>4084656.25</v>
      </c>
      <c r="M1236" s="585">
        <v>3980000</v>
      </c>
      <c r="N1236" s="586">
        <v>104656.25</v>
      </c>
      <c r="O1236" s="587"/>
      <c r="P1236" s="586"/>
      <c r="Q1236" s="586"/>
      <c r="R1236" s="582">
        <f>M1236/2</f>
        <v>1990000</v>
      </c>
      <c r="S1236" s="592"/>
      <c r="T1236" s="592"/>
      <c r="U1236" s="591"/>
      <c r="V1236" s="589"/>
      <c r="W1236" s="592"/>
      <c r="X1236" s="592"/>
      <c r="Y1236" s="592"/>
      <c r="Z1236" s="592"/>
    </row>
    <row r="1237" spans="1:26" s="28" customFormat="1" hidden="1">
      <c r="A1237" s="580">
        <f t="shared" si="160"/>
        <v>6</v>
      </c>
      <c r="B1237" s="592" t="s">
        <v>1295</v>
      </c>
      <c r="C1237" s="902" t="s">
        <v>217</v>
      </c>
      <c r="D1237" s="593"/>
      <c r="E1237" s="593"/>
      <c r="F1237" s="582" t="s">
        <v>233</v>
      </c>
      <c r="G1237" s="914">
        <v>815.3</v>
      </c>
      <c r="H1237" s="593">
        <v>5</v>
      </c>
      <c r="I1237" s="593">
        <v>4</v>
      </c>
      <c r="J1237" s="582">
        <v>60</v>
      </c>
      <c r="K1237" s="903" t="s">
        <v>33</v>
      </c>
      <c r="L1237" s="584">
        <f t="shared" si="159"/>
        <v>1538190.39</v>
      </c>
      <c r="M1237" s="585">
        <v>1533566.63</v>
      </c>
      <c r="N1237" s="586"/>
      <c r="O1237" s="587">
        <v>4623.76</v>
      </c>
      <c r="P1237" s="586"/>
      <c r="Q1237" s="586"/>
      <c r="R1237" s="582">
        <f>M1237/G1237</f>
        <v>1880.9844597080828</v>
      </c>
      <c r="S1237" s="592"/>
      <c r="T1237" s="592"/>
      <c r="U1237" s="591"/>
      <c r="V1237" s="589"/>
      <c r="W1237" s="592"/>
      <c r="X1237" s="592"/>
      <c r="Y1237" s="592"/>
      <c r="Z1237" s="592"/>
    </row>
    <row r="1238" spans="1:26" s="28" customFormat="1" hidden="1">
      <c r="A1238" s="580">
        <f t="shared" si="160"/>
        <v>7</v>
      </c>
      <c r="B1238" s="592" t="s">
        <v>1297</v>
      </c>
      <c r="C1238" s="902" t="s">
        <v>217</v>
      </c>
      <c r="D1238" s="593"/>
      <c r="E1238" s="593"/>
      <c r="F1238" s="582" t="s">
        <v>233</v>
      </c>
      <c r="G1238" s="914">
        <v>896</v>
      </c>
      <c r="H1238" s="593">
        <v>5</v>
      </c>
      <c r="I1238" s="593">
        <v>5</v>
      </c>
      <c r="J1238" s="582">
        <v>74</v>
      </c>
      <c r="K1238" s="903" t="s">
        <v>33</v>
      </c>
      <c r="L1238" s="584">
        <f t="shared" si="159"/>
        <v>1690454.11</v>
      </c>
      <c r="M1238" s="585">
        <v>1685372.6500000001</v>
      </c>
      <c r="N1238" s="586"/>
      <c r="O1238" s="587">
        <v>5081.46</v>
      </c>
      <c r="P1238" s="586"/>
      <c r="Q1238" s="586"/>
      <c r="R1238" s="582">
        <f>M1238/G1238</f>
        <v>1880.9962611607145</v>
      </c>
      <c r="S1238" s="592"/>
      <c r="T1238" s="592"/>
      <c r="U1238" s="591"/>
      <c r="V1238" s="589"/>
      <c r="W1238" s="592"/>
      <c r="X1238" s="592"/>
      <c r="Y1238" s="592"/>
      <c r="Z1238" s="592"/>
    </row>
    <row r="1239" spans="1:26" s="28" customFormat="1" hidden="1">
      <c r="A1239" s="580">
        <f t="shared" si="160"/>
        <v>8</v>
      </c>
      <c r="B1239" s="592" t="s">
        <v>1298</v>
      </c>
      <c r="C1239" s="902" t="s">
        <v>217</v>
      </c>
      <c r="D1239" s="593"/>
      <c r="E1239" s="593"/>
      <c r="F1239" s="582" t="s">
        <v>233</v>
      </c>
      <c r="G1239" s="914">
        <v>930.3</v>
      </c>
      <c r="H1239" s="593">
        <v>5</v>
      </c>
      <c r="I1239" s="593">
        <v>5</v>
      </c>
      <c r="J1239" s="582">
        <v>75</v>
      </c>
      <c r="K1239" s="903" t="s">
        <v>33</v>
      </c>
      <c r="L1239" s="584">
        <f t="shared" si="159"/>
        <v>1599480.83</v>
      </c>
      <c r="M1239" s="585">
        <v>1594204.34</v>
      </c>
      <c r="N1239" s="586"/>
      <c r="O1239" s="587">
        <v>5276.49</v>
      </c>
      <c r="P1239" s="586"/>
      <c r="Q1239" s="586"/>
      <c r="R1239" s="582">
        <f>M1239/G1239</f>
        <v>1713.6454262066002</v>
      </c>
      <c r="S1239" s="592"/>
      <c r="T1239" s="592"/>
      <c r="U1239" s="591"/>
      <c r="V1239" s="589"/>
      <c r="W1239" s="592"/>
      <c r="X1239" s="592"/>
      <c r="Y1239" s="592"/>
      <c r="Z1239" s="592"/>
    </row>
    <row r="1240" spans="1:26" s="28" customFormat="1" hidden="1">
      <c r="A1240" s="580">
        <f t="shared" si="160"/>
        <v>9</v>
      </c>
      <c r="B1240" s="592" t="s">
        <v>1300</v>
      </c>
      <c r="C1240" s="902" t="s">
        <v>217</v>
      </c>
      <c r="D1240" s="593"/>
      <c r="E1240" s="593"/>
      <c r="F1240" s="582" t="s">
        <v>233</v>
      </c>
      <c r="G1240" s="914">
        <v>936.3</v>
      </c>
      <c r="H1240" s="593">
        <v>5</v>
      </c>
      <c r="I1240" s="593">
        <v>5</v>
      </c>
      <c r="J1240" s="582">
        <v>75</v>
      </c>
      <c r="K1240" s="903" t="s">
        <v>33</v>
      </c>
      <c r="L1240" s="584">
        <f t="shared" si="159"/>
        <v>1766350.1700000002</v>
      </c>
      <c r="M1240" s="585">
        <v>1761039.85</v>
      </c>
      <c r="N1240" s="586"/>
      <c r="O1240" s="587">
        <v>5310.32</v>
      </c>
      <c r="P1240" s="586"/>
      <c r="Q1240" s="586"/>
      <c r="R1240" s="582">
        <f>M1240/G1240</f>
        <v>1880.8499946598315</v>
      </c>
      <c r="S1240" s="592"/>
      <c r="T1240" s="592"/>
      <c r="U1240" s="591"/>
      <c r="V1240" s="589"/>
      <c r="W1240" s="592"/>
      <c r="X1240" s="592"/>
      <c r="Y1240" s="592"/>
      <c r="Z1240" s="592"/>
    </row>
    <row r="1241" spans="1:26" s="28" customFormat="1" hidden="1">
      <c r="A1241" s="580">
        <f t="shared" si="160"/>
        <v>10</v>
      </c>
      <c r="B1241" s="592" t="s">
        <v>1301</v>
      </c>
      <c r="C1241" s="902" t="s">
        <v>217</v>
      </c>
      <c r="D1241" s="593"/>
      <c r="E1241" s="593"/>
      <c r="F1241" s="582" t="s">
        <v>233</v>
      </c>
      <c r="G1241" s="914">
        <v>952.4</v>
      </c>
      <c r="H1241" s="593">
        <v>5</v>
      </c>
      <c r="I1241" s="593">
        <v>5</v>
      </c>
      <c r="J1241" s="582">
        <v>60</v>
      </c>
      <c r="K1241" s="903" t="s">
        <v>33</v>
      </c>
      <c r="L1241" s="584">
        <f t="shared" si="159"/>
        <v>1814961.86</v>
      </c>
      <c r="M1241" s="585">
        <v>1809560</v>
      </c>
      <c r="N1241" s="586"/>
      <c r="O1241" s="587">
        <v>5401.86</v>
      </c>
      <c r="P1241" s="586"/>
      <c r="Q1241" s="586"/>
      <c r="R1241" s="582">
        <f>M1241/G1241</f>
        <v>1900</v>
      </c>
      <c r="S1241" s="592"/>
      <c r="T1241" s="592"/>
      <c r="U1241" s="591"/>
      <c r="V1241" s="589"/>
      <c r="W1241" s="592"/>
      <c r="X1241" s="592"/>
      <c r="Y1241" s="592"/>
      <c r="Z1241" s="592"/>
    </row>
    <row r="1242" spans="1:26" s="28" customFormat="1" hidden="1">
      <c r="A1242" s="1349" t="s">
        <v>169</v>
      </c>
      <c r="B1242" s="1349"/>
      <c r="C1242" s="582" t="s">
        <v>28</v>
      </c>
      <c r="D1242" s="582"/>
      <c r="E1242" s="582">
        <f>SUM(E1232:E1241)</f>
        <v>0</v>
      </c>
      <c r="F1242" s="582" t="s">
        <v>28</v>
      </c>
      <c r="G1242" s="582">
        <f>SUM(G1232:G1241)</f>
        <v>8802.9000000000015</v>
      </c>
      <c r="H1242" s="582" t="s">
        <v>28</v>
      </c>
      <c r="I1242" s="582" t="s">
        <v>28</v>
      </c>
      <c r="J1242" s="582">
        <f>SUM(J1232:J1241)</f>
        <v>747</v>
      </c>
      <c r="K1242" s="590" t="s">
        <v>28</v>
      </c>
      <c r="L1242" s="584">
        <f t="shared" ref="L1242:Q1242" si="161">SUM(L1232:L1241)</f>
        <v>20213588.82</v>
      </c>
      <c r="M1242" s="585">
        <f t="shared" si="161"/>
        <v>20059006.449999999</v>
      </c>
      <c r="N1242" s="586">
        <f t="shared" si="161"/>
        <v>104656.25</v>
      </c>
      <c r="O1242" s="587">
        <f t="shared" si="161"/>
        <v>49926.119999999995</v>
      </c>
      <c r="P1242" s="586">
        <f t="shared" si="161"/>
        <v>0</v>
      </c>
      <c r="Q1242" s="586">
        <f t="shared" si="161"/>
        <v>0</v>
      </c>
      <c r="R1242" s="582" t="s">
        <v>28</v>
      </c>
      <c r="S1242" s="564">
        <f>L1242-M1242-N1242-O1242-P1242-Q1242</f>
        <v>1.0477378964424133E-9</v>
      </c>
      <c r="T1242" s="577" t="e">
        <f>'1.перечень МКД'!#REF!</f>
        <v>#REF!</v>
      </c>
      <c r="U1242" s="589" t="e">
        <f>L1242-T1242</f>
        <v>#REF!</v>
      </c>
      <c r="V1242" s="578"/>
      <c r="W1242" s="578"/>
      <c r="X1242" s="592"/>
      <c r="Y1242" s="592"/>
      <c r="Z1242" s="592"/>
    </row>
    <row r="1243" spans="1:26" s="28" customFormat="1" hidden="1">
      <c r="A1243" s="1347" t="s">
        <v>170</v>
      </c>
      <c r="B1243" s="1347"/>
      <c r="C1243" s="1347"/>
      <c r="D1243" s="1347"/>
      <c r="E1243" s="1347"/>
      <c r="F1243" s="1347"/>
      <c r="G1243" s="1347"/>
      <c r="H1243" s="1347"/>
      <c r="I1243" s="1347"/>
      <c r="J1243" s="1347"/>
      <c r="K1243" s="1347"/>
      <c r="L1243" s="1347"/>
      <c r="M1243" s="1347"/>
      <c r="N1243" s="1347"/>
      <c r="O1243" s="1347"/>
      <c r="P1243" s="1347"/>
      <c r="Q1243" s="1347"/>
      <c r="R1243" s="1347"/>
      <c r="S1243" s="564">
        <f>L1243-M1243-N1243-O1243-P1243-Q1243</f>
        <v>0</v>
      </c>
      <c r="T1243" s="577"/>
      <c r="U1243" s="591"/>
      <c r="V1243" s="589"/>
      <c r="W1243" s="592"/>
      <c r="X1243" s="592"/>
      <c r="Y1243" s="592"/>
      <c r="Z1243" s="592"/>
    </row>
    <row r="1244" spans="1:26" s="28" customFormat="1" ht="37.5" hidden="1">
      <c r="A1244" s="591">
        <v>1</v>
      </c>
      <c r="B1244" s="592" t="s">
        <v>1302</v>
      </c>
      <c r="C1244" s="915" t="s">
        <v>299</v>
      </c>
      <c r="D1244" s="593">
        <v>2041</v>
      </c>
      <c r="E1244" s="582">
        <v>525</v>
      </c>
      <c r="F1244" s="593" t="s">
        <v>251</v>
      </c>
      <c r="G1244" s="582">
        <v>845</v>
      </c>
      <c r="H1244" s="593">
        <v>2</v>
      </c>
      <c r="I1244" s="593">
        <v>2</v>
      </c>
      <c r="J1244" s="582">
        <v>25</v>
      </c>
      <c r="K1244" s="679" t="s">
        <v>33</v>
      </c>
      <c r="L1244" s="584">
        <f>SUM(M1244:Q1244)</f>
        <v>2393484</v>
      </c>
      <c r="M1244" s="585">
        <v>2363634</v>
      </c>
      <c r="N1244" s="586">
        <v>29850</v>
      </c>
      <c r="O1244" s="587"/>
      <c r="P1244" s="586"/>
      <c r="Q1244" s="586"/>
      <c r="R1244" s="582">
        <f>M1244/G1244</f>
        <v>2797.2</v>
      </c>
      <c r="S1244" s="645"/>
      <c r="T1244" s="592"/>
      <c r="U1244" s="586"/>
      <c r="V1244" s="589"/>
      <c r="W1244" s="592"/>
      <c r="X1244" s="592"/>
      <c r="Y1244" s="592"/>
      <c r="Z1244" s="592"/>
    </row>
    <row r="1245" spans="1:26" s="28" customFormat="1" ht="37.5" hidden="1">
      <c r="A1245" s="591">
        <v>2</v>
      </c>
      <c r="B1245" s="592" t="s">
        <v>1303</v>
      </c>
      <c r="C1245" s="915" t="s">
        <v>299</v>
      </c>
      <c r="D1245" s="593">
        <v>2496</v>
      </c>
      <c r="E1245" s="582">
        <v>193</v>
      </c>
      <c r="F1245" s="593" t="s">
        <v>251</v>
      </c>
      <c r="G1245" s="582">
        <v>581.36</v>
      </c>
      <c r="H1245" s="593">
        <v>2</v>
      </c>
      <c r="I1245" s="593">
        <v>2</v>
      </c>
      <c r="J1245" s="582">
        <v>16</v>
      </c>
      <c r="K1245" s="679" t="s">
        <v>33</v>
      </c>
      <c r="L1245" s="584">
        <f>SUM(M1245:Q1245)</f>
        <v>1268009.6800000002</v>
      </c>
      <c r="M1245" s="585">
        <v>1238159.6800000002</v>
      </c>
      <c r="N1245" s="586">
        <v>29850</v>
      </c>
      <c r="O1245" s="587"/>
      <c r="P1245" s="586"/>
      <c r="Q1245" s="586"/>
      <c r="R1245" s="582">
        <f>M1245/G1245</f>
        <v>2129.7641392596674</v>
      </c>
      <c r="S1245" s="645"/>
      <c r="T1245" s="592"/>
      <c r="U1245" s="586"/>
      <c r="V1245" s="589"/>
      <c r="W1245" s="592"/>
      <c r="X1245" s="592"/>
      <c r="Y1245" s="592"/>
      <c r="Z1245" s="592"/>
    </row>
    <row r="1246" spans="1:26" s="28" customFormat="1" hidden="1">
      <c r="A1246" s="1349" t="s">
        <v>171</v>
      </c>
      <c r="B1246" s="1349"/>
      <c r="C1246" s="582"/>
      <c r="D1246" s="582">
        <f>SUM(D1244:D1245)</f>
        <v>4537</v>
      </c>
      <c r="E1246" s="582">
        <f>SUM(E1244:E1245)</f>
        <v>718</v>
      </c>
      <c r="F1246" s="582" t="s">
        <v>28</v>
      </c>
      <c r="G1246" s="582">
        <f>SUM(G1244:G1245)</f>
        <v>1426.3600000000001</v>
      </c>
      <c r="H1246" s="582" t="s">
        <v>28</v>
      </c>
      <c r="I1246" s="582" t="s">
        <v>28</v>
      </c>
      <c r="J1246" s="582">
        <f>SUM(J1244:J1245)</f>
        <v>41</v>
      </c>
      <c r="K1246" s="590" t="s">
        <v>28</v>
      </c>
      <c r="L1246" s="584">
        <f t="shared" ref="L1246:Q1246" si="162">SUM(L1244:L1245)</f>
        <v>3661493.68</v>
      </c>
      <c r="M1246" s="585">
        <f t="shared" si="162"/>
        <v>3601793.68</v>
      </c>
      <c r="N1246" s="586">
        <f t="shared" si="162"/>
        <v>59700</v>
      </c>
      <c r="O1246" s="587">
        <f t="shared" si="162"/>
        <v>0</v>
      </c>
      <c r="P1246" s="586">
        <f t="shared" si="162"/>
        <v>0</v>
      </c>
      <c r="Q1246" s="586">
        <f t="shared" si="162"/>
        <v>0</v>
      </c>
      <c r="R1246" s="582" t="s">
        <v>28</v>
      </c>
      <c r="S1246" s="564">
        <f>L1246-M1246-N1246-O1246-P1246-Q1246</f>
        <v>0</v>
      </c>
      <c r="T1246" s="577" t="e">
        <f>'1.перечень МКД'!#REF!</f>
        <v>#REF!</v>
      </c>
      <c r="U1246" s="589" t="e">
        <f>L1246-T1246</f>
        <v>#REF!</v>
      </c>
      <c r="V1246" s="578"/>
      <c r="W1246" s="578"/>
      <c r="X1246" s="592"/>
      <c r="Y1246" s="592"/>
      <c r="Z1246" s="592"/>
    </row>
    <row r="1247" spans="1:26" s="28" customFormat="1" hidden="1">
      <c r="A1247" s="1347" t="s">
        <v>172</v>
      </c>
      <c r="B1247" s="1347"/>
      <c r="C1247" s="1347"/>
      <c r="D1247" s="1347"/>
      <c r="E1247" s="1347"/>
      <c r="F1247" s="1347"/>
      <c r="G1247" s="1347"/>
      <c r="H1247" s="1347"/>
      <c r="I1247" s="1347"/>
      <c r="J1247" s="1347"/>
      <c r="K1247" s="1347"/>
      <c r="L1247" s="1347"/>
      <c r="M1247" s="1347"/>
      <c r="N1247" s="1347"/>
      <c r="O1247" s="1347"/>
      <c r="P1247" s="1347"/>
      <c r="Q1247" s="1347"/>
      <c r="R1247" s="1347"/>
      <c r="S1247" s="564">
        <f>L1247-M1247-N1247-O1247-P1247-Q1247</f>
        <v>0</v>
      </c>
      <c r="T1247" s="577"/>
      <c r="U1247" s="591"/>
      <c r="V1247" s="589"/>
      <c r="W1247" s="592"/>
      <c r="X1247" s="592"/>
      <c r="Y1247" s="592"/>
      <c r="Z1247" s="592"/>
    </row>
    <row r="1248" spans="1:26" s="28" customFormat="1" ht="37.5" hidden="1">
      <c r="A1248" s="916">
        <v>1</v>
      </c>
      <c r="B1248" s="917" t="s">
        <v>1304</v>
      </c>
      <c r="C1248" s="915" t="s">
        <v>299</v>
      </c>
      <c r="D1248" s="915"/>
      <c r="E1248" s="676">
        <v>378</v>
      </c>
      <c r="F1248" s="700" t="s">
        <v>251</v>
      </c>
      <c r="G1248" s="879">
        <v>177</v>
      </c>
      <c r="H1248" s="874">
        <v>2</v>
      </c>
      <c r="I1248" s="874">
        <v>1</v>
      </c>
      <c r="J1248" s="643">
        <v>4</v>
      </c>
      <c r="K1248" s="697" t="s">
        <v>33</v>
      </c>
      <c r="L1248" s="1372">
        <f>SUM(M1248:Q1248,M1249:Q1249)</f>
        <v>633064.18999999994</v>
      </c>
      <c r="M1248" s="782">
        <v>516299.67</v>
      </c>
      <c r="N1248" s="783">
        <v>19900</v>
      </c>
      <c r="O1248" s="587"/>
      <c r="P1248" s="586"/>
      <c r="Q1248" s="586"/>
      <c r="R1248" s="582">
        <f>M1248/G1248</f>
        <v>2916.9472881355932</v>
      </c>
      <c r="S1248" s="592"/>
      <c r="T1248" s="592"/>
      <c r="U1248" s="591"/>
      <c r="V1248" s="589"/>
      <c r="W1248" s="592"/>
      <c r="X1248" s="592"/>
      <c r="Y1248" s="592"/>
      <c r="Z1248" s="592"/>
    </row>
    <row r="1249" spans="1:26" s="28" customFormat="1" hidden="1">
      <c r="A1249" s="916"/>
      <c r="B1249" s="917"/>
      <c r="C1249" s="915"/>
      <c r="D1249" s="915"/>
      <c r="E1249" s="676"/>
      <c r="F1249" s="700"/>
      <c r="G1249" s="879"/>
      <c r="H1249" s="874"/>
      <c r="I1249" s="874"/>
      <c r="J1249" s="643"/>
      <c r="K1249" s="697" t="s">
        <v>300</v>
      </c>
      <c r="L1249" s="1372"/>
      <c r="M1249" s="782">
        <v>76964.52</v>
      </c>
      <c r="N1249" s="783">
        <v>19900</v>
      </c>
      <c r="O1249" s="587"/>
      <c r="P1249" s="586"/>
      <c r="Q1249" s="586"/>
      <c r="R1249" s="582">
        <f>M1249/J1248</f>
        <v>19241.13</v>
      </c>
      <c r="S1249" s="592"/>
      <c r="T1249" s="592"/>
      <c r="U1249" s="591"/>
      <c r="V1249" s="589"/>
      <c r="W1249" s="592"/>
      <c r="X1249" s="592"/>
      <c r="Y1249" s="592"/>
      <c r="Z1249" s="592"/>
    </row>
    <row r="1250" spans="1:26" s="28" customFormat="1" ht="37.5" hidden="1">
      <c r="A1250" s="916">
        <v>2</v>
      </c>
      <c r="B1250" s="917" t="s">
        <v>1305</v>
      </c>
      <c r="C1250" s="915" t="s">
        <v>299</v>
      </c>
      <c r="D1250" s="915"/>
      <c r="E1250" s="676">
        <v>369</v>
      </c>
      <c r="F1250" s="700" t="s">
        <v>251</v>
      </c>
      <c r="G1250" s="879">
        <v>167</v>
      </c>
      <c r="H1250" s="874">
        <v>2</v>
      </c>
      <c r="I1250" s="874">
        <v>1</v>
      </c>
      <c r="J1250" s="643">
        <v>4</v>
      </c>
      <c r="K1250" s="697" t="s">
        <v>33</v>
      </c>
      <c r="L1250" s="1372">
        <f>SUM(M1250:Q1250,M1251:Q1251)</f>
        <v>640199</v>
      </c>
      <c r="M1250" s="782">
        <v>523434.48</v>
      </c>
      <c r="N1250" s="783">
        <v>19900</v>
      </c>
      <c r="O1250" s="587"/>
      <c r="P1250" s="586"/>
      <c r="Q1250" s="586"/>
      <c r="R1250" s="582">
        <f>M1250/G1250</f>
        <v>3134.3382035928144</v>
      </c>
      <c r="S1250" s="592"/>
      <c r="T1250" s="645"/>
      <c r="U1250" s="591"/>
      <c r="V1250" s="589"/>
      <c r="W1250" s="592"/>
      <c r="X1250" s="592"/>
      <c r="Y1250" s="592"/>
      <c r="Z1250" s="592"/>
    </row>
    <row r="1251" spans="1:26" s="28" customFormat="1" hidden="1">
      <c r="A1251" s="916"/>
      <c r="B1251" s="917"/>
      <c r="C1251" s="915"/>
      <c r="D1251" s="915"/>
      <c r="E1251" s="676"/>
      <c r="F1251" s="700"/>
      <c r="G1251" s="879"/>
      <c r="H1251" s="874"/>
      <c r="I1251" s="874"/>
      <c r="J1251" s="643"/>
      <c r="K1251" s="697" t="s">
        <v>300</v>
      </c>
      <c r="L1251" s="1372"/>
      <c r="M1251" s="782">
        <v>76964.52</v>
      </c>
      <c r="N1251" s="783">
        <v>19900</v>
      </c>
      <c r="O1251" s="587"/>
      <c r="P1251" s="586"/>
      <c r="Q1251" s="586"/>
      <c r="R1251" s="582">
        <f>M1251/J1250</f>
        <v>19241.13</v>
      </c>
      <c r="S1251" s="592"/>
      <c r="T1251" s="645"/>
      <c r="U1251" s="591"/>
      <c r="V1251" s="589"/>
      <c r="W1251" s="592"/>
      <c r="X1251" s="592"/>
      <c r="Y1251" s="592"/>
      <c r="Z1251" s="592"/>
    </row>
    <row r="1252" spans="1:26" s="28" customFormat="1" ht="37.5" hidden="1">
      <c r="A1252" s="916">
        <v>3</v>
      </c>
      <c r="B1252" s="917" t="s">
        <v>1306</v>
      </c>
      <c r="C1252" s="915" t="s">
        <v>282</v>
      </c>
      <c r="D1252" s="915"/>
      <c r="E1252" s="676">
        <v>529</v>
      </c>
      <c r="F1252" s="700" t="s">
        <v>301</v>
      </c>
      <c r="G1252" s="879">
        <v>486</v>
      </c>
      <c r="H1252" s="874">
        <v>2</v>
      </c>
      <c r="I1252" s="874">
        <v>1</v>
      </c>
      <c r="J1252" s="643">
        <v>17</v>
      </c>
      <c r="K1252" s="697" t="s">
        <v>30</v>
      </c>
      <c r="L1252" s="781">
        <f>M1252+N1252+O1252+P1252+Q1252</f>
        <v>208387.93</v>
      </c>
      <c r="M1252" s="585">
        <v>207119.3</v>
      </c>
      <c r="N1252" s="586"/>
      <c r="O1252" s="587">
        <v>1268.6300000000001</v>
      </c>
      <c r="P1252" s="586"/>
      <c r="Q1252" s="586"/>
      <c r="R1252" s="582">
        <f>M1252/J1252</f>
        <v>12183.488235294117</v>
      </c>
      <c r="S1252" s="592"/>
      <c r="T1252" s="645"/>
      <c r="U1252" s="591"/>
      <c r="V1252" s="589"/>
      <c r="W1252" s="592"/>
      <c r="X1252" s="592"/>
      <c r="Y1252" s="592"/>
      <c r="Z1252" s="592"/>
    </row>
    <row r="1253" spans="1:26" s="28" customFormat="1" hidden="1">
      <c r="A1253" s="1349" t="s">
        <v>173</v>
      </c>
      <c r="B1253" s="1349"/>
      <c r="C1253" s="582" t="s">
        <v>28</v>
      </c>
      <c r="D1253" s="582"/>
      <c r="E1253" s="582">
        <f>SUM(E1248:E1252)</f>
        <v>1276</v>
      </c>
      <c r="F1253" s="582" t="s">
        <v>28</v>
      </c>
      <c r="G1253" s="582">
        <f>SUM(G1248:G1252)</f>
        <v>830</v>
      </c>
      <c r="H1253" s="582" t="s">
        <v>28</v>
      </c>
      <c r="I1253" s="582" t="s">
        <v>28</v>
      </c>
      <c r="J1253" s="582">
        <f>SUM(J1248:J1252)</f>
        <v>25</v>
      </c>
      <c r="K1253" s="590" t="s">
        <v>28</v>
      </c>
      <c r="L1253" s="584">
        <f t="shared" ref="L1253:Q1253" si="163">SUM(L1248:L1252)</f>
        <v>1481651.1199999999</v>
      </c>
      <c r="M1253" s="585">
        <f t="shared" si="163"/>
        <v>1400782.49</v>
      </c>
      <c r="N1253" s="586">
        <f t="shared" si="163"/>
        <v>79600</v>
      </c>
      <c r="O1253" s="587">
        <f t="shared" si="163"/>
        <v>1268.6300000000001</v>
      </c>
      <c r="P1253" s="586">
        <f t="shared" si="163"/>
        <v>0</v>
      </c>
      <c r="Q1253" s="586">
        <f t="shared" si="163"/>
        <v>0</v>
      </c>
      <c r="R1253" s="582" t="s">
        <v>28</v>
      </c>
      <c r="S1253" s="564">
        <f>L1253-M1253-N1253-O1253-P1253-Q1253</f>
        <v>-1.1186784831807017E-10</v>
      </c>
      <c r="T1253" s="577" t="e">
        <f>'1.перечень МКД'!#REF!</f>
        <v>#REF!</v>
      </c>
      <c r="U1253" s="589" t="e">
        <f>L1253-T1253</f>
        <v>#REF!</v>
      </c>
      <c r="V1253" s="589"/>
      <c r="W1253" s="592"/>
      <c r="X1253" s="592"/>
      <c r="Y1253" s="592"/>
      <c r="Z1253" s="592"/>
    </row>
    <row r="1254" spans="1:26" s="28" customFormat="1" hidden="1">
      <c r="A1254" s="1347" t="s">
        <v>174</v>
      </c>
      <c r="B1254" s="1347"/>
      <c r="C1254" s="1347"/>
      <c r="D1254" s="1347"/>
      <c r="E1254" s="1347"/>
      <c r="F1254" s="1347"/>
      <c r="G1254" s="1347"/>
      <c r="H1254" s="1347"/>
      <c r="I1254" s="1347"/>
      <c r="J1254" s="1347"/>
      <c r="K1254" s="1347"/>
      <c r="L1254" s="1347"/>
      <c r="M1254" s="1347"/>
      <c r="N1254" s="1347"/>
      <c r="O1254" s="1347"/>
      <c r="P1254" s="1347"/>
      <c r="Q1254" s="1347"/>
      <c r="R1254" s="1347"/>
      <c r="S1254" s="564">
        <f>L1254-M1254-N1254-O1254-P1254-Q1254</f>
        <v>0</v>
      </c>
      <c r="T1254" s="577"/>
      <c r="U1254" s="591"/>
      <c r="V1254" s="589"/>
      <c r="W1254" s="592"/>
      <c r="X1254" s="592"/>
      <c r="Y1254" s="592"/>
      <c r="Z1254" s="592"/>
    </row>
    <row r="1255" spans="1:26" s="28" customFormat="1" hidden="1">
      <c r="A1255" s="916">
        <v>1</v>
      </c>
      <c r="B1255" s="917" t="s">
        <v>1307</v>
      </c>
      <c r="C1255" s="915" t="s">
        <v>302</v>
      </c>
      <c r="D1255" s="915">
        <v>2418</v>
      </c>
      <c r="E1255" s="676">
        <v>2064.4</v>
      </c>
      <c r="F1255" s="700" t="s">
        <v>303</v>
      </c>
      <c r="G1255" s="879">
        <v>460.5</v>
      </c>
      <c r="H1255" s="874">
        <v>2</v>
      </c>
      <c r="I1255" s="874">
        <v>2</v>
      </c>
      <c r="J1255" s="643">
        <v>12</v>
      </c>
      <c r="K1255" s="697" t="s">
        <v>238</v>
      </c>
      <c r="L1255" s="781">
        <f>SUM(M1255:Q1255)</f>
        <v>384515</v>
      </c>
      <c r="M1255" s="782">
        <v>359640</v>
      </c>
      <c r="N1255" s="783">
        <v>24875</v>
      </c>
      <c r="O1255" s="587"/>
      <c r="P1255" s="586"/>
      <c r="Q1255" s="586"/>
      <c r="R1255" s="582">
        <f>M1255/J1255</f>
        <v>29970</v>
      </c>
      <c r="S1255" s="592"/>
      <c r="T1255" s="592"/>
      <c r="U1255" s="591"/>
      <c r="V1255" s="589"/>
      <c r="W1255" s="592"/>
      <c r="X1255" s="592"/>
      <c r="Y1255" s="592"/>
      <c r="Z1255" s="592"/>
    </row>
    <row r="1256" spans="1:26" s="28" customFormat="1" ht="37.5" hidden="1">
      <c r="A1256" s="916">
        <f>A1255+1</f>
        <v>2</v>
      </c>
      <c r="B1256" s="917" t="s">
        <v>1308</v>
      </c>
      <c r="C1256" s="915" t="s">
        <v>299</v>
      </c>
      <c r="D1256" s="915">
        <v>5628</v>
      </c>
      <c r="E1256" s="676">
        <v>5560</v>
      </c>
      <c r="F1256" s="700" t="s">
        <v>228</v>
      </c>
      <c r="G1256" s="879">
        <v>826</v>
      </c>
      <c r="H1256" s="874">
        <v>2</v>
      </c>
      <c r="I1256" s="874">
        <v>4</v>
      </c>
      <c r="J1256" s="643">
        <v>24</v>
      </c>
      <c r="K1256" s="697" t="s">
        <v>238</v>
      </c>
      <c r="L1256" s="781">
        <f>SUM(M1256:Q1256)</f>
        <v>749130</v>
      </c>
      <c r="M1256" s="782">
        <v>719280</v>
      </c>
      <c r="N1256" s="783">
        <v>29850</v>
      </c>
      <c r="O1256" s="587"/>
      <c r="P1256" s="586"/>
      <c r="Q1256" s="586"/>
      <c r="R1256" s="582">
        <f>M1256/J1256</f>
        <v>29970</v>
      </c>
      <c r="S1256" s="592"/>
      <c r="T1256" s="592"/>
      <c r="U1256" s="591"/>
      <c r="V1256" s="589"/>
      <c r="W1256" s="592"/>
      <c r="X1256" s="592"/>
      <c r="Y1256" s="592"/>
      <c r="Z1256" s="592"/>
    </row>
    <row r="1257" spans="1:26" s="28" customFormat="1" ht="37.5" hidden="1">
      <c r="A1257" s="916">
        <f>A1256+1</f>
        <v>3</v>
      </c>
      <c r="B1257" s="917" t="s">
        <v>4288</v>
      </c>
      <c r="C1257" s="915" t="s">
        <v>299</v>
      </c>
      <c r="D1257" s="915">
        <v>2975</v>
      </c>
      <c r="E1257" s="676">
        <v>2479</v>
      </c>
      <c r="F1257" s="700" t="s">
        <v>251</v>
      </c>
      <c r="G1257" s="879">
        <v>595</v>
      </c>
      <c r="H1257" s="874">
        <v>2</v>
      </c>
      <c r="I1257" s="874">
        <v>2</v>
      </c>
      <c r="J1257" s="643">
        <v>12</v>
      </c>
      <c r="K1257" s="697" t="s">
        <v>33</v>
      </c>
      <c r="L1257" s="781">
        <f>SUM(M1257:Q1257)</f>
        <v>1567527.2200000002</v>
      </c>
      <c r="M1257" s="782">
        <v>1547627.2200000002</v>
      </c>
      <c r="N1257" s="783">
        <v>19900</v>
      </c>
      <c r="O1257" s="587"/>
      <c r="P1257" s="586"/>
      <c r="Q1257" s="586"/>
      <c r="R1257" s="582">
        <f>M1257/G1257</f>
        <v>2601.0541512605046</v>
      </c>
      <c r="S1257" s="592"/>
      <c r="T1257" s="592"/>
      <c r="U1257" s="591"/>
      <c r="V1257" s="589"/>
      <c r="W1257" s="592"/>
      <c r="X1257" s="592"/>
      <c r="Y1257" s="592"/>
      <c r="Z1257" s="592"/>
    </row>
    <row r="1258" spans="1:26" s="28" customFormat="1" ht="37.5" hidden="1">
      <c r="A1258" s="916">
        <f>A1257+1</f>
        <v>4</v>
      </c>
      <c r="B1258" s="917" t="s">
        <v>1309</v>
      </c>
      <c r="C1258" s="915" t="s">
        <v>299</v>
      </c>
      <c r="D1258" s="915">
        <v>2918</v>
      </c>
      <c r="E1258" s="676">
        <v>1323</v>
      </c>
      <c r="F1258" s="700" t="s">
        <v>251</v>
      </c>
      <c r="G1258" s="879">
        <v>610.55999999999995</v>
      </c>
      <c r="H1258" s="874">
        <v>2</v>
      </c>
      <c r="I1258" s="874">
        <v>2</v>
      </c>
      <c r="J1258" s="643">
        <v>16</v>
      </c>
      <c r="K1258" s="697" t="s">
        <v>300</v>
      </c>
      <c r="L1258" s="781">
        <f>SUM(M1258:Q1258)</f>
        <v>290654.43</v>
      </c>
      <c r="M1258" s="782">
        <v>270754.43</v>
      </c>
      <c r="N1258" s="783">
        <v>19900</v>
      </c>
      <c r="O1258" s="587"/>
      <c r="P1258" s="586"/>
      <c r="Q1258" s="586"/>
      <c r="R1258" s="582">
        <f>M1258/J1258</f>
        <v>16922.151875</v>
      </c>
      <c r="S1258" s="592"/>
      <c r="T1258" s="592"/>
      <c r="U1258" s="586"/>
      <c r="V1258" s="589"/>
      <c r="W1258" s="592"/>
      <c r="X1258" s="592"/>
      <c r="Y1258" s="592"/>
      <c r="Z1258" s="592"/>
    </row>
    <row r="1259" spans="1:26" s="28" customFormat="1" hidden="1">
      <c r="A1259" s="1349" t="s">
        <v>175</v>
      </c>
      <c r="B1259" s="1349"/>
      <c r="C1259" s="582" t="s">
        <v>28</v>
      </c>
      <c r="D1259" s="582">
        <f>SUM(D1255:D1258)</f>
        <v>13939</v>
      </c>
      <c r="E1259" s="582">
        <f>SUM(E1255:E1258)</f>
        <v>11426.4</v>
      </c>
      <c r="F1259" s="582" t="s">
        <v>28</v>
      </c>
      <c r="G1259" s="582">
        <f>SUM(G1255:G1258)</f>
        <v>2492.06</v>
      </c>
      <c r="H1259" s="582" t="s">
        <v>28</v>
      </c>
      <c r="I1259" s="582" t="s">
        <v>28</v>
      </c>
      <c r="J1259" s="582">
        <f>SUM(J1255:J1258)</f>
        <v>64</v>
      </c>
      <c r="K1259" s="590" t="s">
        <v>28</v>
      </c>
      <c r="L1259" s="584">
        <f t="shared" ref="L1259:Q1259" si="164">SUM(L1255:L1258)</f>
        <v>2991826.6500000004</v>
      </c>
      <c r="M1259" s="585">
        <f t="shared" si="164"/>
        <v>2897301.6500000004</v>
      </c>
      <c r="N1259" s="586">
        <f t="shared" si="164"/>
        <v>94525</v>
      </c>
      <c r="O1259" s="587">
        <f t="shared" si="164"/>
        <v>0</v>
      </c>
      <c r="P1259" s="586">
        <f t="shared" si="164"/>
        <v>0</v>
      </c>
      <c r="Q1259" s="586">
        <f t="shared" si="164"/>
        <v>0</v>
      </c>
      <c r="R1259" s="582" t="s">
        <v>28</v>
      </c>
      <c r="S1259" s="564">
        <f>L1259-M1259-N1259-O1259-P1259-Q1259</f>
        <v>0</v>
      </c>
      <c r="T1259" s="577" t="e">
        <f>'1.перечень МКД'!#REF!</f>
        <v>#REF!</v>
      </c>
      <c r="U1259" s="589" t="e">
        <f>L1259-T1259</f>
        <v>#REF!</v>
      </c>
      <c r="V1259" s="589"/>
      <c r="W1259" s="592"/>
      <c r="X1259" s="592"/>
      <c r="Y1259" s="592"/>
      <c r="Z1259" s="592"/>
    </row>
    <row r="1260" spans="1:26" s="28" customFormat="1" hidden="1">
      <c r="A1260" s="1347" t="s">
        <v>176</v>
      </c>
      <c r="B1260" s="1347"/>
      <c r="C1260" s="1347"/>
      <c r="D1260" s="1347"/>
      <c r="E1260" s="1347"/>
      <c r="F1260" s="1347"/>
      <c r="G1260" s="1347"/>
      <c r="H1260" s="1347"/>
      <c r="I1260" s="1347"/>
      <c r="J1260" s="1347"/>
      <c r="K1260" s="1347"/>
      <c r="L1260" s="1347"/>
      <c r="M1260" s="1347"/>
      <c r="N1260" s="1347"/>
      <c r="O1260" s="1347"/>
      <c r="P1260" s="1347"/>
      <c r="Q1260" s="1347"/>
      <c r="R1260" s="1347"/>
      <c r="S1260" s="592"/>
      <c r="T1260" s="592"/>
      <c r="U1260" s="591"/>
      <c r="V1260" s="589"/>
      <c r="W1260" s="592"/>
      <c r="X1260" s="592"/>
      <c r="Y1260" s="592"/>
      <c r="Z1260" s="592"/>
    </row>
    <row r="1261" spans="1:26" s="28" customFormat="1" ht="37.5" hidden="1">
      <c r="A1261" s="916">
        <v>1</v>
      </c>
      <c r="B1261" s="917" t="s">
        <v>1310</v>
      </c>
      <c r="C1261" s="915" t="s">
        <v>299</v>
      </c>
      <c r="D1261" s="915"/>
      <c r="E1261" s="676">
        <v>708.51</v>
      </c>
      <c r="F1261" s="700" t="s">
        <v>251</v>
      </c>
      <c r="G1261" s="879">
        <v>642.41999999999996</v>
      </c>
      <c r="H1261" s="874">
        <v>2</v>
      </c>
      <c r="I1261" s="874">
        <v>3</v>
      </c>
      <c r="J1261" s="643">
        <v>22</v>
      </c>
      <c r="K1261" s="697" t="s">
        <v>224</v>
      </c>
      <c r="L1261" s="781">
        <f t="shared" ref="L1261:L1267" si="165">SUM(M1261:Q1261)</f>
        <v>274733.7</v>
      </c>
      <c r="M1261" s="782">
        <v>244883.7</v>
      </c>
      <c r="N1261" s="783">
        <v>29850</v>
      </c>
      <c r="O1261" s="587"/>
      <c r="P1261" s="586"/>
      <c r="Q1261" s="586"/>
      <c r="R1261" s="582">
        <f>M1261/J1261</f>
        <v>11131.077272727272</v>
      </c>
      <c r="S1261" s="564">
        <f t="shared" ref="S1261:S1268" si="166">L1261-M1261-N1261-O1261-P1261-Q1261</f>
        <v>0</v>
      </c>
      <c r="T1261" s="592"/>
      <c r="U1261" s="591"/>
      <c r="V1261" s="589"/>
      <c r="W1261" s="592"/>
      <c r="X1261" s="592"/>
      <c r="Y1261" s="592"/>
      <c r="Z1261" s="592"/>
    </row>
    <row r="1262" spans="1:26" s="28" customFormat="1" hidden="1">
      <c r="A1262" s="916">
        <f>A1261+1</f>
        <v>2</v>
      </c>
      <c r="B1262" s="917" t="s">
        <v>1311</v>
      </c>
      <c r="C1262" s="915" t="s">
        <v>239</v>
      </c>
      <c r="D1262" s="915"/>
      <c r="E1262" s="676">
        <v>4387.2</v>
      </c>
      <c r="F1262" s="700" t="s">
        <v>317</v>
      </c>
      <c r="G1262" s="879">
        <v>1426</v>
      </c>
      <c r="H1262" s="874">
        <v>5</v>
      </c>
      <c r="I1262" s="874">
        <v>8</v>
      </c>
      <c r="J1262" s="643">
        <v>91</v>
      </c>
      <c r="K1262" s="697" t="s">
        <v>33</v>
      </c>
      <c r="L1262" s="781">
        <f t="shared" si="165"/>
        <v>3286310</v>
      </c>
      <c r="M1262" s="782">
        <v>3276520.2</v>
      </c>
      <c r="N1262" s="783"/>
      <c r="O1262" s="587">
        <v>9789.7999999999993</v>
      </c>
      <c r="P1262" s="586"/>
      <c r="Q1262" s="586"/>
      <c r="R1262" s="582">
        <f>M1262/G1262</f>
        <v>2297.7000000000003</v>
      </c>
      <c r="S1262" s="564">
        <f t="shared" si="166"/>
        <v>-1.8553691916167736E-10</v>
      </c>
      <c r="T1262" s="592"/>
      <c r="U1262" s="591"/>
      <c r="V1262" s="589"/>
      <c r="W1262" s="592"/>
      <c r="X1262" s="592"/>
      <c r="Y1262" s="592"/>
      <c r="Z1262" s="592"/>
    </row>
    <row r="1263" spans="1:26" s="28" customFormat="1" hidden="1">
      <c r="A1263" s="916">
        <f>A1262+1</f>
        <v>3</v>
      </c>
      <c r="B1263" s="917" t="s">
        <v>1312</v>
      </c>
      <c r="C1263" s="915" t="s">
        <v>217</v>
      </c>
      <c r="D1263" s="915"/>
      <c r="E1263" s="676">
        <v>2298.4</v>
      </c>
      <c r="F1263" s="700" t="s">
        <v>251</v>
      </c>
      <c r="G1263" s="879">
        <v>3991</v>
      </c>
      <c r="H1263" s="874">
        <v>4</v>
      </c>
      <c r="I1263" s="874">
        <v>5</v>
      </c>
      <c r="J1263" s="643">
        <v>54</v>
      </c>
      <c r="K1263" s="697" t="s">
        <v>224</v>
      </c>
      <c r="L1263" s="781">
        <f t="shared" si="165"/>
        <v>786328.94</v>
      </c>
      <c r="M1263" s="782">
        <v>751503.94</v>
      </c>
      <c r="N1263" s="783">
        <v>34825</v>
      </c>
      <c r="O1263" s="587"/>
      <c r="P1263" s="586"/>
      <c r="Q1263" s="586"/>
      <c r="R1263" s="582">
        <f>M1263/J1263</f>
        <v>13916.739629629628</v>
      </c>
      <c r="S1263" s="564">
        <f t="shared" si="166"/>
        <v>0</v>
      </c>
      <c r="T1263" s="645"/>
      <c r="U1263" s="591"/>
      <c r="V1263" s="589"/>
      <c r="W1263" s="592"/>
      <c r="X1263" s="592"/>
      <c r="Y1263" s="592"/>
      <c r="Z1263" s="592"/>
    </row>
    <row r="1264" spans="1:26" s="28" customFormat="1" hidden="1">
      <c r="A1264" s="916">
        <v>4</v>
      </c>
      <c r="B1264" s="917" t="s">
        <v>1313</v>
      </c>
      <c r="C1264" s="915" t="s">
        <v>221</v>
      </c>
      <c r="D1264" s="915"/>
      <c r="E1264" s="676">
        <v>648</v>
      </c>
      <c r="F1264" s="700" t="s">
        <v>251</v>
      </c>
      <c r="G1264" s="879">
        <v>605.20000000000005</v>
      </c>
      <c r="H1264" s="874">
        <v>2</v>
      </c>
      <c r="I1264" s="874">
        <v>2</v>
      </c>
      <c r="J1264" s="643">
        <v>16</v>
      </c>
      <c r="K1264" s="697" t="s">
        <v>33</v>
      </c>
      <c r="L1264" s="781">
        <f t="shared" si="165"/>
        <v>1289695.95</v>
      </c>
      <c r="M1264" s="782">
        <v>1259845.95</v>
      </c>
      <c r="N1264" s="783">
        <v>29850</v>
      </c>
      <c r="O1264" s="587"/>
      <c r="P1264" s="586"/>
      <c r="Q1264" s="586"/>
      <c r="R1264" s="582">
        <f>M1264/G1264</f>
        <v>2081.7018341044281</v>
      </c>
      <c r="S1264" s="564">
        <f t="shared" si="166"/>
        <v>0</v>
      </c>
      <c r="T1264" s="645"/>
      <c r="U1264" s="591"/>
      <c r="V1264" s="589"/>
      <c r="W1264" s="592"/>
      <c r="X1264" s="592"/>
      <c r="Y1264" s="592"/>
      <c r="Z1264" s="592"/>
    </row>
    <row r="1265" spans="1:26" s="28" customFormat="1" hidden="1">
      <c r="A1265" s="916">
        <v>5</v>
      </c>
      <c r="B1265" s="917" t="s">
        <v>3952</v>
      </c>
      <c r="C1265" s="915" t="s">
        <v>221</v>
      </c>
      <c r="D1265" s="915"/>
      <c r="E1265" s="676">
        <v>843</v>
      </c>
      <c r="F1265" s="700" t="s">
        <v>251</v>
      </c>
      <c r="G1265" s="879">
        <v>740</v>
      </c>
      <c r="H1265" s="874">
        <v>2</v>
      </c>
      <c r="I1265" s="874">
        <v>2</v>
      </c>
      <c r="J1265" s="643">
        <v>16</v>
      </c>
      <c r="K1265" s="697" t="s">
        <v>224</v>
      </c>
      <c r="L1265" s="781">
        <f t="shared" si="165"/>
        <v>178060.49</v>
      </c>
      <c r="M1265" s="782">
        <v>148210.49</v>
      </c>
      <c r="N1265" s="783">
        <v>29850</v>
      </c>
      <c r="O1265" s="587"/>
      <c r="P1265" s="586"/>
      <c r="Q1265" s="586"/>
      <c r="R1265" s="582">
        <f>M1265/J1265</f>
        <v>9263.1556249999994</v>
      </c>
      <c r="S1265" s="564">
        <f t="shared" si="166"/>
        <v>0</v>
      </c>
      <c r="T1265" s="645"/>
      <c r="U1265" s="591"/>
      <c r="V1265" s="589"/>
      <c r="W1265" s="592"/>
      <c r="X1265" s="592"/>
      <c r="Y1265" s="592"/>
      <c r="Z1265" s="592"/>
    </row>
    <row r="1266" spans="1:26" s="28" customFormat="1" hidden="1">
      <c r="A1266" s="916">
        <v>6</v>
      </c>
      <c r="B1266" s="917" t="s">
        <v>1314</v>
      </c>
      <c r="C1266" s="915" t="s">
        <v>239</v>
      </c>
      <c r="D1266" s="915"/>
      <c r="E1266" s="676">
        <v>484</v>
      </c>
      <c r="F1266" s="700" t="s">
        <v>251</v>
      </c>
      <c r="G1266" s="879">
        <v>439</v>
      </c>
      <c r="H1266" s="874">
        <v>2</v>
      </c>
      <c r="I1266" s="874">
        <v>2</v>
      </c>
      <c r="J1266" s="643">
        <v>12</v>
      </c>
      <c r="K1266" s="697" t="s">
        <v>33</v>
      </c>
      <c r="L1266" s="781">
        <f t="shared" si="165"/>
        <v>1219946.6400000001</v>
      </c>
      <c r="M1266" s="782">
        <v>1190096.6400000001</v>
      </c>
      <c r="N1266" s="783">
        <v>29850</v>
      </c>
      <c r="O1266" s="587"/>
      <c r="P1266" s="586"/>
      <c r="Q1266" s="586"/>
      <c r="R1266" s="582">
        <f>M1266/G1266</f>
        <v>2710.9262870159455</v>
      </c>
      <c r="S1266" s="564">
        <f t="shared" si="166"/>
        <v>0</v>
      </c>
      <c r="T1266" s="645"/>
      <c r="U1266" s="591"/>
      <c r="V1266" s="589"/>
      <c r="W1266" s="592"/>
      <c r="X1266" s="592"/>
      <c r="Y1266" s="592"/>
      <c r="Z1266" s="592"/>
    </row>
    <row r="1267" spans="1:26" s="28" customFormat="1" hidden="1">
      <c r="A1267" s="916">
        <v>7</v>
      </c>
      <c r="B1267" s="917" t="s">
        <v>1315</v>
      </c>
      <c r="C1267" s="915" t="s">
        <v>239</v>
      </c>
      <c r="D1267" s="915"/>
      <c r="E1267" s="676">
        <v>501</v>
      </c>
      <c r="F1267" s="700" t="s">
        <v>251</v>
      </c>
      <c r="G1267" s="879">
        <v>463</v>
      </c>
      <c r="H1267" s="874">
        <v>2</v>
      </c>
      <c r="I1267" s="874">
        <v>2</v>
      </c>
      <c r="J1267" s="643">
        <v>12</v>
      </c>
      <c r="K1267" s="697" t="s">
        <v>224</v>
      </c>
      <c r="L1267" s="781">
        <f t="shared" si="165"/>
        <v>200456.61</v>
      </c>
      <c r="M1267" s="782">
        <v>170606.61</v>
      </c>
      <c r="N1267" s="783">
        <v>29850</v>
      </c>
      <c r="O1267" s="587"/>
      <c r="P1267" s="586"/>
      <c r="Q1267" s="586"/>
      <c r="R1267" s="582">
        <f>M1267/J1267</f>
        <v>14217.217499999999</v>
      </c>
      <c r="S1267" s="564">
        <f t="shared" si="166"/>
        <v>0</v>
      </c>
      <c r="T1267" s="645"/>
      <c r="U1267" s="591"/>
      <c r="V1267" s="589"/>
      <c r="W1267" s="592"/>
      <c r="X1267" s="592"/>
      <c r="Y1267" s="592"/>
      <c r="Z1267" s="592"/>
    </row>
    <row r="1268" spans="1:26" s="28" customFormat="1" hidden="1">
      <c r="A1268" s="1349" t="s">
        <v>177</v>
      </c>
      <c r="B1268" s="1349"/>
      <c r="C1268" s="786" t="s">
        <v>28</v>
      </c>
      <c r="D1268" s="586"/>
      <c r="E1268" s="586">
        <f>SUM(E1261:E1267)</f>
        <v>9870.11</v>
      </c>
      <c r="F1268" s="786" t="s">
        <v>28</v>
      </c>
      <c r="G1268" s="586">
        <f>SUM(G1261:G1267)</f>
        <v>8306.619999999999</v>
      </c>
      <c r="H1268" s="786" t="s">
        <v>28</v>
      </c>
      <c r="I1268" s="786" t="s">
        <v>28</v>
      </c>
      <c r="J1268" s="582">
        <f>SUM(J1261:J1267)</f>
        <v>223</v>
      </c>
      <c r="K1268" s="590" t="s">
        <v>28</v>
      </c>
      <c r="L1268" s="584">
        <f t="shared" ref="L1268:Q1268" si="167">SUM(L1261:L1267)</f>
        <v>7235532.330000001</v>
      </c>
      <c r="M1268" s="585">
        <f t="shared" si="167"/>
        <v>7041667.5300000003</v>
      </c>
      <c r="N1268" s="586">
        <f t="shared" si="167"/>
        <v>184075</v>
      </c>
      <c r="O1268" s="587">
        <f t="shared" si="167"/>
        <v>9789.7999999999993</v>
      </c>
      <c r="P1268" s="586">
        <f t="shared" si="167"/>
        <v>0</v>
      </c>
      <c r="Q1268" s="586">
        <f t="shared" si="167"/>
        <v>0</v>
      </c>
      <c r="R1268" s="582" t="s">
        <v>28</v>
      </c>
      <c r="S1268" s="564">
        <f t="shared" si="166"/>
        <v>7.4578565545380116E-10</v>
      </c>
      <c r="T1268" s="577" t="e">
        <f>'1.перечень МКД'!#REF!</f>
        <v>#REF!</v>
      </c>
      <c r="U1268" s="589" t="e">
        <f>L1268-T1268</f>
        <v>#REF!</v>
      </c>
      <c r="V1268" s="589"/>
      <c r="W1268" s="592"/>
      <c r="X1268" s="592"/>
      <c r="Y1268" s="592"/>
      <c r="Z1268" s="592"/>
    </row>
    <row r="1269" spans="1:26" s="28" customFormat="1" hidden="1">
      <c r="A1269" s="1347" t="s">
        <v>178</v>
      </c>
      <c r="B1269" s="1347"/>
      <c r="C1269" s="1347"/>
      <c r="D1269" s="1347"/>
      <c r="E1269" s="1347"/>
      <c r="F1269" s="1347"/>
      <c r="G1269" s="1347"/>
      <c r="H1269" s="1347"/>
      <c r="I1269" s="1347"/>
      <c r="J1269" s="1347"/>
      <c r="K1269" s="1347"/>
      <c r="L1269" s="1347"/>
      <c r="M1269" s="1347"/>
      <c r="N1269" s="1347"/>
      <c r="O1269" s="1347"/>
      <c r="P1269" s="1347"/>
      <c r="Q1269" s="1347"/>
      <c r="R1269" s="1347"/>
      <c r="S1269" s="592"/>
      <c r="T1269" s="592"/>
      <c r="U1269" s="591"/>
      <c r="V1269" s="589"/>
      <c r="W1269" s="592"/>
      <c r="X1269" s="592"/>
      <c r="Y1269" s="592"/>
      <c r="Z1269" s="592"/>
    </row>
    <row r="1270" spans="1:26" s="36" customFormat="1" ht="37.5" hidden="1">
      <c r="A1270" s="591">
        <v>1</v>
      </c>
      <c r="B1270" s="848" t="s">
        <v>1316</v>
      </c>
      <c r="C1270" s="786" t="s">
        <v>282</v>
      </c>
      <c r="D1270" s="593">
        <v>65598</v>
      </c>
      <c r="E1270" s="593">
        <v>10395</v>
      </c>
      <c r="F1270" s="593" t="s">
        <v>253</v>
      </c>
      <c r="G1270" s="593">
        <v>2811</v>
      </c>
      <c r="H1270" s="593">
        <v>9</v>
      </c>
      <c r="I1270" s="593">
        <v>8</v>
      </c>
      <c r="J1270" s="593">
        <v>291</v>
      </c>
      <c r="K1270" s="590" t="s">
        <v>219</v>
      </c>
      <c r="L1270" s="584">
        <f>SUM(M1270:Q1270)</f>
        <v>2073725</v>
      </c>
      <c r="M1270" s="585">
        <v>1990000</v>
      </c>
      <c r="N1270" s="586">
        <v>83725</v>
      </c>
      <c r="O1270" s="587"/>
      <c r="P1270" s="586"/>
      <c r="Q1270" s="586"/>
      <c r="R1270" s="582">
        <f>M1270/1</f>
        <v>1990000</v>
      </c>
      <c r="S1270" s="593"/>
      <c r="T1270" s="593"/>
      <c r="U1270" s="591"/>
      <c r="V1270" s="589"/>
      <c r="W1270" s="593"/>
      <c r="X1270" s="593"/>
      <c r="Y1270" s="593"/>
      <c r="Z1270" s="593"/>
    </row>
    <row r="1271" spans="1:26" s="36" customFormat="1" hidden="1">
      <c r="A1271" s="591">
        <v>2</v>
      </c>
      <c r="B1271" s="848" t="s">
        <v>1317</v>
      </c>
      <c r="C1271" s="786" t="s">
        <v>221</v>
      </c>
      <c r="D1271" s="593">
        <v>24045</v>
      </c>
      <c r="E1271" s="593">
        <v>3900</v>
      </c>
      <c r="F1271" s="593" t="s">
        <v>233</v>
      </c>
      <c r="G1271" s="593">
        <v>1530</v>
      </c>
      <c r="H1271" s="593">
        <v>5</v>
      </c>
      <c r="I1271" s="593">
        <v>8</v>
      </c>
      <c r="J1271" s="593">
        <v>89</v>
      </c>
      <c r="K1271" s="590" t="s">
        <v>33</v>
      </c>
      <c r="L1271" s="584">
        <f>SUM(M1271:Q1271)</f>
        <v>3283100.01</v>
      </c>
      <c r="M1271" s="585">
        <v>3273052.5</v>
      </c>
      <c r="N1271" s="586"/>
      <c r="O1271" s="587">
        <v>10047.51</v>
      </c>
      <c r="P1271" s="586"/>
      <c r="Q1271" s="586"/>
      <c r="R1271" s="582">
        <f>M1271/G1271</f>
        <v>2139.25</v>
      </c>
      <c r="S1271" s="593"/>
      <c r="T1271" s="593"/>
      <c r="U1271" s="591"/>
      <c r="V1271" s="589"/>
      <c r="W1271" s="593"/>
      <c r="X1271" s="593"/>
      <c r="Y1271" s="593"/>
      <c r="Z1271" s="593"/>
    </row>
    <row r="1272" spans="1:26" s="36" customFormat="1" hidden="1">
      <c r="A1272" s="1349">
        <v>3</v>
      </c>
      <c r="B1272" s="848" t="s">
        <v>1318</v>
      </c>
      <c r="C1272" s="786" t="s">
        <v>239</v>
      </c>
      <c r="D1272" s="593">
        <v>12433</v>
      </c>
      <c r="E1272" s="593">
        <v>1819</v>
      </c>
      <c r="F1272" s="593" t="s">
        <v>251</v>
      </c>
      <c r="G1272" s="593">
        <v>1299</v>
      </c>
      <c r="H1272" s="593">
        <v>3</v>
      </c>
      <c r="I1272" s="593">
        <v>4</v>
      </c>
      <c r="J1272" s="593">
        <v>30</v>
      </c>
      <c r="K1272" s="590" t="s">
        <v>33</v>
      </c>
      <c r="L1272" s="1348">
        <f>M1272+N1272+O1272+P1272+Q1272+M1273+N1273+O1273+P1273+Q1273</f>
        <v>6995854.4399999995</v>
      </c>
      <c r="M1272" s="585">
        <v>3613126.65</v>
      </c>
      <c r="N1272" s="586">
        <v>30845</v>
      </c>
      <c r="O1272" s="587"/>
      <c r="P1272" s="586"/>
      <c r="Q1272" s="586"/>
      <c r="R1272" s="582">
        <f>M1272/G1272</f>
        <v>2781.4677829099305</v>
      </c>
      <c r="S1272" s="593"/>
      <c r="T1272" s="593"/>
      <c r="U1272" s="591"/>
      <c r="V1272" s="589"/>
      <c r="W1272" s="593"/>
      <c r="X1272" s="593"/>
      <c r="Y1272" s="593"/>
      <c r="Z1272" s="593"/>
    </row>
    <row r="1273" spans="1:26" s="36" customFormat="1" hidden="1">
      <c r="A1273" s="1349"/>
      <c r="B1273" s="848"/>
      <c r="C1273" s="786"/>
      <c r="D1273" s="593"/>
      <c r="E1273" s="593"/>
      <c r="F1273" s="593"/>
      <c r="G1273" s="593"/>
      <c r="H1273" s="593"/>
      <c r="I1273" s="593"/>
      <c r="J1273" s="593"/>
      <c r="K1273" s="590" t="s">
        <v>38</v>
      </c>
      <c r="L1273" s="1348"/>
      <c r="M1273" s="585">
        <v>3341023.3600000003</v>
      </c>
      <c r="N1273" s="586"/>
      <c r="O1273" s="587">
        <v>10859.43</v>
      </c>
      <c r="P1273" s="586"/>
      <c r="Q1273" s="586"/>
      <c r="R1273" s="599">
        <f>M1273/E1272</f>
        <v>1836.7363166575044</v>
      </c>
      <c r="S1273" s="593"/>
      <c r="T1273" s="593"/>
      <c r="U1273" s="591"/>
      <c r="V1273" s="589"/>
      <c r="W1273" s="593"/>
      <c r="X1273" s="593"/>
      <c r="Y1273" s="593"/>
      <c r="Z1273" s="593"/>
    </row>
    <row r="1274" spans="1:26" s="36" customFormat="1" hidden="1">
      <c r="A1274" s="591">
        <f>A1272+1</f>
        <v>4</v>
      </c>
      <c r="B1274" s="848" t="s">
        <v>1319</v>
      </c>
      <c r="C1274" s="786" t="s">
        <v>239</v>
      </c>
      <c r="D1274" s="593">
        <v>4671</v>
      </c>
      <c r="E1274" s="888">
        <v>997</v>
      </c>
      <c r="F1274" s="593" t="s">
        <v>230</v>
      </c>
      <c r="G1274" s="593">
        <v>583</v>
      </c>
      <c r="H1274" s="593">
        <v>3</v>
      </c>
      <c r="I1274" s="593">
        <v>2</v>
      </c>
      <c r="J1274" s="593">
        <v>16</v>
      </c>
      <c r="K1274" s="590" t="s">
        <v>38</v>
      </c>
      <c r="L1274" s="584">
        <f>SUM(M1274:Q1274)</f>
        <v>1703118.7600000002</v>
      </c>
      <c r="M1274" s="585">
        <v>1697166.6700000002</v>
      </c>
      <c r="N1274" s="586"/>
      <c r="O1274" s="587">
        <v>5952.09</v>
      </c>
      <c r="P1274" s="586"/>
      <c r="Q1274" s="586"/>
      <c r="R1274" s="599">
        <f>M1274/E1274</f>
        <v>1702.2734904714143</v>
      </c>
      <c r="S1274" s="593"/>
      <c r="T1274" s="593"/>
      <c r="U1274" s="591"/>
      <c r="V1274" s="589"/>
      <c r="W1274" s="593"/>
      <c r="X1274" s="593"/>
      <c r="Y1274" s="593"/>
      <c r="Z1274" s="593"/>
    </row>
    <row r="1275" spans="1:26" s="36" customFormat="1" hidden="1">
      <c r="A1275" s="591">
        <f>A1274+1</f>
        <v>5</v>
      </c>
      <c r="B1275" s="848" t="s">
        <v>1320</v>
      </c>
      <c r="C1275" s="786" t="s">
        <v>239</v>
      </c>
      <c r="D1275" s="593">
        <v>11288</v>
      </c>
      <c r="E1275" s="593">
        <v>2109</v>
      </c>
      <c r="F1275" s="593" t="s">
        <v>222</v>
      </c>
      <c r="G1275" s="593">
        <v>1067</v>
      </c>
      <c r="H1275" s="593">
        <v>5</v>
      </c>
      <c r="I1275" s="593">
        <v>4</v>
      </c>
      <c r="J1275" s="593">
        <v>80</v>
      </c>
      <c r="K1275" s="590" t="s">
        <v>33</v>
      </c>
      <c r="L1275" s="584">
        <f>SUM(M1275:Q1275)</f>
        <v>2905486.91</v>
      </c>
      <c r="M1275" s="585">
        <v>2880611.91</v>
      </c>
      <c r="N1275" s="586">
        <v>24875</v>
      </c>
      <c r="O1275" s="587"/>
      <c r="P1275" s="586"/>
      <c r="Q1275" s="586"/>
      <c r="R1275" s="582">
        <f>M1275/G1275</f>
        <v>2699.73</v>
      </c>
      <c r="S1275" s="593"/>
      <c r="T1275" s="593"/>
      <c r="U1275" s="591"/>
      <c r="V1275" s="589"/>
      <c r="W1275" s="593"/>
      <c r="X1275" s="593"/>
      <c r="Y1275" s="593"/>
      <c r="Z1275" s="593"/>
    </row>
    <row r="1276" spans="1:26" s="36" customFormat="1" ht="37.5" hidden="1">
      <c r="A1276" s="591">
        <f>A1275+1</f>
        <v>6</v>
      </c>
      <c r="B1276" s="848" t="s">
        <v>1321</v>
      </c>
      <c r="C1276" s="786" t="s">
        <v>282</v>
      </c>
      <c r="D1276" s="593">
        <v>52538</v>
      </c>
      <c r="E1276" s="593">
        <v>7295</v>
      </c>
      <c r="F1276" s="593" t="s">
        <v>253</v>
      </c>
      <c r="G1276" s="593">
        <v>1510</v>
      </c>
      <c r="H1276" s="593">
        <v>9</v>
      </c>
      <c r="I1276" s="593">
        <v>6</v>
      </c>
      <c r="J1276" s="593">
        <v>219</v>
      </c>
      <c r="K1276" s="590" t="s">
        <v>219</v>
      </c>
      <c r="L1276" s="584">
        <f>SUM(M1276:Q1276)</f>
        <v>2073725</v>
      </c>
      <c r="M1276" s="585">
        <v>1990000</v>
      </c>
      <c r="N1276" s="586">
        <v>83725</v>
      </c>
      <c r="O1276" s="587"/>
      <c r="P1276" s="586"/>
      <c r="Q1276" s="586"/>
      <c r="R1276" s="582">
        <f>M1276/1</f>
        <v>1990000</v>
      </c>
      <c r="S1276" s="593"/>
      <c r="T1276" s="593"/>
      <c r="U1276" s="591"/>
      <c r="V1276" s="589"/>
      <c r="W1276" s="593"/>
      <c r="X1276" s="593"/>
      <c r="Y1276" s="593"/>
      <c r="Z1276" s="593"/>
    </row>
    <row r="1277" spans="1:26" s="36" customFormat="1" hidden="1">
      <c r="A1277" s="1349">
        <v>7</v>
      </c>
      <c r="B1277" s="918" t="s">
        <v>1322</v>
      </c>
      <c r="C1277" s="786" t="s">
        <v>239</v>
      </c>
      <c r="D1277" s="593">
        <v>5492</v>
      </c>
      <c r="E1277" s="593">
        <v>1050</v>
      </c>
      <c r="F1277" s="593" t="s">
        <v>230</v>
      </c>
      <c r="G1277" s="593">
        <v>592</v>
      </c>
      <c r="H1277" s="593">
        <v>3</v>
      </c>
      <c r="I1277" s="593">
        <v>2</v>
      </c>
      <c r="J1277" s="593">
        <v>18</v>
      </c>
      <c r="K1277" s="590" t="s">
        <v>38</v>
      </c>
      <c r="L1277" s="1348">
        <f>M1277+N1277+O1277+P1277+Q1277+M1278+N1278+O1278+P1278+Q1278</f>
        <v>3764740.7</v>
      </c>
      <c r="M1277" s="585">
        <v>2099790</v>
      </c>
      <c r="N1277" s="586"/>
      <c r="O1277" s="587">
        <v>6268.5</v>
      </c>
      <c r="P1277" s="586"/>
      <c r="Q1277" s="586"/>
      <c r="R1277" s="599">
        <f>M1277/E1277</f>
        <v>1999.8</v>
      </c>
      <c r="S1277" s="593"/>
      <c r="T1277" s="593"/>
      <c r="U1277" s="591"/>
      <c r="V1277" s="589"/>
      <c r="W1277" s="593"/>
      <c r="X1277" s="593"/>
      <c r="Y1277" s="593"/>
      <c r="Z1277" s="593"/>
    </row>
    <row r="1278" spans="1:26" s="36" customFormat="1" hidden="1">
      <c r="A1278" s="1349"/>
      <c r="B1278" s="918"/>
      <c r="C1278" s="786" t="s">
        <v>239</v>
      </c>
      <c r="D1278" s="593">
        <v>5492</v>
      </c>
      <c r="E1278" s="593">
        <v>1050</v>
      </c>
      <c r="F1278" s="593" t="s">
        <v>230</v>
      </c>
      <c r="G1278" s="593">
        <v>592</v>
      </c>
      <c r="H1278" s="593">
        <v>3</v>
      </c>
      <c r="I1278" s="593">
        <v>2</v>
      </c>
      <c r="J1278" s="593">
        <v>18</v>
      </c>
      <c r="K1278" s="590" t="s">
        <v>33</v>
      </c>
      <c r="L1278" s="1348"/>
      <c r="M1278" s="585">
        <v>1627837.2</v>
      </c>
      <c r="N1278" s="586">
        <v>30845</v>
      </c>
      <c r="O1278" s="587"/>
      <c r="P1278" s="586"/>
      <c r="Q1278" s="586"/>
      <c r="R1278" s="582">
        <f>M1278/G1278</f>
        <v>2749.7249999999999</v>
      </c>
      <c r="S1278" s="586"/>
      <c r="T1278" s="593"/>
      <c r="U1278" s="591"/>
      <c r="V1278" s="589"/>
      <c r="W1278" s="593"/>
      <c r="X1278" s="593"/>
      <c r="Y1278" s="593"/>
      <c r="Z1278" s="593"/>
    </row>
    <row r="1279" spans="1:26" s="36" customFormat="1" hidden="1">
      <c r="A1279" s="1349">
        <v>8</v>
      </c>
      <c r="B1279" s="848" t="s">
        <v>1323</v>
      </c>
      <c r="C1279" s="786" t="s">
        <v>239</v>
      </c>
      <c r="D1279" s="593">
        <v>10262</v>
      </c>
      <c r="E1279" s="888">
        <v>1702</v>
      </c>
      <c r="F1279" s="593" t="s">
        <v>251</v>
      </c>
      <c r="G1279" s="593">
        <v>1194.8</v>
      </c>
      <c r="H1279" s="593">
        <v>3</v>
      </c>
      <c r="I1279" s="593">
        <v>4</v>
      </c>
      <c r="J1279" s="593">
        <v>48</v>
      </c>
      <c r="K1279" s="590" t="s">
        <v>238</v>
      </c>
      <c r="L1279" s="1348">
        <f>M1279+N1279+O1279+P1279+Q1279+M1280+N1280+O1280+P1280+Q1280</f>
        <v>4788237.9400000004</v>
      </c>
      <c r="M1279" s="585">
        <v>1342656</v>
      </c>
      <c r="N1279" s="586">
        <v>34825</v>
      </c>
      <c r="O1279" s="587"/>
      <c r="P1279" s="586"/>
      <c r="Q1279" s="586"/>
      <c r="R1279" s="582">
        <f>M1279/J1279</f>
        <v>27972</v>
      </c>
      <c r="S1279" s="593"/>
      <c r="T1279" s="593"/>
      <c r="U1279" s="591"/>
      <c r="V1279" s="589"/>
      <c r="W1279" s="593"/>
      <c r="X1279" s="593"/>
      <c r="Y1279" s="593"/>
      <c r="Z1279" s="593"/>
    </row>
    <row r="1280" spans="1:26" s="36" customFormat="1" hidden="1">
      <c r="A1280" s="1349"/>
      <c r="B1280" s="848"/>
      <c r="C1280" s="786"/>
      <c r="D1280" s="593"/>
      <c r="E1280" s="888"/>
      <c r="F1280" s="593"/>
      <c r="G1280" s="593"/>
      <c r="H1280" s="593"/>
      <c r="I1280" s="593"/>
      <c r="J1280" s="593"/>
      <c r="K1280" s="590" t="s">
        <v>38</v>
      </c>
      <c r="L1280" s="1348"/>
      <c r="M1280" s="585">
        <v>3400596</v>
      </c>
      <c r="N1280" s="586"/>
      <c r="O1280" s="587">
        <v>10160.94</v>
      </c>
      <c r="P1280" s="586"/>
      <c r="Q1280" s="586"/>
      <c r="R1280" s="599">
        <f>M1280/E1279</f>
        <v>1998</v>
      </c>
      <c r="S1280" s="593"/>
      <c r="T1280" s="593"/>
      <c r="U1280" s="591"/>
      <c r="V1280" s="589"/>
      <c r="W1280" s="593"/>
      <c r="X1280" s="593"/>
      <c r="Y1280" s="593"/>
      <c r="Z1280" s="593"/>
    </row>
    <row r="1281" spans="1:26" s="36" customFormat="1" ht="37.5" hidden="1">
      <c r="A1281" s="591">
        <f>A1279+1</f>
        <v>9</v>
      </c>
      <c r="B1281" s="848" t="s">
        <v>1324</v>
      </c>
      <c r="C1281" s="786" t="s">
        <v>221</v>
      </c>
      <c r="D1281" s="593">
        <v>293428</v>
      </c>
      <c r="E1281" s="593">
        <v>13803</v>
      </c>
      <c r="F1281" s="593" t="s">
        <v>253</v>
      </c>
      <c r="G1281" s="593">
        <v>2662</v>
      </c>
      <c r="H1281" s="593">
        <v>9</v>
      </c>
      <c r="I1281" s="593">
        <v>11</v>
      </c>
      <c r="J1281" s="593">
        <v>363</v>
      </c>
      <c r="K1281" s="590" t="s">
        <v>219</v>
      </c>
      <c r="L1281" s="584">
        <f>SUM(M1281:Q1281)</f>
        <v>2073725</v>
      </c>
      <c r="M1281" s="585">
        <v>1990000</v>
      </c>
      <c r="N1281" s="586">
        <v>83725</v>
      </c>
      <c r="O1281" s="587"/>
      <c r="P1281" s="586"/>
      <c r="Q1281" s="586"/>
      <c r="R1281" s="582">
        <f>M1281/1</f>
        <v>1990000</v>
      </c>
      <c r="S1281" s="593"/>
      <c r="T1281" s="593"/>
      <c r="U1281" s="591"/>
      <c r="V1281" s="589"/>
      <c r="W1281" s="593"/>
      <c r="X1281" s="593"/>
      <c r="Y1281" s="593"/>
      <c r="Z1281" s="593"/>
    </row>
    <row r="1282" spans="1:26" s="36" customFormat="1" hidden="1">
      <c r="A1282" s="591">
        <f>A1281+1</f>
        <v>10</v>
      </c>
      <c r="B1282" s="848" t="s">
        <v>1325</v>
      </c>
      <c r="C1282" s="786" t="s">
        <v>221</v>
      </c>
      <c r="D1282" s="593">
        <v>24347</v>
      </c>
      <c r="E1282" s="593">
        <v>3800</v>
      </c>
      <c r="F1282" s="593" t="s">
        <v>222</v>
      </c>
      <c r="G1282" s="593">
        <v>2250</v>
      </c>
      <c r="H1282" s="593">
        <v>5</v>
      </c>
      <c r="I1282" s="593">
        <v>8</v>
      </c>
      <c r="J1282" s="593">
        <v>127</v>
      </c>
      <c r="K1282" s="590" t="s">
        <v>33</v>
      </c>
      <c r="L1282" s="584">
        <f>SUM(M1282:Q1282)</f>
        <v>6360394.5599999996</v>
      </c>
      <c r="M1282" s="585">
        <f>5820475.38+505094.18</f>
        <v>6325569.5599999996</v>
      </c>
      <c r="N1282" s="586">
        <v>34825</v>
      </c>
      <c r="O1282" s="587"/>
      <c r="P1282" s="586"/>
      <c r="Q1282" s="586"/>
      <c r="R1282" s="582">
        <f>M1282/G1282</f>
        <v>2811.3642488888886</v>
      </c>
      <c r="S1282" s="593"/>
      <c r="T1282" s="593"/>
      <c r="U1282" s="591"/>
      <c r="V1282" s="589"/>
      <c r="W1282" s="593"/>
      <c r="X1282" s="593"/>
      <c r="Y1282" s="593"/>
      <c r="Z1282" s="593"/>
    </row>
    <row r="1283" spans="1:26" s="36" customFormat="1" hidden="1">
      <c r="A1283" s="591">
        <f>A1282+1</f>
        <v>11</v>
      </c>
      <c r="B1283" s="848" t="s">
        <v>1326</v>
      </c>
      <c r="C1283" s="786" t="s">
        <v>221</v>
      </c>
      <c r="D1283" s="593">
        <v>14021</v>
      </c>
      <c r="E1283" s="593">
        <v>2500</v>
      </c>
      <c r="F1283" s="593" t="s">
        <v>222</v>
      </c>
      <c r="G1283" s="593">
        <v>1258</v>
      </c>
      <c r="H1283" s="593">
        <v>5</v>
      </c>
      <c r="I1283" s="593">
        <v>4</v>
      </c>
      <c r="J1283" s="593">
        <v>65</v>
      </c>
      <c r="K1283" s="590" t="s">
        <v>33</v>
      </c>
      <c r="L1283" s="584">
        <f>SUM(M1283:Q1283)</f>
        <v>3071988.4699999997</v>
      </c>
      <c r="M1283" s="585">
        <v>3038556.4699999997</v>
      </c>
      <c r="N1283" s="586">
        <v>33432</v>
      </c>
      <c r="O1283" s="587"/>
      <c r="P1283" s="586"/>
      <c r="Q1283" s="586"/>
      <c r="R1283" s="582">
        <f>M1283/G1283</f>
        <v>2415.3867011128773</v>
      </c>
      <c r="S1283" s="593"/>
      <c r="T1283" s="593"/>
      <c r="U1283" s="591"/>
      <c r="V1283" s="589"/>
      <c r="W1283" s="593"/>
      <c r="X1283" s="593"/>
      <c r="Y1283" s="593"/>
      <c r="Z1283" s="593"/>
    </row>
    <row r="1284" spans="1:26" s="36" customFormat="1" hidden="1">
      <c r="A1284" s="591">
        <f>A1283+1</f>
        <v>12</v>
      </c>
      <c r="B1284" s="848" t="s">
        <v>1327</v>
      </c>
      <c r="C1284" s="786" t="s">
        <v>239</v>
      </c>
      <c r="D1284" s="593">
        <v>7446</v>
      </c>
      <c r="E1284" s="593">
        <v>1300</v>
      </c>
      <c r="F1284" s="593" t="s">
        <v>222</v>
      </c>
      <c r="G1284" s="593">
        <v>800</v>
      </c>
      <c r="H1284" s="593">
        <v>3</v>
      </c>
      <c r="I1284" s="593">
        <v>3</v>
      </c>
      <c r="J1284" s="593">
        <v>24</v>
      </c>
      <c r="K1284" s="590" t="s">
        <v>33</v>
      </c>
      <c r="L1284" s="1348">
        <f>M1284+N1284+O1284+P1284+Q1284+M1285+N1285+O1285+P1285+Q1285</f>
        <v>4228292.0999999996</v>
      </c>
      <c r="M1284" s="585">
        <v>2377125.23</v>
      </c>
      <c r="N1284" s="586">
        <v>27860</v>
      </c>
      <c r="O1284" s="587"/>
      <c r="P1284" s="586"/>
      <c r="Q1284" s="586"/>
      <c r="R1284" s="582">
        <f>M1284/G1284</f>
        <v>2971.4065375</v>
      </c>
      <c r="S1284" s="593"/>
      <c r="T1284" s="593"/>
      <c r="U1284" s="591"/>
      <c r="V1284" s="589"/>
      <c r="W1284" s="593"/>
      <c r="X1284" s="593"/>
      <c r="Y1284" s="593"/>
      <c r="Z1284" s="593"/>
    </row>
    <row r="1285" spans="1:26" s="36" customFormat="1" hidden="1">
      <c r="A1285" s="591"/>
      <c r="B1285" s="848"/>
      <c r="C1285" s="786"/>
      <c r="D1285" s="593"/>
      <c r="E1285" s="593"/>
      <c r="F1285" s="593"/>
      <c r="G1285" s="593"/>
      <c r="H1285" s="593"/>
      <c r="I1285" s="593"/>
      <c r="J1285" s="593"/>
      <c r="K1285" s="590" t="s">
        <v>38</v>
      </c>
      <c r="L1285" s="1348"/>
      <c r="M1285" s="585">
        <v>1815545.87</v>
      </c>
      <c r="N1285" s="586"/>
      <c r="O1285" s="587">
        <v>7761</v>
      </c>
      <c r="P1285" s="586"/>
      <c r="Q1285" s="586"/>
      <c r="R1285" s="599">
        <f>M1285/E1284</f>
        <v>1396.5737461538463</v>
      </c>
      <c r="S1285" s="593"/>
      <c r="T1285" s="593"/>
      <c r="U1285" s="591"/>
      <c r="V1285" s="589"/>
      <c r="W1285" s="593"/>
      <c r="X1285" s="593"/>
      <c r="Y1285" s="593"/>
      <c r="Z1285" s="593"/>
    </row>
    <row r="1286" spans="1:26" s="36" customFormat="1" hidden="1">
      <c r="A1286" s="591">
        <f>A1284+1</f>
        <v>13</v>
      </c>
      <c r="B1286" s="848" t="s">
        <v>1328</v>
      </c>
      <c r="C1286" s="786" t="s">
        <v>239</v>
      </c>
      <c r="D1286" s="593">
        <v>6927</v>
      </c>
      <c r="E1286" s="593">
        <v>1110</v>
      </c>
      <c r="F1286" s="593" t="s">
        <v>222</v>
      </c>
      <c r="G1286" s="593">
        <v>907</v>
      </c>
      <c r="H1286" s="593">
        <v>3</v>
      </c>
      <c r="I1286" s="593">
        <v>3</v>
      </c>
      <c r="J1286" s="593">
        <v>21</v>
      </c>
      <c r="K1286" s="590" t="s">
        <v>33</v>
      </c>
      <c r="L1286" s="584">
        <f>SUM(M1286:Q1286)</f>
        <v>2386686.7999999998</v>
      </c>
      <c r="M1286" s="585">
        <v>2355841.7999999998</v>
      </c>
      <c r="N1286" s="586">
        <v>30845</v>
      </c>
      <c r="O1286" s="587"/>
      <c r="P1286" s="586"/>
      <c r="Q1286" s="586"/>
      <c r="R1286" s="582">
        <f>M1286/G1286</f>
        <v>2597.3999999999996</v>
      </c>
      <c r="S1286" s="593"/>
      <c r="T1286" s="593"/>
      <c r="U1286" s="586"/>
      <c r="V1286" s="589"/>
      <c r="W1286" s="593"/>
      <c r="X1286" s="593"/>
      <c r="Y1286" s="593"/>
      <c r="Z1286" s="593"/>
    </row>
    <row r="1287" spans="1:26" s="36" customFormat="1" hidden="1">
      <c r="A1287" s="591">
        <f>A1286+1</f>
        <v>14</v>
      </c>
      <c r="B1287" s="848" t="s">
        <v>1329</v>
      </c>
      <c r="C1287" s="786" t="s">
        <v>239</v>
      </c>
      <c r="D1287" s="593">
        <v>8877</v>
      </c>
      <c r="E1287" s="593">
        <v>1488</v>
      </c>
      <c r="F1287" s="593" t="s">
        <v>222</v>
      </c>
      <c r="G1287" s="593">
        <v>957</v>
      </c>
      <c r="H1287" s="593">
        <v>3</v>
      </c>
      <c r="I1287" s="593">
        <v>3</v>
      </c>
      <c r="J1287" s="593">
        <v>22</v>
      </c>
      <c r="K1287" s="590" t="s">
        <v>33</v>
      </c>
      <c r="L1287" s="584">
        <f>SUM(M1287:Q1287)</f>
        <v>2583008.62</v>
      </c>
      <c r="M1287" s="585">
        <v>2552163.62</v>
      </c>
      <c r="N1287" s="586">
        <v>30845</v>
      </c>
      <c r="O1287" s="587"/>
      <c r="P1287" s="586"/>
      <c r="Q1287" s="586"/>
      <c r="R1287" s="582">
        <f>M1287/G1287</f>
        <v>2666.8376384535009</v>
      </c>
      <c r="S1287" s="593"/>
      <c r="T1287" s="593"/>
      <c r="U1287" s="591"/>
      <c r="V1287" s="589"/>
      <c r="W1287" s="593"/>
      <c r="X1287" s="593"/>
      <c r="Y1287" s="593"/>
      <c r="Z1287" s="593"/>
    </row>
    <row r="1288" spans="1:26" s="36" customFormat="1" hidden="1">
      <c r="A1288" s="591">
        <f>A1287+1</f>
        <v>15</v>
      </c>
      <c r="B1288" s="848" t="s">
        <v>1330</v>
      </c>
      <c r="C1288" s="786" t="s">
        <v>239</v>
      </c>
      <c r="D1288" s="593">
        <v>3798</v>
      </c>
      <c r="E1288" s="888">
        <v>688</v>
      </c>
      <c r="F1288" s="593" t="s">
        <v>230</v>
      </c>
      <c r="G1288" s="593">
        <v>389</v>
      </c>
      <c r="H1288" s="593">
        <v>3</v>
      </c>
      <c r="I1288" s="593">
        <v>1</v>
      </c>
      <c r="J1288" s="593">
        <v>12</v>
      </c>
      <c r="K1288" s="590" t="s">
        <v>38</v>
      </c>
      <c r="L1288" s="584">
        <f>SUM(M1288:Q1288)</f>
        <v>1579211.26</v>
      </c>
      <c r="M1288" s="585">
        <v>1574488</v>
      </c>
      <c r="N1288" s="586"/>
      <c r="O1288" s="587">
        <v>4723.26</v>
      </c>
      <c r="P1288" s="586"/>
      <c r="Q1288" s="586"/>
      <c r="R1288" s="599">
        <f>M1288/E1288</f>
        <v>2288.5</v>
      </c>
      <c r="S1288" s="593"/>
      <c r="T1288" s="593"/>
      <c r="U1288" s="591"/>
      <c r="V1288" s="589"/>
      <c r="W1288" s="593"/>
      <c r="X1288" s="593"/>
      <c r="Y1288" s="593"/>
      <c r="Z1288" s="593"/>
    </row>
    <row r="1289" spans="1:26" s="36" customFormat="1" hidden="1">
      <c r="A1289" s="591">
        <f>A1288+1</f>
        <v>16</v>
      </c>
      <c r="B1289" s="848" t="s">
        <v>1331</v>
      </c>
      <c r="C1289" s="786" t="s">
        <v>239</v>
      </c>
      <c r="D1289" s="593">
        <v>5625</v>
      </c>
      <c r="E1289" s="888">
        <v>1010</v>
      </c>
      <c r="F1289" s="593" t="s">
        <v>230</v>
      </c>
      <c r="G1289" s="593">
        <v>558</v>
      </c>
      <c r="H1289" s="593">
        <v>3</v>
      </c>
      <c r="I1289" s="593">
        <v>2</v>
      </c>
      <c r="J1289" s="593">
        <v>13</v>
      </c>
      <c r="K1289" s="590" t="s">
        <v>38</v>
      </c>
      <c r="L1289" s="584">
        <f>SUM(M1289:Q1289)</f>
        <v>2318319.16</v>
      </c>
      <c r="M1289" s="585">
        <v>2311385</v>
      </c>
      <c r="N1289" s="586"/>
      <c r="O1289" s="587">
        <v>6934.16</v>
      </c>
      <c r="P1289" s="586"/>
      <c r="Q1289" s="586"/>
      <c r="R1289" s="599">
        <f>M1289/E1289</f>
        <v>2288.5</v>
      </c>
      <c r="S1289" s="593"/>
      <c r="T1289" s="593"/>
      <c r="U1289" s="591"/>
      <c r="V1289" s="589"/>
      <c r="W1289" s="593"/>
      <c r="X1289" s="593"/>
      <c r="Y1289" s="593"/>
      <c r="Z1289" s="593"/>
    </row>
    <row r="1290" spans="1:26" s="36" customFormat="1" hidden="1">
      <c r="A1290" s="1360">
        <f>A1289+1</f>
        <v>17</v>
      </c>
      <c r="B1290" s="909" t="s">
        <v>1332</v>
      </c>
      <c r="C1290" s="582" t="s">
        <v>239</v>
      </c>
      <c r="D1290" s="582">
        <v>6278</v>
      </c>
      <c r="E1290" s="907">
        <v>902</v>
      </c>
      <c r="F1290" s="582" t="s">
        <v>230</v>
      </c>
      <c r="G1290" s="907">
        <v>679</v>
      </c>
      <c r="H1290" s="919">
        <v>3</v>
      </c>
      <c r="I1290" s="919">
        <v>2</v>
      </c>
      <c r="J1290" s="907">
        <v>18</v>
      </c>
      <c r="K1290" s="679" t="s">
        <v>33</v>
      </c>
      <c r="L1290" s="1348">
        <f>M1290+N1290+O1290+P1290+Q1290+M1291+N1291+O1291+P1291+Q1291</f>
        <v>3787167.95</v>
      </c>
      <c r="M1290" s="585">
        <f>1756549.5+103752.61</f>
        <v>1860302.11</v>
      </c>
      <c r="N1290" s="586">
        <v>30845</v>
      </c>
      <c r="O1290" s="587"/>
      <c r="P1290" s="586"/>
      <c r="Q1290" s="586"/>
      <c r="R1290" s="582">
        <f>M1290/G1290</f>
        <v>2739.7674668630339</v>
      </c>
      <c r="S1290" s="586"/>
      <c r="T1290" s="593"/>
      <c r="U1290" s="591"/>
      <c r="V1290" s="589"/>
      <c r="W1290" s="593"/>
      <c r="X1290" s="593"/>
      <c r="Y1290" s="593"/>
      <c r="Z1290" s="593"/>
    </row>
    <row r="1291" spans="1:26" s="36" customFormat="1" hidden="1">
      <c r="A1291" s="1360"/>
      <c r="B1291" s="909"/>
      <c r="C1291" s="582"/>
      <c r="D1291" s="582"/>
      <c r="E1291" s="907"/>
      <c r="F1291" s="582"/>
      <c r="G1291" s="907"/>
      <c r="H1291" s="919"/>
      <c r="I1291" s="919"/>
      <c r="J1291" s="907"/>
      <c r="K1291" s="679" t="s">
        <v>38</v>
      </c>
      <c r="L1291" s="1348"/>
      <c r="M1291" s="585">
        <f>1794809.85+95826.05</f>
        <v>1890635.9000000001</v>
      </c>
      <c r="N1291" s="586"/>
      <c r="O1291" s="587">
        <v>5384.94</v>
      </c>
      <c r="P1291" s="586"/>
      <c r="Q1291" s="586"/>
      <c r="R1291" s="599">
        <f>M1291/E1290</f>
        <v>2096.0486696230601</v>
      </c>
      <c r="S1291" s="586"/>
      <c r="T1291" s="593"/>
      <c r="U1291" s="591"/>
      <c r="V1291" s="589"/>
      <c r="W1291" s="593"/>
      <c r="X1291" s="593"/>
      <c r="Y1291" s="593"/>
      <c r="Z1291" s="593"/>
    </row>
    <row r="1292" spans="1:26" s="36" customFormat="1" hidden="1">
      <c r="A1292" s="591">
        <v>18</v>
      </c>
      <c r="B1292" s="848" t="s">
        <v>1333</v>
      </c>
      <c r="C1292" s="786" t="s">
        <v>294</v>
      </c>
      <c r="D1292" s="593">
        <v>2889</v>
      </c>
      <c r="E1292" s="593">
        <v>669</v>
      </c>
      <c r="F1292" s="593" t="s">
        <v>304</v>
      </c>
      <c r="G1292" s="593">
        <v>640</v>
      </c>
      <c r="H1292" s="593">
        <v>2</v>
      </c>
      <c r="I1292" s="593">
        <v>3</v>
      </c>
      <c r="J1292" s="593">
        <v>18</v>
      </c>
      <c r="K1292" s="590" t="s">
        <v>33</v>
      </c>
      <c r="L1292" s="584">
        <f>SUM(M1292:Q1292)</f>
        <v>1687210.96</v>
      </c>
      <c r="M1292" s="585">
        <v>1662335.96</v>
      </c>
      <c r="N1292" s="586">
        <v>24875</v>
      </c>
      <c r="O1292" s="587"/>
      <c r="P1292" s="586"/>
      <c r="Q1292" s="586"/>
      <c r="R1292" s="582">
        <f t="shared" ref="R1292:R1297" si="168">M1292/G1292</f>
        <v>2597.3999374999999</v>
      </c>
      <c r="S1292" s="593"/>
      <c r="T1292" s="586"/>
      <c r="U1292" s="591"/>
      <c r="V1292" s="589"/>
      <c r="W1292" s="593"/>
      <c r="X1292" s="593"/>
      <c r="Y1292" s="593"/>
      <c r="Z1292" s="593"/>
    </row>
    <row r="1293" spans="1:26" s="36" customFormat="1" hidden="1">
      <c r="A1293" s="591">
        <f>A1292+1</f>
        <v>19</v>
      </c>
      <c r="B1293" s="848" t="s">
        <v>3686</v>
      </c>
      <c r="C1293" s="786" t="s">
        <v>314</v>
      </c>
      <c r="D1293" s="593">
        <v>5771</v>
      </c>
      <c r="E1293" s="593">
        <v>1224</v>
      </c>
      <c r="F1293" s="593" t="s">
        <v>233</v>
      </c>
      <c r="G1293" s="593">
        <v>404</v>
      </c>
      <c r="H1293" s="593">
        <v>5</v>
      </c>
      <c r="I1293" s="593">
        <v>2</v>
      </c>
      <c r="J1293" s="593">
        <v>71</v>
      </c>
      <c r="K1293" s="590" t="s">
        <v>33</v>
      </c>
      <c r="L1293" s="584">
        <f>SUM(M1293:Q1293)</f>
        <v>827496.73</v>
      </c>
      <c r="M1293" s="585">
        <v>803960</v>
      </c>
      <c r="N1293" s="586"/>
      <c r="O1293" s="587">
        <v>5744.14</v>
      </c>
      <c r="P1293" s="630"/>
      <c r="Q1293" s="586">
        <v>17792.59</v>
      </c>
      <c r="R1293" s="582">
        <f t="shared" si="168"/>
        <v>1990</v>
      </c>
      <c r="S1293" s="593"/>
      <c r="T1293" s="586"/>
      <c r="U1293" s="591"/>
      <c r="V1293" s="589"/>
      <c r="W1293" s="593"/>
      <c r="X1293" s="593"/>
      <c r="Y1293" s="593"/>
      <c r="Z1293" s="593"/>
    </row>
    <row r="1294" spans="1:26" s="64" customFormat="1" hidden="1">
      <c r="A1294" s="591">
        <f>A1293+1</f>
        <v>20</v>
      </c>
      <c r="B1294" s="848" t="s">
        <v>3904</v>
      </c>
      <c r="C1294" s="786" t="s">
        <v>239</v>
      </c>
      <c r="D1294" s="593">
        <v>19968</v>
      </c>
      <c r="E1294" s="593">
        <v>3445</v>
      </c>
      <c r="F1294" s="593" t="s">
        <v>230</v>
      </c>
      <c r="G1294" s="593">
        <v>1832.35</v>
      </c>
      <c r="H1294" s="593">
        <v>5</v>
      </c>
      <c r="I1294" s="593">
        <v>4</v>
      </c>
      <c r="J1294" s="593">
        <v>52</v>
      </c>
      <c r="K1294" s="590" t="s">
        <v>33</v>
      </c>
      <c r="L1294" s="584">
        <f>SUM(M1294:Q1294)</f>
        <v>5176252</v>
      </c>
      <c r="M1294" s="585">
        <v>5129487</v>
      </c>
      <c r="N1294" s="586">
        <v>46765</v>
      </c>
      <c r="O1294" s="587"/>
      <c r="P1294" s="586"/>
      <c r="Q1294" s="586"/>
      <c r="R1294" s="582">
        <f t="shared" si="168"/>
        <v>2799.4034982399653</v>
      </c>
      <c r="S1294" s="593"/>
      <c r="T1294" s="586"/>
      <c r="U1294" s="591"/>
      <c r="V1294" s="589"/>
      <c r="W1294" s="593"/>
      <c r="X1294" s="593"/>
      <c r="Y1294" s="593"/>
      <c r="Z1294" s="593"/>
    </row>
    <row r="1295" spans="1:26" s="36" customFormat="1" hidden="1">
      <c r="A1295" s="591">
        <v>21</v>
      </c>
      <c r="B1295" s="848" t="s">
        <v>2288</v>
      </c>
      <c r="C1295" s="786" t="s">
        <v>221</v>
      </c>
      <c r="D1295" s="593">
        <v>10181</v>
      </c>
      <c r="E1295" s="593">
        <v>2010</v>
      </c>
      <c r="F1295" s="593" t="s">
        <v>222</v>
      </c>
      <c r="G1295" s="593">
        <v>1260</v>
      </c>
      <c r="H1295" s="593">
        <v>3</v>
      </c>
      <c r="I1295" s="593">
        <v>4</v>
      </c>
      <c r="J1295" s="593">
        <v>29</v>
      </c>
      <c r="K1295" s="590" t="s">
        <v>234</v>
      </c>
      <c r="L1295" s="584">
        <f>SUM(M1295:Q1295)</f>
        <v>3252543.74</v>
      </c>
      <c r="M1295" s="585">
        <v>3197762.02</v>
      </c>
      <c r="N1295" s="586">
        <v>23392.45</v>
      </c>
      <c r="O1295" s="631"/>
      <c r="P1295" s="630"/>
      <c r="Q1295" s="586">
        <v>31389.27</v>
      </c>
      <c r="R1295" s="582">
        <f t="shared" si="168"/>
        <v>2537.9063650793651</v>
      </c>
      <c r="S1295" s="593"/>
      <c r="T1295" s="586"/>
      <c r="U1295" s="591"/>
      <c r="V1295" s="589"/>
      <c r="W1295" s="593"/>
      <c r="X1295" s="593"/>
      <c r="Y1295" s="593"/>
      <c r="Z1295" s="593"/>
    </row>
    <row r="1296" spans="1:26" s="36" customFormat="1" hidden="1">
      <c r="A1296" s="591">
        <f>A1295+1</f>
        <v>22</v>
      </c>
      <c r="B1296" s="848" t="s">
        <v>2289</v>
      </c>
      <c r="C1296" s="786" t="s">
        <v>239</v>
      </c>
      <c r="D1296" s="593">
        <v>5462</v>
      </c>
      <c r="E1296" s="593">
        <v>912.6</v>
      </c>
      <c r="F1296" s="593" t="s">
        <v>222</v>
      </c>
      <c r="G1296" s="593">
        <v>569.9</v>
      </c>
      <c r="H1296" s="593">
        <v>3</v>
      </c>
      <c r="I1296" s="593">
        <v>2</v>
      </c>
      <c r="J1296" s="593">
        <v>18</v>
      </c>
      <c r="K1296" s="590" t="s">
        <v>33</v>
      </c>
      <c r="L1296" s="584">
        <f>M1296+N1296+O1296+P1296+Q1296</f>
        <v>1488078.07</v>
      </c>
      <c r="M1296" s="585">
        <v>1452506.82</v>
      </c>
      <c r="N1296" s="586">
        <v>18730.88</v>
      </c>
      <c r="O1296" s="631"/>
      <c r="P1296" s="630"/>
      <c r="Q1296" s="586">
        <v>16840.37</v>
      </c>
      <c r="R1296" s="582">
        <f t="shared" si="168"/>
        <v>2548.7047201263381</v>
      </c>
      <c r="S1296" s="593"/>
      <c r="T1296" s="586"/>
      <c r="U1296" s="591"/>
      <c r="V1296" s="589"/>
      <c r="W1296" s="593"/>
      <c r="X1296" s="593"/>
      <c r="Y1296" s="593"/>
      <c r="Z1296" s="593"/>
    </row>
    <row r="1297" spans="1:26" s="36" customFormat="1" hidden="1">
      <c r="A1297" s="591">
        <f>A1296+1</f>
        <v>23</v>
      </c>
      <c r="B1297" s="848" t="s">
        <v>2290</v>
      </c>
      <c r="C1297" s="786" t="s">
        <v>239</v>
      </c>
      <c r="D1297" s="593">
        <v>5462</v>
      </c>
      <c r="E1297" s="593">
        <v>912.6</v>
      </c>
      <c r="F1297" s="593" t="s">
        <v>222</v>
      </c>
      <c r="G1297" s="593">
        <v>569.9</v>
      </c>
      <c r="H1297" s="593">
        <v>3</v>
      </c>
      <c r="I1297" s="593">
        <v>2</v>
      </c>
      <c r="J1297" s="593">
        <v>18</v>
      </c>
      <c r="K1297" s="590" t="s">
        <v>33</v>
      </c>
      <c r="L1297" s="584">
        <f>SUM(M1297:Q1297)</f>
        <v>1509902.55</v>
      </c>
      <c r="M1297" s="585">
        <v>1474331.3</v>
      </c>
      <c r="N1297" s="586">
        <v>18730.88</v>
      </c>
      <c r="O1297" s="631"/>
      <c r="P1297" s="630"/>
      <c r="Q1297" s="586">
        <v>16840.37</v>
      </c>
      <c r="R1297" s="582">
        <f t="shared" si="168"/>
        <v>2587</v>
      </c>
      <c r="S1297" s="593"/>
      <c r="T1297" s="586"/>
      <c r="U1297" s="591"/>
      <c r="V1297" s="589"/>
      <c r="W1297" s="593"/>
      <c r="X1297" s="593"/>
      <c r="Y1297" s="593"/>
      <c r="Z1297" s="593"/>
    </row>
    <row r="1298" spans="1:26" s="28" customFormat="1" hidden="1">
      <c r="A1298" s="1349" t="s">
        <v>179</v>
      </c>
      <c r="B1298" s="1349"/>
      <c r="C1298" s="593" t="s">
        <v>28</v>
      </c>
      <c r="D1298" s="586">
        <f>SUM(D1270:D1297)</f>
        <v>612299</v>
      </c>
      <c r="E1298" s="586">
        <f>SUM(E1270:E1297)</f>
        <v>66091.199999999997</v>
      </c>
      <c r="F1298" s="593" t="s">
        <v>28</v>
      </c>
      <c r="G1298" s="586">
        <f>SUM(G1270:G1297)</f>
        <v>26914.95</v>
      </c>
      <c r="H1298" s="593" t="s">
        <v>28</v>
      </c>
      <c r="I1298" s="593" t="s">
        <v>28</v>
      </c>
      <c r="J1298" s="582">
        <f>SUM(J1270:J1297)</f>
        <v>1680</v>
      </c>
      <c r="K1298" s="590" t="s">
        <v>28</v>
      </c>
      <c r="L1298" s="584">
        <f t="shared" ref="L1298:Q1298" si="169">SUM(L1270:L1297)</f>
        <v>69918266.729999989</v>
      </c>
      <c r="M1298" s="585">
        <f t="shared" si="169"/>
        <v>69067856.949999988</v>
      </c>
      <c r="N1298" s="586">
        <f t="shared" si="169"/>
        <v>693711.21</v>
      </c>
      <c r="O1298" s="587">
        <f t="shared" si="169"/>
        <v>73835.97</v>
      </c>
      <c r="P1298" s="586">
        <f t="shared" si="169"/>
        <v>0</v>
      </c>
      <c r="Q1298" s="586">
        <f t="shared" si="169"/>
        <v>82862.599999999991</v>
      </c>
      <c r="R1298" s="582" t="s">
        <v>28</v>
      </c>
      <c r="S1298" s="564">
        <f>L1298-M1298-N1298-O1298-P1298-Q1298</f>
        <v>1.2369127944111824E-9</v>
      </c>
      <c r="T1298" s="577" t="e">
        <f>'1.перечень МКД'!#REF!</f>
        <v>#REF!</v>
      </c>
      <c r="U1298" s="589" t="e">
        <f>L1298-T1298</f>
        <v>#REF!</v>
      </c>
      <c r="V1298" s="589"/>
      <c r="W1298" s="592"/>
      <c r="X1298" s="592"/>
      <c r="Y1298" s="592"/>
      <c r="Z1298" s="592"/>
    </row>
    <row r="1299" spans="1:26" s="28" customFormat="1" hidden="1">
      <c r="A1299" s="1347" t="s">
        <v>180</v>
      </c>
      <c r="B1299" s="1347"/>
      <c r="C1299" s="1347"/>
      <c r="D1299" s="1347"/>
      <c r="E1299" s="1347"/>
      <c r="F1299" s="1347"/>
      <c r="G1299" s="1347"/>
      <c r="H1299" s="1347"/>
      <c r="I1299" s="1347"/>
      <c r="J1299" s="1347"/>
      <c r="K1299" s="1347"/>
      <c r="L1299" s="1347"/>
      <c r="M1299" s="1347"/>
      <c r="N1299" s="1347"/>
      <c r="O1299" s="1347"/>
      <c r="P1299" s="1347"/>
      <c r="Q1299" s="1347"/>
      <c r="R1299" s="1347"/>
      <c r="S1299" s="592"/>
      <c r="T1299" s="592"/>
      <c r="U1299" s="591"/>
      <c r="V1299" s="589"/>
      <c r="W1299" s="592"/>
      <c r="X1299" s="592"/>
      <c r="Y1299" s="592"/>
      <c r="Z1299" s="592"/>
    </row>
    <row r="1300" spans="1:26" s="28" customFormat="1" hidden="1">
      <c r="A1300" s="591">
        <v>1</v>
      </c>
      <c r="B1300" s="592" t="s">
        <v>1334</v>
      </c>
      <c r="C1300" s="593" t="s">
        <v>217</v>
      </c>
      <c r="D1300" s="582"/>
      <c r="E1300" s="593">
        <v>210</v>
      </c>
      <c r="F1300" s="593" t="s">
        <v>230</v>
      </c>
      <c r="G1300" s="593">
        <v>280</v>
      </c>
      <c r="H1300" s="593">
        <v>2</v>
      </c>
      <c r="I1300" s="593">
        <v>1</v>
      </c>
      <c r="J1300" s="582">
        <v>18</v>
      </c>
      <c r="K1300" s="588" t="s">
        <v>224</v>
      </c>
      <c r="L1300" s="584">
        <f>M1300+N1300+O1300+P1300+Q1300</f>
        <v>286374.21999999997</v>
      </c>
      <c r="M1300" s="585">
        <v>258148.06</v>
      </c>
      <c r="N1300" s="586">
        <v>28226.16</v>
      </c>
      <c r="O1300" s="587"/>
      <c r="P1300" s="586"/>
      <c r="Q1300" s="586"/>
      <c r="R1300" s="582">
        <f>M1300/J1300</f>
        <v>14341.558888888889</v>
      </c>
      <c r="S1300" s="592"/>
      <c r="T1300" s="592"/>
      <c r="U1300" s="591"/>
      <c r="V1300" s="589"/>
      <c r="W1300" s="592"/>
      <c r="X1300" s="592"/>
      <c r="Y1300" s="592"/>
      <c r="Z1300" s="592"/>
    </row>
    <row r="1301" spans="1:26" s="28" customFormat="1" hidden="1">
      <c r="A1301" s="1349" t="s">
        <v>181</v>
      </c>
      <c r="B1301" s="1349"/>
      <c r="C1301" s="786" t="s">
        <v>28</v>
      </c>
      <c r="D1301" s="586">
        <f>SUM(D1300)</f>
        <v>0</v>
      </c>
      <c r="E1301" s="586">
        <f>SUM(E1300)</f>
        <v>210</v>
      </c>
      <c r="F1301" s="786" t="s">
        <v>28</v>
      </c>
      <c r="G1301" s="586">
        <f>SUM(G1300)</f>
        <v>280</v>
      </c>
      <c r="H1301" s="786" t="s">
        <v>28</v>
      </c>
      <c r="I1301" s="786" t="s">
        <v>28</v>
      </c>
      <c r="J1301" s="582">
        <f>SUM(J1300)</f>
        <v>18</v>
      </c>
      <c r="K1301" s="590" t="s">
        <v>28</v>
      </c>
      <c r="L1301" s="584">
        <f>SUM(L1300)</f>
        <v>286374.21999999997</v>
      </c>
      <c r="M1301" s="585">
        <f>SUM(M1300)</f>
        <v>258148.06</v>
      </c>
      <c r="N1301" s="586">
        <f>SUM(N1300)</f>
        <v>28226.16</v>
      </c>
      <c r="O1301" s="587"/>
      <c r="P1301" s="586">
        <f>SUM(P1300)</f>
        <v>0</v>
      </c>
      <c r="Q1301" s="586">
        <f>SUM(Q1300)</f>
        <v>0</v>
      </c>
      <c r="R1301" s="582" t="s">
        <v>28</v>
      </c>
      <c r="S1301" s="564">
        <f>L1301-M1301-N1301-O1301-P1301-Q1301</f>
        <v>-2.5465851649641991E-11</v>
      </c>
      <c r="T1301" s="577" t="e">
        <f>'1.перечень МКД'!#REF!</f>
        <v>#REF!</v>
      </c>
      <c r="U1301" s="589" t="e">
        <f>L1301-T1301</f>
        <v>#REF!</v>
      </c>
      <c r="V1301" s="589"/>
      <c r="W1301" s="592"/>
      <c r="X1301" s="592"/>
      <c r="Y1301" s="592"/>
      <c r="Z1301" s="592"/>
    </row>
    <row r="1302" spans="1:26" s="28" customFormat="1" hidden="1">
      <c r="A1302" s="1347" t="s">
        <v>182</v>
      </c>
      <c r="B1302" s="1347"/>
      <c r="C1302" s="1347"/>
      <c r="D1302" s="1347"/>
      <c r="E1302" s="1347"/>
      <c r="F1302" s="1347"/>
      <c r="G1302" s="1347"/>
      <c r="H1302" s="1347"/>
      <c r="I1302" s="1347"/>
      <c r="J1302" s="1347"/>
      <c r="K1302" s="1347"/>
      <c r="L1302" s="1347"/>
      <c r="M1302" s="1347"/>
      <c r="N1302" s="1347"/>
      <c r="O1302" s="1347"/>
      <c r="P1302" s="1347"/>
      <c r="Q1302" s="1347"/>
      <c r="R1302" s="1347"/>
      <c r="S1302" s="592"/>
      <c r="T1302" s="592"/>
      <c r="U1302" s="591"/>
      <c r="V1302" s="589"/>
      <c r="W1302" s="592"/>
      <c r="X1302" s="592"/>
      <c r="Y1302" s="592"/>
      <c r="Z1302" s="592"/>
    </row>
    <row r="1303" spans="1:26" s="36" customFormat="1" hidden="1">
      <c r="A1303" s="591">
        <v>1</v>
      </c>
      <c r="B1303" s="592" t="s">
        <v>4087</v>
      </c>
      <c r="C1303" s="593" t="s">
        <v>305</v>
      </c>
      <c r="D1303" s="593">
        <v>3941</v>
      </c>
      <c r="E1303" s="593">
        <v>735.14</v>
      </c>
      <c r="F1303" s="593" t="s">
        <v>251</v>
      </c>
      <c r="G1303" s="593">
        <v>823.68</v>
      </c>
      <c r="H1303" s="593">
        <v>2</v>
      </c>
      <c r="I1303" s="593">
        <v>3</v>
      </c>
      <c r="J1303" s="582">
        <v>18</v>
      </c>
      <c r="K1303" s="590" t="s">
        <v>33</v>
      </c>
      <c r="L1303" s="584">
        <f>M1303+N1303+O1303+P1303+Q1303</f>
        <v>2058863.36</v>
      </c>
      <c r="M1303" s="585">
        <v>2033988.36</v>
      </c>
      <c r="N1303" s="586">
        <v>24875</v>
      </c>
      <c r="O1303" s="587"/>
      <c r="P1303" s="586"/>
      <c r="Q1303" s="586"/>
      <c r="R1303" s="582">
        <f>M1303/G1303</f>
        <v>2469.391462703963</v>
      </c>
      <c r="S1303" s="593"/>
      <c r="T1303" s="586"/>
      <c r="U1303" s="591"/>
      <c r="V1303" s="589"/>
      <c r="W1303" s="593"/>
      <c r="X1303" s="593"/>
      <c r="Y1303" s="593"/>
      <c r="Z1303" s="593"/>
    </row>
    <row r="1304" spans="1:26" s="36" customFormat="1" hidden="1">
      <c r="A1304" s="591">
        <v>2</v>
      </c>
      <c r="B1304" s="616" t="s">
        <v>1335</v>
      </c>
      <c r="C1304" s="602" t="s">
        <v>306</v>
      </c>
      <c r="D1304" s="920">
        <v>2014</v>
      </c>
      <c r="E1304" s="920">
        <v>251</v>
      </c>
      <c r="F1304" s="593" t="s">
        <v>251</v>
      </c>
      <c r="G1304" s="921">
        <v>451.36</v>
      </c>
      <c r="H1304" s="593">
        <v>2</v>
      </c>
      <c r="I1304" s="593">
        <v>2</v>
      </c>
      <c r="J1304" s="582">
        <v>16</v>
      </c>
      <c r="K1304" s="590" t="s">
        <v>33</v>
      </c>
      <c r="L1304" s="1348">
        <f>SUM(M1304:Q1304,M1305:Q1305)</f>
        <v>1563612.69</v>
      </c>
      <c r="M1304" s="585">
        <v>1218010.69</v>
      </c>
      <c r="N1304" s="586">
        <v>24875</v>
      </c>
      <c r="O1304" s="587"/>
      <c r="P1304" s="586"/>
      <c r="Q1304" s="586"/>
      <c r="R1304" s="582">
        <f>M1304/G1304</f>
        <v>2698.5348502304146</v>
      </c>
      <c r="S1304" s="593"/>
      <c r="T1304" s="586"/>
      <c r="U1304" s="591"/>
      <c r="V1304" s="589"/>
      <c r="W1304" s="593"/>
      <c r="X1304" s="593"/>
      <c r="Y1304" s="593"/>
      <c r="Z1304" s="593"/>
    </row>
    <row r="1305" spans="1:26" s="36" customFormat="1" hidden="1">
      <c r="A1305" s="591"/>
      <c r="B1305" s="616"/>
      <c r="C1305" s="602"/>
      <c r="D1305" s="920"/>
      <c r="E1305" s="920"/>
      <c r="F1305" s="593"/>
      <c r="G1305" s="921"/>
      <c r="H1305" s="593"/>
      <c r="I1305" s="593"/>
      <c r="J1305" s="582"/>
      <c r="K1305" s="590" t="s">
        <v>224</v>
      </c>
      <c r="L1305" s="1348"/>
      <c r="M1305" s="585">
        <v>295852</v>
      </c>
      <c r="N1305" s="586">
        <v>24875</v>
      </c>
      <c r="O1305" s="587"/>
      <c r="P1305" s="586"/>
      <c r="Q1305" s="586"/>
      <c r="R1305" s="582">
        <f>M1305/J1304</f>
        <v>18490.75</v>
      </c>
      <c r="S1305" s="593"/>
      <c r="T1305" s="586"/>
      <c r="U1305" s="591"/>
      <c r="V1305" s="589"/>
      <c r="W1305" s="593"/>
      <c r="X1305" s="593"/>
      <c r="Y1305" s="593"/>
      <c r="Z1305" s="593"/>
    </row>
    <row r="1306" spans="1:26" s="28" customFormat="1" hidden="1">
      <c r="A1306" s="1349" t="s">
        <v>183</v>
      </c>
      <c r="B1306" s="1349"/>
      <c r="C1306" s="593" t="s">
        <v>28</v>
      </c>
      <c r="D1306" s="586">
        <f>SUM(D1303:D1305)</f>
        <v>5955</v>
      </c>
      <c r="E1306" s="586">
        <f>SUM(E1303:E1305)</f>
        <v>986.14</v>
      </c>
      <c r="F1306" s="602" t="s">
        <v>28</v>
      </c>
      <c r="G1306" s="586">
        <f>SUM(G1303:G1305)</f>
        <v>1275.04</v>
      </c>
      <c r="H1306" s="593" t="s">
        <v>28</v>
      </c>
      <c r="I1306" s="593" t="s">
        <v>28</v>
      </c>
      <c r="J1306" s="582">
        <f>SUM(J1303:J1305)</f>
        <v>34</v>
      </c>
      <c r="K1306" s="590" t="s">
        <v>28</v>
      </c>
      <c r="L1306" s="584">
        <f t="shared" ref="L1306:Q1306" si="170">SUM(L1303:L1305)</f>
        <v>3622476.05</v>
      </c>
      <c r="M1306" s="585">
        <f t="shared" si="170"/>
        <v>3547851.05</v>
      </c>
      <c r="N1306" s="586">
        <f t="shared" si="170"/>
        <v>74625</v>
      </c>
      <c r="O1306" s="587">
        <f t="shared" si="170"/>
        <v>0</v>
      </c>
      <c r="P1306" s="586">
        <f t="shared" si="170"/>
        <v>0</v>
      </c>
      <c r="Q1306" s="586">
        <f t="shared" si="170"/>
        <v>0</v>
      </c>
      <c r="R1306" s="582" t="s">
        <v>28</v>
      </c>
      <c r="S1306" s="564">
        <f>L1306-M1306-N1306-O1306-P1306-Q1306</f>
        <v>0</v>
      </c>
      <c r="T1306" s="577" t="e">
        <f>'1.перечень МКД'!#REF!</f>
        <v>#REF!</v>
      </c>
      <c r="U1306" s="589" t="e">
        <f>L1306-T1306</f>
        <v>#REF!</v>
      </c>
      <c r="V1306" s="589"/>
      <c r="W1306" s="592"/>
      <c r="X1306" s="592"/>
      <c r="Y1306" s="592"/>
      <c r="Z1306" s="592"/>
    </row>
    <row r="1307" spans="1:26" s="28" customFormat="1" hidden="1">
      <c r="A1307" s="1347" t="s">
        <v>184</v>
      </c>
      <c r="B1307" s="1347"/>
      <c r="C1307" s="1347"/>
      <c r="D1307" s="1347"/>
      <c r="E1307" s="1347"/>
      <c r="F1307" s="1347"/>
      <c r="G1307" s="1347"/>
      <c r="H1307" s="1347"/>
      <c r="I1307" s="1347"/>
      <c r="J1307" s="1347"/>
      <c r="K1307" s="1347"/>
      <c r="L1307" s="1347"/>
      <c r="M1307" s="1347"/>
      <c r="N1307" s="1347"/>
      <c r="O1307" s="1347"/>
      <c r="P1307" s="1347"/>
      <c r="Q1307" s="1347"/>
      <c r="R1307" s="1347"/>
      <c r="S1307" s="592"/>
      <c r="T1307" s="592"/>
      <c r="U1307" s="591"/>
      <c r="V1307" s="589"/>
      <c r="W1307" s="592"/>
      <c r="X1307" s="592"/>
      <c r="Y1307" s="592"/>
      <c r="Z1307" s="592"/>
    </row>
    <row r="1308" spans="1:26" s="28" customFormat="1" ht="150" hidden="1">
      <c r="A1308" s="714">
        <v>1</v>
      </c>
      <c r="B1308" s="592" t="s">
        <v>1336</v>
      </c>
      <c r="C1308" s="922" t="s">
        <v>221</v>
      </c>
      <c r="D1308" s="922"/>
      <c r="E1308" s="923"/>
      <c r="F1308" s="923" t="s">
        <v>222</v>
      </c>
      <c r="G1308" s="582"/>
      <c r="H1308" s="593">
        <v>2</v>
      </c>
      <c r="I1308" s="593">
        <v>2</v>
      </c>
      <c r="J1308" s="582">
        <v>8</v>
      </c>
      <c r="K1308" s="590" t="s">
        <v>30</v>
      </c>
      <c r="L1308" s="584">
        <f>M1308+N1308+O1308+P1308+Q1308</f>
        <v>184530.84</v>
      </c>
      <c r="M1308" s="782">
        <v>183981.6</v>
      </c>
      <c r="N1308" s="783"/>
      <c r="O1308" s="784">
        <v>549.24</v>
      </c>
      <c r="P1308" s="783"/>
      <c r="Q1308" s="586"/>
      <c r="R1308" s="780">
        <f>M1308/J1308</f>
        <v>22997.7</v>
      </c>
      <c r="S1308" s="592"/>
      <c r="T1308" s="592" t="s">
        <v>3965</v>
      </c>
      <c r="U1308" s="591"/>
      <c r="V1308" s="589"/>
      <c r="W1308" s="592"/>
      <c r="X1308" s="592"/>
      <c r="Y1308" s="592"/>
      <c r="Z1308" s="592"/>
    </row>
    <row r="1309" spans="1:26" s="28" customFormat="1" hidden="1">
      <c r="A1309" s="714">
        <v>2</v>
      </c>
      <c r="B1309" s="592" t="s">
        <v>1337</v>
      </c>
      <c r="C1309" s="922" t="s">
        <v>217</v>
      </c>
      <c r="D1309" s="922">
        <v>1799</v>
      </c>
      <c r="E1309" s="923">
        <v>211.7</v>
      </c>
      <c r="F1309" s="923" t="s">
        <v>222</v>
      </c>
      <c r="G1309" s="582">
        <v>300</v>
      </c>
      <c r="H1309" s="593">
        <v>3</v>
      </c>
      <c r="I1309" s="593">
        <v>1</v>
      </c>
      <c r="J1309" s="582">
        <v>12</v>
      </c>
      <c r="K1309" s="590" t="s">
        <v>33</v>
      </c>
      <c r="L1309" s="584">
        <f>M1309+N1309+O1309+P1309+Q1309</f>
        <v>869766</v>
      </c>
      <c r="M1309" s="782">
        <v>839916</v>
      </c>
      <c r="N1309" s="783">
        <v>29850</v>
      </c>
      <c r="O1309" s="784"/>
      <c r="P1309" s="783"/>
      <c r="Q1309" s="586"/>
      <c r="R1309" s="780">
        <f>M1309/G1309</f>
        <v>2799.72</v>
      </c>
      <c r="S1309" s="592"/>
      <c r="T1309" s="592"/>
      <c r="U1309" s="591"/>
      <c r="V1309" s="589"/>
      <c r="W1309" s="592"/>
      <c r="X1309" s="592"/>
      <c r="Y1309" s="592"/>
      <c r="Z1309" s="592"/>
    </row>
    <row r="1310" spans="1:26" s="28" customFormat="1" hidden="1">
      <c r="A1310" s="1349" t="s">
        <v>185</v>
      </c>
      <c r="B1310" s="1349"/>
      <c r="C1310" s="593" t="s">
        <v>28</v>
      </c>
      <c r="D1310" s="586">
        <f>SUM(D1308:D1309)</f>
        <v>1799</v>
      </c>
      <c r="E1310" s="586">
        <f>SUM(E1308:E1309)</f>
        <v>211.7</v>
      </c>
      <c r="F1310" s="593" t="s">
        <v>28</v>
      </c>
      <c r="G1310" s="586">
        <f>SUM(G1308:G1309)</f>
        <v>300</v>
      </c>
      <c r="H1310" s="593" t="s">
        <v>28</v>
      </c>
      <c r="I1310" s="593" t="s">
        <v>28</v>
      </c>
      <c r="J1310" s="582">
        <f>SUM(J1308:J1309)</f>
        <v>20</v>
      </c>
      <c r="K1310" s="590" t="s">
        <v>28</v>
      </c>
      <c r="L1310" s="584">
        <f t="shared" ref="L1310:Q1310" si="171">SUM(L1308:L1309)</f>
        <v>1054296.8400000001</v>
      </c>
      <c r="M1310" s="585">
        <f t="shared" si="171"/>
        <v>1023897.6</v>
      </c>
      <c r="N1310" s="586">
        <f t="shared" si="171"/>
        <v>29850</v>
      </c>
      <c r="O1310" s="587">
        <f t="shared" si="171"/>
        <v>549.24</v>
      </c>
      <c r="P1310" s="586">
        <f t="shared" si="171"/>
        <v>0</v>
      </c>
      <c r="Q1310" s="586">
        <f t="shared" si="171"/>
        <v>0</v>
      </c>
      <c r="R1310" s="582" t="s">
        <v>28</v>
      </c>
      <c r="S1310" s="564">
        <f>L1310-M1310-N1310-O1310-P1310-Q1310</f>
        <v>1.070930011337623E-10</v>
      </c>
      <c r="T1310" s="577" t="e">
        <f>'1.перечень МКД'!#REF!</f>
        <v>#REF!</v>
      </c>
      <c r="U1310" s="589" t="e">
        <f>L1310-T1310</f>
        <v>#REF!</v>
      </c>
      <c r="V1310" s="589"/>
      <c r="W1310" s="592"/>
      <c r="X1310" s="592"/>
      <c r="Y1310" s="592"/>
      <c r="Z1310" s="592"/>
    </row>
    <row r="1311" spans="1:26" s="28" customFormat="1" hidden="1">
      <c r="A1311" s="1347" t="s">
        <v>186</v>
      </c>
      <c r="B1311" s="1347"/>
      <c r="C1311" s="1347"/>
      <c r="D1311" s="1347"/>
      <c r="E1311" s="1347"/>
      <c r="F1311" s="1347"/>
      <c r="G1311" s="1347"/>
      <c r="H1311" s="1347"/>
      <c r="I1311" s="1347"/>
      <c r="J1311" s="1347"/>
      <c r="K1311" s="1347"/>
      <c r="L1311" s="1347"/>
      <c r="M1311" s="1347"/>
      <c r="N1311" s="1347"/>
      <c r="O1311" s="1347"/>
      <c r="P1311" s="1347"/>
      <c r="Q1311" s="1347"/>
      <c r="R1311" s="1347"/>
      <c r="S1311" s="592"/>
      <c r="T1311" s="592"/>
      <c r="U1311" s="591"/>
      <c r="V1311" s="589"/>
      <c r="W1311" s="592"/>
      <c r="X1311" s="592"/>
      <c r="Y1311" s="592"/>
      <c r="Z1311" s="592"/>
    </row>
    <row r="1312" spans="1:26" s="28" customFormat="1" hidden="1">
      <c r="A1312" s="591">
        <v>1</v>
      </c>
      <c r="B1312" s="592" t="s">
        <v>3788</v>
      </c>
      <c r="C1312" s="593" t="s">
        <v>239</v>
      </c>
      <c r="D1312" s="593"/>
      <c r="E1312" s="582">
        <v>497.2</v>
      </c>
      <c r="F1312" s="593" t="s">
        <v>222</v>
      </c>
      <c r="G1312" s="582">
        <v>604.79999999999995</v>
      </c>
      <c r="H1312" s="593">
        <v>2</v>
      </c>
      <c r="I1312" s="593">
        <v>2</v>
      </c>
      <c r="J1312" s="593">
        <v>16</v>
      </c>
      <c r="K1312" s="590" t="s">
        <v>33</v>
      </c>
      <c r="L1312" s="584">
        <f>M1312+N1312+O1312+P1312+Q1312</f>
        <v>1600134.46</v>
      </c>
      <c r="M1312" s="782">
        <v>1575259.46</v>
      </c>
      <c r="N1312" s="783">
        <v>24875</v>
      </c>
      <c r="O1312" s="784"/>
      <c r="P1312" s="783"/>
      <c r="Q1312" s="783"/>
      <c r="R1312" s="910">
        <f>M1312/G1312</f>
        <v>2604.595667989418</v>
      </c>
      <c r="S1312" s="909"/>
      <c r="T1312" s="909"/>
      <c r="U1312" s="591"/>
      <c r="V1312" s="592"/>
      <c r="W1312" s="592"/>
      <c r="X1312" s="592"/>
      <c r="Y1312" s="592"/>
      <c r="Z1312" s="592"/>
    </row>
    <row r="1313" spans="1:26" s="28" customFormat="1" hidden="1">
      <c r="A1313" s="1349" t="s">
        <v>416</v>
      </c>
      <c r="B1313" s="1349"/>
      <c r="C1313" s="593" t="s">
        <v>28</v>
      </c>
      <c r="D1313" s="586">
        <f>SUM(D1312:D1312)</f>
        <v>0</v>
      </c>
      <c r="E1313" s="586">
        <f>SUM(E1312:E1312)</f>
        <v>497.2</v>
      </c>
      <c r="F1313" s="593" t="s">
        <v>28</v>
      </c>
      <c r="G1313" s="586">
        <f>SUM(G1312:G1312)</f>
        <v>604.79999999999995</v>
      </c>
      <c r="H1313" s="593" t="s">
        <v>28</v>
      </c>
      <c r="I1313" s="593" t="s">
        <v>28</v>
      </c>
      <c r="J1313" s="582">
        <f>SUM(J1312:J1312)</f>
        <v>16</v>
      </c>
      <c r="K1313" s="590" t="s">
        <v>28</v>
      </c>
      <c r="L1313" s="584">
        <f t="shared" ref="L1313:Q1313" si="172">SUM(L1312:L1312)</f>
        <v>1600134.46</v>
      </c>
      <c r="M1313" s="585">
        <f t="shared" si="172"/>
        <v>1575259.46</v>
      </c>
      <c r="N1313" s="586">
        <f t="shared" si="172"/>
        <v>24875</v>
      </c>
      <c r="O1313" s="587">
        <f t="shared" si="172"/>
        <v>0</v>
      </c>
      <c r="P1313" s="586">
        <f t="shared" si="172"/>
        <v>0</v>
      </c>
      <c r="Q1313" s="586">
        <f t="shared" si="172"/>
        <v>0</v>
      </c>
      <c r="R1313" s="582" t="s">
        <v>28</v>
      </c>
      <c r="S1313" s="564">
        <f>L1313-M1313-N1313-O1313-P1313-Q1313</f>
        <v>0</v>
      </c>
      <c r="T1313" s="577" t="e">
        <f>'1.перечень МКД'!#REF!</f>
        <v>#REF!</v>
      </c>
      <c r="U1313" s="589" t="e">
        <f>L1313-T1313</f>
        <v>#REF!</v>
      </c>
      <c r="V1313" s="589"/>
      <c r="W1313" s="592"/>
      <c r="X1313" s="592"/>
      <c r="Y1313" s="592"/>
      <c r="Z1313" s="592"/>
    </row>
    <row r="1314" spans="1:26" s="28" customFormat="1" hidden="1">
      <c r="A1314" s="1347" t="s">
        <v>188</v>
      </c>
      <c r="B1314" s="1347"/>
      <c r="C1314" s="1347"/>
      <c r="D1314" s="1347"/>
      <c r="E1314" s="1347"/>
      <c r="F1314" s="1347"/>
      <c r="G1314" s="1347"/>
      <c r="H1314" s="1347"/>
      <c r="I1314" s="1347"/>
      <c r="J1314" s="1347"/>
      <c r="K1314" s="1347"/>
      <c r="L1314" s="1347"/>
      <c r="M1314" s="1347"/>
      <c r="N1314" s="1347"/>
      <c r="O1314" s="1347"/>
      <c r="P1314" s="1347"/>
      <c r="Q1314" s="1347"/>
      <c r="R1314" s="1347"/>
      <c r="S1314" s="592"/>
      <c r="T1314" s="592"/>
      <c r="U1314" s="591"/>
      <c r="V1314" s="589"/>
      <c r="W1314" s="592"/>
      <c r="X1314" s="592"/>
      <c r="Y1314" s="592"/>
      <c r="Z1314" s="592"/>
    </row>
    <row r="1315" spans="1:26" s="28" customFormat="1" ht="37.5" hidden="1">
      <c r="A1315" s="591">
        <v>1</v>
      </c>
      <c r="B1315" s="592" t="s">
        <v>1338</v>
      </c>
      <c r="C1315" s="922" t="s">
        <v>221</v>
      </c>
      <c r="D1315" s="922">
        <v>23934</v>
      </c>
      <c r="E1315" s="923">
        <v>4284</v>
      </c>
      <c r="F1315" s="923" t="s">
        <v>233</v>
      </c>
      <c r="G1315" s="582">
        <v>1900</v>
      </c>
      <c r="H1315" s="593">
        <v>5</v>
      </c>
      <c r="I1315" s="593">
        <v>9</v>
      </c>
      <c r="J1315" s="593">
        <v>110</v>
      </c>
      <c r="K1315" s="590" t="s">
        <v>307</v>
      </c>
      <c r="L1315" s="584">
        <f>M1315+N1315+O1315+P1315+Q1315</f>
        <v>4150677.3</v>
      </c>
      <c r="M1315" s="782">
        <v>4138200</v>
      </c>
      <c r="N1315" s="783"/>
      <c r="O1315" s="784">
        <v>12477.3</v>
      </c>
      <c r="P1315" s="783"/>
      <c r="Q1315" s="586"/>
      <c r="R1315" s="780">
        <f>M1315/G1315</f>
        <v>2178</v>
      </c>
      <c r="S1315" s="592"/>
      <c r="T1315" s="592"/>
      <c r="U1315" s="591"/>
      <c r="V1315" s="589"/>
      <c r="W1315" s="592"/>
      <c r="X1315" s="592"/>
      <c r="Y1315" s="592"/>
      <c r="Z1315" s="592"/>
    </row>
    <row r="1316" spans="1:26" s="28" customFormat="1" ht="37.5" hidden="1">
      <c r="A1316" s="591">
        <f>A1315+1</f>
        <v>2</v>
      </c>
      <c r="B1316" s="592" t="s">
        <v>1339</v>
      </c>
      <c r="C1316" s="922" t="s">
        <v>221</v>
      </c>
      <c r="D1316" s="922">
        <v>8691</v>
      </c>
      <c r="E1316" s="923">
        <v>2124</v>
      </c>
      <c r="F1316" s="923" t="s">
        <v>233</v>
      </c>
      <c r="G1316" s="582">
        <v>723</v>
      </c>
      <c r="H1316" s="593">
        <v>5</v>
      </c>
      <c r="I1316" s="593">
        <v>3</v>
      </c>
      <c r="J1316" s="593">
        <v>40</v>
      </c>
      <c r="K1316" s="590" t="s">
        <v>307</v>
      </c>
      <c r="L1316" s="584">
        <f>M1316+N1316+O1316+P1316+Q1316</f>
        <v>1579442.14</v>
      </c>
      <c r="M1316" s="782">
        <v>1574694</v>
      </c>
      <c r="N1316" s="783"/>
      <c r="O1316" s="784">
        <v>4748.1400000000003</v>
      </c>
      <c r="P1316" s="783"/>
      <c r="Q1316" s="586"/>
      <c r="R1316" s="780">
        <f>M1316/G1316</f>
        <v>2178</v>
      </c>
      <c r="S1316" s="592"/>
      <c r="T1316" s="592"/>
      <c r="U1316" s="591"/>
      <c r="V1316" s="589"/>
      <c r="W1316" s="592"/>
      <c r="X1316" s="592"/>
      <c r="Y1316" s="592"/>
      <c r="Z1316" s="592"/>
    </row>
    <row r="1317" spans="1:26" s="28" customFormat="1" ht="37.5" hidden="1">
      <c r="A1317" s="591">
        <f>A1316+1</f>
        <v>3</v>
      </c>
      <c r="B1317" s="592" t="s">
        <v>1340</v>
      </c>
      <c r="C1317" s="593" t="s">
        <v>221</v>
      </c>
      <c r="D1317" s="593">
        <v>1629</v>
      </c>
      <c r="E1317" s="602">
        <v>480.5</v>
      </c>
      <c r="F1317" s="602" t="s">
        <v>222</v>
      </c>
      <c r="G1317" s="602">
        <v>583</v>
      </c>
      <c r="H1317" s="593">
        <v>2</v>
      </c>
      <c r="I1317" s="593">
        <v>1</v>
      </c>
      <c r="J1317" s="582">
        <v>6</v>
      </c>
      <c r="K1317" s="590" t="s">
        <v>363</v>
      </c>
      <c r="L1317" s="584">
        <f>SUM(M1317:Q1317)</f>
        <v>1657073</v>
      </c>
      <c r="M1317" s="585">
        <v>1624238</v>
      </c>
      <c r="N1317" s="586">
        <v>32835</v>
      </c>
      <c r="O1317" s="587"/>
      <c r="P1317" s="586"/>
      <c r="Q1317" s="586"/>
      <c r="R1317" s="582">
        <f>M1317/G1317</f>
        <v>2786</v>
      </c>
      <c r="S1317" s="592"/>
      <c r="T1317" s="592"/>
      <c r="U1317" s="591"/>
      <c r="V1317" s="589"/>
      <c r="W1317" s="592"/>
      <c r="X1317" s="592"/>
      <c r="Y1317" s="592"/>
      <c r="Z1317" s="592"/>
    </row>
    <row r="1318" spans="1:26" s="28" customFormat="1" ht="37.5" hidden="1">
      <c r="A1318" s="591">
        <f t="shared" ref="A1318:A1336" si="173">A1317+1</f>
        <v>4</v>
      </c>
      <c r="B1318" s="592" t="s">
        <v>1341</v>
      </c>
      <c r="C1318" s="922" t="s">
        <v>221</v>
      </c>
      <c r="D1318" s="922">
        <v>4365</v>
      </c>
      <c r="E1318" s="923">
        <v>727.5</v>
      </c>
      <c r="F1318" s="923" t="s">
        <v>251</v>
      </c>
      <c r="G1318" s="582">
        <v>901</v>
      </c>
      <c r="H1318" s="593">
        <v>2</v>
      </c>
      <c r="I1318" s="593">
        <v>3</v>
      </c>
      <c r="J1318" s="593">
        <v>22</v>
      </c>
      <c r="K1318" s="590" t="s">
        <v>30</v>
      </c>
      <c r="L1318" s="584">
        <f t="shared" ref="L1318:L1353" si="174">M1318+N1318+O1318+P1318+Q1318</f>
        <v>439113.4</v>
      </c>
      <c r="M1318" s="782">
        <v>437800</v>
      </c>
      <c r="N1318" s="783"/>
      <c r="O1318" s="784">
        <v>1313.4</v>
      </c>
      <c r="P1318" s="783"/>
      <c r="Q1318" s="586"/>
      <c r="R1318" s="780">
        <f>M1318/J1318</f>
        <v>19900</v>
      </c>
      <c r="S1318" s="592"/>
      <c r="T1318" s="592"/>
      <c r="U1318" s="586"/>
      <c r="V1318" s="589"/>
      <c r="W1318" s="592"/>
      <c r="X1318" s="592"/>
      <c r="Y1318" s="592"/>
      <c r="Z1318" s="592"/>
    </row>
    <row r="1319" spans="1:26" s="28" customFormat="1" ht="37.5" hidden="1">
      <c r="A1319" s="591">
        <f t="shared" si="173"/>
        <v>5</v>
      </c>
      <c r="B1319" s="592" t="s">
        <v>1342</v>
      </c>
      <c r="C1319" s="922" t="s">
        <v>221</v>
      </c>
      <c r="D1319" s="922">
        <v>12967</v>
      </c>
      <c r="E1319" s="923">
        <v>13720</v>
      </c>
      <c r="F1319" s="923" t="s">
        <v>233</v>
      </c>
      <c r="G1319" s="582">
        <v>920</v>
      </c>
      <c r="H1319" s="593">
        <v>5</v>
      </c>
      <c r="I1319" s="593">
        <v>4</v>
      </c>
      <c r="J1319" s="593">
        <v>80</v>
      </c>
      <c r="K1319" s="590" t="s">
        <v>363</v>
      </c>
      <c r="L1319" s="584">
        <f t="shared" si="174"/>
        <v>2101156.2599999998</v>
      </c>
      <c r="M1319" s="782">
        <v>2094840</v>
      </c>
      <c r="N1319" s="783"/>
      <c r="O1319" s="784">
        <v>6316.26</v>
      </c>
      <c r="P1319" s="783"/>
      <c r="Q1319" s="586"/>
      <c r="R1319" s="780">
        <f>M1319/G1319</f>
        <v>2277</v>
      </c>
      <c r="S1319" s="592"/>
      <c r="T1319" s="592"/>
      <c r="U1319" s="591"/>
      <c r="V1319" s="589"/>
      <c r="W1319" s="592"/>
      <c r="X1319" s="592"/>
      <c r="Y1319" s="592"/>
      <c r="Z1319" s="592"/>
    </row>
    <row r="1320" spans="1:26" s="28" customFormat="1" ht="37.5" hidden="1">
      <c r="A1320" s="591">
        <f t="shared" si="173"/>
        <v>6</v>
      </c>
      <c r="B1320" s="616" t="s">
        <v>1343</v>
      </c>
      <c r="C1320" s="602" t="s">
        <v>221</v>
      </c>
      <c r="D1320" s="593"/>
      <c r="E1320" s="924">
        <v>2204.8000000000002</v>
      </c>
      <c r="F1320" s="602" t="s">
        <v>233</v>
      </c>
      <c r="G1320" s="924">
        <v>805</v>
      </c>
      <c r="H1320" s="602">
        <v>9</v>
      </c>
      <c r="I1320" s="602">
        <v>3</v>
      </c>
      <c r="J1320" s="602">
        <v>75</v>
      </c>
      <c r="K1320" s="590" t="s">
        <v>308</v>
      </c>
      <c r="L1320" s="584">
        <f t="shared" si="174"/>
        <v>2074575</v>
      </c>
      <c r="M1320" s="782">
        <v>1990000</v>
      </c>
      <c r="N1320" s="783">
        <v>84575</v>
      </c>
      <c r="O1320" s="784"/>
      <c r="P1320" s="783"/>
      <c r="Q1320" s="586"/>
      <c r="R1320" s="780">
        <v>2000000</v>
      </c>
      <c r="S1320" s="592"/>
      <c r="T1320" s="592"/>
      <c r="U1320" s="591"/>
      <c r="V1320" s="589"/>
      <c r="W1320" s="592"/>
      <c r="X1320" s="592"/>
      <c r="Y1320" s="592"/>
      <c r="Z1320" s="592"/>
    </row>
    <row r="1321" spans="1:26" s="28" customFormat="1" ht="37.5" hidden="1">
      <c r="A1321" s="591">
        <f t="shared" si="173"/>
        <v>7</v>
      </c>
      <c r="B1321" s="616" t="s">
        <v>1344</v>
      </c>
      <c r="C1321" s="602" t="s">
        <v>221</v>
      </c>
      <c r="D1321" s="593">
        <v>14500</v>
      </c>
      <c r="E1321" s="924">
        <v>1198.5</v>
      </c>
      <c r="F1321" s="602" t="s">
        <v>233</v>
      </c>
      <c r="G1321" s="924">
        <v>853</v>
      </c>
      <c r="H1321" s="602">
        <v>9</v>
      </c>
      <c r="I1321" s="602">
        <v>3</v>
      </c>
      <c r="J1321" s="602">
        <v>57</v>
      </c>
      <c r="K1321" s="590" t="s">
        <v>219</v>
      </c>
      <c r="L1321" s="584">
        <f t="shared" si="174"/>
        <v>2074575</v>
      </c>
      <c r="M1321" s="782">
        <v>1990000</v>
      </c>
      <c r="N1321" s="783">
        <v>84575</v>
      </c>
      <c r="O1321" s="784"/>
      <c r="P1321" s="783"/>
      <c r="Q1321" s="586"/>
      <c r="R1321" s="780">
        <v>2000000</v>
      </c>
      <c r="S1321" s="592"/>
      <c r="T1321" s="592"/>
      <c r="U1321" s="591"/>
      <c r="V1321" s="589"/>
      <c r="W1321" s="592"/>
      <c r="X1321" s="592"/>
      <c r="Y1321" s="592"/>
      <c r="Z1321" s="592"/>
    </row>
    <row r="1322" spans="1:26" s="28" customFormat="1" hidden="1">
      <c r="A1322" s="591">
        <f t="shared" si="173"/>
        <v>8</v>
      </c>
      <c r="B1322" s="616" t="s">
        <v>1345</v>
      </c>
      <c r="C1322" s="602" t="s">
        <v>221</v>
      </c>
      <c r="D1322" s="593">
        <v>52083</v>
      </c>
      <c r="E1322" s="888">
        <v>10650</v>
      </c>
      <c r="F1322" s="602" t="s">
        <v>253</v>
      </c>
      <c r="G1322" s="924">
        <v>2906.31</v>
      </c>
      <c r="H1322" s="602">
        <v>9</v>
      </c>
      <c r="I1322" s="602">
        <v>6</v>
      </c>
      <c r="J1322" s="602">
        <v>231</v>
      </c>
      <c r="K1322" s="590" t="s">
        <v>38</v>
      </c>
      <c r="L1322" s="584">
        <f t="shared" si="174"/>
        <v>8936865</v>
      </c>
      <c r="M1322" s="782">
        <v>8910000</v>
      </c>
      <c r="N1322" s="783"/>
      <c r="O1322" s="784">
        <v>26865</v>
      </c>
      <c r="P1322" s="783"/>
      <c r="Q1322" s="586"/>
      <c r="R1322" s="599">
        <f>M1322/E1322</f>
        <v>836.61971830985919</v>
      </c>
      <c r="S1322" s="592"/>
      <c r="T1322" s="592"/>
      <c r="U1322" s="591"/>
      <c r="V1322" s="589"/>
      <c r="W1322" s="592"/>
      <c r="X1322" s="592"/>
      <c r="Y1322" s="592"/>
      <c r="Z1322" s="592"/>
    </row>
    <row r="1323" spans="1:26" s="28" customFormat="1" hidden="1">
      <c r="A1323" s="591">
        <f t="shared" si="173"/>
        <v>9</v>
      </c>
      <c r="B1323" s="616" t="s">
        <v>1346</v>
      </c>
      <c r="C1323" s="602" t="s">
        <v>221</v>
      </c>
      <c r="D1323" s="593">
        <v>8505</v>
      </c>
      <c r="E1323" s="924">
        <v>2374</v>
      </c>
      <c r="F1323" s="602" t="s">
        <v>253</v>
      </c>
      <c r="G1323" s="924">
        <v>520.6</v>
      </c>
      <c r="H1323" s="602">
        <v>9</v>
      </c>
      <c r="I1323" s="602">
        <v>1</v>
      </c>
      <c r="J1323" s="602">
        <v>36</v>
      </c>
      <c r="K1323" s="590" t="s">
        <v>224</v>
      </c>
      <c r="L1323" s="584">
        <f t="shared" si="174"/>
        <v>625211.17000000004</v>
      </c>
      <c r="M1323" s="782">
        <v>590211.17000000004</v>
      </c>
      <c r="N1323" s="783">
        <v>35000</v>
      </c>
      <c r="O1323" s="784"/>
      <c r="P1323" s="783"/>
      <c r="Q1323" s="586"/>
      <c r="R1323" s="780">
        <f>M1323/J1323</f>
        <v>16394.754722222224</v>
      </c>
      <c r="S1323" s="592"/>
      <c r="T1323" s="592"/>
      <c r="U1323" s="591"/>
      <c r="V1323" s="589"/>
      <c r="W1323" s="592"/>
      <c r="X1323" s="592"/>
      <c r="Y1323" s="592"/>
      <c r="Z1323" s="592"/>
    </row>
    <row r="1324" spans="1:26" s="28" customFormat="1" hidden="1">
      <c r="A1324" s="591">
        <f t="shared" si="173"/>
        <v>10</v>
      </c>
      <c r="B1324" s="616" t="s">
        <v>1347</v>
      </c>
      <c r="C1324" s="602" t="s">
        <v>221</v>
      </c>
      <c r="D1324" s="593">
        <v>7765</v>
      </c>
      <c r="E1324" s="924">
        <v>1263.5</v>
      </c>
      <c r="F1324" s="602" t="s">
        <v>233</v>
      </c>
      <c r="G1324" s="924">
        <v>1005</v>
      </c>
      <c r="H1324" s="602">
        <v>3</v>
      </c>
      <c r="I1324" s="602">
        <v>3</v>
      </c>
      <c r="J1324" s="602">
        <v>36</v>
      </c>
      <c r="K1324" s="590" t="s">
        <v>33</v>
      </c>
      <c r="L1324" s="584">
        <f t="shared" si="174"/>
        <v>2306842.8199999998</v>
      </c>
      <c r="M1324" s="782">
        <v>2299942.5</v>
      </c>
      <c r="N1324" s="783"/>
      <c r="O1324" s="784">
        <v>6900.32</v>
      </c>
      <c r="P1324" s="783"/>
      <c r="Q1324" s="586"/>
      <c r="R1324" s="780">
        <f>M1324/G1324</f>
        <v>2288.5</v>
      </c>
      <c r="S1324" s="592"/>
      <c r="T1324" s="592"/>
      <c r="U1324" s="591"/>
      <c r="V1324" s="589"/>
      <c r="W1324" s="592"/>
      <c r="X1324" s="592"/>
      <c r="Y1324" s="592"/>
      <c r="Z1324" s="592"/>
    </row>
    <row r="1325" spans="1:26" s="28" customFormat="1" hidden="1">
      <c r="A1325" s="591">
        <f t="shared" si="173"/>
        <v>11</v>
      </c>
      <c r="B1325" s="616" t="s">
        <v>1348</v>
      </c>
      <c r="C1325" s="602" t="s">
        <v>221</v>
      </c>
      <c r="D1325" s="593">
        <v>4239</v>
      </c>
      <c r="E1325" s="888">
        <v>950</v>
      </c>
      <c r="F1325" s="602" t="s">
        <v>233</v>
      </c>
      <c r="G1325" s="924">
        <v>471</v>
      </c>
      <c r="H1325" s="602">
        <v>3</v>
      </c>
      <c r="I1325" s="602">
        <v>1</v>
      </c>
      <c r="J1325" s="602">
        <v>24</v>
      </c>
      <c r="K1325" s="590" t="s">
        <v>38</v>
      </c>
      <c r="L1325" s="584">
        <f t="shared" si="174"/>
        <v>1509337.2</v>
      </c>
      <c r="M1325" s="882">
        <v>1504800</v>
      </c>
      <c r="N1325" s="783"/>
      <c r="O1325" s="784">
        <v>4537.2</v>
      </c>
      <c r="P1325" s="783"/>
      <c r="Q1325" s="586"/>
      <c r="R1325" s="599">
        <f>M1325/E1325</f>
        <v>1584</v>
      </c>
      <c r="S1325" s="592"/>
      <c r="T1325" s="592"/>
      <c r="U1325" s="591"/>
      <c r="V1325" s="589"/>
      <c r="W1325" s="592"/>
      <c r="X1325" s="592"/>
      <c r="Y1325" s="592"/>
      <c r="Z1325" s="592"/>
    </row>
    <row r="1326" spans="1:26" s="28" customFormat="1" ht="37.5" hidden="1">
      <c r="A1326" s="591">
        <f t="shared" si="173"/>
        <v>12</v>
      </c>
      <c r="B1326" s="616" t="s">
        <v>1349</v>
      </c>
      <c r="C1326" s="602" t="s">
        <v>217</v>
      </c>
      <c r="D1326" s="593">
        <v>15876</v>
      </c>
      <c r="E1326" s="924">
        <v>3224</v>
      </c>
      <c r="F1326" s="602" t="s">
        <v>233</v>
      </c>
      <c r="G1326" s="924">
        <v>630</v>
      </c>
      <c r="H1326" s="602">
        <v>9</v>
      </c>
      <c r="I1326" s="602">
        <v>2</v>
      </c>
      <c r="J1326" s="602">
        <v>72</v>
      </c>
      <c r="K1326" s="590" t="s">
        <v>219</v>
      </c>
      <c r="L1326" s="584">
        <f t="shared" si="174"/>
        <v>4085718.75</v>
      </c>
      <c r="M1326" s="782">
        <v>3980000</v>
      </c>
      <c r="N1326" s="783">
        <v>105718.75</v>
      </c>
      <c r="O1326" s="784"/>
      <c r="P1326" s="783"/>
      <c r="Q1326" s="586"/>
      <c r="R1326" s="780">
        <f>M1326/I1326</f>
        <v>1990000</v>
      </c>
      <c r="S1326" s="592"/>
      <c r="T1326" s="592"/>
      <c r="U1326" s="591"/>
      <c r="V1326" s="589"/>
      <c r="W1326" s="592"/>
      <c r="X1326" s="592"/>
      <c r="Y1326" s="592"/>
      <c r="Z1326" s="592"/>
    </row>
    <row r="1327" spans="1:26" s="28" customFormat="1" hidden="1">
      <c r="A1327" s="591">
        <f t="shared" si="173"/>
        <v>13</v>
      </c>
      <c r="B1327" s="616" t="s">
        <v>1350</v>
      </c>
      <c r="C1327" s="602" t="s">
        <v>221</v>
      </c>
      <c r="D1327" s="593">
        <v>7765</v>
      </c>
      <c r="E1327" s="924">
        <v>893.8</v>
      </c>
      <c r="F1327" s="602" t="s">
        <v>222</v>
      </c>
      <c r="G1327" s="924">
        <v>889</v>
      </c>
      <c r="H1327" s="602">
        <v>3</v>
      </c>
      <c r="I1327" s="602">
        <v>3</v>
      </c>
      <c r="J1327" s="602">
        <v>36</v>
      </c>
      <c r="K1327" s="590" t="s">
        <v>245</v>
      </c>
      <c r="L1327" s="584">
        <f t="shared" si="174"/>
        <v>304370.13</v>
      </c>
      <c r="M1327" s="782">
        <v>302220.93</v>
      </c>
      <c r="N1327" s="783"/>
      <c r="O1327" s="784">
        <v>2149.1999999999998</v>
      </c>
      <c r="P1327" s="783"/>
      <c r="Q1327" s="586"/>
      <c r="R1327" s="780">
        <f>M1327/J1327</f>
        <v>8395.0258333333331</v>
      </c>
      <c r="S1327" s="592"/>
      <c r="T1327" s="592"/>
      <c r="U1327" s="586"/>
      <c r="V1327" s="589"/>
      <c r="W1327" s="592"/>
      <c r="X1327" s="592"/>
      <c r="Y1327" s="592"/>
      <c r="Z1327" s="592"/>
    </row>
    <row r="1328" spans="1:26" s="28" customFormat="1" ht="37.5" hidden="1">
      <c r="A1328" s="591">
        <f t="shared" si="173"/>
        <v>14</v>
      </c>
      <c r="B1328" s="616" t="s">
        <v>1351</v>
      </c>
      <c r="C1328" s="602" t="s">
        <v>221</v>
      </c>
      <c r="D1328" s="593">
        <v>5951</v>
      </c>
      <c r="E1328" s="924">
        <v>1206</v>
      </c>
      <c r="F1328" s="602" t="s">
        <v>222</v>
      </c>
      <c r="G1328" s="924">
        <v>1015</v>
      </c>
      <c r="H1328" s="602">
        <v>3</v>
      </c>
      <c r="I1328" s="602">
        <v>3</v>
      </c>
      <c r="J1328" s="602">
        <v>36</v>
      </c>
      <c r="K1328" s="590" t="s">
        <v>307</v>
      </c>
      <c r="L1328" s="584">
        <f t="shared" si="174"/>
        <v>2857893.32</v>
      </c>
      <c r="M1328" s="782">
        <v>2813580</v>
      </c>
      <c r="N1328" s="783">
        <v>44313.32</v>
      </c>
      <c r="O1328" s="784"/>
      <c r="P1328" s="783"/>
      <c r="Q1328" s="586"/>
      <c r="R1328" s="780">
        <f>M1328/G1328</f>
        <v>2772</v>
      </c>
      <c r="S1328" s="592"/>
      <c r="T1328" s="592"/>
      <c r="U1328" s="591"/>
      <c r="V1328" s="589"/>
      <c r="W1328" s="592"/>
      <c r="X1328" s="592"/>
      <c r="Y1328" s="592"/>
      <c r="Z1328" s="592"/>
    </row>
    <row r="1329" spans="1:26" s="28" customFormat="1" ht="37.5" hidden="1">
      <c r="A1329" s="591">
        <f t="shared" si="173"/>
        <v>15</v>
      </c>
      <c r="B1329" s="616" t="s">
        <v>1352</v>
      </c>
      <c r="C1329" s="602" t="s">
        <v>221</v>
      </c>
      <c r="D1329" s="593">
        <v>48900</v>
      </c>
      <c r="E1329" s="924">
        <v>5737.7</v>
      </c>
      <c r="F1329" s="602" t="s">
        <v>233</v>
      </c>
      <c r="G1329" s="924">
        <v>1924</v>
      </c>
      <c r="H1329" s="602">
        <v>10</v>
      </c>
      <c r="I1329" s="602">
        <v>4</v>
      </c>
      <c r="J1329" s="602">
        <v>136</v>
      </c>
      <c r="K1329" s="590" t="s">
        <v>219</v>
      </c>
      <c r="L1329" s="584">
        <f t="shared" si="174"/>
        <v>8506006.25</v>
      </c>
      <c r="M1329" s="782">
        <v>8358000</v>
      </c>
      <c r="N1329" s="783">
        <v>148006.25</v>
      </c>
      <c r="O1329" s="784"/>
      <c r="P1329" s="783"/>
      <c r="Q1329" s="586"/>
      <c r="R1329" s="561">
        <v>2200000</v>
      </c>
      <c r="S1329" s="592"/>
      <c r="T1329" s="592"/>
      <c r="U1329" s="591"/>
      <c r="V1329" s="589"/>
      <c r="W1329" s="592"/>
      <c r="X1329" s="592"/>
      <c r="Y1329" s="592"/>
      <c r="Z1329" s="592"/>
    </row>
    <row r="1330" spans="1:26" s="28" customFormat="1" ht="37.5" hidden="1">
      <c r="A1330" s="591">
        <f t="shared" si="173"/>
        <v>16</v>
      </c>
      <c r="B1330" s="616" t="s">
        <v>1353</v>
      </c>
      <c r="C1330" s="602" t="s">
        <v>217</v>
      </c>
      <c r="D1330" s="593">
        <v>15876</v>
      </c>
      <c r="E1330" s="924">
        <v>2304</v>
      </c>
      <c r="F1330" s="602" t="s">
        <v>233</v>
      </c>
      <c r="G1330" s="924">
        <v>331</v>
      </c>
      <c r="H1330" s="602">
        <v>9</v>
      </c>
      <c r="I1330" s="602">
        <v>1</v>
      </c>
      <c r="J1330" s="602">
        <v>45</v>
      </c>
      <c r="K1330" s="590" t="s">
        <v>219</v>
      </c>
      <c r="L1330" s="584">
        <f t="shared" si="174"/>
        <v>2074575</v>
      </c>
      <c r="M1330" s="782">
        <v>1990000</v>
      </c>
      <c r="N1330" s="783">
        <v>84575</v>
      </c>
      <c r="O1330" s="784"/>
      <c r="P1330" s="783"/>
      <c r="Q1330" s="586"/>
      <c r="R1330" s="780">
        <f>M1330/I1330</f>
        <v>1990000</v>
      </c>
      <c r="S1330" s="592"/>
      <c r="T1330" s="592"/>
      <c r="U1330" s="591"/>
      <c r="V1330" s="589"/>
      <c r="W1330" s="592"/>
      <c r="X1330" s="592"/>
      <c r="Y1330" s="592"/>
      <c r="Z1330" s="592"/>
    </row>
    <row r="1331" spans="1:26" s="28" customFormat="1" ht="37.5" hidden="1">
      <c r="A1331" s="591">
        <f t="shared" si="173"/>
        <v>17</v>
      </c>
      <c r="B1331" s="616" t="s">
        <v>1354</v>
      </c>
      <c r="C1331" s="602" t="s">
        <v>217</v>
      </c>
      <c r="D1331" s="593">
        <v>41615</v>
      </c>
      <c r="E1331" s="924">
        <v>4577.2</v>
      </c>
      <c r="F1331" s="602" t="s">
        <v>233</v>
      </c>
      <c r="G1331" s="924">
        <v>1626</v>
      </c>
      <c r="H1331" s="602">
        <v>9</v>
      </c>
      <c r="I1331" s="602">
        <v>5</v>
      </c>
      <c r="J1331" s="602">
        <v>193</v>
      </c>
      <c r="K1331" s="590" t="s">
        <v>219</v>
      </c>
      <c r="L1331" s="584">
        <f t="shared" si="174"/>
        <v>10119150</v>
      </c>
      <c r="M1331" s="782">
        <v>9950000</v>
      </c>
      <c r="N1331" s="783">
        <v>169150</v>
      </c>
      <c r="O1331" s="784"/>
      <c r="P1331" s="783"/>
      <c r="Q1331" s="586"/>
      <c r="R1331" s="780">
        <f>M1331/I1331</f>
        <v>1990000</v>
      </c>
      <c r="S1331" s="592"/>
      <c r="T1331" s="592"/>
      <c r="U1331" s="591"/>
      <c r="V1331" s="589"/>
      <c r="W1331" s="592"/>
      <c r="X1331" s="592"/>
      <c r="Y1331" s="592"/>
      <c r="Z1331" s="592"/>
    </row>
    <row r="1332" spans="1:26" s="28" customFormat="1" ht="37.5" hidden="1">
      <c r="A1332" s="591">
        <f t="shared" si="173"/>
        <v>18</v>
      </c>
      <c r="B1332" s="592" t="s">
        <v>1355</v>
      </c>
      <c r="C1332" s="922" t="s">
        <v>239</v>
      </c>
      <c r="D1332" s="922">
        <v>2368</v>
      </c>
      <c r="E1332" s="923">
        <v>699.7</v>
      </c>
      <c r="F1332" s="923" t="s">
        <v>222</v>
      </c>
      <c r="G1332" s="582">
        <v>876</v>
      </c>
      <c r="H1332" s="593">
        <v>2</v>
      </c>
      <c r="I1332" s="593">
        <v>2</v>
      </c>
      <c r="J1332" s="593">
        <v>13</v>
      </c>
      <c r="K1332" s="590" t="s">
        <v>307</v>
      </c>
      <c r="L1332" s="584">
        <f t="shared" si="174"/>
        <v>1857719.03</v>
      </c>
      <c r="M1332" s="782">
        <v>1822894.03</v>
      </c>
      <c r="N1332" s="783">
        <v>34825</v>
      </c>
      <c r="O1332" s="784"/>
      <c r="P1332" s="783"/>
      <c r="Q1332" s="586"/>
      <c r="R1332" s="780">
        <f t="shared" ref="R1332:R1337" si="175">M1332/G1332</f>
        <v>2080.9292579908674</v>
      </c>
      <c r="S1332" s="592"/>
      <c r="T1332" s="592"/>
      <c r="U1332" s="591"/>
      <c r="V1332" s="589"/>
      <c r="W1332" s="592"/>
      <c r="X1332" s="592"/>
      <c r="Y1332" s="592"/>
      <c r="Z1332" s="592"/>
    </row>
    <row r="1333" spans="1:26" s="28" customFormat="1" ht="37.5" hidden="1">
      <c r="A1333" s="591">
        <f t="shared" si="173"/>
        <v>19</v>
      </c>
      <c r="B1333" s="592" t="s">
        <v>1356</v>
      </c>
      <c r="C1333" s="922" t="s">
        <v>239</v>
      </c>
      <c r="D1333" s="922">
        <v>4264</v>
      </c>
      <c r="E1333" s="923">
        <v>871.3</v>
      </c>
      <c r="F1333" s="923" t="s">
        <v>222</v>
      </c>
      <c r="G1333" s="582">
        <v>988</v>
      </c>
      <c r="H1333" s="593">
        <v>2</v>
      </c>
      <c r="I1333" s="593">
        <v>3</v>
      </c>
      <c r="J1333" s="593">
        <v>16</v>
      </c>
      <c r="K1333" s="590" t="s">
        <v>307</v>
      </c>
      <c r="L1333" s="584">
        <f t="shared" si="174"/>
        <v>2779531</v>
      </c>
      <c r="M1333" s="782">
        <v>2738736</v>
      </c>
      <c r="N1333" s="783">
        <v>40795</v>
      </c>
      <c r="O1333" s="784"/>
      <c r="P1333" s="783"/>
      <c r="Q1333" s="586"/>
      <c r="R1333" s="780">
        <f t="shared" si="175"/>
        <v>2772</v>
      </c>
      <c r="S1333" s="592"/>
      <c r="T1333" s="592"/>
      <c r="U1333" s="591"/>
      <c r="V1333" s="589"/>
      <c r="W1333" s="592"/>
      <c r="X1333" s="592"/>
      <c r="Y1333" s="592"/>
      <c r="Z1333" s="592"/>
    </row>
    <row r="1334" spans="1:26" s="28" customFormat="1" ht="37.5" hidden="1">
      <c r="A1334" s="591">
        <f t="shared" si="173"/>
        <v>20</v>
      </c>
      <c r="B1334" s="592" t="s">
        <v>1357</v>
      </c>
      <c r="C1334" s="922" t="s">
        <v>239</v>
      </c>
      <c r="D1334" s="922">
        <v>3053</v>
      </c>
      <c r="E1334" s="923">
        <v>611.79999999999995</v>
      </c>
      <c r="F1334" s="923" t="s">
        <v>222</v>
      </c>
      <c r="G1334" s="582">
        <v>717.2</v>
      </c>
      <c r="H1334" s="593">
        <v>2</v>
      </c>
      <c r="I1334" s="593">
        <v>2</v>
      </c>
      <c r="J1334" s="593">
        <v>16</v>
      </c>
      <c r="K1334" s="590" t="s">
        <v>307</v>
      </c>
      <c r="L1334" s="584">
        <f t="shared" si="174"/>
        <v>1515634.98</v>
      </c>
      <c r="M1334" s="782">
        <v>1480809.98</v>
      </c>
      <c r="N1334" s="783">
        <v>34825</v>
      </c>
      <c r="O1334" s="784"/>
      <c r="P1334" s="783"/>
      <c r="Q1334" s="586"/>
      <c r="R1334" s="780">
        <f t="shared" si="175"/>
        <v>2064.7099553820412</v>
      </c>
      <c r="S1334" s="592"/>
      <c r="T1334" s="592"/>
      <c r="U1334" s="591"/>
      <c r="V1334" s="589"/>
      <c r="W1334" s="592"/>
      <c r="X1334" s="592"/>
      <c r="Y1334" s="592"/>
      <c r="Z1334" s="592"/>
    </row>
    <row r="1335" spans="1:26" s="28" customFormat="1" ht="37.5" hidden="1">
      <c r="A1335" s="591">
        <f t="shared" si="173"/>
        <v>21</v>
      </c>
      <c r="B1335" s="592" t="s">
        <v>1358</v>
      </c>
      <c r="C1335" s="922" t="s">
        <v>239</v>
      </c>
      <c r="D1335" s="922">
        <v>3183</v>
      </c>
      <c r="E1335" s="923">
        <v>435.5</v>
      </c>
      <c r="F1335" s="923" t="s">
        <v>222</v>
      </c>
      <c r="G1335" s="582">
        <v>718.1</v>
      </c>
      <c r="H1335" s="593">
        <v>2</v>
      </c>
      <c r="I1335" s="593">
        <v>2</v>
      </c>
      <c r="J1335" s="593">
        <v>13</v>
      </c>
      <c r="K1335" s="590" t="s">
        <v>307</v>
      </c>
      <c r="L1335" s="584">
        <f t="shared" si="174"/>
        <v>1253370.8799999999</v>
      </c>
      <c r="M1335" s="782">
        <v>1218545.8799999999</v>
      </c>
      <c r="N1335" s="783">
        <v>34825</v>
      </c>
      <c r="O1335" s="784"/>
      <c r="P1335" s="783"/>
      <c r="Q1335" s="586"/>
      <c r="R1335" s="780">
        <f t="shared" si="175"/>
        <v>1696.9027712017823</v>
      </c>
      <c r="S1335" s="592"/>
      <c r="T1335" s="592"/>
      <c r="U1335" s="586"/>
      <c r="V1335" s="589"/>
      <c r="W1335" s="592"/>
      <c r="X1335" s="592"/>
      <c r="Y1335" s="592"/>
      <c r="Z1335" s="592"/>
    </row>
    <row r="1336" spans="1:26" s="28" customFormat="1" ht="37.5" hidden="1">
      <c r="A1336" s="591">
        <f t="shared" si="173"/>
        <v>22</v>
      </c>
      <c r="B1336" s="592" t="s">
        <v>1360</v>
      </c>
      <c r="C1336" s="922" t="s">
        <v>221</v>
      </c>
      <c r="D1336" s="922">
        <v>17528</v>
      </c>
      <c r="E1336" s="923">
        <v>3032</v>
      </c>
      <c r="F1336" s="923" t="s">
        <v>233</v>
      </c>
      <c r="G1336" s="582">
        <v>1350</v>
      </c>
      <c r="H1336" s="593">
        <v>5</v>
      </c>
      <c r="I1336" s="593">
        <v>6</v>
      </c>
      <c r="J1336" s="593">
        <v>105</v>
      </c>
      <c r="K1336" s="590" t="s">
        <v>307</v>
      </c>
      <c r="L1336" s="584">
        <f t="shared" si="174"/>
        <v>2937191.7600000002</v>
      </c>
      <c r="M1336" s="782">
        <v>2928326.31</v>
      </c>
      <c r="N1336" s="783"/>
      <c r="O1336" s="784">
        <v>8865.4500000000007</v>
      </c>
      <c r="P1336" s="783"/>
      <c r="Q1336" s="586"/>
      <c r="R1336" s="780">
        <f t="shared" si="175"/>
        <v>2169.1306</v>
      </c>
      <c r="S1336" s="592"/>
      <c r="T1336" s="592"/>
      <c r="U1336" s="591"/>
      <c r="V1336" s="589"/>
      <c r="W1336" s="592"/>
      <c r="X1336" s="592"/>
      <c r="Y1336" s="592"/>
      <c r="Z1336" s="592"/>
    </row>
    <row r="1337" spans="1:26" s="28" customFormat="1" ht="37.5" hidden="1">
      <c r="A1337" s="591">
        <f t="shared" ref="A1337:A1353" si="176">A1336+1</f>
        <v>23</v>
      </c>
      <c r="B1337" s="592" t="s">
        <v>1361</v>
      </c>
      <c r="C1337" s="922" t="s">
        <v>221</v>
      </c>
      <c r="D1337" s="922">
        <v>23528</v>
      </c>
      <c r="E1337" s="923">
        <v>4065</v>
      </c>
      <c r="F1337" s="923" t="s">
        <v>233</v>
      </c>
      <c r="G1337" s="582">
        <v>1691</v>
      </c>
      <c r="H1337" s="593">
        <v>5</v>
      </c>
      <c r="I1337" s="593">
        <v>8</v>
      </c>
      <c r="J1337" s="593">
        <v>109</v>
      </c>
      <c r="K1337" s="590" t="s">
        <v>307</v>
      </c>
      <c r="L1337" s="584">
        <f t="shared" si="174"/>
        <v>3684642.3600000003</v>
      </c>
      <c r="M1337" s="782">
        <v>3673537.16</v>
      </c>
      <c r="N1337" s="783"/>
      <c r="O1337" s="784">
        <v>11105.2</v>
      </c>
      <c r="P1337" s="783"/>
      <c r="Q1337" s="586"/>
      <c r="R1337" s="780">
        <f t="shared" si="175"/>
        <v>2172.4051803666471</v>
      </c>
      <c r="S1337" s="592"/>
      <c r="T1337" s="645"/>
      <c r="U1337" s="591"/>
      <c r="V1337" s="589"/>
      <c r="W1337" s="592"/>
      <c r="X1337" s="592"/>
      <c r="Y1337" s="592"/>
      <c r="Z1337" s="592"/>
    </row>
    <row r="1338" spans="1:26" s="28" customFormat="1" hidden="1">
      <c r="A1338" s="591">
        <f t="shared" si="176"/>
        <v>24</v>
      </c>
      <c r="B1338" s="592" t="s">
        <v>1362</v>
      </c>
      <c r="C1338" s="922" t="s">
        <v>221</v>
      </c>
      <c r="D1338" s="922">
        <v>5442</v>
      </c>
      <c r="E1338" s="923">
        <v>492</v>
      </c>
      <c r="F1338" s="923" t="s">
        <v>251</v>
      </c>
      <c r="G1338" s="582">
        <v>470</v>
      </c>
      <c r="H1338" s="593">
        <v>2</v>
      </c>
      <c r="I1338" s="593">
        <v>2</v>
      </c>
      <c r="J1338" s="593">
        <v>32</v>
      </c>
      <c r="K1338" s="590" t="s">
        <v>224</v>
      </c>
      <c r="L1338" s="584">
        <f t="shared" si="174"/>
        <v>669786</v>
      </c>
      <c r="M1338" s="782">
        <v>639936</v>
      </c>
      <c r="N1338" s="783">
        <v>29850</v>
      </c>
      <c r="O1338" s="784"/>
      <c r="P1338" s="783"/>
      <c r="Q1338" s="586"/>
      <c r="R1338" s="780">
        <f>M1338/J1338</f>
        <v>19998</v>
      </c>
      <c r="S1338" s="592"/>
      <c r="T1338" s="645"/>
      <c r="U1338" s="591"/>
      <c r="V1338" s="589"/>
      <c r="W1338" s="592"/>
      <c r="X1338" s="592"/>
      <c r="Y1338" s="592"/>
      <c r="Z1338" s="592"/>
    </row>
    <row r="1339" spans="1:26" s="28" customFormat="1" ht="37.5" hidden="1">
      <c r="A1339" s="591">
        <f t="shared" si="176"/>
        <v>25</v>
      </c>
      <c r="B1339" s="592" t="s">
        <v>1363</v>
      </c>
      <c r="C1339" s="922" t="s">
        <v>221</v>
      </c>
      <c r="D1339" s="922">
        <v>4903</v>
      </c>
      <c r="E1339" s="923">
        <v>897</v>
      </c>
      <c r="F1339" s="923" t="s">
        <v>382</v>
      </c>
      <c r="G1339" s="582">
        <v>941.8</v>
      </c>
      <c r="H1339" s="593">
        <v>2</v>
      </c>
      <c r="I1339" s="593">
        <v>4</v>
      </c>
      <c r="J1339" s="593">
        <v>24</v>
      </c>
      <c r="K1339" s="590" t="s">
        <v>30</v>
      </c>
      <c r="L1339" s="584">
        <f t="shared" si="174"/>
        <v>449373.88</v>
      </c>
      <c r="M1339" s="782">
        <v>447797.8</v>
      </c>
      <c r="N1339" s="783"/>
      <c r="O1339" s="784">
        <v>1576.08</v>
      </c>
      <c r="P1339" s="783"/>
      <c r="Q1339" s="586"/>
      <c r="R1339" s="780">
        <f>M1339/J1339</f>
        <v>18658.241666666665</v>
      </c>
      <c r="S1339" s="592"/>
      <c r="T1339" s="645"/>
      <c r="U1339" s="591"/>
      <c r="V1339" s="589"/>
      <c r="W1339" s="592"/>
      <c r="X1339" s="592"/>
      <c r="Y1339" s="592"/>
      <c r="Z1339" s="592"/>
    </row>
    <row r="1340" spans="1:26" s="28" customFormat="1" ht="37.5" hidden="1">
      <c r="A1340" s="591">
        <f t="shared" si="176"/>
        <v>26</v>
      </c>
      <c r="B1340" s="592" t="s">
        <v>3748</v>
      </c>
      <c r="C1340" s="922">
        <v>0</v>
      </c>
      <c r="D1340" s="922">
        <v>15803.2</v>
      </c>
      <c r="E1340" s="923">
        <v>2705.6</v>
      </c>
      <c r="F1340" s="923" t="s">
        <v>233</v>
      </c>
      <c r="G1340" s="582">
        <v>987.7</v>
      </c>
      <c r="H1340" s="593">
        <v>5</v>
      </c>
      <c r="I1340" s="593">
        <v>1</v>
      </c>
      <c r="J1340" s="593">
        <v>40</v>
      </c>
      <c r="K1340" s="590" t="s">
        <v>307</v>
      </c>
      <c r="L1340" s="584">
        <f t="shared" si="174"/>
        <v>2188755.23</v>
      </c>
      <c r="M1340" s="782">
        <v>2162075.2999999998</v>
      </c>
      <c r="N1340" s="783"/>
      <c r="O1340" s="784">
        <v>6779.93</v>
      </c>
      <c r="P1340" s="925"/>
      <c r="Q1340" s="586">
        <v>19900</v>
      </c>
      <c r="R1340" s="780">
        <f>M1340/G1340</f>
        <v>2188.9999999999995</v>
      </c>
      <c r="S1340" s="592"/>
      <c r="T1340" s="645"/>
      <c r="U1340" s="591"/>
      <c r="V1340" s="589"/>
      <c r="W1340" s="592"/>
      <c r="X1340" s="592"/>
      <c r="Y1340" s="592"/>
      <c r="Z1340" s="592"/>
    </row>
    <row r="1341" spans="1:26" s="28" customFormat="1" hidden="1">
      <c r="A1341" s="591">
        <f t="shared" si="176"/>
        <v>27</v>
      </c>
      <c r="B1341" s="592" t="s">
        <v>3736</v>
      </c>
      <c r="C1341" s="922" t="s">
        <v>221</v>
      </c>
      <c r="D1341" s="922">
        <v>1647</v>
      </c>
      <c r="E1341" s="923">
        <v>343.7</v>
      </c>
      <c r="F1341" s="923" t="s">
        <v>251</v>
      </c>
      <c r="G1341" s="582">
        <v>549</v>
      </c>
      <c r="H1341" s="593">
        <v>1</v>
      </c>
      <c r="I1341" s="593">
        <v>1</v>
      </c>
      <c r="J1341" s="593">
        <v>11</v>
      </c>
      <c r="K1341" s="590" t="s">
        <v>224</v>
      </c>
      <c r="L1341" s="584">
        <f t="shared" si="174"/>
        <v>264144.64000000001</v>
      </c>
      <c r="M1341" s="782">
        <v>251735</v>
      </c>
      <c r="N1341" s="783">
        <v>11170.87</v>
      </c>
      <c r="O1341" s="926"/>
      <c r="P1341" s="925"/>
      <c r="Q1341" s="586">
        <v>1238.77</v>
      </c>
      <c r="R1341" s="780">
        <f t="shared" ref="R1341:R1353" si="177">M1341/J1341</f>
        <v>22885</v>
      </c>
      <c r="S1341" s="592"/>
      <c r="T1341" s="645"/>
      <c r="U1341" s="591"/>
      <c r="V1341" s="589"/>
      <c r="W1341" s="592"/>
      <c r="X1341" s="592"/>
      <c r="Y1341" s="592"/>
      <c r="Z1341" s="592"/>
    </row>
    <row r="1342" spans="1:26" s="28" customFormat="1" hidden="1">
      <c r="A1342" s="591">
        <f t="shared" si="176"/>
        <v>28</v>
      </c>
      <c r="B1342" s="592" t="s">
        <v>3740</v>
      </c>
      <c r="C1342" s="922" t="s">
        <v>239</v>
      </c>
      <c r="D1342" s="922">
        <v>2480</v>
      </c>
      <c r="E1342" s="923">
        <v>492</v>
      </c>
      <c r="F1342" s="923" t="s">
        <v>228</v>
      </c>
      <c r="G1342" s="582">
        <v>470</v>
      </c>
      <c r="H1342" s="593">
        <v>2</v>
      </c>
      <c r="I1342" s="593">
        <v>2</v>
      </c>
      <c r="J1342" s="593">
        <v>8</v>
      </c>
      <c r="K1342" s="590" t="s">
        <v>224</v>
      </c>
      <c r="L1342" s="584">
        <f t="shared" si="174"/>
        <v>196481.66</v>
      </c>
      <c r="M1342" s="782">
        <v>183080</v>
      </c>
      <c r="N1342" s="783">
        <v>11978.81</v>
      </c>
      <c r="O1342" s="926"/>
      <c r="P1342" s="925"/>
      <c r="Q1342" s="586">
        <v>1422.85</v>
      </c>
      <c r="R1342" s="780">
        <f t="shared" si="177"/>
        <v>22885</v>
      </c>
      <c r="S1342" s="592"/>
      <c r="T1342" s="645"/>
      <c r="U1342" s="591"/>
      <c r="V1342" s="589"/>
      <c r="W1342" s="592"/>
      <c r="X1342" s="592"/>
      <c r="Y1342" s="592"/>
      <c r="Z1342" s="592"/>
    </row>
    <row r="1343" spans="1:26" s="28" customFormat="1" hidden="1">
      <c r="A1343" s="591">
        <f t="shared" si="176"/>
        <v>29</v>
      </c>
      <c r="B1343" s="592" t="s">
        <v>3741</v>
      </c>
      <c r="C1343" s="922" t="s">
        <v>239</v>
      </c>
      <c r="D1343" s="922">
        <v>2480</v>
      </c>
      <c r="E1343" s="923">
        <v>492</v>
      </c>
      <c r="F1343" s="923" t="s">
        <v>251</v>
      </c>
      <c r="G1343" s="582">
        <v>470</v>
      </c>
      <c r="H1343" s="593">
        <v>2</v>
      </c>
      <c r="I1343" s="593">
        <v>2</v>
      </c>
      <c r="J1343" s="593">
        <v>8</v>
      </c>
      <c r="K1343" s="590" t="s">
        <v>224</v>
      </c>
      <c r="L1343" s="584">
        <f t="shared" si="174"/>
        <v>196447.83</v>
      </c>
      <c r="M1343" s="782">
        <v>183080</v>
      </c>
      <c r="N1343" s="783">
        <v>11978.81</v>
      </c>
      <c r="O1343" s="926"/>
      <c r="P1343" s="925"/>
      <c r="Q1343" s="586">
        <v>1389.02</v>
      </c>
      <c r="R1343" s="780">
        <f t="shared" si="177"/>
        <v>22885</v>
      </c>
      <c r="S1343" s="592"/>
      <c r="T1343" s="645"/>
      <c r="U1343" s="591"/>
      <c r="V1343" s="589"/>
      <c r="W1343" s="592"/>
      <c r="X1343" s="592"/>
      <c r="Y1343" s="592"/>
      <c r="Z1343" s="592"/>
    </row>
    <row r="1344" spans="1:26" s="28" customFormat="1" hidden="1">
      <c r="A1344" s="591">
        <f t="shared" si="176"/>
        <v>30</v>
      </c>
      <c r="B1344" s="592" t="s">
        <v>3742</v>
      </c>
      <c r="C1344" s="922" t="s">
        <v>221</v>
      </c>
      <c r="D1344" s="922">
        <v>3670</v>
      </c>
      <c r="E1344" s="923">
        <v>667.8</v>
      </c>
      <c r="F1344" s="923" t="s">
        <v>228</v>
      </c>
      <c r="G1344" s="582">
        <v>700</v>
      </c>
      <c r="H1344" s="593">
        <v>2</v>
      </c>
      <c r="I1344" s="593">
        <v>3</v>
      </c>
      <c r="J1344" s="593">
        <v>18</v>
      </c>
      <c r="K1344" s="590" t="s">
        <v>224</v>
      </c>
      <c r="L1344" s="584">
        <f t="shared" si="174"/>
        <v>428084.82</v>
      </c>
      <c r="M1344" s="782">
        <v>411930</v>
      </c>
      <c r="N1344" s="783">
        <v>13220.57</v>
      </c>
      <c r="O1344" s="926"/>
      <c r="P1344" s="925"/>
      <c r="Q1344" s="586">
        <v>2934.25</v>
      </c>
      <c r="R1344" s="780">
        <f t="shared" si="177"/>
        <v>22885</v>
      </c>
      <c r="S1344" s="592"/>
      <c r="T1344" s="645"/>
      <c r="U1344" s="591"/>
      <c r="V1344" s="589"/>
      <c r="W1344" s="592"/>
      <c r="X1344" s="592"/>
      <c r="Y1344" s="592"/>
      <c r="Z1344" s="592"/>
    </row>
    <row r="1345" spans="1:26" s="28" customFormat="1" hidden="1">
      <c r="A1345" s="591">
        <f t="shared" si="176"/>
        <v>31</v>
      </c>
      <c r="B1345" s="592" t="s">
        <v>3743</v>
      </c>
      <c r="C1345" s="922" t="s">
        <v>221</v>
      </c>
      <c r="D1345" s="922">
        <v>3670</v>
      </c>
      <c r="E1345" s="923">
        <v>667.8</v>
      </c>
      <c r="F1345" s="923" t="s">
        <v>228</v>
      </c>
      <c r="G1345" s="582">
        <v>700</v>
      </c>
      <c r="H1345" s="593">
        <v>2</v>
      </c>
      <c r="I1345" s="593">
        <v>3</v>
      </c>
      <c r="J1345" s="593">
        <v>18</v>
      </c>
      <c r="K1345" s="590" t="s">
        <v>224</v>
      </c>
      <c r="L1345" s="584">
        <f t="shared" si="174"/>
        <v>428043.03</v>
      </c>
      <c r="M1345" s="782">
        <v>411930</v>
      </c>
      <c r="N1345" s="783">
        <v>13220.57</v>
      </c>
      <c r="O1345" s="926"/>
      <c r="P1345" s="925"/>
      <c r="Q1345" s="586">
        <v>2892.46</v>
      </c>
      <c r="R1345" s="780">
        <f t="shared" si="177"/>
        <v>22885</v>
      </c>
      <c r="S1345" s="592"/>
      <c r="T1345" s="645"/>
      <c r="U1345" s="591"/>
      <c r="V1345" s="589"/>
      <c r="W1345" s="592"/>
      <c r="X1345" s="592"/>
      <c r="Y1345" s="592"/>
      <c r="Z1345" s="592"/>
    </row>
    <row r="1346" spans="1:26" s="28" customFormat="1" hidden="1">
      <c r="A1346" s="591">
        <f t="shared" si="176"/>
        <v>32</v>
      </c>
      <c r="B1346" s="592" t="s">
        <v>3744</v>
      </c>
      <c r="C1346" s="922" t="s">
        <v>221</v>
      </c>
      <c r="D1346" s="922">
        <v>2896</v>
      </c>
      <c r="E1346" s="923">
        <v>748</v>
      </c>
      <c r="F1346" s="923" t="s">
        <v>251</v>
      </c>
      <c r="G1346" s="582">
        <v>520</v>
      </c>
      <c r="H1346" s="593">
        <v>2</v>
      </c>
      <c r="I1346" s="593">
        <v>2</v>
      </c>
      <c r="J1346" s="593">
        <v>16</v>
      </c>
      <c r="K1346" s="590" t="s">
        <v>224</v>
      </c>
      <c r="L1346" s="584">
        <f t="shared" si="174"/>
        <v>381135.75</v>
      </c>
      <c r="M1346" s="782">
        <v>366160</v>
      </c>
      <c r="N1346" s="783">
        <v>12413.62</v>
      </c>
      <c r="O1346" s="926"/>
      <c r="P1346" s="925"/>
      <c r="Q1346" s="586">
        <v>2562.13</v>
      </c>
      <c r="R1346" s="780">
        <f t="shared" si="177"/>
        <v>22885</v>
      </c>
      <c r="S1346" s="592"/>
      <c r="T1346" s="645"/>
      <c r="U1346" s="591"/>
      <c r="V1346" s="589"/>
      <c r="W1346" s="592"/>
      <c r="X1346" s="592"/>
      <c r="Y1346" s="592"/>
      <c r="Z1346" s="592"/>
    </row>
    <row r="1347" spans="1:26" s="28" customFormat="1" hidden="1">
      <c r="A1347" s="591">
        <f t="shared" si="176"/>
        <v>33</v>
      </c>
      <c r="B1347" s="592" t="s">
        <v>3745</v>
      </c>
      <c r="C1347" s="922" t="s">
        <v>221</v>
      </c>
      <c r="D1347" s="922">
        <v>4903</v>
      </c>
      <c r="E1347" s="923">
        <v>897</v>
      </c>
      <c r="F1347" s="923" t="s">
        <v>382</v>
      </c>
      <c r="G1347" s="582">
        <v>941.8</v>
      </c>
      <c r="H1347" s="593">
        <v>2</v>
      </c>
      <c r="I1347" s="593">
        <v>4</v>
      </c>
      <c r="J1347" s="593">
        <v>24</v>
      </c>
      <c r="K1347" s="590" t="s">
        <v>224</v>
      </c>
      <c r="L1347" s="584">
        <f t="shared" si="174"/>
        <v>568138.03999999992</v>
      </c>
      <c r="M1347" s="782">
        <v>549240</v>
      </c>
      <c r="N1347" s="783">
        <v>14507.1</v>
      </c>
      <c r="O1347" s="926"/>
      <c r="P1347" s="925"/>
      <c r="Q1347" s="586">
        <v>4390.9399999999996</v>
      </c>
      <c r="R1347" s="780">
        <f t="shared" si="177"/>
        <v>22885</v>
      </c>
      <c r="S1347" s="592"/>
      <c r="T1347" s="645"/>
      <c r="U1347" s="591"/>
      <c r="V1347" s="589"/>
      <c r="W1347" s="592"/>
      <c r="X1347" s="592"/>
      <c r="Y1347" s="592"/>
      <c r="Z1347" s="592"/>
    </row>
    <row r="1348" spans="1:26" s="28" customFormat="1" hidden="1">
      <c r="A1348" s="591">
        <f t="shared" si="176"/>
        <v>34</v>
      </c>
      <c r="B1348" s="592" t="s">
        <v>3746</v>
      </c>
      <c r="C1348" s="922" t="s">
        <v>221</v>
      </c>
      <c r="D1348" s="922">
        <v>4903</v>
      </c>
      <c r="E1348" s="923">
        <v>897</v>
      </c>
      <c r="F1348" s="923" t="s">
        <v>382</v>
      </c>
      <c r="G1348" s="582">
        <v>941.8</v>
      </c>
      <c r="H1348" s="593">
        <v>2</v>
      </c>
      <c r="I1348" s="593">
        <v>4</v>
      </c>
      <c r="J1348" s="593">
        <v>24</v>
      </c>
      <c r="K1348" s="590" t="s">
        <v>224</v>
      </c>
      <c r="L1348" s="584">
        <f t="shared" si="174"/>
        <v>568421.61</v>
      </c>
      <c r="M1348" s="782">
        <v>549240</v>
      </c>
      <c r="N1348" s="783">
        <v>14507.1</v>
      </c>
      <c r="O1348" s="926"/>
      <c r="P1348" s="925"/>
      <c r="Q1348" s="586">
        <v>4674.51</v>
      </c>
      <c r="R1348" s="780">
        <f t="shared" si="177"/>
        <v>22885</v>
      </c>
      <c r="S1348" s="592"/>
      <c r="T1348" s="645"/>
      <c r="U1348" s="591"/>
      <c r="V1348" s="589"/>
      <c r="W1348" s="592"/>
      <c r="X1348" s="592"/>
      <c r="Y1348" s="592"/>
      <c r="Z1348" s="592"/>
    </row>
    <row r="1349" spans="1:26" s="28" customFormat="1" hidden="1">
      <c r="A1349" s="591">
        <f t="shared" si="176"/>
        <v>35</v>
      </c>
      <c r="B1349" s="592" t="s">
        <v>3747</v>
      </c>
      <c r="C1349" s="922" t="s">
        <v>221</v>
      </c>
      <c r="D1349" s="922">
        <v>3500</v>
      </c>
      <c r="E1349" s="923">
        <v>400</v>
      </c>
      <c r="F1349" s="923" t="s">
        <v>228</v>
      </c>
      <c r="G1349" s="582">
        <v>380</v>
      </c>
      <c r="H1349" s="593">
        <v>2</v>
      </c>
      <c r="I1349" s="593">
        <v>1</v>
      </c>
      <c r="J1349" s="593">
        <v>8</v>
      </c>
      <c r="K1349" s="590" t="s">
        <v>224</v>
      </c>
      <c r="L1349" s="584">
        <f t="shared" si="174"/>
        <v>197276.66</v>
      </c>
      <c r="M1349" s="782">
        <v>183080</v>
      </c>
      <c r="N1349" s="783">
        <v>13043.46</v>
      </c>
      <c r="O1349" s="784"/>
      <c r="P1349" s="783"/>
      <c r="Q1349" s="586">
        <v>1153.2</v>
      </c>
      <c r="R1349" s="780">
        <f t="shared" si="177"/>
        <v>22885</v>
      </c>
      <c r="S1349" s="592"/>
      <c r="T1349" s="645"/>
      <c r="U1349" s="591"/>
      <c r="V1349" s="589"/>
      <c r="W1349" s="592"/>
      <c r="X1349" s="592"/>
      <c r="Y1349" s="592"/>
      <c r="Z1349" s="592"/>
    </row>
    <row r="1350" spans="1:26" s="65" customFormat="1" hidden="1">
      <c r="A1350" s="591">
        <f t="shared" si="176"/>
        <v>36</v>
      </c>
      <c r="B1350" s="592" t="s">
        <v>3738</v>
      </c>
      <c r="C1350" s="922" t="s">
        <v>221</v>
      </c>
      <c r="D1350" s="922">
        <v>9495</v>
      </c>
      <c r="E1350" s="923">
        <v>1090.2</v>
      </c>
      <c r="F1350" s="923" t="s">
        <v>233</v>
      </c>
      <c r="G1350" s="582">
        <v>1055</v>
      </c>
      <c r="H1350" s="593">
        <v>3</v>
      </c>
      <c r="I1350" s="593">
        <v>3</v>
      </c>
      <c r="J1350" s="593">
        <v>36</v>
      </c>
      <c r="K1350" s="590" t="s">
        <v>224</v>
      </c>
      <c r="L1350" s="584">
        <f t="shared" si="174"/>
        <v>844154.02</v>
      </c>
      <c r="M1350" s="782">
        <v>823860</v>
      </c>
      <c r="N1350" s="783">
        <v>14396.66</v>
      </c>
      <c r="O1350" s="926"/>
      <c r="P1350" s="925"/>
      <c r="Q1350" s="586">
        <v>5897.36</v>
      </c>
      <c r="R1350" s="780">
        <f t="shared" si="177"/>
        <v>22885</v>
      </c>
      <c r="S1350" s="592"/>
      <c r="T1350" s="645"/>
      <c r="U1350" s="591"/>
      <c r="V1350" s="589"/>
      <c r="W1350" s="592"/>
      <c r="X1350" s="592"/>
      <c r="Y1350" s="592"/>
      <c r="Z1350" s="592"/>
    </row>
    <row r="1351" spans="1:26" s="89" customFormat="1" ht="37.5" hidden="1">
      <c r="A1351" s="591">
        <f t="shared" si="176"/>
        <v>37</v>
      </c>
      <c r="B1351" s="592" t="s">
        <v>3734</v>
      </c>
      <c r="C1351" s="922" t="s">
        <v>239</v>
      </c>
      <c r="D1351" s="922">
        <v>2220</v>
      </c>
      <c r="E1351" s="923">
        <v>410</v>
      </c>
      <c r="F1351" s="923" t="s">
        <v>251</v>
      </c>
      <c r="G1351" s="582">
        <v>444</v>
      </c>
      <c r="H1351" s="593">
        <v>2</v>
      </c>
      <c r="I1351" s="593">
        <v>1</v>
      </c>
      <c r="J1351" s="593">
        <v>8</v>
      </c>
      <c r="K1351" s="590" t="s">
        <v>30</v>
      </c>
      <c r="L1351" s="584">
        <f t="shared" si="174"/>
        <v>166379</v>
      </c>
      <c r="M1351" s="782">
        <v>159200</v>
      </c>
      <c r="N1351" s="783"/>
      <c r="O1351" s="926">
        <v>654</v>
      </c>
      <c r="P1351" s="925"/>
      <c r="Q1351" s="630">
        <v>6525</v>
      </c>
      <c r="R1351" s="780">
        <f t="shared" si="177"/>
        <v>19900</v>
      </c>
      <c r="S1351" s="592"/>
      <c r="T1351" s="645"/>
      <c r="U1351" s="591"/>
      <c r="V1351" s="589"/>
      <c r="W1351" s="592"/>
      <c r="X1351" s="592"/>
      <c r="Y1351" s="592"/>
      <c r="Z1351" s="592"/>
    </row>
    <row r="1352" spans="1:26" s="89" customFormat="1" ht="37.5" hidden="1">
      <c r="A1352" s="591">
        <f t="shared" si="176"/>
        <v>38</v>
      </c>
      <c r="B1352" s="592" t="s">
        <v>3737</v>
      </c>
      <c r="C1352" s="922" t="s">
        <v>239</v>
      </c>
      <c r="D1352" s="922">
        <v>4122</v>
      </c>
      <c r="E1352" s="923">
        <v>1026.9000000000001</v>
      </c>
      <c r="F1352" s="923" t="s">
        <v>251</v>
      </c>
      <c r="G1352" s="582">
        <v>824.4</v>
      </c>
      <c r="H1352" s="593">
        <v>2</v>
      </c>
      <c r="I1352" s="593">
        <v>2</v>
      </c>
      <c r="J1352" s="593">
        <v>12</v>
      </c>
      <c r="K1352" s="590" t="s">
        <v>30</v>
      </c>
      <c r="L1352" s="584">
        <f t="shared" si="174"/>
        <v>250751</v>
      </c>
      <c r="M1352" s="782">
        <v>238800</v>
      </c>
      <c r="N1352" s="783"/>
      <c r="O1352" s="926">
        <v>765</v>
      </c>
      <c r="P1352" s="925"/>
      <c r="Q1352" s="630">
        <v>11186</v>
      </c>
      <c r="R1352" s="780">
        <f t="shared" si="177"/>
        <v>19900</v>
      </c>
      <c r="S1352" s="592"/>
      <c r="T1352" s="645"/>
      <c r="U1352" s="591"/>
      <c r="V1352" s="589"/>
      <c r="W1352" s="592"/>
      <c r="X1352" s="592"/>
      <c r="Y1352" s="592"/>
      <c r="Z1352" s="592"/>
    </row>
    <row r="1353" spans="1:26" s="89" customFormat="1" ht="37.5" hidden="1">
      <c r="A1353" s="591">
        <f t="shared" si="176"/>
        <v>39</v>
      </c>
      <c r="B1353" s="592" t="s">
        <v>3739</v>
      </c>
      <c r="C1353" s="922" t="s">
        <v>239</v>
      </c>
      <c r="D1353" s="922">
        <v>3229</v>
      </c>
      <c r="E1353" s="923">
        <v>946</v>
      </c>
      <c r="F1353" s="923" t="s">
        <v>251</v>
      </c>
      <c r="G1353" s="582">
        <v>646</v>
      </c>
      <c r="H1353" s="593">
        <v>2</v>
      </c>
      <c r="I1353" s="593">
        <v>2</v>
      </c>
      <c r="J1353" s="593">
        <v>14</v>
      </c>
      <c r="K1353" s="590" t="s">
        <v>30</v>
      </c>
      <c r="L1353" s="584">
        <f t="shared" si="174"/>
        <v>285837</v>
      </c>
      <c r="M1353" s="782">
        <v>278600</v>
      </c>
      <c r="N1353" s="783"/>
      <c r="O1353" s="926">
        <v>712</v>
      </c>
      <c r="P1353" s="925"/>
      <c r="Q1353" s="630">
        <v>6525</v>
      </c>
      <c r="R1353" s="780">
        <f t="shared" si="177"/>
        <v>19900</v>
      </c>
      <c r="S1353" s="592"/>
      <c r="T1353" s="645"/>
      <c r="U1353" s="591"/>
      <c r="V1353" s="589"/>
      <c r="W1353" s="592"/>
      <c r="X1353" s="592"/>
      <c r="Y1353" s="592"/>
      <c r="Z1353" s="592"/>
    </row>
    <row r="1354" spans="1:26" s="28" customFormat="1" hidden="1">
      <c r="A1354" s="1361" t="s">
        <v>151</v>
      </c>
      <c r="B1354" s="1361"/>
      <c r="C1354" s="593" t="s">
        <v>277</v>
      </c>
      <c r="D1354" s="586">
        <f>SUM(D1315:D1353)</f>
        <v>403948.2</v>
      </c>
      <c r="E1354" s="586">
        <f>SUM(E1315:E1353)</f>
        <v>80807.8</v>
      </c>
      <c r="F1354" s="593" t="s">
        <v>277</v>
      </c>
      <c r="G1354" s="586">
        <f>SUM(G1315:G1353)</f>
        <v>35384.71</v>
      </c>
      <c r="H1354" s="593" t="s">
        <v>277</v>
      </c>
      <c r="I1354" s="593" t="s">
        <v>277</v>
      </c>
      <c r="J1354" s="582">
        <f>SUM(J1315:J1353)</f>
        <v>1808</v>
      </c>
      <c r="K1354" s="590" t="s">
        <v>28</v>
      </c>
      <c r="L1354" s="584">
        <f t="shared" ref="L1354:Q1354" si="178">SUM(L1315:L1353)</f>
        <v>77513881.919999987</v>
      </c>
      <c r="M1354" s="585">
        <f t="shared" si="178"/>
        <v>76251120.060000002</v>
      </c>
      <c r="N1354" s="586">
        <f t="shared" si="178"/>
        <v>1094305.8900000001</v>
      </c>
      <c r="O1354" s="587">
        <f t="shared" si="178"/>
        <v>95764.479999999981</v>
      </c>
      <c r="P1354" s="586">
        <f t="shared" si="178"/>
        <v>0</v>
      </c>
      <c r="Q1354" s="586">
        <f t="shared" si="178"/>
        <v>72691.489999999991</v>
      </c>
      <c r="R1354" s="582" t="s">
        <v>28</v>
      </c>
      <c r="S1354" s="564">
        <f>L1354-M1354-N1354-O1354-P1354-Q1354</f>
        <v>-1.5599653124809265E-8</v>
      </c>
      <c r="T1354" s="577" t="e">
        <f>'1.перечень МКД'!#REF!</f>
        <v>#REF!</v>
      </c>
      <c r="U1354" s="589" t="e">
        <f>L1354-T1354</f>
        <v>#REF!</v>
      </c>
      <c r="V1354" s="589"/>
      <c r="W1354" s="592"/>
      <c r="X1354" s="592"/>
      <c r="Y1354" s="592"/>
      <c r="Z1354" s="592"/>
    </row>
    <row r="1355" spans="1:26" s="28" customFormat="1" hidden="1">
      <c r="A1355" s="1347" t="s">
        <v>189</v>
      </c>
      <c r="B1355" s="1347"/>
      <c r="C1355" s="1347"/>
      <c r="D1355" s="1347"/>
      <c r="E1355" s="1347"/>
      <c r="F1355" s="1347"/>
      <c r="G1355" s="1347"/>
      <c r="H1355" s="1347"/>
      <c r="I1355" s="1347"/>
      <c r="J1355" s="1347"/>
      <c r="K1355" s="1347"/>
      <c r="L1355" s="1347"/>
      <c r="M1355" s="1347"/>
      <c r="N1355" s="1347"/>
      <c r="O1355" s="1347"/>
      <c r="P1355" s="1347"/>
      <c r="Q1355" s="1347"/>
      <c r="R1355" s="1347"/>
      <c r="S1355" s="592"/>
      <c r="T1355" s="592"/>
      <c r="U1355" s="591"/>
      <c r="V1355" s="589"/>
      <c r="W1355" s="592"/>
      <c r="X1355" s="592"/>
      <c r="Y1355" s="592"/>
      <c r="Z1355" s="592"/>
    </row>
    <row r="1356" spans="1:26" s="28" customFormat="1" hidden="1">
      <c r="A1356" s="591">
        <v>1</v>
      </c>
      <c r="B1356" s="592" t="s">
        <v>1364</v>
      </c>
      <c r="C1356" s="922" t="s">
        <v>221</v>
      </c>
      <c r="D1356" s="922">
        <v>8919</v>
      </c>
      <c r="E1356" s="923">
        <v>431.2</v>
      </c>
      <c r="F1356" s="923" t="s">
        <v>251</v>
      </c>
      <c r="G1356" s="582">
        <v>1058.4000000000001</v>
      </c>
      <c r="H1356" s="593">
        <v>4</v>
      </c>
      <c r="I1356" s="593">
        <v>1</v>
      </c>
      <c r="J1356" s="582">
        <v>33</v>
      </c>
      <c r="K1356" s="590" t="s">
        <v>33</v>
      </c>
      <c r="L1356" s="584">
        <f>SUM(M1356:Q1356)</f>
        <v>2188050.0699999998</v>
      </c>
      <c r="M1356" s="782">
        <v>2158200.0699999998</v>
      </c>
      <c r="N1356" s="783">
        <v>29850</v>
      </c>
      <c r="O1356" s="784"/>
      <c r="P1356" s="783"/>
      <c r="Q1356" s="586"/>
      <c r="R1356" s="780">
        <f>M1356/G1356</f>
        <v>2039.1157123960693</v>
      </c>
      <c r="S1356" s="592"/>
      <c r="T1356" s="592"/>
      <c r="U1356" s="591"/>
      <c r="V1356" s="589"/>
      <c r="W1356" s="592"/>
      <c r="X1356" s="592"/>
      <c r="Y1356" s="592"/>
      <c r="Z1356" s="592"/>
    </row>
    <row r="1357" spans="1:26" s="28" customFormat="1" hidden="1">
      <c r="A1357" s="591">
        <v>2</v>
      </c>
      <c r="B1357" s="592" t="s">
        <v>1365</v>
      </c>
      <c r="C1357" s="922" t="s">
        <v>221</v>
      </c>
      <c r="D1357" s="922">
        <v>2313</v>
      </c>
      <c r="E1357" s="923">
        <v>570</v>
      </c>
      <c r="F1357" s="923" t="s">
        <v>251</v>
      </c>
      <c r="G1357" s="582">
        <v>513.9</v>
      </c>
      <c r="H1357" s="593">
        <v>2</v>
      </c>
      <c r="I1357" s="593">
        <v>3</v>
      </c>
      <c r="J1357" s="582">
        <v>12</v>
      </c>
      <c r="K1357" s="590" t="s">
        <v>38</v>
      </c>
      <c r="L1357" s="584">
        <f>SUM(M1357:Q1357)</f>
        <v>910162.32</v>
      </c>
      <c r="M1357" s="782">
        <v>907440</v>
      </c>
      <c r="N1357" s="783"/>
      <c r="O1357" s="784">
        <v>2722.32</v>
      </c>
      <c r="P1357" s="783"/>
      <c r="Q1357" s="586"/>
      <c r="R1357" s="599">
        <f>M1357/E1357</f>
        <v>1592</v>
      </c>
      <c r="S1357" s="592"/>
      <c r="T1357" s="592"/>
      <c r="U1357" s="591"/>
      <c r="V1357" s="589"/>
      <c r="W1357" s="592"/>
      <c r="X1357" s="592"/>
      <c r="Y1357" s="592"/>
      <c r="Z1357" s="592"/>
    </row>
    <row r="1358" spans="1:26" s="28" customFormat="1" hidden="1">
      <c r="A1358" s="591">
        <v>3</v>
      </c>
      <c r="B1358" s="592" t="s">
        <v>1366</v>
      </c>
      <c r="C1358" s="922" t="s">
        <v>217</v>
      </c>
      <c r="D1358" s="922">
        <v>2915</v>
      </c>
      <c r="E1358" s="923">
        <v>500</v>
      </c>
      <c r="F1358" s="923" t="s">
        <v>227</v>
      </c>
      <c r="G1358" s="582">
        <v>736</v>
      </c>
      <c r="H1358" s="593">
        <v>2</v>
      </c>
      <c r="I1358" s="593">
        <v>3</v>
      </c>
      <c r="J1358" s="582">
        <v>18</v>
      </c>
      <c r="K1358" s="590" t="s">
        <v>252</v>
      </c>
      <c r="L1358" s="1348">
        <f>M1358+N1358+O1358+Q1358+M1359+N1359+O1359+Q1359</f>
        <v>3313705</v>
      </c>
      <c r="M1358" s="782">
        <v>1813805.57</v>
      </c>
      <c r="N1358" s="783">
        <v>34825</v>
      </c>
      <c r="O1358" s="784"/>
      <c r="P1358" s="783"/>
      <c r="Q1358" s="586"/>
      <c r="R1358" s="582">
        <f>M1358/G1358</f>
        <v>2464.4097418478264</v>
      </c>
      <c r="S1358" s="592"/>
      <c r="T1358" s="592"/>
      <c r="U1358" s="586"/>
      <c r="V1358" s="589"/>
      <c r="W1358" s="592"/>
      <c r="X1358" s="592"/>
      <c r="Y1358" s="592"/>
      <c r="Z1358" s="592"/>
    </row>
    <row r="1359" spans="1:26" s="28" customFormat="1" hidden="1">
      <c r="A1359" s="591"/>
      <c r="B1359" s="592"/>
      <c r="C1359" s="922"/>
      <c r="D1359" s="922"/>
      <c r="E1359" s="923"/>
      <c r="F1359" s="923"/>
      <c r="G1359" s="582"/>
      <c r="H1359" s="593"/>
      <c r="I1359" s="593"/>
      <c r="J1359" s="582"/>
      <c r="K1359" s="590" t="s">
        <v>38</v>
      </c>
      <c r="L1359" s="1348"/>
      <c r="M1359" s="782">
        <v>1465074.43</v>
      </c>
      <c r="N1359" s="783"/>
      <c r="O1359" s="784"/>
      <c r="P1359" s="783"/>
      <c r="Q1359" s="586"/>
      <c r="R1359" s="582"/>
      <c r="S1359" s="592"/>
      <c r="T1359" s="592"/>
      <c r="U1359" s="591"/>
      <c r="V1359" s="589"/>
      <c r="W1359" s="592"/>
      <c r="X1359" s="592"/>
      <c r="Y1359" s="592"/>
      <c r="Z1359" s="592"/>
    </row>
    <row r="1360" spans="1:26" s="28" customFormat="1" hidden="1">
      <c r="A1360" s="591">
        <v>4</v>
      </c>
      <c r="B1360" s="592" t="s">
        <v>1367</v>
      </c>
      <c r="C1360" s="922" t="s">
        <v>221</v>
      </c>
      <c r="D1360" s="922">
        <v>3874</v>
      </c>
      <c r="E1360" s="923">
        <v>754.1</v>
      </c>
      <c r="F1360" s="923" t="s">
        <v>251</v>
      </c>
      <c r="G1360" s="582">
        <v>912</v>
      </c>
      <c r="H1360" s="593">
        <v>2</v>
      </c>
      <c r="I1360" s="593">
        <v>3</v>
      </c>
      <c r="J1360" s="582">
        <v>22</v>
      </c>
      <c r="K1360" s="590" t="s">
        <v>33</v>
      </c>
      <c r="L1360" s="584">
        <f>SUM(M1360:Q1360)</f>
        <v>2479938</v>
      </c>
      <c r="M1360" s="782">
        <v>2450088</v>
      </c>
      <c r="N1360" s="783">
        <v>29850</v>
      </c>
      <c r="O1360" s="784"/>
      <c r="P1360" s="783"/>
      <c r="Q1360" s="586"/>
      <c r="R1360" s="780">
        <f>M1360/G1360</f>
        <v>2686.5</v>
      </c>
      <c r="S1360" s="592"/>
      <c r="T1360" s="592"/>
      <c r="U1360" s="591"/>
      <c r="V1360" s="589"/>
      <c r="W1360" s="592"/>
      <c r="X1360" s="592"/>
      <c r="Y1360" s="592"/>
      <c r="Z1360" s="592"/>
    </row>
    <row r="1361" spans="1:26" s="28" customFormat="1" hidden="1">
      <c r="A1361" s="1349" t="s">
        <v>190</v>
      </c>
      <c r="B1361" s="1349"/>
      <c r="C1361" s="593" t="s">
        <v>28</v>
      </c>
      <c r="D1361" s="586">
        <f>SUM(D1356:D1360)</f>
        <v>18021</v>
      </c>
      <c r="E1361" s="586">
        <f>SUM(E1356:E1360)</f>
        <v>2255.3000000000002</v>
      </c>
      <c r="F1361" s="593" t="s">
        <v>28</v>
      </c>
      <c r="G1361" s="586">
        <f>SUM(G1356:G1360)</f>
        <v>3220.3</v>
      </c>
      <c r="H1361" s="593" t="s">
        <v>28</v>
      </c>
      <c r="I1361" s="593" t="s">
        <v>28</v>
      </c>
      <c r="J1361" s="582">
        <f>SUM(J1356:J1360)</f>
        <v>85</v>
      </c>
      <c r="K1361" s="590" t="s">
        <v>28</v>
      </c>
      <c r="L1361" s="584">
        <f t="shared" ref="L1361:Q1361" si="179">SUM(L1356:L1360)</f>
        <v>8891855.3900000006</v>
      </c>
      <c r="M1361" s="585">
        <f t="shared" si="179"/>
        <v>8794608.0700000003</v>
      </c>
      <c r="N1361" s="586">
        <f t="shared" si="179"/>
        <v>94525</v>
      </c>
      <c r="O1361" s="587">
        <f t="shared" si="179"/>
        <v>2722.32</v>
      </c>
      <c r="P1361" s="586">
        <f t="shared" si="179"/>
        <v>0</v>
      </c>
      <c r="Q1361" s="586">
        <f t="shared" si="179"/>
        <v>0</v>
      </c>
      <c r="R1361" s="582" t="s">
        <v>28</v>
      </c>
      <c r="S1361" s="564">
        <f>L1361-M1361-N1361-O1361-P1361-Q1361</f>
        <v>2.97859514830634E-10</v>
      </c>
      <c r="T1361" s="577" t="e">
        <f>'1.перечень МКД'!#REF!</f>
        <v>#REF!</v>
      </c>
      <c r="U1361" s="589" t="e">
        <f>L1361-T1361</f>
        <v>#REF!</v>
      </c>
      <c r="V1361" s="589"/>
      <c r="W1361" s="592"/>
      <c r="X1361" s="592"/>
      <c r="Y1361" s="592"/>
      <c r="Z1361" s="592"/>
    </row>
    <row r="1362" spans="1:26" s="28" customFormat="1" hidden="1">
      <c r="A1362" s="1347" t="s">
        <v>191</v>
      </c>
      <c r="B1362" s="1347"/>
      <c r="C1362" s="1347"/>
      <c r="D1362" s="1347"/>
      <c r="E1362" s="1347"/>
      <c r="F1362" s="1347"/>
      <c r="G1362" s="1347"/>
      <c r="H1362" s="1347"/>
      <c r="I1362" s="1347"/>
      <c r="J1362" s="1347"/>
      <c r="K1362" s="1347"/>
      <c r="L1362" s="1347"/>
      <c r="M1362" s="1347"/>
      <c r="N1362" s="1347"/>
      <c r="O1362" s="1347"/>
      <c r="P1362" s="1347"/>
      <c r="Q1362" s="1347"/>
      <c r="R1362" s="1347"/>
      <c r="S1362" s="592"/>
      <c r="T1362" s="592"/>
      <c r="U1362" s="591"/>
      <c r="V1362" s="589"/>
      <c r="W1362" s="592"/>
      <c r="X1362" s="592"/>
      <c r="Y1362" s="592"/>
      <c r="Z1362" s="592"/>
    </row>
    <row r="1363" spans="1:26" s="28" customFormat="1" hidden="1">
      <c r="A1363" s="591">
        <v>1</v>
      </c>
      <c r="B1363" s="927" t="s">
        <v>2315</v>
      </c>
      <c r="C1363" s="910" t="s">
        <v>314</v>
      </c>
      <c r="D1363" s="928">
        <v>5675</v>
      </c>
      <c r="E1363" s="643"/>
      <c r="F1363" s="643" t="s">
        <v>303</v>
      </c>
      <c r="G1363" s="929">
        <v>683</v>
      </c>
      <c r="H1363" s="928">
        <v>4</v>
      </c>
      <c r="I1363" s="928">
        <v>1</v>
      </c>
      <c r="J1363" s="643">
        <v>31</v>
      </c>
      <c r="K1363" s="930" t="s">
        <v>252</v>
      </c>
      <c r="L1363" s="584">
        <f>M1363+N1363+O1363+P1363+Q1363</f>
        <v>2517555.79</v>
      </c>
      <c r="M1363" s="931">
        <v>2490690.79</v>
      </c>
      <c r="N1363" s="932">
        <v>26865</v>
      </c>
      <c r="O1363" s="736"/>
      <c r="P1363" s="932"/>
      <c r="Q1363" s="586"/>
      <c r="R1363" s="582">
        <f>M1363/G1363</f>
        <v>3646.692225475842</v>
      </c>
      <c r="S1363" s="592"/>
      <c r="T1363" s="592"/>
      <c r="U1363" s="591"/>
      <c r="V1363" s="589"/>
      <c r="W1363" s="592"/>
      <c r="X1363" s="592"/>
      <c r="Y1363" s="592"/>
      <c r="Z1363" s="592"/>
    </row>
    <row r="1364" spans="1:26" s="28" customFormat="1" hidden="1">
      <c r="A1364" s="591">
        <v>2</v>
      </c>
      <c r="B1364" s="592" t="s">
        <v>1368</v>
      </c>
      <c r="C1364" s="922" t="s">
        <v>221</v>
      </c>
      <c r="D1364" s="922">
        <v>5821</v>
      </c>
      <c r="E1364" s="923"/>
      <c r="F1364" s="923" t="s">
        <v>222</v>
      </c>
      <c r="G1364" s="582">
        <f>636.2*1.3</f>
        <v>827.06000000000006</v>
      </c>
      <c r="H1364" s="593">
        <v>3</v>
      </c>
      <c r="I1364" s="593">
        <v>1</v>
      </c>
      <c r="J1364" s="582">
        <v>24</v>
      </c>
      <c r="K1364" s="590" t="s">
        <v>33</v>
      </c>
      <c r="L1364" s="584">
        <f>M1364+N1364+O1364+P1364+Q1364</f>
        <v>1824931.36</v>
      </c>
      <c r="M1364" s="782">
        <v>1800056.36</v>
      </c>
      <c r="N1364" s="783">
        <v>24875</v>
      </c>
      <c r="O1364" s="784"/>
      <c r="P1364" s="783"/>
      <c r="Q1364" s="586"/>
      <c r="R1364" s="780">
        <f>M1364/G1364</f>
        <v>2176.4519623727419</v>
      </c>
      <c r="S1364" s="592"/>
      <c r="T1364" s="592"/>
      <c r="U1364" s="591"/>
      <c r="V1364" s="589"/>
      <c r="W1364" s="592"/>
      <c r="X1364" s="592"/>
      <c r="Y1364" s="592"/>
      <c r="Z1364" s="592"/>
    </row>
    <row r="1365" spans="1:26" s="28" customFormat="1" hidden="1">
      <c r="A1365" s="1349" t="s">
        <v>192</v>
      </c>
      <c r="B1365" s="1349"/>
      <c r="C1365" s="593" t="s">
        <v>28</v>
      </c>
      <c r="D1365" s="586">
        <v>1510.06</v>
      </c>
      <c r="E1365" s="586">
        <f>SUM(E1363:E1364)</f>
        <v>0</v>
      </c>
      <c r="F1365" s="593" t="s">
        <v>28</v>
      </c>
      <c r="G1365" s="586">
        <f>SUM(G1363:G1364)</f>
        <v>1510.06</v>
      </c>
      <c r="H1365" s="593" t="s">
        <v>28</v>
      </c>
      <c r="I1365" s="593" t="s">
        <v>28</v>
      </c>
      <c r="J1365" s="582">
        <f>SUM(J1363:J1364)</f>
        <v>55</v>
      </c>
      <c r="K1365" s="590" t="s">
        <v>28</v>
      </c>
      <c r="L1365" s="584">
        <f t="shared" ref="L1365:Q1365" si="180">SUM(L1363:L1364)</f>
        <v>4342487.1500000004</v>
      </c>
      <c r="M1365" s="585">
        <f t="shared" si="180"/>
        <v>4290747.1500000004</v>
      </c>
      <c r="N1365" s="586">
        <f t="shared" si="180"/>
        <v>51740</v>
      </c>
      <c r="O1365" s="587">
        <f t="shared" si="180"/>
        <v>0</v>
      </c>
      <c r="P1365" s="586">
        <f t="shared" si="180"/>
        <v>0</v>
      </c>
      <c r="Q1365" s="586">
        <f t="shared" si="180"/>
        <v>0</v>
      </c>
      <c r="R1365" s="582" t="s">
        <v>28</v>
      </c>
      <c r="S1365" s="564">
        <f>L1365-M1365-N1365-O1365-P1365-Q1365</f>
        <v>0</v>
      </c>
      <c r="T1365" s="577" t="e">
        <f>'1.перечень МКД'!#REF!</f>
        <v>#REF!</v>
      </c>
      <c r="U1365" s="589" t="e">
        <f>L1365-T1365</f>
        <v>#REF!</v>
      </c>
      <c r="V1365" s="589"/>
      <c r="W1365" s="592"/>
      <c r="X1365" s="592"/>
      <c r="Y1365" s="592"/>
      <c r="Z1365" s="592"/>
    </row>
    <row r="1366" spans="1:26" s="28" customFormat="1" hidden="1">
      <c r="A1366" s="1347" t="s">
        <v>193</v>
      </c>
      <c r="B1366" s="1347"/>
      <c r="C1366" s="1347"/>
      <c r="D1366" s="1347"/>
      <c r="E1366" s="1347"/>
      <c r="F1366" s="1347"/>
      <c r="G1366" s="1347"/>
      <c r="H1366" s="1347"/>
      <c r="I1366" s="1347"/>
      <c r="J1366" s="1347"/>
      <c r="K1366" s="1347"/>
      <c r="L1366" s="1347"/>
      <c r="M1366" s="1347"/>
      <c r="N1366" s="1347"/>
      <c r="O1366" s="1347"/>
      <c r="P1366" s="1347"/>
      <c r="Q1366" s="1347"/>
      <c r="R1366" s="1347"/>
      <c r="S1366" s="592"/>
      <c r="T1366" s="592"/>
      <c r="U1366" s="591"/>
      <c r="V1366" s="589"/>
      <c r="W1366" s="592"/>
      <c r="X1366" s="592"/>
      <c r="Y1366" s="592"/>
      <c r="Z1366" s="592"/>
    </row>
    <row r="1367" spans="1:26" s="28" customFormat="1" hidden="1">
      <c r="A1367" s="591">
        <v>1</v>
      </c>
      <c r="B1367" s="592" t="s">
        <v>1369</v>
      </c>
      <c r="C1367" s="922" t="s">
        <v>221</v>
      </c>
      <c r="D1367" s="922">
        <v>750</v>
      </c>
      <c r="E1367" s="923">
        <v>168.66</v>
      </c>
      <c r="F1367" s="923" t="s">
        <v>251</v>
      </c>
      <c r="G1367" s="582">
        <v>250.33</v>
      </c>
      <c r="H1367" s="593">
        <v>2</v>
      </c>
      <c r="I1367" s="593">
        <v>1</v>
      </c>
      <c r="J1367" s="582">
        <v>8</v>
      </c>
      <c r="K1367" s="590" t="s">
        <v>33</v>
      </c>
      <c r="L1367" s="584">
        <f>M1367+N1367+O1367+P1367+Q1367</f>
        <v>757428.26</v>
      </c>
      <c r="M1367" s="782">
        <f>665957.53+66595.73</f>
        <v>732553.26</v>
      </c>
      <c r="N1367" s="783">
        <v>24875</v>
      </c>
      <c r="O1367" s="784"/>
      <c r="P1367" s="783"/>
      <c r="Q1367" s="586"/>
      <c r="R1367" s="780">
        <f>M1367/G1367</f>
        <v>2926.3502576598889</v>
      </c>
      <c r="S1367" s="592"/>
      <c r="T1367" s="592"/>
      <c r="U1367" s="591"/>
      <c r="V1367" s="589"/>
      <c r="W1367" s="592"/>
      <c r="X1367" s="592"/>
      <c r="Y1367" s="592"/>
      <c r="Z1367" s="592"/>
    </row>
    <row r="1368" spans="1:26" s="28" customFormat="1" ht="37.5" hidden="1">
      <c r="A1368" s="591">
        <f>A1367+1</f>
        <v>2</v>
      </c>
      <c r="B1368" s="592" t="s">
        <v>1370</v>
      </c>
      <c r="C1368" s="922" t="s">
        <v>221</v>
      </c>
      <c r="D1368" s="922"/>
      <c r="E1368" s="923">
        <v>236.88</v>
      </c>
      <c r="F1368" s="923" t="s">
        <v>251</v>
      </c>
      <c r="G1368" s="582">
        <v>280.44</v>
      </c>
      <c r="H1368" s="593">
        <v>2</v>
      </c>
      <c r="I1368" s="593">
        <v>1</v>
      </c>
      <c r="J1368" s="582">
        <v>8</v>
      </c>
      <c r="K1368" s="590" t="s">
        <v>30</v>
      </c>
      <c r="L1368" s="584">
        <f>M1368+N1368+O1368+P1368+Q1368</f>
        <v>34847.599999999999</v>
      </c>
      <c r="M1368" s="882">
        <v>34370</v>
      </c>
      <c r="N1368" s="783"/>
      <c r="O1368" s="587">
        <v>477.6</v>
      </c>
      <c r="P1368" s="742"/>
      <c r="Q1368" s="586"/>
      <c r="R1368" s="780">
        <f>M1368/J1368</f>
        <v>4296.25</v>
      </c>
      <c r="S1368" s="592"/>
      <c r="T1368" s="592"/>
      <c r="U1368" s="591"/>
      <c r="V1368" s="589"/>
      <c r="W1368" s="592"/>
      <c r="X1368" s="592"/>
      <c r="Y1368" s="592"/>
      <c r="Z1368" s="592"/>
    </row>
    <row r="1369" spans="1:26" s="28" customFormat="1" ht="37.5" hidden="1">
      <c r="A1369" s="591">
        <f>A1368+1</f>
        <v>3</v>
      </c>
      <c r="B1369" s="592" t="s">
        <v>1371</v>
      </c>
      <c r="C1369" s="922" t="s">
        <v>221</v>
      </c>
      <c r="D1369" s="922"/>
      <c r="E1369" s="923">
        <v>349.92</v>
      </c>
      <c r="F1369" s="923" t="s">
        <v>230</v>
      </c>
      <c r="G1369" s="582">
        <v>626.04</v>
      </c>
      <c r="H1369" s="593">
        <v>2</v>
      </c>
      <c r="I1369" s="593">
        <v>2</v>
      </c>
      <c r="J1369" s="582">
        <v>16</v>
      </c>
      <c r="K1369" s="590" t="s">
        <v>30</v>
      </c>
      <c r="L1369" s="584">
        <f>M1369+N1369+O1369+P1369+Q1369</f>
        <v>208955.85</v>
      </c>
      <c r="M1369" s="882">
        <v>208000.65</v>
      </c>
      <c r="N1369" s="783"/>
      <c r="O1369" s="587">
        <v>955.2</v>
      </c>
      <c r="P1369" s="742"/>
      <c r="Q1369" s="586"/>
      <c r="R1369" s="780">
        <f>M1369/J1369</f>
        <v>13000.040625</v>
      </c>
      <c r="S1369" s="592"/>
      <c r="T1369" s="592"/>
      <c r="U1369" s="591"/>
      <c r="V1369" s="589"/>
      <c r="W1369" s="592"/>
      <c r="X1369" s="592"/>
      <c r="Y1369" s="592"/>
      <c r="Z1369" s="592"/>
    </row>
    <row r="1370" spans="1:26" s="28" customFormat="1" hidden="1">
      <c r="A1370" s="591">
        <f>A1367+1</f>
        <v>2</v>
      </c>
      <c r="B1370" s="592" t="s">
        <v>1372</v>
      </c>
      <c r="C1370" s="922" t="s">
        <v>221</v>
      </c>
      <c r="D1370" s="922">
        <v>1480</v>
      </c>
      <c r="E1370" s="923">
        <v>371.88</v>
      </c>
      <c r="F1370" s="923" t="s">
        <v>251</v>
      </c>
      <c r="G1370" s="582">
        <v>647.67999999999995</v>
      </c>
      <c r="H1370" s="593">
        <v>2</v>
      </c>
      <c r="I1370" s="593">
        <v>2</v>
      </c>
      <c r="J1370" s="582">
        <v>16</v>
      </c>
      <c r="K1370" s="590" t="s">
        <v>33</v>
      </c>
      <c r="L1370" s="584">
        <f>M1370+N1370+O1370+P1370+Q1370</f>
        <v>1924961.17</v>
      </c>
      <c r="M1370" s="782">
        <f>1722828.8+172282.37</f>
        <v>1895111.17</v>
      </c>
      <c r="N1370" s="783">
        <v>29850</v>
      </c>
      <c r="O1370" s="784"/>
      <c r="P1370" s="783"/>
      <c r="Q1370" s="586"/>
      <c r="R1370" s="780">
        <f>M1370/G1370</f>
        <v>2925.999212574111</v>
      </c>
      <c r="S1370" s="592"/>
      <c r="T1370" s="645"/>
      <c r="U1370" s="591"/>
      <c r="V1370" s="589"/>
      <c r="W1370" s="592"/>
      <c r="X1370" s="592"/>
      <c r="Y1370" s="592"/>
      <c r="Z1370" s="592"/>
    </row>
    <row r="1371" spans="1:26" s="28" customFormat="1" hidden="1">
      <c r="A1371" s="1349" t="s">
        <v>194</v>
      </c>
      <c r="B1371" s="1349"/>
      <c r="C1371" s="593" t="s">
        <v>28</v>
      </c>
      <c r="D1371" s="586">
        <f>SUM(D1367:D1367)</f>
        <v>750</v>
      </c>
      <c r="E1371" s="586">
        <f>SUM(E1367:E1370)</f>
        <v>1127.3400000000001</v>
      </c>
      <c r="F1371" s="593" t="s">
        <v>28</v>
      </c>
      <c r="G1371" s="586">
        <f>SUM(G1367:G1370)</f>
        <v>1804.4899999999998</v>
      </c>
      <c r="H1371" s="593" t="s">
        <v>28</v>
      </c>
      <c r="I1371" s="593" t="s">
        <v>28</v>
      </c>
      <c r="J1371" s="582">
        <f>SUM(J1367:J1370)</f>
        <v>48</v>
      </c>
      <c r="K1371" s="590" t="s">
        <v>28</v>
      </c>
      <c r="L1371" s="584">
        <f t="shared" ref="L1371:Q1371" si="181">SUM(L1367:L1370)</f>
        <v>2926192.88</v>
      </c>
      <c r="M1371" s="585">
        <f t="shared" si="181"/>
        <v>2870035.08</v>
      </c>
      <c r="N1371" s="586">
        <f t="shared" si="181"/>
        <v>54725</v>
      </c>
      <c r="O1371" s="587">
        <f t="shared" si="181"/>
        <v>1432.8000000000002</v>
      </c>
      <c r="P1371" s="586">
        <f t="shared" si="181"/>
        <v>0</v>
      </c>
      <c r="Q1371" s="586">
        <f t="shared" si="181"/>
        <v>0</v>
      </c>
      <c r="R1371" s="582" t="s">
        <v>28</v>
      </c>
      <c r="S1371" s="564">
        <f>L1371-M1371-N1371-O1371-P1371-Q1371</f>
        <v>-1.8644641386345029E-10</v>
      </c>
      <c r="T1371" s="577" t="e">
        <f>'1.перечень МКД'!#REF!</f>
        <v>#REF!</v>
      </c>
      <c r="U1371" s="589" t="e">
        <f>L1371-T1371</f>
        <v>#REF!</v>
      </c>
      <c r="V1371" s="589"/>
      <c r="W1371" s="592"/>
      <c r="X1371" s="592"/>
      <c r="Y1371" s="592"/>
      <c r="Z1371" s="592"/>
    </row>
    <row r="1372" spans="1:26" s="28" customFormat="1" hidden="1">
      <c r="A1372" s="1347" t="s">
        <v>195</v>
      </c>
      <c r="B1372" s="1347"/>
      <c r="C1372" s="1347"/>
      <c r="D1372" s="1347"/>
      <c r="E1372" s="1347"/>
      <c r="F1372" s="1347"/>
      <c r="G1372" s="1347"/>
      <c r="H1372" s="1347"/>
      <c r="I1372" s="1347"/>
      <c r="J1372" s="1347"/>
      <c r="K1372" s="1347"/>
      <c r="L1372" s="1347"/>
      <c r="M1372" s="1347"/>
      <c r="N1372" s="1347"/>
      <c r="O1372" s="1347"/>
      <c r="P1372" s="1347"/>
      <c r="Q1372" s="1347"/>
      <c r="R1372" s="1347"/>
      <c r="S1372" s="592"/>
      <c r="T1372" s="592"/>
      <c r="U1372" s="591"/>
      <c r="V1372" s="589"/>
      <c r="W1372" s="592"/>
      <c r="X1372" s="592"/>
      <c r="Y1372" s="592"/>
      <c r="Z1372" s="592"/>
    </row>
    <row r="1373" spans="1:26" s="28" customFormat="1" hidden="1">
      <c r="A1373" s="591">
        <v>1</v>
      </c>
      <c r="B1373" s="592" t="s">
        <v>1373</v>
      </c>
      <c r="C1373" s="922" t="s">
        <v>384</v>
      </c>
      <c r="D1373" s="922">
        <v>18492</v>
      </c>
      <c r="E1373" s="923">
        <v>3548</v>
      </c>
      <c r="F1373" s="923" t="s">
        <v>309</v>
      </c>
      <c r="G1373" s="582">
        <v>1472</v>
      </c>
      <c r="H1373" s="593">
        <v>5</v>
      </c>
      <c r="I1373" s="593">
        <v>6</v>
      </c>
      <c r="J1373" s="593">
        <v>90</v>
      </c>
      <c r="K1373" s="590" t="s">
        <v>33</v>
      </c>
      <c r="L1373" s="584">
        <f t="shared" ref="L1373:L1385" si="182">M1373+N1373+O1373+P1373+Q1373</f>
        <v>3084971.63</v>
      </c>
      <c r="M1373" s="782">
        <v>3075744</v>
      </c>
      <c r="N1373" s="783"/>
      <c r="O1373" s="784">
        <v>9227.6299999999992</v>
      </c>
      <c r="P1373" s="783"/>
      <c r="Q1373" s="586"/>
      <c r="R1373" s="780">
        <f>M1373/G1373</f>
        <v>2089.5</v>
      </c>
      <c r="S1373" s="645">
        <f t="shared" ref="S1373:S1392" si="183">L1373-M1373-N1373-O1373-P1373-Q1373</f>
        <v>-1.1095835361629725E-10</v>
      </c>
      <c r="T1373" s="592"/>
      <c r="U1373" s="591"/>
      <c r="V1373" s="589"/>
      <c r="W1373" s="592"/>
      <c r="X1373" s="592"/>
      <c r="Y1373" s="592"/>
      <c r="Z1373" s="592"/>
    </row>
    <row r="1374" spans="1:26" s="28" customFormat="1" hidden="1">
      <c r="A1374" s="591">
        <f t="shared" ref="A1374:A1393" si="184">A1373+1</f>
        <v>2</v>
      </c>
      <c r="B1374" s="592" t="s">
        <v>1374</v>
      </c>
      <c r="C1374" s="922" t="s">
        <v>385</v>
      </c>
      <c r="D1374" s="922">
        <v>14740</v>
      </c>
      <c r="E1374" s="923">
        <v>2468</v>
      </c>
      <c r="F1374" s="923" t="s">
        <v>309</v>
      </c>
      <c r="G1374" s="582">
        <v>1039</v>
      </c>
      <c r="H1374" s="593">
        <v>5</v>
      </c>
      <c r="I1374" s="593">
        <v>2</v>
      </c>
      <c r="J1374" s="593">
        <v>67</v>
      </c>
      <c r="K1374" s="590" t="s">
        <v>33</v>
      </c>
      <c r="L1374" s="584">
        <f t="shared" si="182"/>
        <v>2177503.77</v>
      </c>
      <c r="M1374" s="782">
        <v>2170990.5</v>
      </c>
      <c r="N1374" s="783"/>
      <c r="O1374" s="784">
        <v>6513.27</v>
      </c>
      <c r="P1374" s="783"/>
      <c r="Q1374" s="586"/>
      <c r="R1374" s="780">
        <f>M1374/G1374</f>
        <v>2089.5</v>
      </c>
      <c r="S1374" s="645">
        <f t="shared" si="183"/>
        <v>1.8189894035458565E-11</v>
      </c>
      <c r="T1374" s="592"/>
      <c r="U1374" s="591"/>
      <c r="V1374" s="589"/>
      <c r="W1374" s="592"/>
      <c r="X1374" s="592"/>
      <c r="Y1374" s="592"/>
      <c r="Z1374" s="592"/>
    </row>
    <row r="1375" spans="1:26" s="28" customFormat="1" ht="37.5" hidden="1">
      <c r="A1375" s="591">
        <f t="shared" si="184"/>
        <v>3</v>
      </c>
      <c r="B1375" s="592" t="s">
        <v>1375</v>
      </c>
      <c r="C1375" s="922" t="s">
        <v>386</v>
      </c>
      <c r="D1375" s="922">
        <v>124967</v>
      </c>
      <c r="E1375" s="923">
        <v>17290</v>
      </c>
      <c r="F1375" s="923" t="s">
        <v>309</v>
      </c>
      <c r="G1375" s="582">
        <v>5487.9</v>
      </c>
      <c r="H1375" s="593">
        <v>9</v>
      </c>
      <c r="I1375" s="593">
        <v>12</v>
      </c>
      <c r="J1375" s="593">
        <v>384</v>
      </c>
      <c r="K1375" s="590" t="s">
        <v>219</v>
      </c>
      <c r="L1375" s="584">
        <f t="shared" si="182"/>
        <v>4085718.75</v>
      </c>
      <c r="M1375" s="782">
        <v>3980000</v>
      </c>
      <c r="N1375" s="783">
        <v>105718.75</v>
      </c>
      <c r="O1375" s="784"/>
      <c r="P1375" s="783"/>
      <c r="Q1375" s="586"/>
      <c r="R1375" s="780">
        <f>M1375/2</f>
        <v>1990000</v>
      </c>
      <c r="S1375" s="645">
        <f t="shared" si="183"/>
        <v>0</v>
      </c>
      <c r="T1375" s="592"/>
      <c r="U1375" s="591"/>
      <c r="V1375" s="589"/>
      <c r="W1375" s="592"/>
      <c r="X1375" s="592"/>
      <c r="Y1375" s="592"/>
      <c r="Z1375" s="592"/>
    </row>
    <row r="1376" spans="1:26" s="28" customFormat="1" ht="37.5" hidden="1">
      <c r="A1376" s="591">
        <f t="shared" si="184"/>
        <v>4</v>
      </c>
      <c r="B1376" s="592" t="s">
        <v>1376</v>
      </c>
      <c r="C1376" s="922" t="s">
        <v>387</v>
      </c>
      <c r="D1376" s="922">
        <v>108729</v>
      </c>
      <c r="E1376" s="923">
        <v>22984</v>
      </c>
      <c r="F1376" s="923" t="s">
        <v>309</v>
      </c>
      <c r="G1376" s="582">
        <v>4085</v>
      </c>
      <c r="H1376" s="593">
        <v>9</v>
      </c>
      <c r="I1376" s="593">
        <v>13</v>
      </c>
      <c r="J1376" s="593">
        <v>491</v>
      </c>
      <c r="K1376" s="590" t="s">
        <v>219</v>
      </c>
      <c r="L1376" s="584">
        <f t="shared" si="182"/>
        <v>4085718.75</v>
      </c>
      <c r="M1376" s="782">
        <v>3980000</v>
      </c>
      <c r="N1376" s="783">
        <v>105718.75</v>
      </c>
      <c r="O1376" s="784"/>
      <c r="P1376" s="783"/>
      <c r="Q1376" s="586"/>
      <c r="R1376" s="780">
        <f>M1376/2</f>
        <v>1990000</v>
      </c>
      <c r="S1376" s="645">
        <f t="shared" si="183"/>
        <v>0</v>
      </c>
      <c r="T1376" s="592"/>
      <c r="U1376" s="591"/>
      <c r="V1376" s="589"/>
      <c r="W1376" s="592"/>
      <c r="X1376" s="592"/>
      <c r="Y1376" s="592"/>
      <c r="Z1376" s="592"/>
    </row>
    <row r="1377" spans="1:26" s="28" customFormat="1" hidden="1">
      <c r="A1377" s="591">
        <f t="shared" si="184"/>
        <v>5</v>
      </c>
      <c r="B1377" s="592" t="s">
        <v>1377</v>
      </c>
      <c r="C1377" s="922" t="s">
        <v>388</v>
      </c>
      <c r="D1377" s="922">
        <v>22310</v>
      </c>
      <c r="E1377" s="923">
        <v>3305</v>
      </c>
      <c r="F1377" s="923" t="s">
        <v>251</v>
      </c>
      <c r="G1377" s="582">
        <v>1630</v>
      </c>
      <c r="H1377" s="593">
        <v>5</v>
      </c>
      <c r="I1377" s="593">
        <v>6</v>
      </c>
      <c r="J1377" s="593">
        <v>100</v>
      </c>
      <c r="K1377" s="590" t="s">
        <v>238</v>
      </c>
      <c r="L1377" s="584">
        <f t="shared" si="182"/>
        <v>3522300</v>
      </c>
      <c r="M1377" s="782">
        <v>3482500</v>
      </c>
      <c r="N1377" s="783">
        <v>39800</v>
      </c>
      <c r="O1377" s="784"/>
      <c r="P1377" s="783"/>
      <c r="Q1377" s="586"/>
      <c r="R1377" s="780">
        <f>M1377/J1377</f>
        <v>34825</v>
      </c>
      <c r="S1377" s="645">
        <f t="shared" si="183"/>
        <v>0</v>
      </c>
      <c r="T1377" s="592"/>
      <c r="U1377" s="591"/>
      <c r="V1377" s="589"/>
      <c r="W1377" s="592"/>
      <c r="X1377" s="592"/>
      <c r="Y1377" s="592"/>
      <c r="Z1377" s="592"/>
    </row>
    <row r="1378" spans="1:26" s="28" customFormat="1" hidden="1">
      <c r="A1378" s="591">
        <f t="shared" si="184"/>
        <v>6</v>
      </c>
      <c r="B1378" s="592" t="s">
        <v>1378</v>
      </c>
      <c r="C1378" s="922" t="s">
        <v>389</v>
      </c>
      <c r="D1378" s="922">
        <v>21782</v>
      </c>
      <c r="E1378" s="923">
        <v>5250</v>
      </c>
      <c r="F1378" s="923" t="s">
        <v>309</v>
      </c>
      <c r="G1378" s="582">
        <v>1815.6</v>
      </c>
      <c r="H1378" s="593">
        <v>5</v>
      </c>
      <c r="I1378" s="593">
        <v>9</v>
      </c>
      <c r="J1378" s="593">
        <v>135</v>
      </c>
      <c r="K1378" s="590" t="s">
        <v>33</v>
      </c>
      <c r="L1378" s="584">
        <f t="shared" si="182"/>
        <v>3623883.53</v>
      </c>
      <c r="M1378" s="782">
        <v>3613044</v>
      </c>
      <c r="N1378" s="783"/>
      <c r="O1378" s="784">
        <v>10839.53</v>
      </c>
      <c r="P1378" s="783"/>
      <c r="Q1378" s="586"/>
      <c r="R1378" s="780">
        <f>M1378/G1378</f>
        <v>1990</v>
      </c>
      <c r="S1378" s="645">
        <f t="shared" si="183"/>
        <v>-2.0554580260068178E-10</v>
      </c>
      <c r="T1378" s="592"/>
      <c r="U1378" s="591"/>
      <c r="V1378" s="589"/>
      <c r="W1378" s="592"/>
      <c r="X1378" s="592"/>
      <c r="Y1378" s="592"/>
      <c r="Z1378" s="592"/>
    </row>
    <row r="1379" spans="1:26" s="28" customFormat="1" hidden="1">
      <c r="A1379" s="591">
        <f t="shared" si="184"/>
        <v>7</v>
      </c>
      <c r="B1379" s="592" t="s">
        <v>1379</v>
      </c>
      <c r="C1379" s="922" t="s">
        <v>390</v>
      </c>
      <c r="D1379" s="922">
        <v>25990</v>
      </c>
      <c r="E1379" s="923">
        <v>5250</v>
      </c>
      <c r="F1379" s="923" t="s">
        <v>309</v>
      </c>
      <c r="G1379" s="582">
        <v>1849.8</v>
      </c>
      <c r="H1379" s="593">
        <v>5</v>
      </c>
      <c r="I1379" s="593">
        <v>9</v>
      </c>
      <c r="J1379" s="593">
        <v>135</v>
      </c>
      <c r="K1379" s="590" t="s">
        <v>33</v>
      </c>
      <c r="L1379" s="584">
        <f t="shared" si="182"/>
        <v>3692145.5</v>
      </c>
      <c r="M1379" s="782">
        <v>3681102</v>
      </c>
      <c r="N1379" s="783"/>
      <c r="O1379" s="784">
        <v>11043.5</v>
      </c>
      <c r="P1379" s="783"/>
      <c r="Q1379" s="586"/>
      <c r="R1379" s="780">
        <f>M1379/G1379</f>
        <v>1990</v>
      </c>
      <c r="S1379" s="645">
        <f t="shared" si="183"/>
        <v>0</v>
      </c>
      <c r="T1379" s="592"/>
      <c r="U1379" s="591"/>
      <c r="V1379" s="589"/>
      <c r="W1379" s="592"/>
      <c r="X1379" s="592"/>
      <c r="Y1379" s="592"/>
      <c r="Z1379" s="592"/>
    </row>
    <row r="1380" spans="1:26" s="28" customFormat="1" ht="37.5" hidden="1">
      <c r="A1380" s="591">
        <f t="shared" si="184"/>
        <v>8</v>
      </c>
      <c r="B1380" s="592" t="s">
        <v>1380</v>
      </c>
      <c r="C1380" s="922" t="s">
        <v>3683</v>
      </c>
      <c r="D1380" s="922">
        <v>2824</v>
      </c>
      <c r="E1380" s="923">
        <v>646.5</v>
      </c>
      <c r="F1380" s="923" t="s">
        <v>3684</v>
      </c>
      <c r="G1380" s="582">
        <v>548</v>
      </c>
      <c r="H1380" s="593">
        <v>2</v>
      </c>
      <c r="I1380" s="593">
        <v>2</v>
      </c>
      <c r="J1380" s="593">
        <v>16</v>
      </c>
      <c r="K1380" s="590" t="s">
        <v>30</v>
      </c>
      <c r="L1380" s="584">
        <f t="shared" si="182"/>
        <v>428951.52</v>
      </c>
      <c r="M1380" s="782">
        <v>427662</v>
      </c>
      <c r="N1380" s="783"/>
      <c r="O1380" s="784">
        <v>1289.52</v>
      </c>
      <c r="P1380" s="783"/>
      <c r="Q1380" s="586"/>
      <c r="R1380" s="780">
        <f>M1380/J1380</f>
        <v>26728.875</v>
      </c>
      <c r="S1380" s="645">
        <f t="shared" si="183"/>
        <v>1.8644641386345029E-11</v>
      </c>
      <c r="T1380" s="592"/>
      <c r="U1380" s="591"/>
      <c r="V1380" s="589"/>
      <c r="W1380" s="592"/>
      <c r="X1380" s="592"/>
      <c r="Y1380" s="592"/>
      <c r="Z1380" s="592"/>
    </row>
    <row r="1381" spans="1:26" s="28" customFormat="1" hidden="1">
      <c r="A1381" s="591">
        <f t="shared" si="184"/>
        <v>9</v>
      </c>
      <c r="B1381" s="592" t="s">
        <v>1381</v>
      </c>
      <c r="C1381" s="922" t="s">
        <v>391</v>
      </c>
      <c r="D1381" s="922">
        <v>2980</v>
      </c>
      <c r="E1381" s="923">
        <v>631.20000000000005</v>
      </c>
      <c r="F1381" s="923" t="s">
        <v>251</v>
      </c>
      <c r="G1381" s="582">
        <v>632</v>
      </c>
      <c r="H1381" s="593">
        <v>2</v>
      </c>
      <c r="I1381" s="593">
        <v>2</v>
      </c>
      <c r="J1381" s="593">
        <v>16</v>
      </c>
      <c r="K1381" s="590" t="s">
        <v>33</v>
      </c>
      <c r="L1381" s="584">
        <f t="shared" si="182"/>
        <v>1144011.6600000001</v>
      </c>
      <c r="M1381" s="782">
        <v>1114161.6600000001</v>
      </c>
      <c r="N1381" s="783">
        <v>29850</v>
      </c>
      <c r="O1381" s="784"/>
      <c r="P1381" s="783"/>
      <c r="Q1381" s="586"/>
      <c r="R1381" s="780">
        <f>M1381/G1381</f>
        <v>1762.9140189873419</v>
      </c>
      <c r="S1381" s="645">
        <f t="shared" si="183"/>
        <v>0</v>
      </c>
      <c r="T1381" s="592"/>
      <c r="U1381" s="591"/>
      <c r="V1381" s="589"/>
      <c r="W1381" s="592"/>
      <c r="X1381" s="592"/>
      <c r="Y1381" s="592"/>
      <c r="Z1381" s="592"/>
    </row>
    <row r="1382" spans="1:26" s="28" customFormat="1" ht="56.25" hidden="1">
      <c r="A1382" s="591">
        <f t="shared" si="184"/>
        <v>10</v>
      </c>
      <c r="B1382" s="592" t="s">
        <v>1382</v>
      </c>
      <c r="C1382" s="922" t="s">
        <v>3685</v>
      </c>
      <c r="D1382" s="922">
        <v>3071</v>
      </c>
      <c r="E1382" s="923">
        <v>687.7</v>
      </c>
      <c r="F1382" s="923" t="s">
        <v>251</v>
      </c>
      <c r="G1382" s="582">
        <v>640</v>
      </c>
      <c r="H1382" s="593">
        <v>2</v>
      </c>
      <c r="I1382" s="593">
        <v>2</v>
      </c>
      <c r="J1382" s="593">
        <v>16</v>
      </c>
      <c r="K1382" s="590" t="s">
        <v>3735</v>
      </c>
      <c r="L1382" s="584">
        <f t="shared" si="182"/>
        <v>230870.2</v>
      </c>
      <c r="M1382" s="782">
        <v>229915</v>
      </c>
      <c r="N1382" s="783"/>
      <c r="O1382" s="784">
        <v>955.2</v>
      </c>
      <c r="P1382" s="783"/>
      <c r="Q1382" s="586"/>
      <c r="R1382" s="780">
        <f>M1382/J1382</f>
        <v>14369.6875</v>
      </c>
      <c r="S1382" s="645">
        <f t="shared" si="183"/>
        <v>1.1596057447604835E-11</v>
      </c>
      <c r="T1382" s="592"/>
      <c r="U1382" s="591"/>
      <c r="V1382" s="589"/>
      <c r="W1382" s="592"/>
      <c r="X1382" s="592"/>
      <c r="Y1382" s="592"/>
      <c r="Z1382" s="592"/>
    </row>
    <row r="1383" spans="1:26" s="28" customFormat="1" ht="37.5" hidden="1">
      <c r="A1383" s="591">
        <f t="shared" si="184"/>
        <v>11</v>
      </c>
      <c r="B1383" s="592" t="s">
        <v>1383</v>
      </c>
      <c r="C1383" s="922" t="s">
        <v>390</v>
      </c>
      <c r="D1383" s="922">
        <v>20010</v>
      </c>
      <c r="E1383" s="923">
        <v>4097</v>
      </c>
      <c r="F1383" s="923" t="s">
        <v>309</v>
      </c>
      <c r="G1383" s="582">
        <v>859</v>
      </c>
      <c r="H1383" s="593">
        <v>9</v>
      </c>
      <c r="I1383" s="593">
        <v>1</v>
      </c>
      <c r="J1383" s="593">
        <v>113</v>
      </c>
      <c r="K1383" s="590" t="s">
        <v>219</v>
      </c>
      <c r="L1383" s="584">
        <f t="shared" si="182"/>
        <v>2074575</v>
      </c>
      <c r="M1383" s="782">
        <v>1990000</v>
      </c>
      <c r="N1383" s="783">
        <v>84575</v>
      </c>
      <c r="O1383" s="784"/>
      <c r="P1383" s="783"/>
      <c r="Q1383" s="586"/>
      <c r="R1383" s="780">
        <f>M1383/I1383</f>
        <v>1990000</v>
      </c>
      <c r="S1383" s="645">
        <f t="shared" si="183"/>
        <v>0</v>
      </c>
      <c r="T1383" s="592"/>
      <c r="U1383" s="591"/>
      <c r="V1383" s="589"/>
      <c r="W1383" s="592"/>
      <c r="X1383" s="592"/>
      <c r="Y1383" s="592"/>
      <c r="Z1383" s="592"/>
    </row>
    <row r="1384" spans="1:26" s="28" customFormat="1" ht="37.5" hidden="1">
      <c r="A1384" s="591">
        <f t="shared" si="184"/>
        <v>12</v>
      </c>
      <c r="B1384" s="592" t="s">
        <v>1384</v>
      </c>
      <c r="C1384" s="922" t="s">
        <v>392</v>
      </c>
      <c r="D1384" s="922">
        <v>20355</v>
      </c>
      <c r="E1384" s="923">
        <v>3744</v>
      </c>
      <c r="F1384" s="923" t="s">
        <v>309</v>
      </c>
      <c r="G1384" s="582">
        <v>690</v>
      </c>
      <c r="H1384" s="593">
        <v>9</v>
      </c>
      <c r="I1384" s="593">
        <v>1</v>
      </c>
      <c r="J1384" s="593">
        <v>114</v>
      </c>
      <c r="K1384" s="590" t="s">
        <v>219</v>
      </c>
      <c r="L1384" s="584">
        <f t="shared" si="182"/>
        <v>2074575</v>
      </c>
      <c r="M1384" s="782">
        <v>1990000</v>
      </c>
      <c r="N1384" s="783">
        <v>84575</v>
      </c>
      <c r="O1384" s="784"/>
      <c r="P1384" s="783"/>
      <c r="Q1384" s="586"/>
      <c r="R1384" s="780">
        <f>M1384/I1384</f>
        <v>1990000</v>
      </c>
      <c r="S1384" s="645">
        <f t="shared" si="183"/>
        <v>0</v>
      </c>
      <c r="T1384" s="592"/>
      <c r="U1384" s="591"/>
      <c r="V1384" s="589"/>
      <c r="W1384" s="592"/>
      <c r="X1384" s="592"/>
      <c r="Y1384" s="592"/>
      <c r="Z1384" s="592"/>
    </row>
    <row r="1385" spans="1:26" s="28" customFormat="1" ht="37.5" hidden="1">
      <c r="A1385" s="591">
        <f t="shared" si="184"/>
        <v>13</v>
      </c>
      <c r="B1385" s="592" t="s">
        <v>1385</v>
      </c>
      <c r="C1385" s="922" t="s">
        <v>393</v>
      </c>
      <c r="D1385" s="922">
        <v>20894</v>
      </c>
      <c r="E1385" s="923">
        <v>3734</v>
      </c>
      <c r="F1385" s="923" t="s">
        <v>309</v>
      </c>
      <c r="G1385" s="582">
        <v>690</v>
      </c>
      <c r="H1385" s="593">
        <v>9</v>
      </c>
      <c r="I1385" s="593">
        <v>1</v>
      </c>
      <c r="J1385" s="593">
        <v>110</v>
      </c>
      <c r="K1385" s="590" t="s">
        <v>219</v>
      </c>
      <c r="L1385" s="584">
        <f t="shared" si="182"/>
        <v>2074575</v>
      </c>
      <c r="M1385" s="782">
        <v>1990000</v>
      </c>
      <c r="N1385" s="783">
        <v>84575</v>
      </c>
      <c r="O1385" s="784"/>
      <c r="P1385" s="783"/>
      <c r="Q1385" s="586"/>
      <c r="R1385" s="780">
        <f>M1385/I1385</f>
        <v>1990000</v>
      </c>
      <c r="S1385" s="645">
        <f t="shared" si="183"/>
        <v>0</v>
      </c>
      <c r="T1385" s="592"/>
      <c r="U1385" s="591"/>
      <c r="V1385" s="589"/>
      <c r="W1385" s="592"/>
      <c r="X1385" s="592"/>
      <c r="Y1385" s="592"/>
      <c r="Z1385" s="592"/>
    </row>
    <row r="1386" spans="1:26" s="28" customFormat="1" ht="37.5" hidden="1">
      <c r="A1386" s="591">
        <f t="shared" si="184"/>
        <v>14</v>
      </c>
      <c r="B1386" s="1346" t="s">
        <v>1386</v>
      </c>
      <c r="C1386" s="922" t="s">
        <v>311</v>
      </c>
      <c r="D1386" s="922">
        <v>79153</v>
      </c>
      <c r="E1386" s="923">
        <v>14100</v>
      </c>
      <c r="F1386" s="923" t="s">
        <v>309</v>
      </c>
      <c r="G1386" s="582">
        <v>3125</v>
      </c>
      <c r="H1386" s="593">
        <v>9</v>
      </c>
      <c r="I1386" s="593">
        <v>10</v>
      </c>
      <c r="J1386" s="593">
        <v>379</v>
      </c>
      <c r="K1386" s="590" t="s">
        <v>219</v>
      </c>
      <c r="L1386" s="1348">
        <f>M1386+N1386+O1386+P1386+Q1386+M1387+N1387+O1387+P1387+Q1387</f>
        <v>14298099.26</v>
      </c>
      <c r="M1386" s="782">
        <v>3980000</v>
      </c>
      <c r="N1386" s="783">
        <v>105718.75</v>
      </c>
      <c r="O1386" s="784"/>
      <c r="P1386" s="783"/>
      <c r="Q1386" s="586"/>
      <c r="R1386" s="780">
        <f>M1386/2</f>
        <v>1990000</v>
      </c>
      <c r="S1386" s="645">
        <f t="shared" si="183"/>
        <v>10212380.51</v>
      </c>
      <c r="T1386" s="592"/>
      <c r="U1386" s="591"/>
      <c r="V1386" s="589"/>
      <c r="W1386" s="592"/>
      <c r="X1386" s="592"/>
      <c r="Y1386" s="592"/>
      <c r="Z1386" s="592"/>
    </row>
    <row r="1387" spans="1:26" s="28" customFormat="1" ht="37.5" hidden="1">
      <c r="A1387" s="591"/>
      <c r="B1387" s="1346"/>
      <c r="C1387" s="922"/>
      <c r="D1387" s="922"/>
      <c r="E1387" s="923"/>
      <c r="F1387" s="923"/>
      <c r="G1387" s="582"/>
      <c r="H1387" s="593"/>
      <c r="I1387" s="593"/>
      <c r="J1387" s="593"/>
      <c r="K1387" s="590" t="s">
        <v>30</v>
      </c>
      <c r="L1387" s="1348"/>
      <c r="M1387" s="882">
        <v>10181835</v>
      </c>
      <c r="N1387" s="783"/>
      <c r="O1387" s="784">
        <v>30545.51</v>
      </c>
      <c r="P1387" s="783"/>
      <c r="Q1387" s="586"/>
      <c r="R1387" s="780">
        <f>M1387/J1386</f>
        <v>26865</v>
      </c>
      <c r="S1387" s="645">
        <f t="shared" si="183"/>
        <v>-10212380.51</v>
      </c>
      <c r="T1387" s="592"/>
      <c r="U1387" s="591"/>
      <c r="V1387" s="589"/>
      <c r="W1387" s="592"/>
      <c r="X1387" s="592"/>
      <c r="Y1387" s="592"/>
      <c r="Z1387" s="592"/>
    </row>
    <row r="1388" spans="1:26" s="28" customFormat="1" ht="37.5" hidden="1">
      <c r="A1388" s="591">
        <f>A1386+1</f>
        <v>15</v>
      </c>
      <c r="B1388" s="592" t="s">
        <v>1387</v>
      </c>
      <c r="C1388" s="922" t="s">
        <v>221</v>
      </c>
      <c r="D1388" s="922">
        <v>4004</v>
      </c>
      <c r="E1388" s="923">
        <v>806.9</v>
      </c>
      <c r="F1388" s="923" t="s">
        <v>251</v>
      </c>
      <c r="G1388" s="582">
        <v>764</v>
      </c>
      <c r="H1388" s="593">
        <v>2</v>
      </c>
      <c r="I1388" s="593">
        <v>3</v>
      </c>
      <c r="J1388" s="593">
        <v>24</v>
      </c>
      <c r="K1388" s="590" t="s">
        <v>30</v>
      </c>
      <c r="L1388" s="584">
        <f>M1388+N1388+O1388+P1388+Q1388</f>
        <v>646694.28</v>
      </c>
      <c r="M1388" s="882">
        <v>644760</v>
      </c>
      <c r="N1388" s="783"/>
      <c r="O1388" s="784">
        <v>1934.28</v>
      </c>
      <c r="P1388" s="783"/>
      <c r="Q1388" s="586"/>
      <c r="R1388" s="780">
        <f>M1388/J1388</f>
        <v>26865</v>
      </c>
      <c r="S1388" s="645">
        <f t="shared" si="183"/>
        <v>2.7966962079517543E-11</v>
      </c>
      <c r="T1388" s="592"/>
      <c r="U1388" s="586"/>
      <c r="V1388" s="589"/>
      <c r="W1388" s="592"/>
      <c r="X1388" s="592"/>
      <c r="Y1388" s="592"/>
      <c r="Z1388" s="592"/>
    </row>
    <row r="1389" spans="1:26" s="28" customFormat="1" hidden="1">
      <c r="A1389" s="591">
        <f t="shared" si="184"/>
        <v>16</v>
      </c>
      <c r="B1389" s="592" t="s">
        <v>1388</v>
      </c>
      <c r="C1389" s="922">
        <v>1978</v>
      </c>
      <c r="D1389" s="922"/>
      <c r="E1389" s="923"/>
      <c r="F1389" s="923" t="s">
        <v>251</v>
      </c>
      <c r="G1389" s="582">
        <v>410</v>
      </c>
      <c r="H1389" s="593">
        <v>2</v>
      </c>
      <c r="I1389" s="593">
        <v>1</v>
      </c>
      <c r="J1389" s="593">
        <v>8</v>
      </c>
      <c r="K1389" s="590" t="s">
        <v>33</v>
      </c>
      <c r="L1389" s="584">
        <f>M1389+N1389+O1389+P1389+Q1389</f>
        <v>1131315</v>
      </c>
      <c r="M1389" s="782">
        <v>1101465</v>
      </c>
      <c r="N1389" s="783">
        <v>29850</v>
      </c>
      <c r="O1389" s="784"/>
      <c r="P1389" s="783"/>
      <c r="Q1389" s="586"/>
      <c r="R1389" s="780">
        <f>M1389/G1389</f>
        <v>2686.5</v>
      </c>
      <c r="S1389" s="645">
        <f t="shared" si="183"/>
        <v>0</v>
      </c>
      <c r="T1389" s="592"/>
      <c r="U1389" s="591"/>
      <c r="V1389" s="589"/>
      <c r="W1389" s="592"/>
      <c r="X1389" s="592"/>
      <c r="Y1389" s="592"/>
      <c r="Z1389" s="592"/>
    </row>
    <row r="1390" spans="1:26" s="28" customFormat="1" hidden="1">
      <c r="A1390" s="591">
        <f t="shared" si="184"/>
        <v>17</v>
      </c>
      <c r="B1390" s="592" t="s">
        <v>1389</v>
      </c>
      <c r="C1390" s="922">
        <v>1975</v>
      </c>
      <c r="D1390" s="922"/>
      <c r="E1390" s="923"/>
      <c r="F1390" s="923" t="s">
        <v>251</v>
      </c>
      <c r="G1390" s="582">
        <v>410</v>
      </c>
      <c r="H1390" s="593">
        <v>2</v>
      </c>
      <c r="I1390" s="593">
        <v>1</v>
      </c>
      <c r="J1390" s="593">
        <v>17</v>
      </c>
      <c r="K1390" s="590" t="s">
        <v>33</v>
      </c>
      <c r="L1390" s="584">
        <f>M1390+N1390+O1390+P1390+Q1390</f>
        <v>1131315</v>
      </c>
      <c r="M1390" s="782">
        <v>1101465</v>
      </c>
      <c r="N1390" s="783">
        <v>29850</v>
      </c>
      <c r="O1390" s="784"/>
      <c r="P1390" s="783"/>
      <c r="Q1390" s="586"/>
      <c r="R1390" s="780">
        <f>M1390/G1390</f>
        <v>2686.5</v>
      </c>
      <c r="S1390" s="645">
        <f t="shared" si="183"/>
        <v>0</v>
      </c>
      <c r="T1390" s="592"/>
      <c r="U1390" s="591"/>
      <c r="V1390" s="589"/>
      <c r="W1390" s="592"/>
      <c r="X1390" s="592"/>
      <c r="Y1390" s="592"/>
      <c r="Z1390" s="592"/>
    </row>
    <row r="1391" spans="1:26" s="28" customFormat="1" ht="37.5" hidden="1">
      <c r="A1391" s="591">
        <f t="shared" si="184"/>
        <v>18</v>
      </c>
      <c r="B1391" s="592" t="s">
        <v>3593</v>
      </c>
      <c r="C1391" s="582" t="s">
        <v>221</v>
      </c>
      <c r="D1391" s="582">
        <v>42360</v>
      </c>
      <c r="E1391" s="582">
        <v>5489</v>
      </c>
      <c r="F1391" s="582" t="s">
        <v>309</v>
      </c>
      <c r="G1391" s="582">
        <v>1730</v>
      </c>
      <c r="H1391" s="582">
        <v>5</v>
      </c>
      <c r="I1391" s="582">
        <v>8</v>
      </c>
      <c r="J1391" s="582">
        <v>129</v>
      </c>
      <c r="K1391" s="590" t="s">
        <v>30</v>
      </c>
      <c r="L1391" s="584">
        <f>M1391+N1391+O1391+P1391+Q1391</f>
        <v>3862144.19</v>
      </c>
      <c r="M1391" s="585">
        <v>3850650</v>
      </c>
      <c r="N1391" s="586"/>
      <c r="O1391" s="587">
        <v>11494.19</v>
      </c>
      <c r="P1391" s="586"/>
      <c r="Q1391" s="586"/>
      <c r="R1391" s="780">
        <f>M1391/J1391</f>
        <v>29850</v>
      </c>
      <c r="S1391" s="645">
        <f t="shared" si="183"/>
        <v>-5.6388671509921551E-11</v>
      </c>
      <c r="T1391" s="590"/>
      <c r="U1391" s="591"/>
      <c r="V1391" s="592"/>
      <c r="W1391" s="645"/>
      <c r="X1391" s="592"/>
      <c r="Y1391" s="592"/>
      <c r="Z1391" s="592"/>
    </row>
    <row r="1392" spans="1:26" s="28" customFormat="1" ht="37.5" hidden="1">
      <c r="A1392" s="591">
        <f t="shared" si="184"/>
        <v>19</v>
      </c>
      <c r="B1392" s="592" t="s">
        <v>3594</v>
      </c>
      <c r="C1392" s="582" t="s">
        <v>221</v>
      </c>
      <c r="D1392" s="582">
        <v>26435</v>
      </c>
      <c r="E1392" s="582">
        <v>3087</v>
      </c>
      <c r="F1392" s="582" t="s">
        <v>3812</v>
      </c>
      <c r="G1392" s="582">
        <v>1762</v>
      </c>
      <c r="H1392" s="582">
        <v>5</v>
      </c>
      <c r="I1392" s="582">
        <v>6</v>
      </c>
      <c r="J1392" s="582">
        <v>76</v>
      </c>
      <c r="K1392" s="590" t="s">
        <v>30</v>
      </c>
      <c r="L1392" s="584">
        <f>M1392+N1392+O1392+P1392+Q1392</f>
        <v>2305310.87</v>
      </c>
      <c r="M1392" s="585">
        <v>2298450</v>
      </c>
      <c r="N1392" s="586"/>
      <c r="O1392" s="587">
        <v>6860.87</v>
      </c>
      <c r="P1392" s="586"/>
      <c r="Q1392" s="586"/>
      <c r="R1392" s="780">
        <f>M1392/J1392</f>
        <v>30242.763157894737</v>
      </c>
      <c r="S1392" s="645">
        <f t="shared" si="183"/>
        <v>1.1186784831807017E-10</v>
      </c>
      <c r="T1392" s="590"/>
      <c r="U1392" s="591"/>
      <c r="V1392" s="592"/>
      <c r="W1392" s="645"/>
      <c r="X1392" s="592"/>
      <c r="Y1392" s="592"/>
      <c r="Z1392" s="592"/>
    </row>
    <row r="1393" spans="1:26" s="89" customFormat="1" ht="37.5" hidden="1">
      <c r="A1393" s="591">
        <f t="shared" si="184"/>
        <v>20</v>
      </c>
      <c r="B1393" s="592" t="s">
        <v>2322</v>
      </c>
      <c r="C1393" s="593" t="s">
        <v>310</v>
      </c>
      <c r="D1393" s="593">
        <v>2889</v>
      </c>
      <c r="E1393" s="879">
        <v>628.79999999999995</v>
      </c>
      <c r="F1393" s="879" t="s">
        <v>251</v>
      </c>
      <c r="G1393" s="593">
        <v>556.4</v>
      </c>
      <c r="H1393" s="879">
        <v>2</v>
      </c>
      <c r="I1393" s="700">
        <v>2</v>
      </c>
      <c r="J1393" s="643">
        <v>16</v>
      </c>
      <c r="K1393" s="679" t="s">
        <v>33</v>
      </c>
      <c r="L1393" s="584">
        <f>SUBTOTAL(9,M1393:Q1393)</f>
        <v>1421165.83</v>
      </c>
      <c r="M1393" s="933">
        <v>1377090</v>
      </c>
      <c r="N1393" s="934">
        <v>30000</v>
      </c>
      <c r="O1393" s="935"/>
      <c r="P1393" s="934"/>
      <c r="Q1393" s="586">
        <v>14075.83</v>
      </c>
      <c r="R1393" s="936">
        <f>M1393/G1393</f>
        <v>2475</v>
      </c>
      <c r="S1393" s="592"/>
      <c r="T1393" s="592"/>
      <c r="U1393" s="591"/>
      <c r="V1393" s="589"/>
      <c r="W1393" s="592"/>
      <c r="X1393" s="592"/>
      <c r="Y1393" s="592"/>
      <c r="Z1393" s="592"/>
    </row>
    <row r="1394" spans="1:26" s="28" customFormat="1" hidden="1">
      <c r="A1394" s="1361" t="s">
        <v>196</v>
      </c>
      <c r="B1394" s="1361"/>
      <c r="C1394" s="700" t="s">
        <v>28</v>
      </c>
      <c r="D1394" s="586">
        <f>SUM(D1373:D1393)</f>
        <v>561985</v>
      </c>
      <c r="E1394" s="586">
        <f>SUM(E1373:E1393)</f>
        <v>97747.099999999991</v>
      </c>
      <c r="F1394" s="700" t="s">
        <v>28</v>
      </c>
      <c r="G1394" s="586">
        <f>SUM(G1373:G1393)</f>
        <v>30195.7</v>
      </c>
      <c r="H1394" s="700" t="s">
        <v>28</v>
      </c>
      <c r="I1394" s="700" t="s">
        <v>28</v>
      </c>
      <c r="J1394" s="582">
        <f>SUM(J1373:J1393)</f>
        <v>2436</v>
      </c>
      <c r="K1394" s="590" t="s">
        <v>28</v>
      </c>
      <c r="L1394" s="584">
        <f t="shared" ref="L1394:Q1394" si="185">SUM(L1373:L1393)</f>
        <v>57095844.739999995</v>
      </c>
      <c r="M1394" s="585">
        <f t="shared" si="185"/>
        <v>56260834.159999996</v>
      </c>
      <c r="N1394" s="586">
        <f t="shared" si="185"/>
        <v>730231.25</v>
      </c>
      <c r="O1394" s="587">
        <f t="shared" si="185"/>
        <v>90703.499999999985</v>
      </c>
      <c r="P1394" s="586">
        <f t="shared" si="185"/>
        <v>0</v>
      </c>
      <c r="Q1394" s="586">
        <f t="shared" si="185"/>
        <v>14075.83</v>
      </c>
      <c r="R1394" s="582" t="s">
        <v>28</v>
      </c>
      <c r="S1394" s="564">
        <f>L1394-M1394-N1394-O1394-P1394-Q1394</f>
        <v>-1.7735146684572101E-9</v>
      </c>
      <c r="T1394" s="577" t="e">
        <f>'1.перечень МКД'!#REF!</f>
        <v>#REF!</v>
      </c>
      <c r="U1394" s="589" t="e">
        <f>L1394-T1394</f>
        <v>#REF!</v>
      </c>
      <c r="V1394" s="589"/>
      <c r="W1394" s="592"/>
      <c r="X1394" s="592"/>
      <c r="Y1394" s="592"/>
      <c r="Z1394" s="592"/>
    </row>
    <row r="1395" spans="1:26" s="28" customFormat="1" hidden="1">
      <c r="A1395" s="1347" t="s">
        <v>197</v>
      </c>
      <c r="B1395" s="1347"/>
      <c r="C1395" s="1347"/>
      <c r="D1395" s="1347"/>
      <c r="E1395" s="1347"/>
      <c r="F1395" s="1347"/>
      <c r="G1395" s="1347"/>
      <c r="H1395" s="1347"/>
      <c r="I1395" s="1347"/>
      <c r="J1395" s="1347"/>
      <c r="K1395" s="1347"/>
      <c r="L1395" s="1347"/>
      <c r="M1395" s="1347"/>
      <c r="N1395" s="1347"/>
      <c r="O1395" s="1347"/>
      <c r="P1395" s="1347"/>
      <c r="Q1395" s="1347"/>
      <c r="R1395" s="1347"/>
      <c r="S1395" s="592"/>
      <c r="T1395" s="592"/>
      <c r="U1395" s="591"/>
      <c r="V1395" s="589"/>
      <c r="W1395" s="592"/>
      <c r="X1395" s="592"/>
      <c r="Y1395" s="592"/>
      <c r="Z1395" s="592"/>
    </row>
    <row r="1396" spans="1:26" s="28" customFormat="1" hidden="1">
      <c r="A1396" s="580">
        <v>1</v>
      </c>
      <c r="B1396" s="592" t="s">
        <v>1390</v>
      </c>
      <c r="C1396" s="910" t="s">
        <v>221</v>
      </c>
      <c r="D1396" s="582">
        <v>1584</v>
      </c>
      <c r="E1396" s="582">
        <v>353</v>
      </c>
      <c r="F1396" s="582" t="s">
        <v>251</v>
      </c>
      <c r="G1396" s="582">
        <v>635.5</v>
      </c>
      <c r="H1396" s="582">
        <v>2</v>
      </c>
      <c r="I1396" s="582">
        <v>2</v>
      </c>
      <c r="J1396" s="582">
        <v>8</v>
      </c>
      <c r="K1396" s="590" t="s">
        <v>224</v>
      </c>
      <c r="L1396" s="584">
        <f>SUM(M1396:Q1396)</f>
        <v>213532.44</v>
      </c>
      <c r="M1396" s="585">
        <v>188657.44</v>
      </c>
      <c r="N1396" s="586">
        <v>24875</v>
      </c>
      <c r="O1396" s="587"/>
      <c r="P1396" s="586"/>
      <c r="Q1396" s="932"/>
      <c r="R1396" s="582">
        <f>M1396/J1396</f>
        <v>23582.18</v>
      </c>
      <c r="S1396" s="592"/>
      <c r="T1396" s="592"/>
      <c r="U1396" s="586"/>
      <c r="V1396" s="589"/>
      <c r="W1396" s="592"/>
      <c r="X1396" s="592"/>
      <c r="Y1396" s="592"/>
      <c r="Z1396" s="592"/>
    </row>
    <row r="1397" spans="1:26" s="28" customFormat="1" hidden="1">
      <c r="A1397" s="580">
        <v>2</v>
      </c>
      <c r="B1397" s="592" t="s">
        <v>1391</v>
      </c>
      <c r="C1397" s="910" t="s">
        <v>221</v>
      </c>
      <c r="D1397" s="582">
        <v>2845</v>
      </c>
      <c r="E1397" s="582">
        <v>234.64</v>
      </c>
      <c r="F1397" s="582" t="s">
        <v>251</v>
      </c>
      <c r="G1397" s="582">
        <v>869.88</v>
      </c>
      <c r="H1397" s="582">
        <v>2</v>
      </c>
      <c r="I1397" s="582">
        <v>2</v>
      </c>
      <c r="J1397" s="582">
        <v>16</v>
      </c>
      <c r="K1397" s="590" t="s">
        <v>224</v>
      </c>
      <c r="L1397" s="584">
        <f>SUM(M1397:Q1397)</f>
        <v>264635</v>
      </c>
      <c r="M1397" s="585">
        <v>239760</v>
      </c>
      <c r="N1397" s="586">
        <v>24875</v>
      </c>
      <c r="O1397" s="587"/>
      <c r="P1397" s="586"/>
      <c r="Q1397" s="932"/>
      <c r="R1397" s="582">
        <f>M1397/J1397</f>
        <v>14985</v>
      </c>
      <c r="S1397" s="592"/>
      <c r="T1397" s="592"/>
      <c r="U1397" s="586"/>
      <c r="V1397" s="589"/>
      <c r="W1397" s="592"/>
      <c r="X1397" s="592"/>
      <c r="Y1397" s="592"/>
      <c r="Z1397" s="592"/>
    </row>
    <row r="1398" spans="1:26" s="28" customFormat="1" hidden="1">
      <c r="A1398" s="580">
        <v>3</v>
      </c>
      <c r="B1398" s="592" t="s">
        <v>1392</v>
      </c>
      <c r="C1398" s="910" t="s">
        <v>221</v>
      </c>
      <c r="D1398" s="582">
        <v>2905</v>
      </c>
      <c r="E1398" s="582">
        <v>207.2</v>
      </c>
      <c r="F1398" s="582" t="s">
        <v>251</v>
      </c>
      <c r="G1398" s="582">
        <v>518.70000000000005</v>
      </c>
      <c r="H1398" s="582">
        <v>2</v>
      </c>
      <c r="I1398" s="582">
        <v>2</v>
      </c>
      <c r="J1398" s="582">
        <v>16</v>
      </c>
      <c r="K1398" s="590" t="s">
        <v>224</v>
      </c>
      <c r="L1398" s="584">
        <f>SUM(M1398:Q1398)</f>
        <v>264635</v>
      </c>
      <c r="M1398" s="585">
        <v>239760</v>
      </c>
      <c r="N1398" s="586">
        <v>24875</v>
      </c>
      <c r="O1398" s="587"/>
      <c r="P1398" s="586"/>
      <c r="Q1398" s="932"/>
      <c r="R1398" s="582">
        <f>M1398/J1398</f>
        <v>14985</v>
      </c>
      <c r="S1398" s="592"/>
      <c r="T1398" s="592"/>
      <c r="U1398" s="586"/>
      <c r="V1398" s="589"/>
      <c r="W1398" s="592"/>
      <c r="X1398" s="592"/>
      <c r="Y1398" s="592"/>
      <c r="Z1398" s="592"/>
    </row>
    <row r="1399" spans="1:26" s="28" customFormat="1" hidden="1">
      <c r="A1399" s="1349" t="s">
        <v>198</v>
      </c>
      <c r="B1399" s="1349"/>
      <c r="C1399" s="593" t="s">
        <v>28</v>
      </c>
      <c r="D1399" s="586">
        <f>SUM(D1396:D1398)</f>
        <v>7334</v>
      </c>
      <c r="E1399" s="586">
        <f>SUM(E1396:E1398)</f>
        <v>794.83999999999992</v>
      </c>
      <c r="F1399" s="593" t="s">
        <v>28</v>
      </c>
      <c r="G1399" s="586">
        <f>SUM(G1396:G1398)</f>
        <v>2024.0800000000002</v>
      </c>
      <c r="H1399" s="593" t="s">
        <v>28</v>
      </c>
      <c r="I1399" s="593" t="s">
        <v>28</v>
      </c>
      <c r="J1399" s="582">
        <f>SUM(J1396:J1398)</f>
        <v>40</v>
      </c>
      <c r="K1399" s="590" t="s">
        <v>28</v>
      </c>
      <c r="L1399" s="584">
        <f t="shared" ref="L1399:Q1399" si="186">SUM(L1396:L1398)</f>
        <v>742802.44</v>
      </c>
      <c r="M1399" s="585">
        <f t="shared" si="186"/>
        <v>668177.43999999994</v>
      </c>
      <c r="N1399" s="586">
        <f t="shared" si="186"/>
        <v>74625</v>
      </c>
      <c r="O1399" s="587">
        <f t="shared" si="186"/>
        <v>0</v>
      </c>
      <c r="P1399" s="586">
        <f t="shared" si="186"/>
        <v>0</v>
      </c>
      <c r="Q1399" s="586">
        <f t="shared" si="186"/>
        <v>0</v>
      </c>
      <c r="R1399" s="582" t="s">
        <v>28</v>
      </c>
      <c r="S1399" s="564">
        <f>L1399-M1399-N1399-O1399-P1399-Q1399</f>
        <v>0</v>
      </c>
      <c r="T1399" s="577" t="e">
        <f>'1.перечень МКД'!#REF!</f>
        <v>#REF!</v>
      </c>
      <c r="U1399" s="589" t="e">
        <f>L1399-T1399</f>
        <v>#REF!</v>
      </c>
      <c r="V1399" s="589"/>
      <c r="W1399" s="592"/>
      <c r="X1399" s="592"/>
      <c r="Y1399" s="592"/>
      <c r="Z1399" s="592"/>
    </row>
    <row r="1400" spans="1:26" s="28" customFormat="1" hidden="1">
      <c r="A1400" s="1352" t="s">
        <v>199</v>
      </c>
      <c r="B1400" s="1352"/>
      <c r="C1400" s="1352"/>
      <c r="D1400" s="1352"/>
      <c r="E1400" s="1352"/>
      <c r="F1400" s="1352"/>
      <c r="G1400" s="1352"/>
      <c r="H1400" s="1352"/>
      <c r="I1400" s="1352"/>
      <c r="J1400" s="1352"/>
      <c r="K1400" s="1352"/>
      <c r="L1400" s="1352"/>
      <c r="M1400" s="1352"/>
      <c r="N1400" s="1352"/>
      <c r="O1400" s="1352"/>
      <c r="P1400" s="1352"/>
      <c r="Q1400" s="1352"/>
      <c r="R1400" s="1352"/>
      <c r="S1400" s="592"/>
      <c r="T1400" s="592"/>
      <c r="U1400" s="591"/>
      <c r="V1400" s="589"/>
      <c r="W1400" s="592"/>
      <c r="X1400" s="592"/>
      <c r="Y1400" s="592"/>
      <c r="Z1400" s="592"/>
    </row>
    <row r="1401" spans="1:26" s="28" customFormat="1" hidden="1">
      <c r="A1401" s="591">
        <v>1</v>
      </c>
      <c r="B1401" s="592" t="s">
        <v>1393</v>
      </c>
      <c r="C1401" s="593" t="s">
        <v>221</v>
      </c>
      <c r="D1401" s="582">
        <v>8630</v>
      </c>
      <c r="E1401" s="683">
        <v>1154</v>
      </c>
      <c r="F1401" s="593" t="s">
        <v>290</v>
      </c>
      <c r="G1401" s="593">
        <v>1047</v>
      </c>
      <c r="H1401" s="593">
        <v>4</v>
      </c>
      <c r="I1401" s="593">
        <v>3</v>
      </c>
      <c r="J1401" s="582">
        <v>40</v>
      </c>
      <c r="K1401" s="590" t="s">
        <v>33</v>
      </c>
      <c r="L1401" s="584">
        <f t="shared" ref="L1401:L1410" si="187">SUM(M1401:Q1401)</f>
        <v>1651898.33</v>
      </c>
      <c r="M1401" s="585">
        <v>1645670.6300000001</v>
      </c>
      <c r="N1401" s="586"/>
      <c r="O1401" s="587">
        <v>6227.7</v>
      </c>
      <c r="P1401" s="586"/>
      <c r="Q1401" s="932"/>
      <c r="R1401" s="582">
        <f t="shared" ref="R1401:R1406" si="188">M1401/G1401</f>
        <v>1571.7962082139447</v>
      </c>
      <c r="S1401" s="592"/>
      <c r="T1401" s="592"/>
      <c r="U1401" s="591"/>
      <c r="V1401" s="589"/>
      <c r="W1401" s="592"/>
      <c r="X1401" s="592"/>
      <c r="Y1401" s="592"/>
      <c r="Z1401" s="592"/>
    </row>
    <row r="1402" spans="1:26" s="28" customFormat="1" hidden="1">
      <c r="A1402" s="591">
        <f t="shared" ref="A1402:A1414" si="189">A1401+1</f>
        <v>2</v>
      </c>
      <c r="B1402" s="592" t="s">
        <v>1394</v>
      </c>
      <c r="C1402" s="593" t="s">
        <v>221</v>
      </c>
      <c r="D1402" s="582">
        <v>8110</v>
      </c>
      <c r="E1402" s="683">
        <v>1404</v>
      </c>
      <c r="F1402" s="593" t="s">
        <v>290</v>
      </c>
      <c r="G1402" s="593">
        <v>1049</v>
      </c>
      <c r="H1402" s="593">
        <v>3</v>
      </c>
      <c r="I1402" s="593">
        <v>3</v>
      </c>
      <c r="J1402" s="582">
        <v>37</v>
      </c>
      <c r="K1402" s="590" t="s">
        <v>33</v>
      </c>
      <c r="L1402" s="584">
        <f t="shared" si="187"/>
        <v>2094439.3599999999</v>
      </c>
      <c r="M1402" s="585">
        <v>2088199.71</v>
      </c>
      <c r="N1402" s="586"/>
      <c r="O1402" s="587">
        <v>6239.65</v>
      </c>
      <c r="P1402" s="586"/>
      <c r="Q1402" s="932"/>
      <c r="R1402" s="582">
        <f t="shared" si="188"/>
        <v>1990.6574928503337</v>
      </c>
      <c r="S1402" s="592"/>
      <c r="T1402" s="592"/>
      <c r="U1402" s="591"/>
      <c r="V1402" s="589"/>
      <c r="W1402" s="592"/>
      <c r="X1402" s="592"/>
      <c r="Y1402" s="592"/>
      <c r="Z1402" s="592"/>
    </row>
    <row r="1403" spans="1:26" s="28" customFormat="1" hidden="1">
      <c r="A1403" s="591">
        <f t="shared" si="189"/>
        <v>3</v>
      </c>
      <c r="B1403" s="592" t="s">
        <v>1395</v>
      </c>
      <c r="C1403" s="593" t="s">
        <v>221</v>
      </c>
      <c r="D1403" s="582">
        <v>1722</v>
      </c>
      <c r="E1403" s="683">
        <v>441</v>
      </c>
      <c r="F1403" s="593" t="s">
        <v>222</v>
      </c>
      <c r="G1403" s="593">
        <v>409</v>
      </c>
      <c r="H1403" s="593">
        <v>2</v>
      </c>
      <c r="I1403" s="593">
        <v>2</v>
      </c>
      <c r="J1403" s="582">
        <v>8</v>
      </c>
      <c r="K1403" s="590" t="s">
        <v>33</v>
      </c>
      <c r="L1403" s="584">
        <f t="shared" si="187"/>
        <v>1082616</v>
      </c>
      <c r="M1403" s="585">
        <v>1052766</v>
      </c>
      <c r="N1403" s="586">
        <v>29850</v>
      </c>
      <c r="O1403" s="587"/>
      <c r="P1403" s="586"/>
      <c r="Q1403" s="932"/>
      <c r="R1403" s="582">
        <f t="shared" si="188"/>
        <v>2574</v>
      </c>
      <c r="S1403" s="592"/>
      <c r="T1403" s="592"/>
      <c r="U1403" s="591"/>
      <c r="V1403" s="589"/>
      <c r="W1403" s="592"/>
      <c r="X1403" s="592"/>
      <c r="Y1403" s="592"/>
      <c r="Z1403" s="592"/>
    </row>
    <row r="1404" spans="1:26" s="28" customFormat="1" hidden="1">
      <c r="A1404" s="591">
        <f t="shared" si="189"/>
        <v>4</v>
      </c>
      <c r="B1404" s="592" t="s">
        <v>1396</v>
      </c>
      <c r="C1404" s="593" t="s">
        <v>221</v>
      </c>
      <c r="D1404" s="582">
        <v>11316</v>
      </c>
      <c r="E1404" s="683">
        <v>1992</v>
      </c>
      <c r="F1404" s="593" t="s">
        <v>290</v>
      </c>
      <c r="G1404" s="593">
        <v>1909</v>
      </c>
      <c r="H1404" s="593">
        <v>2</v>
      </c>
      <c r="I1404" s="593">
        <v>7</v>
      </c>
      <c r="J1404" s="582">
        <v>50</v>
      </c>
      <c r="K1404" s="590" t="s">
        <v>33</v>
      </c>
      <c r="L1404" s="584">
        <f t="shared" si="187"/>
        <v>3971150.96</v>
      </c>
      <c r="M1404" s="585">
        <v>3959212.95</v>
      </c>
      <c r="N1404" s="586"/>
      <c r="O1404" s="587">
        <v>11938.01</v>
      </c>
      <c r="P1404" s="586"/>
      <c r="Q1404" s="932"/>
      <c r="R1404" s="582">
        <f t="shared" si="188"/>
        <v>2073.9722105814562</v>
      </c>
      <c r="S1404" s="592"/>
      <c r="T1404" s="592"/>
      <c r="U1404" s="591"/>
      <c r="V1404" s="589"/>
      <c r="W1404" s="592"/>
      <c r="X1404" s="592"/>
      <c r="Y1404" s="592"/>
      <c r="Z1404" s="592"/>
    </row>
    <row r="1405" spans="1:26" s="28" customFormat="1" hidden="1">
      <c r="A1405" s="591">
        <f t="shared" si="189"/>
        <v>5</v>
      </c>
      <c r="B1405" s="592" t="s">
        <v>1397</v>
      </c>
      <c r="C1405" s="593" t="s">
        <v>221</v>
      </c>
      <c r="D1405" s="582">
        <v>2824</v>
      </c>
      <c r="E1405" s="683">
        <v>588</v>
      </c>
      <c r="F1405" s="593" t="s">
        <v>290</v>
      </c>
      <c r="G1405" s="593">
        <v>550</v>
      </c>
      <c r="H1405" s="593">
        <v>2</v>
      </c>
      <c r="I1405" s="593">
        <v>2</v>
      </c>
      <c r="J1405" s="582">
        <v>16</v>
      </c>
      <c r="K1405" s="590" t="s">
        <v>33</v>
      </c>
      <c r="L1405" s="584">
        <f t="shared" si="187"/>
        <v>1088269.98</v>
      </c>
      <c r="M1405" s="585">
        <v>1084998.42</v>
      </c>
      <c r="N1405" s="586"/>
      <c r="O1405" s="587">
        <v>3271.56</v>
      </c>
      <c r="P1405" s="586"/>
      <c r="Q1405" s="932"/>
      <c r="R1405" s="582">
        <f t="shared" si="188"/>
        <v>1972.7243999999998</v>
      </c>
      <c r="S1405" s="592"/>
      <c r="T1405" s="592"/>
      <c r="U1405" s="586"/>
      <c r="V1405" s="589"/>
      <c r="W1405" s="592"/>
      <c r="X1405" s="592"/>
      <c r="Y1405" s="592"/>
      <c r="Z1405" s="592"/>
    </row>
    <row r="1406" spans="1:26" s="28" customFormat="1" hidden="1">
      <c r="A1406" s="591">
        <f t="shared" si="189"/>
        <v>6</v>
      </c>
      <c r="B1406" s="592" t="s">
        <v>1398</v>
      </c>
      <c r="C1406" s="593" t="s">
        <v>221</v>
      </c>
      <c r="D1406" s="582">
        <v>4453</v>
      </c>
      <c r="E1406" s="683">
        <v>782</v>
      </c>
      <c r="F1406" s="593" t="s">
        <v>222</v>
      </c>
      <c r="G1406" s="593">
        <v>1040</v>
      </c>
      <c r="H1406" s="593">
        <v>2</v>
      </c>
      <c r="I1406" s="593">
        <v>3</v>
      </c>
      <c r="J1406" s="582">
        <v>22</v>
      </c>
      <c r="K1406" s="590" t="s">
        <v>33</v>
      </c>
      <c r="L1406" s="584">
        <f t="shared" si="187"/>
        <v>2706810</v>
      </c>
      <c r="M1406" s="585">
        <v>2676960</v>
      </c>
      <c r="N1406" s="586">
        <v>29850</v>
      </c>
      <c r="O1406" s="587"/>
      <c r="P1406" s="586"/>
      <c r="Q1406" s="932"/>
      <c r="R1406" s="582">
        <f t="shared" si="188"/>
        <v>2574</v>
      </c>
      <c r="S1406" s="592"/>
      <c r="T1406" s="592"/>
      <c r="U1406" s="586"/>
      <c r="V1406" s="589"/>
      <c r="W1406" s="592"/>
      <c r="X1406" s="592"/>
      <c r="Y1406" s="592"/>
      <c r="Z1406" s="592"/>
    </row>
    <row r="1407" spans="1:26" s="28" customFormat="1" hidden="1">
      <c r="A1407" s="591">
        <f t="shared" si="189"/>
        <v>7</v>
      </c>
      <c r="B1407" s="592" t="s">
        <v>1399</v>
      </c>
      <c r="C1407" s="593" t="s">
        <v>221</v>
      </c>
      <c r="D1407" s="582">
        <v>2777</v>
      </c>
      <c r="E1407" s="683">
        <v>573</v>
      </c>
      <c r="F1407" s="593" t="s">
        <v>313</v>
      </c>
      <c r="G1407" s="593">
        <v>560</v>
      </c>
      <c r="H1407" s="593">
        <v>2</v>
      </c>
      <c r="I1407" s="593">
        <v>2</v>
      </c>
      <c r="J1407" s="582">
        <v>16</v>
      </c>
      <c r="K1407" s="590" t="s">
        <v>224</v>
      </c>
      <c r="L1407" s="584">
        <f t="shared" si="187"/>
        <v>263675</v>
      </c>
      <c r="M1407" s="585">
        <v>238800</v>
      </c>
      <c r="N1407" s="586">
        <v>24875</v>
      </c>
      <c r="O1407" s="587"/>
      <c r="P1407" s="586"/>
      <c r="Q1407" s="932"/>
      <c r="R1407" s="582">
        <f>M1407/J1407</f>
        <v>14925</v>
      </c>
      <c r="S1407" s="592"/>
      <c r="T1407" s="592"/>
      <c r="U1407" s="586"/>
      <c r="V1407" s="589"/>
      <c r="W1407" s="592"/>
      <c r="X1407" s="592"/>
      <c r="Y1407" s="592"/>
      <c r="Z1407" s="592"/>
    </row>
    <row r="1408" spans="1:26" s="28" customFormat="1" hidden="1">
      <c r="A1408" s="591">
        <f t="shared" si="189"/>
        <v>8</v>
      </c>
      <c r="B1408" s="592" t="s">
        <v>1400</v>
      </c>
      <c r="C1408" s="593" t="s">
        <v>221</v>
      </c>
      <c r="D1408" s="582">
        <v>2863</v>
      </c>
      <c r="E1408" s="683">
        <v>593</v>
      </c>
      <c r="F1408" s="593" t="s">
        <v>313</v>
      </c>
      <c r="G1408" s="593">
        <v>560</v>
      </c>
      <c r="H1408" s="593">
        <v>2</v>
      </c>
      <c r="I1408" s="593">
        <v>2</v>
      </c>
      <c r="J1408" s="582">
        <v>16</v>
      </c>
      <c r="K1408" s="590" t="s">
        <v>224</v>
      </c>
      <c r="L1408" s="584">
        <f t="shared" si="187"/>
        <v>263675</v>
      </c>
      <c r="M1408" s="585">
        <v>238800</v>
      </c>
      <c r="N1408" s="586">
        <v>24875</v>
      </c>
      <c r="O1408" s="587"/>
      <c r="P1408" s="586"/>
      <c r="Q1408" s="932"/>
      <c r="R1408" s="582">
        <f>M1408/J1408</f>
        <v>14925</v>
      </c>
      <c r="S1408" s="592"/>
      <c r="T1408" s="592"/>
      <c r="U1408" s="586"/>
      <c r="V1408" s="589"/>
      <c r="W1408" s="592"/>
      <c r="X1408" s="592"/>
      <c r="Y1408" s="592"/>
      <c r="Z1408" s="592"/>
    </row>
    <row r="1409" spans="1:26" s="28" customFormat="1" hidden="1">
      <c r="A1409" s="591">
        <f t="shared" si="189"/>
        <v>9</v>
      </c>
      <c r="B1409" s="592" t="s">
        <v>1401</v>
      </c>
      <c r="C1409" s="593" t="s">
        <v>221</v>
      </c>
      <c r="D1409" s="582">
        <v>2899</v>
      </c>
      <c r="E1409" s="683">
        <v>598</v>
      </c>
      <c r="F1409" s="593" t="s">
        <v>313</v>
      </c>
      <c r="G1409" s="593">
        <v>718</v>
      </c>
      <c r="H1409" s="593">
        <v>2</v>
      </c>
      <c r="I1409" s="593">
        <v>2</v>
      </c>
      <c r="J1409" s="582">
        <v>16</v>
      </c>
      <c r="K1409" s="590" t="s">
        <v>224</v>
      </c>
      <c r="L1409" s="584">
        <f t="shared" si="187"/>
        <v>263675</v>
      </c>
      <c r="M1409" s="585">
        <v>238800</v>
      </c>
      <c r="N1409" s="586">
        <v>24875</v>
      </c>
      <c r="O1409" s="587"/>
      <c r="P1409" s="586"/>
      <c r="Q1409" s="932"/>
      <c r="R1409" s="582">
        <f>M1409/J1409</f>
        <v>14925</v>
      </c>
      <c r="S1409" s="592"/>
      <c r="T1409" s="592"/>
      <c r="U1409" s="586"/>
      <c r="V1409" s="589"/>
      <c r="W1409" s="592"/>
      <c r="X1409" s="592"/>
      <c r="Y1409" s="592"/>
      <c r="Z1409" s="592"/>
    </row>
    <row r="1410" spans="1:26" s="28" customFormat="1" hidden="1">
      <c r="A1410" s="591">
        <f t="shared" si="189"/>
        <v>10</v>
      </c>
      <c r="B1410" s="592" t="s">
        <v>1402</v>
      </c>
      <c r="C1410" s="593" t="s">
        <v>221</v>
      </c>
      <c r="D1410" s="582">
        <v>2858</v>
      </c>
      <c r="E1410" s="683">
        <v>594</v>
      </c>
      <c r="F1410" s="593" t="s">
        <v>313</v>
      </c>
      <c r="G1410" s="593">
        <v>708</v>
      </c>
      <c r="H1410" s="593">
        <v>2</v>
      </c>
      <c r="I1410" s="593">
        <v>2</v>
      </c>
      <c r="J1410" s="582">
        <v>16</v>
      </c>
      <c r="K1410" s="590" t="s">
        <v>224</v>
      </c>
      <c r="L1410" s="584">
        <f t="shared" si="187"/>
        <v>263675</v>
      </c>
      <c r="M1410" s="585">
        <v>238800</v>
      </c>
      <c r="N1410" s="586">
        <v>24875</v>
      </c>
      <c r="O1410" s="587"/>
      <c r="P1410" s="586"/>
      <c r="Q1410" s="932"/>
      <c r="R1410" s="582">
        <f>M1410/J1410</f>
        <v>14925</v>
      </c>
      <c r="S1410" s="592"/>
      <c r="T1410" s="592"/>
      <c r="U1410" s="586"/>
      <c r="V1410" s="589"/>
      <c r="W1410" s="592"/>
      <c r="X1410" s="592"/>
      <c r="Y1410" s="592"/>
      <c r="Z1410" s="592"/>
    </row>
    <row r="1411" spans="1:26" s="28" customFormat="1" ht="37.5" hidden="1">
      <c r="A1411" s="591">
        <f t="shared" si="189"/>
        <v>11</v>
      </c>
      <c r="B1411" s="592" t="s">
        <v>1403</v>
      </c>
      <c r="C1411" s="593" t="s">
        <v>221</v>
      </c>
      <c r="D1411" s="582">
        <v>5038</v>
      </c>
      <c r="E1411" s="683">
        <v>1215</v>
      </c>
      <c r="F1411" s="593" t="s">
        <v>230</v>
      </c>
      <c r="G1411" s="593">
        <v>920</v>
      </c>
      <c r="H1411" s="593">
        <v>3</v>
      </c>
      <c r="I1411" s="593">
        <v>3</v>
      </c>
      <c r="J1411" s="582">
        <v>21</v>
      </c>
      <c r="K1411" s="590" t="s">
        <v>269</v>
      </c>
      <c r="L1411" s="584">
        <f>M1411+N1411+O1411+P1411+Q1411</f>
        <v>326510.67</v>
      </c>
      <c r="M1411" s="585">
        <v>325115.68</v>
      </c>
      <c r="N1411" s="586"/>
      <c r="O1411" s="587">
        <v>1394.99</v>
      </c>
      <c r="P1411" s="586"/>
      <c r="Q1411" s="932"/>
      <c r="R1411" s="582">
        <f>M1411/J1411</f>
        <v>15481.699047619048</v>
      </c>
      <c r="S1411" s="592"/>
      <c r="T1411" s="592"/>
      <c r="U1411" s="591"/>
      <c r="V1411" s="589"/>
      <c r="W1411" s="592"/>
      <c r="X1411" s="592"/>
      <c r="Y1411" s="592"/>
      <c r="Z1411" s="592"/>
    </row>
    <row r="1412" spans="1:26" s="28" customFormat="1" hidden="1">
      <c r="A1412" s="591">
        <f t="shared" si="189"/>
        <v>12</v>
      </c>
      <c r="B1412" s="592" t="s">
        <v>1404</v>
      </c>
      <c r="C1412" s="593" t="s">
        <v>221</v>
      </c>
      <c r="D1412" s="582">
        <v>2768</v>
      </c>
      <c r="E1412" s="683">
        <v>535</v>
      </c>
      <c r="F1412" s="593" t="s">
        <v>222</v>
      </c>
      <c r="G1412" s="593">
        <v>661</v>
      </c>
      <c r="H1412" s="593">
        <v>2</v>
      </c>
      <c r="I1412" s="593">
        <v>2</v>
      </c>
      <c r="J1412" s="582">
        <v>12</v>
      </c>
      <c r="K1412" s="590" t="s">
        <v>33</v>
      </c>
      <c r="L1412" s="584">
        <f>SUM(M1412:Q1412)</f>
        <v>1746731.4</v>
      </c>
      <c r="M1412" s="585">
        <v>1716881.4</v>
      </c>
      <c r="N1412" s="586">
        <v>29850</v>
      </c>
      <c r="O1412" s="587"/>
      <c r="P1412" s="586"/>
      <c r="Q1412" s="932"/>
      <c r="R1412" s="582">
        <f>M1412/G1412</f>
        <v>2597.3999999999996</v>
      </c>
      <c r="S1412" s="592"/>
      <c r="T1412" s="645"/>
      <c r="U1412" s="591"/>
      <c r="V1412" s="589"/>
      <c r="W1412" s="592"/>
      <c r="X1412" s="592"/>
      <c r="Y1412" s="592"/>
      <c r="Z1412" s="592"/>
    </row>
    <row r="1413" spans="1:26" s="28" customFormat="1" hidden="1">
      <c r="A1413" s="591">
        <f t="shared" si="189"/>
        <v>13</v>
      </c>
      <c r="B1413" s="592" t="s">
        <v>3306</v>
      </c>
      <c r="C1413" s="593" t="s">
        <v>221</v>
      </c>
      <c r="D1413" s="582">
        <v>9302</v>
      </c>
      <c r="E1413" s="683">
        <v>1363</v>
      </c>
      <c r="F1413" s="593" t="s">
        <v>290</v>
      </c>
      <c r="G1413" s="593">
        <v>1350</v>
      </c>
      <c r="H1413" s="593">
        <v>2</v>
      </c>
      <c r="I1413" s="593">
        <v>5</v>
      </c>
      <c r="J1413" s="582">
        <v>38</v>
      </c>
      <c r="K1413" s="590" t="s">
        <v>33</v>
      </c>
      <c r="L1413" s="584">
        <f>SUM(M1413:Q1413)</f>
        <v>3023987.94</v>
      </c>
      <c r="M1413" s="585">
        <f>2733750+266943</f>
        <v>3000693</v>
      </c>
      <c r="N1413" s="586"/>
      <c r="O1413" s="587">
        <v>3394.94</v>
      </c>
      <c r="P1413" s="630"/>
      <c r="Q1413" s="932">
        <v>19900</v>
      </c>
      <c r="R1413" s="582">
        <f>M1413/G1413</f>
        <v>2222.7355555555555</v>
      </c>
      <c r="S1413" s="592"/>
      <c r="T1413" s="645"/>
      <c r="U1413" s="591"/>
      <c r="V1413" s="589"/>
      <c r="W1413" s="592"/>
      <c r="X1413" s="592"/>
      <c r="Y1413" s="592"/>
      <c r="Z1413" s="592"/>
    </row>
    <row r="1414" spans="1:26" s="28" customFormat="1" hidden="1">
      <c r="A1414" s="591">
        <f t="shared" si="189"/>
        <v>14</v>
      </c>
      <c r="B1414" s="592" t="s">
        <v>3313</v>
      </c>
      <c r="C1414" s="593" t="s">
        <v>217</v>
      </c>
      <c r="D1414" s="582">
        <v>2893</v>
      </c>
      <c r="E1414" s="683">
        <v>359</v>
      </c>
      <c r="F1414" s="593" t="s">
        <v>290</v>
      </c>
      <c r="G1414" s="593">
        <v>370</v>
      </c>
      <c r="H1414" s="593">
        <v>2</v>
      </c>
      <c r="I1414" s="593">
        <v>1</v>
      </c>
      <c r="J1414" s="582">
        <v>8</v>
      </c>
      <c r="K1414" s="590" t="s">
        <v>33</v>
      </c>
      <c r="L1414" s="584">
        <f>SUM(M1414:Q1414)</f>
        <v>756031.35000000009</v>
      </c>
      <c r="M1414" s="585">
        <v>744906.25</v>
      </c>
      <c r="N1414" s="586"/>
      <c r="O1414" s="587">
        <v>2205.92</v>
      </c>
      <c r="P1414" s="630"/>
      <c r="Q1414" s="932">
        <v>8919.18</v>
      </c>
      <c r="R1414" s="582">
        <v>2043.918918918919</v>
      </c>
      <c r="S1414" s="592"/>
      <c r="T1414" s="645"/>
      <c r="U1414" s="591"/>
      <c r="V1414" s="589"/>
      <c r="W1414" s="592"/>
      <c r="X1414" s="592"/>
      <c r="Y1414" s="592"/>
      <c r="Z1414" s="592"/>
    </row>
    <row r="1415" spans="1:26" s="508" customFormat="1" hidden="1">
      <c r="A1415" s="1353" t="s">
        <v>157</v>
      </c>
      <c r="B1415" s="1353"/>
      <c r="C1415" s="593" t="s">
        <v>28</v>
      </c>
      <c r="D1415" s="783">
        <f>SUM(D1401:D1414)</f>
        <v>68453</v>
      </c>
      <c r="E1415" s="783">
        <f>SUM(E1401:E1414)</f>
        <v>12191</v>
      </c>
      <c r="F1415" s="593" t="s">
        <v>28</v>
      </c>
      <c r="G1415" s="783">
        <f>SUM(G1401:G1414)</f>
        <v>11851</v>
      </c>
      <c r="H1415" s="593" t="s">
        <v>28</v>
      </c>
      <c r="I1415" s="593" t="s">
        <v>28</v>
      </c>
      <c r="J1415" s="780">
        <f>SUM(J1401:J1414)</f>
        <v>316</v>
      </c>
      <c r="K1415" s="590" t="s">
        <v>28</v>
      </c>
      <c r="L1415" s="781">
        <f t="shared" ref="L1415:Q1415" si="190">SUM(L1401:L1414)</f>
        <v>19503145.990000002</v>
      </c>
      <c r="M1415" s="782">
        <f t="shared" si="190"/>
        <v>19250604.039999999</v>
      </c>
      <c r="N1415" s="783">
        <f t="shared" si="190"/>
        <v>189050</v>
      </c>
      <c r="O1415" s="784">
        <f t="shared" si="190"/>
        <v>34672.770000000004</v>
      </c>
      <c r="P1415" s="783">
        <f t="shared" si="190"/>
        <v>0</v>
      </c>
      <c r="Q1415" s="783">
        <f t="shared" si="190"/>
        <v>28819.18</v>
      </c>
      <c r="R1415" s="582" t="s">
        <v>28</v>
      </c>
      <c r="S1415" s="564">
        <f>L1415-M1415-N1415-O1415-P1415-Q1415</f>
        <v>2.9758666642010212E-9</v>
      </c>
      <c r="T1415" s="577" t="e">
        <f>'1.перечень МКД'!#REF!</f>
        <v>#REF!</v>
      </c>
      <c r="U1415" s="589" t="e">
        <f>L1415-T1415</f>
        <v>#REF!</v>
      </c>
      <c r="V1415" s="589"/>
      <c r="W1415" s="855"/>
      <c r="X1415" s="855"/>
      <c r="Y1415" s="855"/>
      <c r="Z1415" s="855"/>
    </row>
    <row r="1416" spans="1:26" s="28" customFormat="1" hidden="1">
      <c r="A1416" s="1347" t="s">
        <v>200</v>
      </c>
      <c r="B1416" s="1347"/>
      <c r="C1416" s="1347"/>
      <c r="D1416" s="1347"/>
      <c r="E1416" s="1347"/>
      <c r="F1416" s="1347"/>
      <c r="G1416" s="1347"/>
      <c r="H1416" s="1347"/>
      <c r="I1416" s="1347"/>
      <c r="J1416" s="1347"/>
      <c r="K1416" s="1347"/>
      <c r="L1416" s="1347"/>
      <c r="M1416" s="1347"/>
      <c r="N1416" s="1347"/>
      <c r="O1416" s="1347"/>
      <c r="P1416" s="1347"/>
      <c r="Q1416" s="1347"/>
      <c r="R1416" s="1347"/>
      <c r="S1416" s="592"/>
      <c r="T1416" s="592"/>
      <c r="U1416" s="591"/>
      <c r="V1416" s="589"/>
      <c r="W1416" s="592"/>
      <c r="X1416" s="592"/>
      <c r="Y1416" s="592"/>
      <c r="Z1416" s="592"/>
    </row>
    <row r="1417" spans="1:26" s="28" customFormat="1" hidden="1">
      <c r="A1417" s="937">
        <v>1</v>
      </c>
      <c r="B1417" s="848" t="s">
        <v>1405</v>
      </c>
      <c r="C1417" s="922" t="s">
        <v>314</v>
      </c>
      <c r="D1417" s="922">
        <v>13889</v>
      </c>
      <c r="E1417" s="938">
        <v>2418.9</v>
      </c>
      <c r="F1417" s="700" t="s">
        <v>315</v>
      </c>
      <c r="G1417" s="939">
        <v>992.03</v>
      </c>
      <c r="H1417" s="928">
        <v>5</v>
      </c>
      <c r="I1417" s="928">
        <v>1</v>
      </c>
      <c r="J1417" s="643">
        <v>164</v>
      </c>
      <c r="K1417" s="930" t="s">
        <v>33</v>
      </c>
      <c r="L1417" s="584">
        <f t="shared" ref="L1417:L1445" si="191">M1417+N1417+O1417+P1417+Q1417</f>
        <v>2978898</v>
      </c>
      <c r="M1417" s="931">
        <v>2949048</v>
      </c>
      <c r="N1417" s="932">
        <v>29850</v>
      </c>
      <c r="O1417" s="736"/>
      <c r="P1417" s="586"/>
      <c r="Q1417" s="932"/>
      <c r="R1417" s="582">
        <f t="shared" ref="R1417:R1426" si="192">M1417/J1417</f>
        <v>17982</v>
      </c>
      <c r="S1417" s="564">
        <f t="shared" ref="S1417:S1446" si="193">L1417-M1417-N1417-O1417-P1417-Q1417</f>
        <v>0</v>
      </c>
      <c r="T1417" s="592"/>
      <c r="U1417" s="586"/>
      <c r="V1417" s="589"/>
      <c r="W1417" s="592"/>
      <c r="X1417" s="592"/>
      <c r="Y1417" s="592"/>
      <c r="Z1417" s="592"/>
    </row>
    <row r="1418" spans="1:26" s="28" customFormat="1" hidden="1">
      <c r="A1418" s="937">
        <f>A1417+1</f>
        <v>2</v>
      </c>
      <c r="B1418" s="848" t="s">
        <v>1406</v>
      </c>
      <c r="C1418" s="922" t="s">
        <v>221</v>
      </c>
      <c r="D1418" s="922">
        <v>14353</v>
      </c>
      <c r="E1418" s="938">
        <v>2301</v>
      </c>
      <c r="F1418" s="700" t="s">
        <v>315</v>
      </c>
      <c r="G1418" s="939">
        <v>1166</v>
      </c>
      <c r="H1418" s="928">
        <v>5</v>
      </c>
      <c r="I1418" s="928">
        <v>4</v>
      </c>
      <c r="J1418" s="643">
        <v>72</v>
      </c>
      <c r="K1418" s="930" t="s">
        <v>224</v>
      </c>
      <c r="L1418" s="584">
        <f t="shared" si="191"/>
        <v>982184.71</v>
      </c>
      <c r="M1418" s="931">
        <v>952334.71</v>
      </c>
      <c r="N1418" s="932">
        <v>29850</v>
      </c>
      <c r="O1418" s="736"/>
      <c r="P1418" s="586"/>
      <c r="Q1418" s="932"/>
      <c r="R1418" s="582">
        <f t="shared" si="192"/>
        <v>13226.870972222221</v>
      </c>
      <c r="S1418" s="564">
        <f t="shared" si="193"/>
        <v>0</v>
      </c>
      <c r="T1418" s="592"/>
      <c r="U1418" s="591"/>
      <c r="V1418" s="589"/>
      <c r="W1418" s="592"/>
      <c r="X1418" s="592"/>
      <c r="Y1418" s="592"/>
      <c r="Z1418" s="592"/>
    </row>
    <row r="1419" spans="1:26" s="28" customFormat="1" hidden="1">
      <c r="A1419" s="937">
        <f t="shared" ref="A1419:A1444" si="194">A1418+1</f>
        <v>3</v>
      </c>
      <c r="B1419" s="848" t="s">
        <v>1407</v>
      </c>
      <c r="C1419" s="922" t="s">
        <v>221</v>
      </c>
      <c r="D1419" s="922">
        <v>12422</v>
      </c>
      <c r="E1419" s="938">
        <v>2301</v>
      </c>
      <c r="F1419" s="700" t="s">
        <v>316</v>
      </c>
      <c r="G1419" s="939">
        <v>1148</v>
      </c>
      <c r="H1419" s="928">
        <v>5</v>
      </c>
      <c r="I1419" s="928">
        <v>4</v>
      </c>
      <c r="J1419" s="643">
        <v>77</v>
      </c>
      <c r="K1419" s="930" t="s">
        <v>231</v>
      </c>
      <c r="L1419" s="584">
        <f t="shared" si="191"/>
        <v>1802593.41</v>
      </c>
      <c r="M1419" s="931">
        <v>1767768.41</v>
      </c>
      <c r="N1419" s="932">
        <v>34825</v>
      </c>
      <c r="O1419" s="736"/>
      <c r="P1419" s="586"/>
      <c r="Q1419" s="932"/>
      <c r="R1419" s="582">
        <f t="shared" si="192"/>
        <v>22958.031298701299</v>
      </c>
      <c r="S1419" s="564">
        <f t="shared" si="193"/>
        <v>0</v>
      </c>
      <c r="T1419" s="592"/>
      <c r="U1419" s="591"/>
      <c r="V1419" s="589"/>
      <c r="W1419" s="592"/>
      <c r="X1419" s="592"/>
      <c r="Y1419" s="592"/>
      <c r="Z1419" s="592"/>
    </row>
    <row r="1420" spans="1:26" s="28" customFormat="1" ht="37.5" hidden="1">
      <c r="A1420" s="937">
        <f t="shared" si="194"/>
        <v>4</v>
      </c>
      <c r="B1420" s="848" t="s">
        <v>1408</v>
      </c>
      <c r="C1420" s="922" t="s">
        <v>221</v>
      </c>
      <c r="D1420" s="922">
        <v>13567</v>
      </c>
      <c r="E1420" s="938">
        <v>2590</v>
      </c>
      <c r="F1420" s="700" t="s">
        <v>316</v>
      </c>
      <c r="G1420" s="939">
        <v>965</v>
      </c>
      <c r="H1420" s="928">
        <v>5</v>
      </c>
      <c r="I1420" s="928">
        <v>4</v>
      </c>
      <c r="J1420" s="643">
        <v>70</v>
      </c>
      <c r="K1420" s="930" t="s">
        <v>30</v>
      </c>
      <c r="L1420" s="584">
        <f t="shared" si="191"/>
        <v>1775156.8199999998</v>
      </c>
      <c r="M1420" s="931">
        <v>1769515.17</v>
      </c>
      <c r="N1420" s="932"/>
      <c r="O1420" s="736">
        <v>5641.65</v>
      </c>
      <c r="P1420" s="586"/>
      <c r="Q1420" s="932"/>
      <c r="R1420" s="582">
        <f t="shared" si="192"/>
        <v>25278.788142857142</v>
      </c>
      <c r="S1420" s="564">
        <f t="shared" si="193"/>
        <v>-9.276845958083868E-11</v>
      </c>
      <c r="T1420" s="592"/>
      <c r="U1420" s="591"/>
      <c r="V1420" s="589"/>
      <c r="W1420" s="592"/>
      <c r="X1420" s="592"/>
      <c r="Y1420" s="592"/>
      <c r="Z1420" s="592"/>
    </row>
    <row r="1421" spans="1:26" s="28" customFormat="1" ht="37.5" hidden="1">
      <c r="A1421" s="937">
        <f t="shared" si="194"/>
        <v>5</v>
      </c>
      <c r="B1421" s="848" t="s">
        <v>1409</v>
      </c>
      <c r="C1421" s="922" t="s">
        <v>221</v>
      </c>
      <c r="D1421" s="922">
        <v>14176</v>
      </c>
      <c r="E1421" s="938">
        <v>2290</v>
      </c>
      <c r="F1421" s="700" t="s">
        <v>316</v>
      </c>
      <c r="G1421" s="939">
        <v>966</v>
      </c>
      <c r="H1421" s="928">
        <v>5</v>
      </c>
      <c r="I1421" s="928">
        <v>4</v>
      </c>
      <c r="J1421" s="643">
        <v>70</v>
      </c>
      <c r="K1421" s="930" t="s">
        <v>30</v>
      </c>
      <c r="L1421" s="584">
        <f t="shared" si="191"/>
        <v>1725666.5899999999</v>
      </c>
      <c r="M1421" s="931">
        <v>1720024.94</v>
      </c>
      <c r="N1421" s="932"/>
      <c r="O1421" s="736">
        <v>5641.65</v>
      </c>
      <c r="P1421" s="586"/>
      <c r="Q1421" s="932"/>
      <c r="R1421" s="582">
        <f t="shared" si="192"/>
        <v>24571.784857142855</v>
      </c>
      <c r="S1421" s="564">
        <f t="shared" si="193"/>
        <v>-9.276845958083868E-11</v>
      </c>
      <c r="T1421" s="592"/>
      <c r="U1421" s="586"/>
      <c r="V1421" s="589"/>
      <c r="W1421" s="592"/>
      <c r="X1421" s="592"/>
      <c r="Y1421" s="592"/>
      <c r="Z1421" s="592"/>
    </row>
    <row r="1422" spans="1:26" s="28" customFormat="1" hidden="1">
      <c r="A1422" s="937">
        <f t="shared" si="194"/>
        <v>6</v>
      </c>
      <c r="B1422" s="848" t="s">
        <v>1410</v>
      </c>
      <c r="C1422" s="922" t="s">
        <v>221</v>
      </c>
      <c r="D1422" s="922">
        <v>10362</v>
      </c>
      <c r="E1422" s="938">
        <v>2590</v>
      </c>
      <c r="F1422" s="700" t="s">
        <v>316</v>
      </c>
      <c r="G1422" s="939">
        <v>970</v>
      </c>
      <c r="H1422" s="928">
        <v>5</v>
      </c>
      <c r="I1422" s="928">
        <v>4</v>
      </c>
      <c r="J1422" s="643">
        <v>56</v>
      </c>
      <c r="K1422" s="930" t="s">
        <v>231</v>
      </c>
      <c r="L1422" s="584">
        <f t="shared" si="191"/>
        <v>1849170.57</v>
      </c>
      <c r="M1422" s="931">
        <v>1814345.57</v>
      </c>
      <c r="N1422" s="932">
        <v>34825</v>
      </c>
      <c r="O1422" s="736"/>
      <c r="P1422" s="586"/>
      <c r="Q1422" s="932"/>
      <c r="R1422" s="582">
        <f t="shared" si="192"/>
        <v>32399.028035714287</v>
      </c>
      <c r="S1422" s="564">
        <f t="shared" si="193"/>
        <v>0</v>
      </c>
      <c r="T1422" s="592"/>
      <c r="U1422" s="591"/>
      <c r="V1422" s="589"/>
      <c r="W1422" s="592"/>
      <c r="X1422" s="592"/>
      <c r="Y1422" s="592"/>
      <c r="Z1422" s="592"/>
    </row>
    <row r="1423" spans="1:26" s="28" customFormat="1" ht="37.5" hidden="1">
      <c r="A1423" s="937">
        <f t="shared" si="194"/>
        <v>7</v>
      </c>
      <c r="B1423" s="848" t="s">
        <v>1411</v>
      </c>
      <c r="C1423" s="922" t="s">
        <v>221</v>
      </c>
      <c r="D1423" s="922">
        <v>23349</v>
      </c>
      <c r="E1423" s="938">
        <v>4353</v>
      </c>
      <c r="F1423" s="700" t="s">
        <v>316</v>
      </c>
      <c r="G1423" s="939">
        <v>2210</v>
      </c>
      <c r="H1423" s="928">
        <v>5</v>
      </c>
      <c r="I1423" s="928">
        <v>8</v>
      </c>
      <c r="J1423" s="643">
        <v>127</v>
      </c>
      <c r="K1423" s="930" t="s">
        <v>30</v>
      </c>
      <c r="L1423" s="584">
        <f t="shared" si="191"/>
        <v>3439667.64</v>
      </c>
      <c r="M1423" s="931">
        <v>3428673.89</v>
      </c>
      <c r="N1423" s="932"/>
      <c r="O1423" s="736">
        <v>10993.75</v>
      </c>
      <c r="P1423" s="932"/>
      <c r="Q1423" s="586"/>
      <c r="R1423" s="582">
        <f t="shared" si="192"/>
        <v>26997.43220472441</v>
      </c>
      <c r="S1423" s="564">
        <f t="shared" si="193"/>
        <v>0</v>
      </c>
      <c r="T1423" s="588"/>
      <c r="U1423" s="586"/>
      <c r="V1423" s="589"/>
      <c r="W1423" s="592"/>
      <c r="X1423" s="592"/>
      <c r="Y1423" s="592"/>
      <c r="Z1423" s="592"/>
    </row>
    <row r="1424" spans="1:26" s="28" customFormat="1" ht="37.5" hidden="1">
      <c r="A1424" s="937">
        <f t="shared" si="194"/>
        <v>8</v>
      </c>
      <c r="B1424" s="848" t="s">
        <v>1412</v>
      </c>
      <c r="C1424" s="922" t="s">
        <v>221</v>
      </c>
      <c r="D1424" s="922"/>
      <c r="E1424" s="938"/>
      <c r="F1424" s="700" t="s">
        <v>251</v>
      </c>
      <c r="G1424" s="939"/>
      <c r="H1424" s="928">
        <v>5</v>
      </c>
      <c r="I1424" s="928">
        <v>4</v>
      </c>
      <c r="J1424" s="643">
        <v>60</v>
      </c>
      <c r="K1424" s="930" t="s">
        <v>30</v>
      </c>
      <c r="L1424" s="584">
        <f t="shared" si="191"/>
        <v>1616716.8699999999</v>
      </c>
      <c r="M1424" s="931">
        <v>1611881.17</v>
      </c>
      <c r="N1424" s="932"/>
      <c r="O1424" s="736">
        <v>4835.7</v>
      </c>
      <c r="P1424" s="586"/>
      <c r="Q1424" s="932"/>
      <c r="R1424" s="582">
        <f t="shared" si="192"/>
        <v>26864.686166666666</v>
      </c>
      <c r="S1424" s="564">
        <f t="shared" si="193"/>
        <v>-4.638422979041934E-11</v>
      </c>
      <c r="T1424" s="592"/>
      <c r="U1424" s="591"/>
      <c r="V1424" s="589"/>
      <c r="W1424" s="592"/>
      <c r="X1424" s="592"/>
      <c r="Y1424" s="592"/>
      <c r="Z1424" s="592"/>
    </row>
    <row r="1425" spans="1:26" s="28" customFormat="1" ht="37.5" hidden="1">
      <c r="A1425" s="937">
        <f t="shared" si="194"/>
        <v>9</v>
      </c>
      <c r="B1425" s="848" t="s">
        <v>1413</v>
      </c>
      <c r="C1425" s="922" t="s">
        <v>314</v>
      </c>
      <c r="D1425" s="922">
        <v>10643</v>
      </c>
      <c r="E1425" s="938">
        <v>3098</v>
      </c>
      <c r="F1425" s="700" t="s">
        <v>316</v>
      </c>
      <c r="G1425" s="939">
        <v>1008</v>
      </c>
      <c r="H1425" s="928">
        <v>5</v>
      </c>
      <c r="I1425" s="928">
        <v>4</v>
      </c>
      <c r="J1425" s="643">
        <v>56</v>
      </c>
      <c r="K1425" s="930" t="s">
        <v>30</v>
      </c>
      <c r="L1425" s="584">
        <f t="shared" si="191"/>
        <v>1648240.3800000001</v>
      </c>
      <c r="M1425" s="931">
        <f>1504440+139287.06</f>
        <v>1643727.06</v>
      </c>
      <c r="N1425" s="932"/>
      <c r="O1425" s="736">
        <v>4513.32</v>
      </c>
      <c r="P1425" s="586"/>
      <c r="Q1425" s="932"/>
      <c r="R1425" s="582">
        <f t="shared" si="192"/>
        <v>29352.26892857143</v>
      </c>
      <c r="S1425" s="564">
        <f t="shared" si="193"/>
        <v>6.5483618527650833E-11</v>
      </c>
      <c r="T1425" s="592"/>
      <c r="U1425" s="591"/>
      <c r="V1425" s="589"/>
      <c r="W1425" s="592"/>
      <c r="X1425" s="592"/>
      <c r="Y1425" s="592"/>
      <c r="Z1425" s="592"/>
    </row>
    <row r="1426" spans="1:26" s="28" customFormat="1" ht="37.5" hidden="1">
      <c r="A1426" s="937">
        <f t="shared" si="194"/>
        <v>10</v>
      </c>
      <c r="B1426" s="848" t="s">
        <v>1414</v>
      </c>
      <c r="C1426" s="922" t="s">
        <v>314</v>
      </c>
      <c r="D1426" s="922">
        <v>23445</v>
      </c>
      <c r="E1426" s="938">
        <v>4020</v>
      </c>
      <c r="F1426" s="700" t="s">
        <v>316</v>
      </c>
      <c r="G1426" s="939">
        <v>1683</v>
      </c>
      <c r="H1426" s="928">
        <v>5</v>
      </c>
      <c r="I1426" s="928">
        <v>8</v>
      </c>
      <c r="J1426" s="643">
        <v>120</v>
      </c>
      <c r="K1426" s="930" t="s">
        <v>30</v>
      </c>
      <c r="L1426" s="584">
        <f t="shared" si="191"/>
        <v>3120282.54</v>
      </c>
      <c r="M1426" s="931">
        <v>3110611.14</v>
      </c>
      <c r="N1426" s="932"/>
      <c r="O1426" s="736">
        <v>9671.4</v>
      </c>
      <c r="P1426" s="586"/>
      <c r="Q1426" s="932"/>
      <c r="R1426" s="582">
        <f t="shared" si="192"/>
        <v>25921.7595</v>
      </c>
      <c r="S1426" s="564">
        <f t="shared" si="193"/>
        <v>-9.276845958083868E-11</v>
      </c>
      <c r="T1426" s="592"/>
      <c r="U1426" s="586"/>
      <c r="V1426" s="589"/>
      <c r="W1426" s="592"/>
      <c r="X1426" s="592"/>
      <c r="Y1426" s="592"/>
      <c r="Z1426" s="592"/>
    </row>
    <row r="1427" spans="1:26" s="28" customFormat="1" hidden="1">
      <c r="A1427" s="937">
        <f t="shared" si="194"/>
        <v>11</v>
      </c>
      <c r="B1427" s="848" t="s">
        <v>1415</v>
      </c>
      <c r="C1427" s="922" t="s">
        <v>314</v>
      </c>
      <c r="D1427" s="922">
        <v>23490</v>
      </c>
      <c r="E1427" s="938">
        <v>4039</v>
      </c>
      <c r="F1427" s="700" t="s">
        <v>315</v>
      </c>
      <c r="G1427" s="939">
        <v>1671</v>
      </c>
      <c r="H1427" s="928">
        <v>5</v>
      </c>
      <c r="I1427" s="928">
        <v>8</v>
      </c>
      <c r="J1427" s="643">
        <v>129</v>
      </c>
      <c r="K1427" s="930" t="s">
        <v>33</v>
      </c>
      <c r="L1427" s="584">
        <f t="shared" si="191"/>
        <v>4734919.62</v>
      </c>
      <c r="M1427" s="931">
        <f>4507188.3+187931.32</f>
        <v>4695119.62</v>
      </c>
      <c r="N1427" s="932">
        <v>39800</v>
      </c>
      <c r="O1427" s="736"/>
      <c r="P1427" s="586"/>
      <c r="Q1427" s="932"/>
      <c r="R1427" s="582">
        <f>M1427/G1427</f>
        <v>2809.7663794135251</v>
      </c>
      <c r="S1427" s="564">
        <f t="shared" si="193"/>
        <v>0</v>
      </c>
      <c r="T1427" s="592"/>
      <c r="U1427" s="586"/>
      <c r="V1427" s="589"/>
      <c r="W1427" s="592"/>
      <c r="X1427" s="592"/>
      <c r="Y1427" s="592"/>
      <c r="Z1427" s="592"/>
    </row>
    <row r="1428" spans="1:26" s="28" customFormat="1" hidden="1">
      <c r="A1428" s="937">
        <f t="shared" si="194"/>
        <v>12</v>
      </c>
      <c r="B1428" s="848" t="s">
        <v>1416</v>
      </c>
      <c r="C1428" s="922" t="s">
        <v>314</v>
      </c>
      <c r="D1428" s="922">
        <v>33211</v>
      </c>
      <c r="E1428" s="938">
        <v>5066</v>
      </c>
      <c r="F1428" s="700" t="s">
        <v>317</v>
      </c>
      <c r="G1428" s="939">
        <v>2447</v>
      </c>
      <c r="H1428" s="928">
        <v>5</v>
      </c>
      <c r="I1428" s="928">
        <v>12</v>
      </c>
      <c r="J1428" s="643">
        <v>154</v>
      </c>
      <c r="K1428" s="930" t="s">
        <v>33</v>
      </c>
      <c r="L1428" s="584">
        <f t="shared" si="191"/>
        <v>4974701.0199999996</v>
      </c>
      <c r="M1428" s="931">
        <v>4958631.7699999996</v>
      </c>
      <c r="N1428" s="932"/>
      <c r="O1428" s="736">
        <v>16069.25</v>
      </c>
      <c r="P1428" s="586"/>
      <c r="Q1428" s="932"/>
      <c r="R1428" s="582">
        <f>M1428/G1428</f>
        <v>2026.4126563138534</v>
      </c>
      <c r="S1428" s="564">
        <f t="shared" si="193"/>
        <v>0</v>
      </c>
      <c r="T1428" s="592"/>
      <c r="U1428" s="591"/>
      <c r="V1428" s="589"/>
      <c r="W1428" s="592"/>
      <c r="X1428" s="592"/>
      <c r="Y1428" s="592"/>
      <c r="Z1428" s="592"/>
    </row>
    <row r="1429" spans="1:26" s="28" customFormat="1" ht="37.5" hidden="1">
      <c r="A1429" s="937">
        <f t="shared" si="194"/>
        <v>13</v>
      </c>
      <c r="B1429" s="848" t="s">
        <v>1417</v>
      </c>
      <c r="C1429" s="922" t="s">
        <v>221</v>
      </c>
      <c r="D1429" s="922">
        <v>39004</v>
      </c>
      <c r="E1429" s="938">
        <v>6264</v>
      </c>
      <c r="F1429" s="700" t="s">
        <v>317</v>
      </c>
      <c r="G1429" s="939">
        <v>2839</v>
      </c>
      <c r="H1429" s="928">
        <v>5</v>
      </c>
      <c r="I1429" s="928">
        <v>10</v>
      </c>
      <c r="J1429" s="643">
        <v>187</v>
      </c>
      <c r="K1429" s="930" t="s">
        <v>30</v>
      </c>
      <c r="L1429" s="584">
        <f t="shared" si="191"/>
        <v>6396052.4600000009</v>
      </c>
      <c r="M1429" s="931">
        <v>6376515.6400000006</v>
      </c>
      <c r="N1429" s="932"/>
      <c r="O1429" s="736">
        <v>19536.82</v>
      </c>
      <c r="P1429" s="586"/>
      <c r="Q1429" s="932"/>
      <c r="R1429" s="582">
        <f>M1429/J1429</f>
        <v>34099.014117647064</v>
      </c>
      <c r="S1429" s="564">
        <f t="shared" si="193"/>
        <v>2.9831426218152046E-10</v>
      </c>
      <c r="T1429" s="592"/>
      <c r="U1429" s="591"/>
      <c r="V1429" s="589"/>
      <c r="W1429" s="592"/>
      <c r="X1429" s="592"/>
      <c r="Y1429" s="592"/>
      <c r="Z1429" s="592"/>
    </row>
    <row r="1430" spans="1:26" s="28" customFormat="1" ht="37.5" hidden="1">
      <c r="A1430" s="937">
        <f t="shared" si="194"/>
        <v>14</v>
      </c>
      <c r="B1430" s="848" t="s">
        <v>1418</v>
      </c>
      <c r="C1430" s="922" t="s">
        <v>314</v>
      </c>
      <c r="D1430" s="922">
        <v>12858</v>
      </c>
      <c r="E1430" s="938">
        <v>2364</v>
      </c>
      <c r="F1430" s="700" t="s">
        <v>222</v>
      </c>
      <c r="G1430" s="939">
        <v>1211</v>
      </c>
      <c r="H1430" s="928">
        <v>5</v>
      </c>
      <c r="I1430" s="928">
        <v>4</v>
      </c>
      <c r="J1430" s="643">
        <v>70</v>
      </c>
      <c r="K1430" s="930" t="s">
        <v>30</v>
      </c>
      <c r="L1430" s="584">
        <f t="shared" si="191"/>
        <v>1871350.5799999998</v>
      </c>
      <c r="M1430" s="931">
        <v>1865708.93</v>
      </c>
      <c r="N1430" s="932"/>
      <c r="O1430" s="736">
        <v>5641.65</v>
      </c>
      <c r="P1430" s="586"/>
      <c r="Q1430" s="932"/>
      <c r="R1430" s="582">
        <f>M1430/J1430</f>
        <v>26652.984714285714</v>
      </c>
      <c r="S1430" s="564">
        <f t="shared" si="193"/>
        <v>-9.276845958083868E-11</v>
      </c>
      <c r="T1430" s="592"/>
      <c r="U1430" s="586"/>
      <c r="V1430" s="589"/>
      <c r="W1430" s="592"/>
      <c r="X1430" s="592"/>
      <c r="Y1430" s="592"/>
      <c r="Z1430" s="592"/>
    </row>
    <row r="1431" spans="1:26" s="28" customFormat="1" ht="37.5" hidden="1">
      <c r="A1431" s="937">
        <f t="shared" si="194"/>
        <v>15</v>
      </c>
      <c r="B1431" s="848" t="s">
        <v>1419</v>
      </c>
      <c r="C1431" s="922" t="s">
        <v>221</v>
      </c>
      <c r="D1431" s="922"/>
      <c r="E1431" s="938"/>
      <c r="F1431" s="700" t="s">
        <v>251</v>
      </c>
      <c r="G1431" s="939"/>
      <c r="H1431" s="928">
        <v>4</v>
      </c>
      <c r="I1431" s="928">
        <v>3</v>
      </c>
      <c r="J1431" s="643">
        <v>53</v>
      </c>
      <c r="K1431" s="930" t="s">
        <v>30</v>
      </c>
      <c r="L1431" s="584">
        <f t="shared" si="191"/>
        <v>1326895.49</v>
      </c>
      <c r="M1431" s="931">
        <v>1322623.96</v>
      </c>
      <c r="N1431" s="932"/>
      <c r="O1431" s="736">
        <v>4271.53</v>
      </c>
      <c r="P1431" s="586"/>
      <c r="Q1431" s="932"/>
      <c r="R1431" s="582">
        <f>M1431/J1431</f>
        <v>24955.169056603772</v>
      </c>
      <c r="S1431" s="564">
        <f t="shared" si="193"/>
        <v>2.8194335754960775E-11</v>
      </c>
      <c r="T1431" s="592"/>
      <c r="U1431" s="586"/>
      <c r="V1431" s="589"/>
      <c r="W1431" s="592"/>
      <c r="X1431" s="592"/>
      <c r="Y1431" s="592"/>
      <c r="Z1431" s="592"/>
    </row>
    <row r="1432" spans="1:26" s="28" customFormat="1" hidden="1">
      <c r="A1432" s="937">
        <f t="shared" si="194"/>
        <v>16</v>
      </c>
      <c r="B1432" s="848" t="s">
        <v>1420</v>
      </c>
      <c r="C1432" s="922" t="s">
        <v>221</v>
      </c>
      <c r="D1432" s="922">
        <v>11927</v>
      </c>
      <c r="E1432" s="938">
        <v>2193</v>
      </c>
      <c r="F1432" s="700" t="s">
        <v>317</v>
      </c>
      <c r="G1432" s="939">
        <v>849</v>
      </c>
      <c r="H1432" s="928">
        <v>5</v>
      </c>
      <c r="I1432" s="928">
        <v>4</v>
      </c>
      <c r="J1432" s="643">
        <v>60</v>
      </c>
      <c r="K1432" s="930" t="s">
        <v>33</v>
      </c>
      <c r="L1432" s="584">
        <f t="shared" si="191"/>
        <v>1693050.02</v>
      </c>
      <c r="M1432" s="931">
        <v>1687475.03</v>
      </c>
      <c r="N1432" s="932"/>
      <c r="O1432" s="736">
        <v>5574.99</v>
      </c>
      <c r="P1432" s="586"/>
      <c r="Q1432" s="932"/>
      <c r="R1432" s="582">
        <f>M1432/G1432</f>
        <v>1987.603097762073</v>
      </c>
      <c r="S1432" s="564">
        <f t="shared" si="193"/>
        <v>-9.0949470177292824E-12</v>
      </c>
      <c r="T1432" s="592"/>
      <c r="U1432" s="591"/>
      <c r="V1432" s="589"/>
      <c r="W1432" s="592"/>
      <c r="X1432" s="592"/>
      <c r="Y1432" s="592"/>
      <c r="Z1432" s="592"/>
    </row>
    <row r="1433" spans="1:26" s="28" customFormat="1" ht="37.5" hidden="1">
      <c r="A1433" s="937">
        <f t="shared" si="194"/>
        <v>17</v>
      </c>
      <c r="B1433" s="848" t="s">
        <v>1421</v>
      </c>
      <c r="C1433" s="922" t="s">
        <v>314</v>
      </c>
      <c r="D1433" s="922">
        <v>9939</v>
      </c>
      <c r="E1433" s="938">
        <v>1893</v>
      </c>
      <c r="F1433" s="700" t="s">
        <v>222</v>
      </c>
      <c r="G1433" s="939">
        <v>923</v>
      </c>
      <c r="H1433" s="928">
        <v>5</v>
      </c>
      <c r="I1433" s="928">
        <v>4</v>
      </c>
      <c r="J1433" s="643">
        <v>51</v>
      </c>
      <c r="K1433" s="930" t="s">
        <v>30</v>
      </c>
      <c r="L1433" s="584">
        <f t="shared" si="191"/>
        <v>1380805.59</v>
      </c>
      <c r="M1433" s="931">
        <v>1376695.24</v>
      </c>
      <c r="N1433" s="932"/>
      <c r="O1433" s="736">
        <v>4110.3500000000004</v>
      </c>
      <c r="P1433" s="586"/>
      <c r="Q1433" s="932"/>
      <c r="R1433" s="582">
        <f>M1433/J1433</f>
        <v>26994.024313725491</v>
      </c>
      <c r="S1433" s="564">
        <f t="shared" si="193"/>
        <v>9.276845958083868E-11</v>
      </c>
      <c r="T1433" s="592"/>
      <c r="U1433" s="586"/>
      <c r="V1433" s="589"/>
      <c r="W1433" s="592"/>
      <c r="X1433" s="592"/>
      <c r="Y1433" s="592"/>
      <c r="Z1433" s="592"/>
    </row>
    <row r="1434" spans="1:26" s="28" customFormat="1" hidden="1">
      <c r="A1434" s="937">
        <f t="shared" si="194"/>
        <v>18</v>
      </c>
      <c r="B1434" s="848" t="s">
        <v>1422</v>
      </c>
      <c r="C1434" s="922" t="s">
        <v>221</v>
      </c>
      <c r="D1434" s="922">
        <v>13957</v>
      </c>
      <c r="E1434" s="938">
        <v>2636</v>
      </c>
      <c r="F1434" s="700" t="s">
        <v>315</v>
      </c>
      <c r="G1434" s="939">
        <v>1136</v>
      </c>
      <c r="H1434" s="928">
        <v>5</v>
      </c>
      <c r="I1434" s="928">
        <v>4</v>
      </c>
      <c r="J1434" s="643">
        <v>72</v>
      </c>
      <c r="K1434" s="930" t="s">
        <v>224</v>
      </c>
      <c r="L1434" s="584">
        <f t="shared" si="191"/>
        <v>1022416.81</v>
      </c>
      <c r="M1434" s="931">
        <v>992566.81</v>
      </c>
      <c r="N1434" s="932">
        <v>29850</v>
      </c>
      <c r="O1434" s="736"/>
      <c r="P1434" s="586"/>
      <c r="Q1434" s="932"/>
      <c r="R1434" s="582">
        <f>M1434/J1434</f>
        <v>13785.65013888889</v>
      </c>
      <c r="S1434" s="564">
        <f t="shared" si="193"/>
        <v>0</v>
      </c>
      <c r="T1434" s="592"/>
      <c r="U1434" s="591"/>
      <c r="V1434" s="589"/>
      <c r="W1434" s="592"/>
      <c r="X1434" s="592"/>
      <c r="Y1434" s="592"/>
      <c r="Z1434" s="592"/>
    </row>
    <row r="1435" spans="1:26" s="28" customFormat="1" hidden="1">
      <c r="A1435" s="937">
        <f t="shared" si="194"/>
        <v>19</v>
      </c>
      <c r="B1435" s="848" t="s">
        <v>1423</v>
      </c>
      <c r="C1435" s="922" t="s">
        <v>314</v>
      </c>
      <c r="D1435" s="922"/>
      <c r="E1435" s="938"/>
      <c r="F1435" s="700" t="s">
        <v>251</v>
      </c>
      <c r="G1435" s="939"/>
      <c r="H1435" s="928">
        <v>4</v>
      </c>
      <c r="I1435" s="928">
        <v>4</v>
      </c>
      <c r="J1435" s="643">
        <v>62</v>
      </c>
      <c r="K1435" s="930" t="s">
        <v>224</v>
      </c>
      <c r="L1435" s="584">
        <f t="shared" si="191"/>
        <v>963033.6100000001</v>
      </c>
      <c r="M1435" s="931">
        <v>933183.6100000001</v>
      </c>
      <c r="N1435" s="932">
        <v>29850</v>
      </c>
      <c r="O1435" s="736"/>
      <c r="P1435" s="586"/>
      <c r="Q1435" s="932"/>
      <c r="R1435" s="582">
        <f>M1435/J1435</f>
        <v>15051.348548387099</v>
      </c>
      <c r="S1435" s="564">
        <f t="shared" si="193"/>
        <v>0</v>
      </c>
      <c r="T1435" s="592"/>
      <c r="U1435" s="591"/>
      <c r="V1435" s="589"/>
      <c r="W1435" s="592"/>
      <c r="X1435" s="592"/>
      <c r="Y1435" s="592"/>
      <c r="Z1435" s="592"/>
    </row>
    <row r="1436" spans="1:26" s="28" customFormat="1" hidden="1">
      <c r="A1436" s="937">
        <f t="shared" si="194"/>
        <v>20</v>
      </c>
      <c r="B1436" s="848" t="s">
        <v>1424</v>
      </c>
      <c r="C1436" s="922" t="s">
        <v>221</v>
      </c>
      <c r="D1436" s="922">
        <v>19969</v>
      </c>
      <c r="E1436" s="938">
        <v>2250</v>
      </c>
      <c r="F1436" s="700" t="s">
        <v>317</v>
      </c>
      <c r="G1436" s="939">
        <v>1016</v>
      </c>
      <c r="H1436" s="928">
        <v>5</v>
      </c>
      <c r="I1436" s="928">
        <v>4</v>
      </c>
      <c r="J1436" s="643">
        <v>40</v>
      </c>
      <c r="K1436" s="930" t="s">
        <v>33</v>
      </c>
      <c r="L1436" s="584">
        <f t="shared" si="191"/>
        <v>1593518.71</v>
      </c>
      <c r="M1436" s="931">
        <v>1586846.24</v>
      </c>
      <c r="N1436" s="932"/>
      <c r="O1436" s="736">
        <v>6672.47</v>
      </c>
      <c r="P1436" s="586"/>
      <c r="Q1436" s="932"/>
      <c r="R1436" s="582">
        <f>M1436/G1436</f>
        <v>1561.8565354330708</v>
      </c>
      <c r="S1436" s="564">
        <f t="shared" si="193"/>
        <v>-2.8194335754960775E-11</v>
      </c>
      <c r="T1436" s="592"/>
      <c r="U1436" s="591"/>
      <c r="V1436" s="589"/>
      <c r="W1436" s="592"/>
      <c r="X1436" s="592"/>
      <c r="Y1436" s="592"/>
      <c r="Z1436" s="592"/>
    </row>
    <row r="1437" spans="1:26" s="28" customFormat="1" ht="37.5" hidden="1">
      <c r="A1437" s="937">
        <f t="shared" si="194"/>
        <v>21</v>
      </c>
      <c r="B1437" s="848" t="s">
        <v>1425</v>
      </c>
      <c r="C1437" s="922" t="s">
        <v>314</v>
      </c>
      <c r="D1437" s="922">
        <v>4732</v>
      </c>
      <c r="E1437" s="938">
        <v>994</v>
      </c>
      <c r="F1437" s="700" t="s">
        <v>222</v>
      </c>
      <c r="G1437" s="939">
        <v>549</v>
      </c>
      <c r="H1437" s="928">
        <v>4</v>
      </c>
      <c r="I1437" s="928">
        <v>2</v>
      </c>
      <c r="J1437" s="643">
        <v>23</v>
      </c>
      <c r="K1437" s="930" t="s">
        <v>30</v>
      </c>
      <c r="L1437" s="584">
        <f t="shared" si="191"/>
        <v>587613.31999999995</v>
      </c>
      <c r="M1437" s="931">
        <f>380982.11+204777.52</f>
        <v>585759.63</v>
      </c>
      <c r="N1437" s="932"/>
      <c r="O1437" s="736">
        <v>1853.69</v>
      </c>
      <c r="P1437" s="586"/>
      <c r="Q1437" s="932"/>
      <c r="R1437" s="582">
        <f>M1437/J1437</f>
        <v>25467.81</v>
      </c>
      <c r="S1437" s="564">
        <f t="shared" si="193"/>
        <v>-5.5933924159035087E-11</v>
      </c>
      <c r="T1437" s="592"/>
      <c r="U1437" s="586"/>
      <c r="V1437" s="589"/>
      <c r="W1437" s="592"/>
      <c r="X1437" s="592"/>
      <c r="Y1437" s="592"/>
      <c r="Z1437" s="592"/>
    </row>
    <row r="1438" spans="1:26" s="28" customFormat="1" hidden="1">
      <c r="A1438" s="937">
        <f t="shared" si="194"/>
        <v>22</v>
      </c>
      <c r="B1438" s="848" t="s">
        <v>1426</v>
      </c>
      <c r="C1438" s="922" t="s">
        <v>314</v>
      </c>
      <c r="D1438" s="922">
        <v>6978</v>
      </c>
      <c r="E1438" s="938">
        <v>1126</v>
      </c>
      <c r="F1438" s="700" t="s">
        <v>317</v>
      </c>
      <c r="G1438" s="939">
        <v>397</v>
      </c>
      <c r="H1438" s="928">
        <v>5</v>
      </c>
      <c r="I1438" s="928">
        <v>2</v>
      </c>
      <c r="J1438" s="643">
        <v>20</v>
      </c>
      <c r="K1438" s="930" t="s">
        <v>33</v>
      </c>
      <c r="L1438" s="584">
        <f t="shared" si="191"/>
        <v>871639.9</v>
      </c>
      <c r="M1438" s="931">
        <v>869033</v>
      </c>
      <c r="N1438" s="932"/>
      <c r="O1438" s="736">
        <v>2606.9</v>
      </c>
      <c r="P1438" s="586"/>
      <c r="Q1438" s="932"/>
      <c r="R1438" s="582">
        <f>M1438/G1438</f>
        <v>2189</v>
      </c>
      <c r="S1438" s="564">
        <f t="shared" si="193"/>
        <v>2.319211489520967E-11</v>
      </c>
      <c r="T1438" s="592"/>
      <c r="U1438" s="591"/>
      <c r="V1438" s="589"/>
      <c r="W1438" s="592"/>
      <c r="X1438" s="592"/>
      <c r="Y1438" s="592"/>
      <c r="Z1438" s="592"/>
    </row>
    <row r="1439" spans="1:26" s="28" customFormat="1" hidden="1">
      <c r="A1439" s="937">
        <f t="shared" si="194"/>
        <v>23</v>
      </c>
      <c r="B1439" s="589" t="s">
        <v>1427</v>
      </c>
      <c r="C1439" s="922" t="s">
        <v>221</v>
      </c>
      <c r="D1439" s="922">
        <v>4626</v>
      </c>
      <c r="E1439" s="938">
        <v>925.6</v>
      </c>
      <c r="F1439" s="700" t="s">
        <v>251</v>
      </c>
      <c r="G1439" s="939" t="s">
        <v>4322</v>
      </c>
      <c r="H1439" s="928">
        <v>3</v>
      </c>
      <c r="I1439" s="928">
        <v>1</v>
      </c>
      <c r="J1439" s="643">
        <v>50</v>
      </c>
      <c r="K1439" s="930" t="s">
        <v>33</v>
      </c>
      <c r="L1439" s="584">
        <f t="shared" si="191"/>
        <v>1753445.01</v>
      </c>
      <c r="M1439" s="931">
        <v>1723595.01</v>
      </c>
      <c r="N1439" s="932">
        <v>29850</v>
      </c>
      <c r="O1439" s="736"/>
      <c r="P1439" s="586"/>
      <c r="Q1439" s="932"/>
      <c r="R1439" s="699" t="s">
        <v>4323</v>
      </c>
      <c r="S1439" s="564">
        <f t="shared" si="193"/>
        <v>0</v>
      </c>
      <c r="T1439" s="592"/>
      <c r="U1439" s="586"/>
      <c r="V1439" s="589"/>
      <c r="W1439" s="592"/>
      <c r="X1439" s="592"/>
      <c r="Y1439" s="592"/>
      <c r="Z1439" s="592"/>
    </row>
    <row r="1440" spans="1:26" s="28" customFormat="1" hidden="1">
      <c r="A1440" s="937">
        <f t="shared" si="194"/>
        <v>24</v>
      </c>
      <c r="B1440" s="848" t="s">
        <v>1428</v>
      </c>
      <c r="C1440" s="922" t="s">
        <v>221</v>
      </c>
      <c r="D1440" s="922">
        <v>17383</v>
      </c>
      <c r="E1440" s="938">
        <v>3072</v>
      </c>
      <c r="F1440" s="700" t="s">
        <v>315</v>
      </c>
      <c r="G1440" s="939">
        <v>1626</v>
      </c>
      <c r="H1440" s="928">
        <v>5</v>
      </c>
      <c r="I1440" s="928">
        <v>6</v>
      </c>
      <c r="J1440" s="643">
        <v>100</v>
      </c>
      <c r="K1440" s="930" t="s">
        <v>33</v>
      </c>
      <c r="L1440" s="584">
        <f t="shared" si="191"/>
        <v>4366595.04</v>
      </c>
      <c r="M1440" s="931">
        <v>4336745.04</v>
      </c>
      <c r="N1440" s="932">
        <v>29850</v>
      </c>
      <c r="O1440" s="736"/>
      <c r="P1440" s="586"/>
      <c r="Q1440" s="932"/>
      <c r="R1440" s="582">
        <f>M1440/G1440</f>
        <v>2667.1248708487087</v>
      </c>
      <c r="S1440" s="564">
        <f t="shared" si="193"/>
        <v>0</v>
      </c>
      <c r="T1440" s="592"/>
      <c r="U1440" s="586"/>
      <c r="V1440" s="589"/>
      <c r="W1440" s="592"/>
      <c r="X1440" s="592"/>
      <c r="Y1440" s="592"/>
      <c r="Z1440" s="592"/>
    </row>
    <row r="1441" spans="1:26" s="28" customFormat="1" ht="37.5" hidden="1">
      <c r="A1441" s="937">
        <f t="shared" si="194"/>
        <v>25</v>
      </c>
      <c r="B1441" s="848" t="s">
        <v>1429</v>
      </c>
      <c r="C1441" s="922" t="s">
        <v>221</v>
      </c>
      <c r="D1441" s="922"/>
      <c r="E1441" s="938"/>
      <c r="F1441" s="700" t="s">
        <v>251</v>
      </c>
      <c r="G1441" s="939"/>
      <c r="H1441" s="928">
        <v>4</v>
      </c>
      <c r="I1441" s="928">
        <v>2</v>
      </c>
      <c r="J1441" s="643">
        <v>32</v>
      </c>
      <c r="K1441" s="930" t="s">
        <v>30</v>
      </c>
      <c r="L1441" s="584">
        <f t="shared" si="191"/>
        <v>810385.71</v>
      </c>
      <c r="M1441" s="931">
        <v>807520.11</v>
      </c>
      <c r="N1441" s="932"/>
      <c r="O1441" s="736">
        <v>2865.6</v>
      </c>
      <c r="P1441" s="586"/>
      <c r="Q1441" s="932"/>
      <c r="R1441" s="582">
        <f>M1441/J1441</f>
        <v>25235.0034375</v>
      </c>
      <c r="S1441" s="564">
        <f t="shared" si="193"/>
        <v>-2.319211489520967E-11</v>
      </c>
      <c r="T1441" s="592"/>
      <c r="U1441" s="591"/>
      <c r="V1441" s="589"/>
      <c r="W1441" s="592"/>
      <c r="X1441" s="592"/>
      <c r="Y1441" s="592"/>
      <c r="Z1441" s="592"/>
    </row>
    <row r="1442" spans="1:26" s="28" customFormat="1" hidden="1">
      <c r="A1442" s="937">
        <f t="shared" si="194"/>
        <v>26</v>
      </c>
      <c r="B1442" s="848" t="s">
        <v>1430</v>
      </c>
      <c r="C1442" s="922" t="s">
        <v>314</v>
      </c>
      <c r="D1442" s="922"/>
      <c r="E1442" s="938"/>
      <c r="F1442" s="700" t="s">
        <v>251</v>
      </c>
      <c r="G1442" s="939"/>
      <c r="H1442" s="928">
        <v>3</v>
      </c>
      <c r="I1442" s="928">
        <v>2</v>
      </c>
      <c r="J1442" s="643">
        <v>24</v>
      </c>
      <c r="K1442" s="930" t="s">
        <v>224</v>
      </c>
      <c r="L1442" s="584">
        <f t="shared" si="191"/>
        <v>374472.85</v>
      </c>
      <c r="M1442" s="931">
        <v>344622.85</v>
      </c>
      <c r="N1442" s="932">
        <v>29850</v>
      </c>
      <c r="O1442" s="736"/>
      <c r="P1442" s="586"/>
      <c r="Q1442" s="932"/>
      <c r="R1442" s="582">
        <f>M1442/J1442</f>
        <v>14359.285416666666</v>
      </c>
      <c r="S1442" s="564">
        <f t="shared" si="193"/>
        <v>0</v>
      </c>
      <c r="T1442" s="592"/>
      <c r="U1442" s="591"/>
      <c r="V1442" s="589"/>
      <c r="W1442" s="592"/>
      <c r="X1442" s="592"/>
      <c r="Y1442" s="592"/>
      <c r="Z1442" s="592"/>
    </row>
    <row r="1443" spans="1:26" s="28" customFormat="1" hidden="1">
      <c r="A1443" s="937">
        <f t="shared" si="194"/>
        <v>27</v>
      </c>
      <c r="B1443" s="848" t="s">
        <v>1431</v>
      </c>
      <c r="C1443" s="922" t="s">
        <v>221</v>
      </c>
      <c r="D1443" s="922">
        <v>7850</v>
      </c>
      <c r="E1443" s="938">
        <v>1216</v>
      </c>
      <c r="F1443" s="700" t="s">
        <v>317</v>
      </c>
      <c r="G1443" s="939">
        <v>524</v>
      </c>
      <c r="H1443" s="928">
        <v>5</v>
      </c>
      <c r="I1443" s="928">
        <v>2</v>
      </c>
      <c r="J1443" s="643">
        <v>30</v>
      </c>
      <c r="K1443" s="930" t="s">
        <v>33</v>
      </c>
      <c r="L1443" s="584">
        <f t="shared" si="191"/>
        <v>980830.99</v>
      </c>
      <c r="M1443" s="931">
        <v>950830.99</v>
      </c>
      <c r="N1443" s="932">
        <v>30000</v>
      </c>
      <c r="O1443" s="736"/>
      <c r="P1443" s="586"/>
      <c r="Q1443" s="932"/>
      <c r="R1443" s="582">
        <f>M1443/G1443</f>
        <v>1814.5629580152672</v>
      </c>
      <c r="S1443" s="564">
        <f t="shared" si="193"/>
        <v>0</v>
      </c>
      <c r="T1443" s="592"/>
      <c r="U1443" s="591"/>
      <c r="V1443" s="589"/>
      <c r="W1443" s="592"/>
      <c r="X1443" s="592"/>
      <c r="Y1443" s="592"/>
      <c r="Z1443" s="592"/>
    </row>
    <row r="1444" spans="1:26" s="28" customFormat="1" hidden="1">
      <c r="A1444" s="937">
        <f t="shared" si="194"/>
        <v>28</v>
      </c>
      <c r="B1444" s="848" t="s">
        <v>1432</v>
      </c>
      <c r="C1444" s="922" t="s">
        <v>314</v>
      </c>
      <c r="D1444" s="922">
        <v>13723</v>
      </c>
      <c r="E1444" s="938">
        <v>2173</v>
      </c>
      <c r="F1444" s="700" t="s">
        <v>317</v>
      </c>
      <c r="G1444" s="939">
        <v>794</v>
      </c>
      <c r="H1444" s="928">
        <v>5</v>
      </c>
      <c r="I1444" s="928">
        <v>4</v>
      </c>
      <c r="J1444" s="643">
        <v>60</v>
      </c>
      <c r="K1444" s="930" t="s">
        <v>33</v>
      </c>
      <c r="L1444" s="584">
        <f t="shared" si="191"/>
        <v>1584637</v>
      </c>
      <c r="M1444" s="931">
        <v>1579423.2</v>
      </c>
      <c r="N1444" s="932"/>
      <c r="O1444" s="736">
        <v>5213.8</v>
      </c>
      <c r="P1444" s="586"/>
      <c r="Q1444" s="932"/>
      <c r="R1444" s="582">
        <f>M1444/G1444</f>
        <v>1989.1979848866499</v>
      </c>
      <c r="S1444" s="564">
        <f t="shared" si="193"/>
        <v>4.638422979041934E-11</v>
      </c>
      <c r="T1444" s="592"/>
      <c r="U1444" s="586"/>
      <c r="V1444" s="589"/>
      <c r="W1444" s="592"/>
      <c r="X1444" s="592"/>
      <c r="Y1444" s="592"/>
      <c r="Z1444" s="592"/>
    </row>
    <row r="1445" spans="1:26" s="28" customFormat="1" hidden="1">
      <c r="A1445" s="937">
        <v>29</v>
      </c>
      <c r="B1445" s="848" t="s">
        <v>1433</v>
      </c>
      <c r="C1445" s="922" t="s">
        <v>221</v>
      </c>
      <c r="D1445" s="922">
        <v>3452</v>
      </c>
      <c r="E1445" s="938"/>
      <c r="F1445" s="700" t="s">
        <v>315</v>
      </c>
      <c r="G1445" s="939">
        <v>701</v>
      </c>
      <c r="H1445" s="928">
        <v>2</v>
      </c>
      <c r="I1445" s="928">
        <v>3</v>
      </c>
      <c r="J1445" s="643">
        <v>24</v>
      </c>
      <c r="K1445" s="930" t="s">
        <v>33</v>
      </c>
      <c r="L1445" s="584">
        <f t="shared" si="191"/>
        <v>2098828.7599999998</v>
      </c>
      <c r="M1445" s="931">
        <f>1890807.3+178171.46</f>
        <v>2068978.76</v>
      </c>
      <c r="N1445" s="932">
        <v>29850</v>
      </c>
      <c r="O1445" s="736"/>
      <c r="P1445" s="586"/>
      <c r="Q1445" s="932"/>
      <c r="R1445" s="582">
        <f>M1445/G1445</f>
        <v>2951.4675606276746</v>
      </c>
      <c r="S1445" s="564">
        <f t="shared" si="193"/>
        <v>-2.3283064365386963E-10</v>
      </c>
      <c r="T1445" s="592"/>
      <c r="U1445" s="591"/>
      <c r="V1445" s="589"/>
      <c r="W1445" s="592"/>
      <c r="X1445" s="592"/>
      <c r="Y1445" s="592"/>
      <c r="Z1445" s="592"/>
    </row>
    <row r="1446" spans="1:26" s="28" customFormat="1" hidden="1">
      <c r="A1446" s="1349" t="s">
        <v>201</v>
      </c>
      <c r="B1446" s="1349"/>
      <c r="C1446" s="586" t="s">
        <v>28</v>
      </c>
      <c r="D1446" s="586">
        <f>SUM(D1417:D1445)</f>
        <v>359305</v>
      </c>
      <c r="E1446" s="586">
        <f>SUM(E1417:E1445)</f>
        <v>62173.5</v>
      </c>
      <c r="F1446" s="586" t="s">
        <v>28</v>
      </c>
      <c r="G1446" s="586">
        <f>SUM(G1417:G1445)</f>
        <v>27791.03</v>
      </c>
      <c r="H1446" s="586" t="s">
        <v>28</v>
      </c>
      <c r="I1446" s="586" t="s">
        <v>28</v>
      </c>
      <c r="J1446" s="582">
        <f>SUM(J1417:J1445)</f>
        <v>2113</v>
      </c>
      <c r="K1446" s="590" t="s">
        <v>28</v>
      </c>
      <c r="L1446" s="584">
        <f t="shared" ref="L1446:Q1446" si="195">SUM(L1417:L1445)</f>
        <v>60323770.020000003</v>
      </c>
      <c r="M1446" s="585">
        <f t="shared" si="195"/>
        <v>59829805.500000015</v>
      </c>
      <c r="N1446" s="586">
        <f t="shared" si="195"/>
        <v>378250</v>
      </c>
      <c r="O1446" s="587">
        <f t="shared" si="195"/>
        <v>115714.52000000002</v>
      </c>
      <c r="P1446" s="586">
        <f t="shared" si="195"/>
        <v>0</v>
      </c>
      <c r="Q1446" s="586">
        <f t="shared" si="195"/>
        <v>0</v>
      </c>
      <c r="R1446" s="582" t="s">
        <v>28</v>
      </c>
      <c r="S1446" s="564">
        <f t="shared" si="193"/>
        <v>-1.1641532182693481E-8</v>
      </c>
      <c r="T1446" s="577" t="e">
        <f>'1.перечень МКД'!#REF!</f>
        <v>#REF!</v>
      </c>
      <c r="U1446" s="589" t="e">
        <f>L1446-T1446</f>
        <v>#REF!</v>
      </c>
      <c r="V1446" s="589"/>
      <c r="W1446" s="592"/>
      <c r="X1446" s="592"/>
      <c r="Y1446" s="592"/>
      <c r="Z1446" s="592"/>
    </row>
    <row r="1447" spans="1:26" s="28" customFormat="1" hidden="1">
      <c r="A1447" s="1352" t="s">
        <v>202</v>
      </c>
      <c r="B1447" s="1352"/>
      <c r="C1447" s="1352"/>
      <c r="D1447" s="1352"/>
      <c r="E1447" s="1352"/>
      <c r="F1447" s="1352"/>
      <c r="G1447" s="1352"/>
      <c r="H1447" s="1352"/>
      <c r="I1447" s="1352"/>
      <c r="J1447" s="1352"/>
      <c r="K1447" s="1352"/>
      <c r="L1447" s="1352"/>
      <c r="M1447" s="1352"/>
      <c r="N1447" s="1352"/>
      <c r="O1447" s="1352"/>
      <c r="P1447" s="1352"/>
      <c r="Q1447" s="1352"/>
      <c r="R1447" s="1352"/>
      <c r="S1447" s="592"/>
      <c r="T1447" s="592"/>
      <c r="U1447" s="591"/>
      <c r="V1447" s="589"/>
      <c r="W1447" s="592"/>
      <c r="X1447" s="592"/>
      <c r="Y1447" s="592"/>
      <c r="Z1447" s="592"/>
    </row>
    <row r="1448" spans="1:26" s="28" customFormat="1" hidden="1">
      <c r="A1448" s="937">
        <v>1</v>
      </c>
      <c r="B1448" s="848" t="s">
        <v>1434</v>
      </c>
      <c r="C1448" s="922" t="s">
        <v>318</v>
      </c>
      <c r="D1448" s="922">
        <v>4137</v>
      </c>
      <c r="E1448" s="938">
        <v>624.29999999999995</v>
      </c>
      <c r="F1448" s="700" t="s">
        <v>222</v>
      </c>
      <c r="G1448" s="939"/>
      <c r="H1448" s="928">
        <v>2</v>
      </c>
      <c r="I1448" s="928">
        <v>3</v>
      </c>
      <c r="J1448" s="643">
        <v>18</v>
      </c>
      <c r="K1448" s="930" t="s">
        <v>226</v>
      </c>
      <c r="L1448" s="584">
        <f>SUM(M1448:Q1448)</f>
        <v>1886991</v>
      </c>
      <c r="M1448" s="931">
        <v>1857141</v>
      </c>
      <c r="N1448" s="932">
        <v>29850</v>
      </c>
      <c r="O1448" s="736"/>
      <c r="P1448" s="586"/>
      <c r="Q1448" s="932"/>
      <c r="R1448" s="599">
        <f>M1448/E1448</f>
        <v>2974.7573282075928</v>
      </c>
      <c r="S1448" s="592"/>
      <c r="T1448" s="592"/>
      <c r="U1448" s="591"/>
      <c r="V1448" s="589"/>
      <c r="W1448" s="592"/>
      <c r="X1448" s="592"/>
      <c r="Y1448" s="592"/>
      <c r="Z1448" s="592"/>
    </row>
    <row r="1449" spans="1:26" s="28" customFormat="1" hidden="1">
      <c r="A1449" s="1349" t="s">
        <v>203</v>
      </c>
      <c r="B1449" s="1349"/>
      <c r="C1449" s="700" t="s">
        <v>28</v>
      </c>
      <c r="D1449" s="612">
        <f t="shared" ref="D1449:J1449" si="196">SUM(D1448)</f>
        <v>4137</v>
      </c>
      <c r="E1449" s="612">
        <f t="shared" si="196"/>
        <v>624.29999999999995</v>
      </c>
      <c r="F1449" s="700" t="s">
        <v>28</v>
      </c>
      <c r="G1449" s="612">
        <f>G1448</f>
        <v>0</v>
      </c>
      <c r="H1449" s="700" t="s">
        <v>28</v>
      </c>
      <c r="I1449" s="700" t="s">
        <v>28</v>
      </c>
      <c r="J1449" s="643">
        <f t="shared" si="196"/>
        <v>18</v>
      </c>
      <c r="K1449" s="590" t="s">
        <v>28</v>
      </c>
      <c r="L1449" s="940">
        <f t="shared" ref="L1449:Q1449" si="197">SUM(L1448)</f>
        <v>1886991</v>
      </c>
      <c r="M1449" s="611">
        <f t="shared" si="197"/>
        <v>1857141</v>
      </c>
      <c r="N1449" s="612">
        <f t="shared" si="197"/>
        <v>29850</v>
      </c>
      <c r="O1449" s="613">
        <f t="shared" si="197"/>
        <v>0</v>
      </c>
      <c r="P1449" s="612">
        <f t="shared" si="197"/>
        <v>0</v>
      </c>
      <c r="Q1449" s="612">
        <f t="shared" si="197"/>
        <v>0</v>
      </c>
      <c r="R1449" s="582" t="s">
        <v>28</v>
      </c>
      <c r="S1449" s="564">
        <f>L1449-M1449-N1449-O1449-P1449-Q1449</f>
        <v>0</v>
      </c>
      <c r="T1449" s="577" t="e">
        <f>'1.перечень МКД'!#REF!</f>
        <v>#REF!</v>
      </c>
      <c r="U1449" s="589" t="e">
        <f>L1449-T1449</f>
        <v>#REF!</v>
      </c>
      <c r="V1449" s="589"/>
      <c r="W1449" s="592"/>
      <c r="X1449" s="592"/>
      <c r="Y1449" s="592"/>
      <c r="Z1449" s="592"/>
    </row>
    <row r="1450" spans="1:26" s="28" customFormat="1" hidden="1">
      <c r="A1450" s="1347" t="s">
        <v>204</v>
      </c>
      <c r="B1450" s="1347"/>
      <c r="C1450" s="1347"/>
      <c r="D1450" s="1347"/>
      <c r="E1450" s="1347"/>
      <c r="F1450" s="1347"/>
      <c r="G1450" s="1347"/>
      <c r="H1450" s="1347"/>
      <c r="I1450" s="1347"/>
      <c r="J1450" s="1347"/>
      <c r="K1450" s="1347"/>
      <c r="L1450" s="1347"/>
      <c r="M1450" s="1347"/>
      <c r="N1450" s="1347"/>
      <c r="O1450" s="1347"/>
      <c r="P1450" s="1347"/>
      <c r="Q1450" s="1347"/>
      <c r="R1450" s="1347"/>
      <c r="S1450" s="592"/>
      <c r="T1450" s="592"/>
      <c r="U1450" s="591"/>
      <c r="V1450" s="589"/>
      <c r="W1450" s="592"/>
      <c r="X1450" s="592"/>
      <c r="Y1450" s="592"/>
      <c r="Z1450" s="592"/>
    </row>
    <row r="1451" spans="1:26" s="28" customFormat="1" hidden="1">
      <c r="A1451" s="937">
        <v>1</v>
      </c>
      <c r="B1451" s="848" t="s">
        <v>1435</v>
      </c>
      <c r="C1451" s="922" t="s">
        <v>294</v>
      </c>
      <c r="D1451" s="922"/>
      <c r="E1451" s="938">
        <v>567</v>
      </c>
      <c r="F1451" s="700" t="s">
        <v>291</v>
      </c>
      <c r="G1451" s="939">
        <v>1171</v>
      </c>
      <c r="H1451" s="928">
        <v>2</v>
      </c>
      <c r="I1451" s="928">
        <v>4</v>
      </c>
      <c r="J1451" s="643">
        <v>24</v>
      </c>
      <c r="K1451" s="930" t="s">
        <v>33</v>
      </c>
      <c r="L1451" s="584">
        <f>SUM(M1451:Q1451)</f>
        <v>2652437.86</v>
      </c>
      <c r="M1451" s="931">
        <v>2622587.86</v>
      </c>
      <c r="N1451" s="932">
        <v>29850</v>
      </c>
      <c r="O1451" s="736"/>
      <c r="P1451" s="586"/>
      <c r="Q1451" s="932"/>
      <c r="R1451" s="582">
        <f>M1451/G1451</f>
        <v>2239.6138855678905</v>
      </c>
      <c r="S1451" s="592"/>
      <c r="T1451" s="592"/>
      <c r="U1451" s="591"/>
      <c r="V1451" s="589"/>
      <c r="W1451" s="592"/>
      <c r="X1451" s="592"/>
      <c r="Y1451" s="592"/>
      <c r="Z1451" s="592"/>
    </row>
    <row r="1452" spans="1:26" s="28" customFormat="1" hidden="1">
      <c r="A1452" s="937">
        <f>A1451+1</f>
        <v>2</v>
      </c>
      <c r="B1452" s="848" t="s">
        <v>1436</v>
      </c>
      <c r="C1452" s="922" t="s">
        <v>294</v>
      </c>
      <c r="D1452" s="922"/>
      <c r="E1452" s="938">
        <v>1045</v>
      </c>
      <c r="F1452" s="700" t="s">
        <v>291</v>
      </c>
      <c r="G1452" s="939">
        <v>504</v>
      </c>
      <c r="H1452" s="928">
        <v>2</v>
      </c>
      <c r="I1452" s="928">
        <v>2</v>
      </c>
      <c r="J1452" s="643">
        <v>16</v>
      </c>
      <c r="K1452" s="930" t="s">
        <v>33</v>
      </c>
      <c r="L1452" s="584">
        <f>SUM(M1452:Q1452)</f>
        <v>1355311.21</v>
      </c>
      <c r="M1452" s="931">
        <v>1325461.21</v>
      </c>
      <c r="N1452" s="932">
        <v>29850</v>
      </c>
      <c r="O1452" s="736"/>
      <c r="P1452" s="586"/>
      <c r="Q1452" s="932"/>
      <c r="R1452" s="582">
        <f>M1452/G1452</f>
        <v>2629.8833531746031</v>
      </c>
      <c r="S1452" s="592"/>
      <c r="T1452" s="592"/>
      <c r="U1452" s="591"/>
      <c r="V1452" s="589"/>
      <c r="W1452" s="592"/>
      <c r="X1452" s="592"/>
      <c r="Y1452" s="592"/>
      <c r="Z1452" s="592"/>
    </row>
    <row r="1453" spans="1:26" s="28" customFormat="1" hidden="1">
      <c r="A1453" s="937">
        <f>A1452+1</f>
        <v>3</v>
      </c>
      <c r="B1453" s="848" t="s">
        <v>1437</v>
      </c>
      <c r="C1453" s="922" t="s">
        <v>314</v>
      </c>
      <c r="D1453" s="922"/>
      <c r="E1453" s="938">
        <v>420</v>
      </c>
      <c r="F1453" s="700" t="s">
        <v>291</v>
      </c>
      <c r="G1453" s="939">
        <v>708</v>
      </c>
      <c r="H1453" s="928">
        <v>2</v>
      </c>
      <c r="I1453" s="928">
        <v>2</v>
      </c>
      <c r="J1453" s="643">
        <v>16</v>
      </c>
      <c r="K1453" s="930" t="s">
        <v>224</v>
      </c>
      <c r="L1453" s="584">
        <f>SUM(M1453:Q1453)</f>
        <v>178060.49</v>
      </c>
      <c r="M1453" s="931">
        <v>148210.49</v>
      </c>
      <c r="N1453" s="932">
        <v>29850</v>
      </c>
      <c r="O1453" s="736"/>
      <c r="P1453" s="586"/>
      <c r="Q1453" s="932"/>
      <c r="R1453" s="582">
        <f>M1453/J1453</f>
        <v>9263.1556249999994</v>
      </c>
      <c r="S1453" s="592"/>
      <c r="T1453" s="592"/>
      <c r="U1453" s="591"/>
      <c r="V1453" s="589"/>
      <c r="W1453" s="592"/>
      <c r="X1453" s="592"/>
      <c r="Y1453" s="592"/>
      <c r="Z1453" s="592"/>
    </row>
    <row r="1454" spans="1:26" s="28" customFormat="1" hidden="1">
      <c r="A1454" s="937">
        <f>A1453+1</f>
        <v>4</v>
      </c>
      <c r="B1454" s="848" t="s">
        <v>1438</v>
      </c>
      <c r="C1454" s="922" t="s">
        <v>239</v>
      </c>
      <c r="D1454" s="922"/>
      <c r="E1454" s="938">
        <v>750</v>
      </c>
      <c r="F1454" s="700" t="s">
        <v>291</v>
      </c>
      <c r="G1454" s="939">
        <v>675.68</v>
      </c>
      <c r="H1454" s="928">
        <v>2</v>
      </c>
      <c r="I1454" s="928">
        <v>2</v>
      </c>
      <c r="J1454" s="643">
        <v>16</v>
      </c>
      <c r="K1454" s="930" t="s">
        <v>224</v>
      </c>
      <c r="L1454" s="584">
        <f>SUM(M1454:Q1454)</f>
        <v>174830.71</v>
      </c>
      <c r="M1454" s="931">
        <v>144980.71</v>
      </c>
      <c r="N1454" s="932">
        <v>29850</v>
      </c>
      <c r="O1454" s="736"/>
      <c r="P1454" s="586"/>
      <c r="Q1454" s="932"/>
      <c r="R1454" s="582">
        <f>M1454/J1454</f>
        <v>9061.2943749999995</v>
      </c>
      <c r="S1454" s="592"/>
      <c r="T1454" s="645"/>
      <c r="U1454" s="591"/>
      <c r="V1454" s="589"/>
      <c r="W1454" s="592"/>
      <c r="X1454" s="592"/>
      <c r="Y1454" s="592"/>
      <c r="Z1454" s="592"/>
    </row>
    <row r="1455" spans="1:26" s="28" customFormat="1" hidden="1">
      <c r="A1455" s="1349" t="s">
        <v>205</v>
      </c>
      <c r="B1455" s="1349"/>
      <c r="C1455" s="593" t="s">
        <v>28</v>
      </c>
      <c r="D1455" s="586">
        <f>SUM(D1451:D1454)</f>
        <v>0</v>
      </c>
      <c r="E1455" s="586">
        <f>SUM(E1451:E1454)</f>
        <v>2782</v>
      </c>
      <c r="F1455" s="593" t="s">
        <v>28</v>
      </c>
      <c r="G1455" s="586">
        <f>SUM(G1451:G1454)</f>
        <v>3058.68</v>
      </c>
      <c r="H1455" s="593" t="s">
        <v>28</v>
      </c>
      <c r="I1455" s="593" t="s">
        <v>28</v>
      </c>
      <c r="J1455" s="582">
        <f>SUM(J1451:J1454)</f>
        <v>72</v>
      </c>
      <c r="K1455" s="590" t="s">
        <v>28</v>
      </c>
      <c r="L1455" s="584">
        <f t="shared" ref="L1455:Q1455" si="198">SUM(L1451:L1454)</f>
        <v>4360640.2699999996</v>
      </c>
      <c r="M1455" s="585">
        <f t="shared" si="198"/>
        <v>4241240.2699999996</v>
      </c>
      <c r="N1455" s="586">
        <f t="shared" si="198"/>
        <v>119400</v>
      </c>
      <c r="O1455" s="587">
        <f t="shared" si="198"/>
        <v>0</v>
      </c>
      <c r="P1455" s="586">
        <f t="shared" si="198"/>
        <v>0</v>
      </c>
      <c r="Q1455" s="586">
        <f t="shared" si="198"/>
        <v>0</v>
      </c>
      <c r="R1455" s="582" t="s">
        <v>28</v>
      </c>
      <c r="S1455" s="564">
        <f>L1455-M1455-N1455-O1455-P1455-Q1455</f>
        <v>0</v>
      </c>
      <c r="T1455" s="577" t="e">
        <f>'1.перечень МКД'!#REF!</f>
        <v>#REF!</v>
      </c>
      <c r="U1455" s="589" t="e">
        <f>L1455-T1455</f>
        <v>#REF!</v>
      </c>
      <c r="V1455" s="589"/>
      <c r="W1455" s="592"/>
      <c r="X1455" s="592"/>
      <c r="Y1455" s="592"/>
      <c r="Z1455" s="592"/>
    </row>
    <row r="1456" spans="1:26" s="35" customFormat="1" hidden="1">
      <c r="A1456" s="1365" t="s">
        <v>212</v>
      </c>
      <c r="B1456" s="1365"/>
      <c r="C1456" s="571" t="s">
        <v>28</v>
      </c>
      <c r="D1456" s="571">
        <f>D1458+D2081+D2465</f>
        <v>18940542.037650917</v>
      </c>
      <c r="E1456" s="571">
        <f>E1458+E2081+E2465</f>
        <v>3370235.4529999997</v>
      </c>
      <c r="F1456" s="571" t="s">
        <v>28</v>
      </c>
      <c r="G1456" s="571">
        <f>G1458+G2081+G2465</f>
        <v>1302255.8600000001</v>
      </c>
      <c r="H1456" s="571" t="s">
        <v>28</v>
      </c>
      <c r="I1456" s="571" t="s">
        <v>28</v>
      </c>
      <c r="J1456" s="571">
        <f>J1458+J2081+J2465</f>
        <v>91414</v>
      </c>
      <c r="K1456" s="572"/>
      <c r="L1456" s="573">
        <f t="shared" ref="L1456:Q1456" si="199">L1458+L2081+L2465</f>
        <v>4453129754.7500019</v>
      </c>
      <c r="M1456" s="574">
        <f t="shared" si="199"/>
        <v>4377370583.1499996</v>
      </c>
      <c r="N1456" s="575">
        <f t="shared" si="199"/>
        <v>39718760.350000001</v>
      </c>
      <c r="O1456" s="576">
        <f t="shared" si="199"/>
        <v>12244528.879999999</v>
      </c>
      <c r="P1456" s="575">
        <f t="shared" si="199"/>
        <v>0</v>
      </c>
      <c r="Q1456" s="575">
        <f t="shared" si="199"/>
        <v>23795882.369999997</v>
      </c>
      <c r="R1456" s="582" t="s">
        <v>28</v>
      </c>
      <c r="S1456" s="575">
        <f>L1456-M1456-N1456-O1456-P1456-Q1456</f>
        <v>2.2910535335540771E-6</v>
      </c>
      <c r="T1456" s="578" t="e">
        <f>'1.перечень МКД'!#REF!</f>
        <v>#REF!</v>
      </c>
      <c r="U1456" s="941" t="e">
        <f>L1456-T1456</f>
        <v>#REF!</v>
      </c>
      <c r="V1456" s="589"/>
      <c r="W1456" s="579"/>
      <c r="X1456" s="579"/>
      <c r="Y1456" s="579"/>
      <c r="Z1456" s="579"/>
    </row>
    <row r="1457" spans="1:26" s="244" customFormat="1" hidden="1">
      <c r="A1457" s="1345" t="s">
        <v>140</v>
      </c>
      <c r="B1457" s="1345"/>
      <c r="C1457" s="1345"/>
      <c r="D1457" s="1345"/>
      <c r="E1457" s="1345"/>
      <c r="F1457" s="1345"/>
      <c r="G1457" s="1345"/>
      <c r="H1457" s="1345"/>
      <c r="I1457" s="1345"/>
      <c r="J1457" s="1345"/>
      <c r="K1457" s="1345"/>
      <c r="L1457" s="1345"/>
      <c r="M1457" s="1345"/>
      <c r="N1457" s="1345"/>
      <c r="O1457" s="1345"/>
      <c r="P1457" s="1345"/>
      <c r="Q1457" s="1345"/>
      <c r="R1457" s="1345"/>
      <c r="S1457" s="555"/>
      <c r="T1457" s="556"/>
      <c r="U1457" s="558"/>
      <c r="V1457" s="589"/>
      <c r="W1457" s="556"/>
      <c r="X1457" s="556"/>
      <c r="Y1457" s="556"/>
      <c r="Z1457" s="556"/>
    </row>
    <row r="1458" spans="1:26" s="249" customFormat="1" hidden="1">
      <c r="A1458" s="1360" t="s">
        <v>162</v>
      </c>
      <c r="B1458" s="1360"/>
      <c r="C1458" s="561" t="s">
        <v>28</v>
      </c>
      <c r="D1458" s="582">
        <f>D2079</f>
        <v>10289921.099999998</v>
      </c>
      <c r="E1458" s="582">
        <f>E2079</f>
        <v>1752052.5799999996</v>
      </c>
      <c r="F1458" s="561" t="s">
        <v>28</v>
      </c>
      <c r="G1458" s="582">
        <f>G2079</f>
        <v>596518.60000000009</v>
      </c>
      <c r="H1458" s="561" t="s">
        <v>28</v>
      </c>
      <c r="I1458" s="561" t="s">
        <v>28</v>
      </c>
      <c r="J1458" s="582">
        <f>J2079</f>
        <v>46656</v>
      </c>
      <c r="K1458" s="583" t="s">
        <v>28</v>
      </c>
      <c r="L1458" s="584">
        <f t="shared" ref="L1458:Q1458" si="200">L2079</f>
        <v>2450252051.8300018</v>
      </c>
      <c r="M1458" s="585">
        <f t="shared" si="200"/>
        <v>2411585167.5500002</v>
      </c>
      <c r="N1458" s="586">
        <f t="shared" si="200"/>
        <v>18207612.5</v>
      </c>
      <c r="O1458" s="587">
        <f t="shared" si="200"/>
        <v>7490414.0199999996</v>
      </c>
      <c r="P1458" s="586">
        <f t="shared" si="200"/>
        <v>0</v>
      </c>
      <c r="Q1458" s="586">
        <f t="shared" si="200"/>
        <v>12968857.76</v>
      </c>
      <c r="R1458" s="582" t="s">
        <v>28</v>
      </c>
      <c r="S1458" s="575">
        <f>L1458-M1458-N1458-O1458-P1458-Q1458</f>
        <v>1.6409903764724731E-6</v>
      </c>
      <c r="T1458" s="588" t="e">
        <f>'1.перечень МКД'!#REF!</f>
        <v>#REF!</v>
      </c>
      <c r="U1458" s="589" t="e">
        <f>T1458-L1458</f>
        <v>#REF!</v>
      </c>
      <c r="V1458" s="589"/>
      <c r="W1458" s="590"/>
      <c r="X1458" s="590"/>
      <c r="Y1458" s="590"/>
      <c r="Z1458" s="590"/>
    </row>
    <row r="1459" spans="1:26" s="244" customFormat="1" hidden="1">
      <c r="A1459" s="1345" t="s">
        <v>139</v>
      </c>
      <c r="B1459" s="1345"/>
      <c r="C1459" s="1345"/>
      <c r="D1459" s="1345"/>
      <c r="E1459" s="1345"/>
      <c r="F1459" s="1345"/>
      <c r="G1459" s="1345"/>
      <c r="H1459" s="1345"/>
      <c r="I1459" s="1345"/>
      <c r="J1459" s="1345"/>
      <c r="K1459" s="1345"/>
      <c r="L1459" s="1345"/>
      <c r="M1459" s="1345"/>
      <c r="N1459" s="1345"/>
      <c r="O1459" s="1345"/>
      <c r="P1459" s="1345"/>
      <c r="Q1459" s="1345"/>
      <c r="R1459" s="1345"/>
      <c r="S1459" s="555"/>
      <c r="T1459" s="556"/>
      <c r="U1459" s="558"/>
      <c r="V1459" s="589"/>
      <c r="W1459" s="556"/>
      <c r="X1459" s="556"/>
      <c r="Y1459" s="556"/>
      <c r="Z1459" s="556"/>
    </row>
    <row r="1460" spans="1:26" s="115" customFormat="1" ht="37.5" hidden="1">
      <c r="A1460" s="714">
        <v>1</v>
      </c>
      <c r="B1460" s="592" t="s">
        <v>488</v>
      </c>
      <c r="C1460" s="617" t="s">
        <v>217</v>
      </c>
      <c r="D1460" s="942">
        <v>12194</v>
      </c>
      <c r="E1460" s="582">
        <v>2353</v>
      </c>
      <c r="F1460" s="942" t="s">
        <v>233</v>
      </c>
      <c r="G1460" s="942">
        <v>760</v>
      </c>
      <c r="H1460" s="602">
        <v>9</v>
      </c>
      <c r="I1460" s="602">
        <v>1</v>
      </c>
      <c r="J1460" s="582">
        <v>72</v>
      </c>
      <c r="K1460" s="679" t="s">
        <v>219</v>
      </c>
      <c r="L1460" s="595">
        <f t="shared" ref="L1460:L1468" si="201">M1460+N1460+O1460+P1460+Q1460</f>
        <v>2084575</v>
      </c>
      <c r="M1460" s="585">
        <v>2000000</v>
      </c>
      <c r="N1460" s="586">
        <v>84575</v>
      </c>
      <c r="O1460" s="598"/>
      <c r="P1460" s="564"/>
      <c r="Q1460" s="586"/>
      <c r="R1460" s="599">
        <v>2000000</v>
      </c>
      <c r="S1460" s="586">
        <f t="shared" ref="S1460:S1491" si="202">L1460-M1460-N1460-O1460-P1460-Q1460</f>
        <v>0</v>
      </c>
      <c r="T1460" s="588"/>
      <c r="U1460" s="586"/>
      <c r="V1460" s="589"/>
      <c r="W1460" s="600"/>
      <c r="X1460" s="601"/>
      <c r="Y1460" s="600">
        <f>M1460+N1460+O1460+P1460+Q1460</f>
        <v>2084575</v>
      </c>
      <c r="Z1460" s="601"/>
    </row>
    <row r="1461" spans="1:26" s="116" customFormat="1" ht="409.5" hidden="1">
      <c r="A1461" s="591">
        <f t="shared" ref="A1461:A1531" si="203">A1460+1</f>
        <v>2</v>
      </c>
      <c r="B1461" s="592" t="s">
        <v>486</v>
      </c>
      <c r="C1461" s="602" t="s">
        <v>217</v>
      </c>
      <c r="D1461" s="594">
        <v>21222</v>
      </c>
      <c r="E1461" s="593">
        <v>4320</v>
      </c>
      <c r="F1461" s="561" t="s">
        <v>233</v>
      </c>
      <c r="G1461" s="943">
        <v>695</v>
      </c>
      <c r="H1461" s="594">
        <v>12</v>
      </c>
      <c r="I1461" s="594">
        <v>2</v>
      </c>
      <c r="J1461" s="664">
        <v>96</v>
      </c>
      <c r="K1461" s="606" t="s">
        <v>366</v>
      </c>
      <c r="L1461" s="595">
        <f t="shared" si="201"/>
        <v>8948006.25</v>
      </c>
      <c r="M1461" s="585">
        <v>8800000</v>
      </c>
      <c r="N1461" s="586">
        <v>148006.25</v>
      </c>
      <c r="O1461" s="565"/>
      <c r="P1461" s="564"/>
      <c r="Q1461" s="586"/>
      <c r="R1461" s="582">
        <v>2200000</v>
      </c>
      <c r="S1461" s="586">
        <f t="shared" si="202"/>
        <v>0</v>
      </c>
      <c r="T1461" s="588" t="s">
        <v>3692</v>
      </c>
      <c r="U1461" s="586"/>
      <c r="V1461" s="589"/>
      <c r="W1461" s="600"/>
      <c r="X1461" s="656"/>
      <c r="Y1461" s="600">
        <f t="shared" ref="Y1461:Y1524" si="204">M1461+N1461+O1461+P1461+Q1461</f>
        <v>8948006.25</v>
      </c>
      <c r="Z1461" s="656"/>
    </row>
    <row r="1462" spans="1:26" s="116" customFormat="1" ht="37.5" hidden="1">
      <c r="A1462" s="591">
        <f t="shared" si="203"/>
        <v>3</v>
      </c>
      <c r="B1462" s="592" t="s">
        <v>487</v>
      </c>
      <c r="C1462" s="593" t="s">
        <v>217</v>
      </c>
      <c r="D1462" s="603">
        <v>16077</v>
      </c>
      <c r="E1462" s="594">
        <v>3240</v>
      </c>
      <c r="F1462" s="643" t="s">
        <v>233</v>
      </c>
      <c r="G1462" s="603">
        <v>712</v>
      </c>
      <c r="H1462" s="609">
        <v>9</v>
      </c>
      <c r="I1462" s="609">
        <v>2</v>
      </c>
      <c r="J1462" s="609">
        <v>72</v>
      </c>
      <c r="K1462" s="590" t="s">
        <v>366</v>
      </c>
      <c r="L1462" s="595">
        <f t="shared" si="201"/>
        <v>4105718.75</v>
      </c>
      <c r="M1462" s="611">
        <v>4000000</v>
      </c>
      <c r="N1462" s="612">
        <v>105718.75</v>
      </c>
      <c r="O1462" s="613"/>
      <c r="P1462" s="586"/>
      <c r="Q1462" s="614"/>
      <c r="R1462" s="582">
        <f>M1462/I1462</f>
        <v>2000000</v>
      </c>
      <c r="S1462" s="586">
        <f t="shared" si="202"/>
        <v>0</v>
      </c>
      <c r="T1462" s="588"/>
      <c r="U1462" s="614"/>
      <c r="V1462" s="589"/>
      <c r="W1462" s="600"/>
      <c r="X1462" s="656"/>
      <c r="Y1462" s="600">
        <f t="shared" si="204"/>
        <v>4105718.75</v>
      </c>
      <c r="Z1462" s="656"/>
    </row>
    <row r="1463" spans="1:26" s="117" customFormat="1" ht="409.5" hidden="1">
      <c r="A1463" s="591">
        <f t="shared" si="203"/>
        <v>4</v>
      </c>
      <c r="B1463" s="592" t="s">
        <v>498</v>
      </c>
      <c r="C1463" s="593" t="s">
        <v>271</v>
      </c>
      <c r="D1463" s="594">
        <v>24299</v>
      </c>
      <c r="E1463" s="594">
        <v>1610</v>
      </c>
      <c r="F1463" s="594" t="s">
        <v>233</v>
      </c>
      <c r="G1463" s="594">
        <v>605</v>
      </c>
      <c r="H1463" s="594">
        <v>13</v>
      </c>
      <c r="I1463" s="594">
        <v>1</v>
      </c>
      <c r="J1463" s="594">
        <v>77</v>
      </c>
      <c r="K1463" s="590" t="s">
        <v>366</v>
      </c>
      <c r="L1463" s="595">
        <f t="shared" si="201"/>
        <v>4500406.25</v>
      </c>
      <c r="M1463" s="596">
        <v>4400000</v>
      </c>
      <c r="N1463" s="597">
        <v>100406.25</v>
      </c>
      <c r="O1463" s="587"/>
      <c r="P1463" s="597"/>
      <c r="Q1463" s="675"/>
      <c r="R1463" s="582">
        <v>2200000</v>
      </c>
      <c r="S1463" s="586">
        <f t="shared" si="202"/>
        <v>0</v>
      </c>
      <c r="T1463" s="588" t="s">
        <v>3694</v>
      </c>
      <c r="U1463" s="675"/>
      <c r="V1463" s="589"/>
      <c r="W1463" s="600"/>
      <c r="X1463" s="944"/>
      <c r="Y1463" s="600">
        <f t="shared" si="204"/>
        <v>4500406.25</v>
      </c>
      <c r="Z1463" s="944"/>
    </row>
    <row r="1464" spans="1:26" s="118" customFormat="1" ht="37.5" hidden="1">
      <c r="A1464" s="591">
        <f t="shared" si="203"/>
        <v>5</v>
      </c>
      <c r="B1464" s="592" t="s">
        <v>524</v>
      </c>
      <c r="C1464" s="593" t="s">
        <v>217</v>
      </c>
      <c r="D1464" s="603">
        <v>15856</v>
      </c>
      <c r="E1464" s="594">
        <v>3240</v>
      </c>
      <c r="F1464" s="643" t="s">
        <v>233</v>
      </c>
      <c r="G1464" s="603">
        <v>818</v>
      </c>
      <c r="H1464" s="609">
        <v>9</v>
      </c>
      <c r="I1464" s="609">
        <v>2</v>
      </c>
      <c r="J1464" s="609">
        <v>72</v>
      </c>
      <c r="K1464" s="590" t="s">
        <v>366</v>
      </c>
      <c r="L1464" s="595">
        <f t="shared" si="201"/>
        <v>4105718.75</v>
      </c>
      <c r="M1464" s="611">
        <v>4000000</v>
      </c>
      <c r="N1464" s="612">
        <v>105718.75</v>
      </c>
      <c r="O1464" s="613"/>
      <c r="P1464" s="586"/>
      <c r="Q1464" s="614"/>
      <c r="R1464" s="582">
        <f>M1464/I1464</f>
        <v>2000000</v>
      </c>
      <c r="S1464" s="586">
        <f t="shared" si="202"/>
        <v>0</v>
      </c>
      <c r="T1464" s="605"/>
      <c r="U1464" s="614"/>
      <c r="V1464" s="589"/>
      <c r="W1464" s="600"/>
      <c r="X1464" s="590"/>
      <c r="Y1464" s="600">
        <f t="shared" si="204"/>
        <v>4105718.75</v>
      </c>
      <c r="Z1464" s="590"/>
    </row>
    <row r="1465" spans="1:26" s="118" customFormat="1" ht="37.5" hidden="1">
      <c r="A1465" s="591">
        <f t="shared" si="203"/>
        <v>6</v>
      </c>
      <c r="B1465" s="592" t="s">
        <v>523</v>
      </c>
      <c r="C1465" s="602" t="s">
        <v>217</v>
      </c>
      <c r="D1465" s="708">
        <v>31380</v>
      </c>
      <c r="E1465" s="708">
        <v>2500</v>
      </c>
      <c r="F1465" s="643" t="s">
        <v>233</v>
      </c>
      <c r="G1465" s="708">
        <v>1346</v>
      </c>
      <c r="H1465" s="602">
        <v>9</v>
      </c>
      <c r="I1465" s="602">
        <v>4</v>
      </c>
      <c r="J1465" s="708">
        <v>144</v>
      </c>
      <c r="K1465" s="590" t="s">
        <v>366</v>
      </c>
      <c r="L1465" s="595">
        <f t="shared" si="201"/>
        <v>8148006.25</v>
      </c>
      <c r="M1465" s="611">
        <v>8000000</v>
      </c>
      <c r="N1465" s="612">
        <v>148006.25</v>
      </c>
      <c r="O1465" s="613"/>
      <c r="P1465" s="586"/>
      <c r="Q1465" s="614"/>
      <c r="R1465" s="582">
        <f>M1465/I1465</f>
        <v>2000000</v>
      </c>
      <c r="S1465" s="586">
        <f t="shared" si="202"/>
        <v>0</v>
      </c>
      <c r="T1465" s="588"/>
      <c r="U1465" s="614"/>
      <c r="V1465" s="589"/>
      <c r="W1465" s="600"/>
      <c r="X1465" s="590"/>
      <c r="Y1465" s="600">
        <f t="shared" si="204"/>
        <v>8148006.25</v>
      </c>
      <c r="Z1465" s="590"/>
    </row>
    <row r="1466" spans="1:26" s="115" customFormat="1" ht="37.5" hidden="1">
      <c r="A1466" s="591">
        <f t="shared" si="203"/>
        <v>7</v>
      </c>
      <c r="B1466" s="592" t="s">
        <v>518</v>
      </c>
      <c r="C1466" s="602" t="s">
        <v>217</v>
      </c>
      <c r="D1466" s="582">
        <v>29144</v>
      </c>
      <c r="E1466" s="582">
        <v>2800</v>
      </c>
      <c r="F1466" s="643" t="s">
        <v>230</v>
      </c>
      <c r="G1466" s="582">
        <v>1247</v>
      </c>
      <c r="H1466" s="676">
        <v>9</v>
      </c>
      <c r="I1466" s="602">
        <v>4</v>
      </c>
      <c r="J1466" s="582">
        <v>144</v>
      </c>
      <c r="K1466" s="610" t="s">
        <v>366</v>
      </c>
      <c r="L1466" s="595">
        <f t="shared" si="201"/>
        <v>8148006.25</v>
      </c>
      <c r="M1466" s="611">
        <v>8000000</v>
      </c>
      <c r="N1466" s="612">
        <v>148006.25</v>
      </c>
      <c r="O1466" s="613"/>
      <c r="P1466" s="586"/>
      <c r="Q1466" s="614"/>
      <c r="R1466" s="582">
        <f>M1466/I1466</f>
        <v>2000000</v>
      </c>
      <c r="S1466" s="586">
        <f t="shared" si="202"/>
        <v>0</v>
      </c>
      <c r="T1466" s="588"/>
      <c r="U1466" s="614"/>
      <c r="V1466" s="589"/>
      <c r="W1466" s="600"/>
      <c r="X1466" s="601"/>
      <c r="Y1466" s="600">
        <f t="shared" si="204"/>
        <v>8148006.25</v>
      </c>
      <c r="Z1466" s="601"/>
    </row>
    <row r="1467" spans="1:26" s="115" customFormat="1" ht="37.5" hidden="1">
      <c r="A1467" s="591">
        <f t="shared" si="203"/>
        <v>8</v>
      </c>
      <c r="B1467" s="592" t="s">
        <v>519</v>
      </c>
      <c r="C1467" s="602" t="s">
        <v>217</v>
      </c>
      <c r="D1467" s="582">
        <v>15236</v>
      </c>
      <c r="E1467" s="582">
        <v>2240</v>
      </c>
      <c r="F1467" s="604" t="s">
        <v>233</v>
      </c>
      <c r="G1467" s="582">
        <v>665</v>
      </c>
      <c r="H1467" s="602">
        <v>9</v>
      </c>
      <c r="I1467" s="602">
        <v>2</v>
      </c>
      <c r="J1467" s="582">
        <v>72</v>
      </c>
      <c r="K1467" s="606" t="s">
        <v>366</v>
      </c>
      <c r="L1467" s="595">
        <f t="shared" si="201"/>
        <v>4105718.75</v>
      </c>
      <c r="M1467" s="585">
        <v>4000000</v>
      </c>
      <c r="N1467" s="586">
        <v>105718.75</v>
      </c>
      <c r="O1467" s="565"/>
      <c r="P1467" s="564"/>
      <c r="Q1467" s="586"/>
      <c r="R1467" s="582">
        <f>M1467/I1467</f>
        <v>2000000</v>
      </c>
      <c r="S1467" s="586">
        <f t="shared" si="202"/>
        <v>0</v>
      </c>
      <c r="T1467" s="605"/>
      <c r="U1467" s="586"/>
      <c r="V1467" s="589"/>
      <c r="W1467" s="600"/>
      <c r="X1467" s="601"/>
      <c r="Y1467" s="600">
        <f t="shared" si="204"/>
        <v>4105718.75</v>
      </c>
      <c r="Z1467" s="601"/>
    </row>
    <row r="1468" spans="1:26" s="115" customFormat="1" ht="37.5" hidden="1">
      <c r="A1468" s="591">
        <f t="shared" si="203"/>
        <v>9</v>
      </c>
      <c r="B1468" s="592" t="s">
        <v>520</v>
      </c>
      <c r="C1468" s="593" t="s">
        <v>217</v>
      </c>
      <c r="D1468" s="603">
        <v>44279</v>
      </c>
      <c r="E1468" s="594">
        <v>5832</v>
      </c>
      <c r="F1468" s="643" t="s">
        <v>233</v>
      </c>
      <c r="G1468" s="603">
        <v>1885</v>
      </c>
      <c r="H1468" s="609">
        <v>9</v>
      </c>
      <c r="I1468" s="609">
        <v>4</v>
      </c>
      <c r="J1468" s="609">
        <v>216</v>
      </c>
      <c r="K1468" s="590" t="s">
        <v>366</v>
      </c>
      <c r="L1468" s="595">
        <f t="shared" si="201"/>
        <v>8148006.25</v>
      </c>
      <c r="M1468" s="611">
        <v>8000000</v>
      </c>
      <c r="N1468" s="612">
        <v>148006.25</v>
      </c>
      <c r="O1468" s="613"/>
      <c r="P1468" s="586"/>
      <c r="Q1468" s="614"/>
      <c r="R1468" s="582">
        <f>M1468/I1468</f>
        <v>2000000</v>
      </c>
      <c r="S1468" s="586">
        <f t="shared" si="202"/>
        <v>0</v>
      </c>
      <c r="T1468" s="588"/>
      <c r="U1468" s="614"/>
      <c r="V1468" s="589"/>
      <c r="W1468" s="600"/>
      <c r="X1468" s="601"/>
      <c r="Y1468" s="600">
        <f t="shared" si="204"/>
        <v>8148006.25</v>
      </c>
      <c r="Z1468" s="601"/>
    </row>
    <row r="1469" spans="1:26" ht="37.5" hidden="1">
      <c r="A1469" s="580">
        <f t="shared" si="203"/>
        <v>10</v>
      </c>
      <c r="B1469" s="945" t="s">
        <v>2409</v>
      </c>
      <c r="C1469" s="946" t="s">
        <v>296</v>
      </c>
      <c r="D1469" s="947">
        <v>22801</v>
      </c>
      <c r="E1469" s="948">
        <v>4320</v>
      </c>
      <c r="F1469" s="947" t="s">
        <v>227</v>
      </c>
      <c r="G1469" s="949">
        <v>720.2</v>
      </c>
      <c r="H1469" s="947">
        <v>12</v>
      </c>
      <c r="I1469" s="947">
        <v>2</v>
      </c>
      <c r="J1469" s="950">
        <v>96</v>
      </c>
      <c r="K1469" s="629" t="s">
        <v>219</v>
      </c>
      <c r="L1469" s="951">
        <f t="shared" ref="L1469:L1479" si="205">SUM(M1469:P1469)</f>
        <v>4506250</v>
      </c>
      <c r="M1469" s="623">
        <v>4400000</v>
      </c>
      <c r="N1469" s="952">
        <v>106250</v>
      </c>
      <c r="O1469" s="587"/>
      <c r="P1469" s="586"/>
      <c r="Q1469" s="586"/>
      <c r="R1469" s="582">
        <v>2200000</v>
      </c>
      <c r="S1469" s="586">
        <f t="shared" si="202"/>
        <v>0</v>
      </c>
      <c r="T1469" s="589"/>
      <c r="U1469" s="560"/>
      <c r="V1469" s="589"/>
      <c r="W1469" s="600"/>
      <c r="Y1469" s="600">
        <f t="shared" si="204"/>
        <v>4506250</v>
      </c>
    </row>
    <row r="1470" spans="1:26" ht="37.5" hidden="1">
      <c r="A1470" s="580">
        <f t="shared" si="203"/>
        <v>11</v>
      </c>
      <c r="B1470" s="945" t="s">
        <v>4204</v>
      </c>
      <c r="C1470" s="946" t="s">
        <v>296</v>
      </c>
      <c r="D1470" s="953">
        <v>23042</v>
      </c>
      <c r="E1470" s="948">
        <v>1944</v>
      </c>
      <c r="F1470" s="947" t="s">
        <v>227</v>
      </c>
      <c r="G1470" s="949">
        <v>1008</v>
      </c>
      <c r="H1470" s="947">
        <v>9</v>
      </c>
      <c r="I1470" s="947">
        <v>3</v>
      </c>
      <c r="J1470" s="950">
        <v>108</v>
      </c>
      <c r="K1470" s="629" t="s">
        <v>219</v>
      </c>
      <c r="L1470" s="951">
        <f t="shared" si="205"/>
        <v>6127500</v>
      </c>
      <c r="M1470" s="623">
        <v>6000000</v>
      </c>
      <c r="N1470" s="630">
        <v>127500</v>
      </c>
      <c r="O1470" s="587"/>
      <c r="P1470" s="586"/>
      <c r="Q1470" s="586"/>
      <c r="R1470" s="582">
        <f t="shared" ref="R1470:R1475" si="206">M1470/I1470</f>
        <v>2000000</v>
      </c>
      <c r="S1470" s="586">
        <f t="shared" si="202"/>
        <v>0</v>
      </c>
      <c r="T1470" s="589"/>
      <c r="U1470" s="560"/>
      <c r="V1470" s="589"/>
      <c r="W1470" s="600"/>
      <c r="Y1470" s="600">
        <f t="shared" si="204"/>
        <v>6127500</v>
      </c>
    </row>
    <row r="1471" spans="1:26" ht="37.5" hidden="1">
      <c r="A1471" s="580">
        <f t="shared" si="203"/>
        <v>12</v>
      </c>
      <c r="B1471" s="945" t="s">
        <v>4148</v>
      </c>
      <c r="C1471" s="946" t="s">
        <v>296</v>
      </c>
      <c r="D1471" s="947">
        <v>23168</v>
      </c>
      <c r="E1471" s="948">
        <v>4320</v>
      </c>
      <c r="F1471" s="947" t="s">
        <v>227</v>
      </c>
      <c r="G1471" s="949">
        <v>1011</v>
      </c>
      <c r="H1471" s="947">
        <v>9</v>
      </c>
      <c r="I1471" s="947">
        <v>3</v>
      </c>
      <c r="J1471" s="950">
        <v>108</v>
      </c>
      <c r="K1471" s="629" t="s">
        <v>219</v>
      </c>
      <c r="L1471" s="951">
        <f t="shared" si="205"/>
        <v>6127500</v>
      </c>
      <c r="M1471" s="623">
        <v>6000000</v>
      </c>
      <c r="N1471" s="630">
        <v>127500</v>
      </c>
      <c r="O1471" s="587"/>
      <c r="P1471" s="586"/>
      <c r="Q1471" s="586"/>
      <c r="R1471" s="582">
        <f t="shared" si="206"/>
        <v>2000000</v>
      </c>
      <c r="S1471" s="586">
        <f t="shared" si="202"/>
        <v>0</v>
      </c>
      <c r="T1471" s="589"/>
      <c r="U1471" s="560"/>
      <c r="V1471" s="589"/>
      <c r="W1471" s="600"/>
      <c r="Y1471" s="600">
        <f t="shared" si="204"/>
        <v>6127500</v>
      </c>
    </row>
    <row r="1472" spans="1:26" ht="37.5" hidden="1">
      <c r="A1472" s="580">
        <f t="shared" si="203"/>
        <v>13</v>
      </c>
      <c r="B1472" s="945" t="s">
        <v>4149</v>
      </c>
      <c r="C1472" s="946" t="s">
        <v>296</v>
      </c>
      <c r="D1472" s="953">
        <v>7761</v>
      </c>
      <c r="E1472" s="954">
        <v>4536</v>
      </c>
      <c r="F1472" s="947" t="s">
        <v>227</v>
      </c>
      <c r="G1472" s="955">
        <v>332</v>
      </c>
      <c r="H1472" s="947">
        <v>9</v>
      </c>
      <c r="I1472" s="947">
        <v>3</v>
      </c>
      <c r="J1472" s="950">
        <v>36</v>
      </c>
      <c r="K1472" s="629" t="s">
        <v>219</v>
      </c>
      <c r="L1472" s="951">
        <f t="shared" si="205"/>
        <v>6127500</v>
      </c>
      <c r="M1472" s="623">
        <v>6000000</v>
      </c>
      <c r="N1472" s="630">
        <v>127500</v>
      </c>
      <c r="O1472" s="587"/>
      <c r="P1472" s="586"/>
      <c r="Q1472" s="586"/>
      <c r="R1472" s="582">
        <f t="shared" si="206"/>
        <v>2000000</v>
      </c>
      <c r="S1472" s="586">
        <f t="shared" si="202"/>
        <v>0</v>
      </c>
      <c r="T1472" s="589"/>
      <c r="U1472" s="560"/>
      <c r="V1472" s="589"/>
      <c r="W1472" s="600"/>
      <c r="Y1472" s="600">
        <f t="shared" si="204"/>
        <v>6127500</v>
      </c>
    </row>
    <row r="1473" spans="1:25" ht="37.5" hidden="1">
      <c r="A1473" s="580">
        <f t="shared" si="203"/>
        <v>14</v>
      </c>
      <c r="B1473" s="945" t="s">
        <v>4193</v>
      </c>
      <c r="C1473" s="946" t="s">
        <v>296</v>
      </c>
      <c r="D1473" s="947">
        <v>16581</v>
      </c>
      <c r="E1473" s="948">
        <v>3072</v>
      </c>
      <c r="F1473" s="947" t="s">
        <v>227</v>
      </c>
      <c r="G1473" s="955">
        <v>712</v>
      </c>
      <c r="H1473" s="947">
        <v>9</v>
      </c>
      <c r="I1473" s="947">
        <v>2</v>
      </c>
      <c r="J1473" s="950">
        <v>68</v>
      </c>
      <c r="K1473" s="629" t="s">
        <v>219</v>
      </c>
      <c r="L1473" s="951">
        <f t="shared" si="205"/>
        <v>4106250</v>
      </c>
      <c r="M1473" s="623">
        <v>4000000</v>
      </c>
      <c r="N1473" s="952">
        <v>106250</v>
      </c>
      <c r="O1473" s="587"/>
      <c r="P1473" s="586"/>
      <c r="Q1473" s="586"/>
      <c r="R1473" s="582">
        <f t="shared" si="206"/>
        <v>2000000</v>
      </c>
      <c r="S1473" s="586">
        <f t="shared" si="202"/>
        <v>0</v>
      </c>
      <c r="T1473" s="589"/>
      <c r="U1473" s="560"/>
      <c r="V1473" s="589"/>
      <c r="W1473" s="600"/>
      <c r="Y1473" s="600">
        <f t="shared" si="204"/>
        <v>4106250</v>
      </c>
    </row>
    <row r="1474" spans="1:25" ht="37.5" hidden="1">
      <c r="A1474" s="580">
        <f t="shared" si="203"/>
        <v>15</v>
      </c>
      <c r="B1474" s="945" t="s">
        <v>4205</v>
      </c>
      <c r="C1474" s="946" t="s">
        <v>296</v>
      </c>
      <c r="D1474" s="947">
        <v>25461</v>
      </c>
      <c r="E1474" s="948">
        <v>4608</v>
      </c>
      <c r="F1474" s="947" t="s">
        <v>227</v>
      </c>
      <c r="G1474" s="949">
        <v>1004</v>
      </c>
      <c r="H1474" s="947">
        <v>9</v>
      </c>
      <c r="I1474" s="947">
        <v>3</v>
      </c>
      <c r="J1474" s="950">
        <v>108</v>
      </c>
      <c r="K1474" s="629" t="s">
        <v>219</v>
      </c>
      <c r="L1474" s="951">
        <f t="shared" si="205"/>
        <v>6127500</v>
      </c>
      <c r="M1474" s="623">
        <v>6000000</v>
      </c>
      <c r="N1474" s="630">
        <v>127500</v>
      </c>
      <c r="O1474" s="587"/>
      <c r="P1474" s="586"/>
      <c r="Q1474" s="586"/>
      <c r="R1474" s="582">
        <f t="shared" si="206"/>
        <v>2000000</v>
      </c>
      <c r="S1474" s="586">
        <f t="shared" si="202"/>
        <v>0</v>
      </c>
      <c r="T1474" s="589"/>
      <c r="U1474" s="560"/>
      <c r="V1474" s="589"/>
      <c r="W1474" s="600"/>
      <c r="Y1474" s="600">
        <f t="shared" si="204"/>
        <v>6127500</v>
      </c>
    </row>
    <row r="1475" spans="1:25" ht="37.5" hidden="1">
      <c r="A1475" s="580">
        <f t="shared" si="203"/>
        <v>16</v>
      </c>
      <c r="B1475" s="945" t="s">
        <v>4206</v>
      </c>
      <c r="C1475" s="946" t="s">
        <v>296</v>
      </c>
      <c r="D1475" s="947">
        <v>12017</v>
      </c>
      <c r="E1475" s="948">
        <v>2406.4</v>
      </c>
      <c r="F1475" s="947" t="s">
        <v>227</v>
      </c>
      <c r="G1475" s="949">
        <v>516</v>
      </c>
      <c r="H1475" s="947">
        <v>9</v>
      </c>
      <c r="I1475" s="947">
        <v>1</v>
      </c>
      <c r="J1475" s="950">
        <v>72</v>
      </c>
      <c r="K1475" s="629" t="s">
        <v>219</v>
      </c>
      <c r="L1475" s="951">
        <f t="shared" si="205"/>
        <v>2085000</v>
      </c>
      <c r="M1475" s="623">
        <v>2000000</v>
      </c>
      <c r="N1475" s="630">
        <v>85000</v>
      </c>
      <c r="O1475" s="587"/>
      <c r="P1475" s="586"/>
      <c r="Q1475" s="586"/>
      <c r="R1475" s="582">
        <f t="shared" si="206"/>
        <v>2000000</v>
      </c>
      <c r="S1475" s="586">
        <f t="shared" si="202"/>
        <v>0</v>
      </c>
      <c r="T1475" s="589"/>
      <c r="U1475" s="560"/>
      <c r="V1475" s="589"/>
      <c r="W1475" s="600"/>
      <c r="Y1475" s="600">
        <f t="shared" si="204"/>
        <v>2085000</v>
      </c>
    </row>
    <row r="1476" spans="1:25" ht="37.5" hidden="1">
      <c r="A1476" s="580">
        <f t="shared" si="203"/>
        <v>17</v>
      </c>
      <c r="B1476" s="945" t="s">
        <v>4150</v>
      </c>
      <c r="C1476" s="946" t="s">
        <v>296</v>
      </c>
      <c r="D1476" s="947">
        <v>16215</v>
      </c>
      <c r="E1476" s="948">
        <v>3072</v>
      </c>
      <c r="F1476" s="947" t="s">
        <v>227</v>
      </c>
      <c r="G1476" s="955">
        <v>680</v>
      </c>
      <c r="H1476" s="947">
        <v>9</v>
      </c>
      <c r="I1476" s="947">
        <v>2</v>
      </c>
      <c r="J1476" s="950">
        <v>70</v>
      </c>
      <c r="K1476" s="629" t="s">
        <v>219</v>
      </c>
      <c r="L1476" s="951">
        <f t="shared" si="205"/>
        <v>2085000</v>
      </c>
      <c r="M1476" s="623">
        <v>2000000</v>
      </c>
      <c r="N1476" s="630">
        <v>85000</v>
      </c>
      <c r="O1476" s="613"/>
      <c r="P1476" s="612"/>
      <c r="Q1476" s="614"/>
      <c r="R1476" s="582">
        <f>M1476</f>
        <v>2000000</v>
      </c>
      <c r="S1476" s="586">
        <f t="shared" si="202"/>
        <v>0</v>
      </c>
      <c r="T1476" s="589"/>
      <c r="U1476" s="560"/>
      <c r="V1476" s="589"/>
      <c r="W1476" s="600"/>
      <c r="Y1476" s="600">
        <f t="shared" si="204"/>
        <v>2085000</v>
      </c>
    </row>
    <row r="1477" spans="1:25" ht="37.5" hidden="1">
      <c r="A1477" s="580">
        <f t="shared" si="203"/>
        <v>18</v>
      </c>
      <c r="B1477" s="945" t="s">
        <v>4151</v>
      </c>
      <c r="C1477" s="946" t="s">
        <v>296</v>
      </c>
      <c r="D1477" s="947">
        <v>7908</v>
      </c>
      <c r="E1477" s="948">
        <v>1536</v>
      </c>
      <c r="F1477" s="947" t="s">
        <v>227</v>
      </c>
      <c r="G1477" s="949">
        <v>1007</v>
      </c>
      <c r="H1477" s="947">
        <v>9</v>
      </c>
      <c r="I1477" s="947">
        <v>1</v>
      </c>
      <c r="J1477" s="950">
        <v>80</v>
      </c>
      <c r="K1477" s="629" t="s">
        <v>219</v>
      </c>
      <c r="L1477" s="951">
        <f t="shared" si="205"/>
        <v>2085000</v>
      </c>
      <c r="M1477" s="623">
        <v>2000000</v>
      </c>
      <c r="N1477" s="630">
        <v>85000</v>
      </c>
      <c r="O1477" s="587"/>
      <c r="P1477" s="586"/>
      <c r="Q1477" s="586"/>
      <c r="R1477" s="582">
        <f t="shared" ref="R1477:R1484" si="207">M1477/I1477</f>
        <v>2000000</v>
      </c>
      <c r="S1477" s="586">
        <f t="shared" si="202"/>
        <v>0</v>
      </c>
      <c r="T1477" s="589"/>
      <c r="U1477" s="560"/>
      <c r="V1477" s="589"/>
      <c r="W1477" s="600"/>
      <c r="Y1477" s="600">
        <f t="shared" si="204"/>
        <v>2085000</v>
      </c>
    </row>
    <row r="1478" spans="1:25" ht="37.5" hidden="1">
      <c r="A1478" s="580">
        <f t="shared" si="203"/>
        <v>19</v>
      </c>
      <c r="B1478" s="945" t="s">
        <v>2414</v>
      </c>
      <c r="C1478" s="946" t="s">
        <v>296</v>
      </c>
      <c r="D1478" s="947">
        <v>16215</v>
      </c>
      <c r="E1478" s="948">
        <v>3240</v>
      </c>
      <c r="F1478" s="947" t="s">
        <v>227</v>
      </c>
      <c r="G1478" s="949">
        <v>680.8</v>
      </c>
      <c r="H1478" s="947">
        <v>9</v>
      </c>
      <c r="I1478" s="947">
        <v>2</v>
      </c>
      <c r="J1478" s="950">
        <v>72</v>
      </c>
      <c r="K1478" s="629" t="s">
        <v>219</v>
      </c>
      <c r="L1478" s="951">
        <f t="shared" si="205"/>
        <v>4106250</v>
      </c>
      <c r="M1478" s="623">
        <v>4000000</v>
      </c>
      <c r="N1478" s="952">
        <v>106250</v>
      </c>
      <c r="O1478" s="587"/>
      <c r="P1478" s="586"/>
      <c r="Q1478" s="586"/>
      <c r="R1478" s="582">
        <f t="shared" si="207"/>
        <v>2000000</v>
      </c>
      <c r="S1478" s="586">
        <f t="shared" si="202"/>
        <v>0</v>
      </c>
      <c r="T1478" s="589"/>
      <c r="U1478" s="560"/>
      <c r="V1478" s="589"/>
      <c r="W1478" s="600"/>
      <c r="Y1478" s="600">
        <f t="shared" si="204"/>
        <v>4106250</v>
      </c>
    </row>
    <row r="1479" spans="1:25" ht="37.5" hidden="1">
      <c r="A1479" s="580">
        <f t="shared" si="203"/>
        <v>20</v>
      </c>
      <c r="B1479" s="945" t="s">
        <v>2405</v>
      </c>
      <c r="C1479" s="946" t="s">
        <v>296</v>
      </c>
      <c r="D1479" s="947">
        <v>31045</v>
      </c>
      <c r="E1479" s="948">
        <v>5832</v>
      </c>
      <c r="F1479" s="947" t="s">
        <v>227</v>
      </c>
      <c r="G1479" s="955">
        <v>1364</v>
      </c>
      <c r="H1479" s="947">
        <v>9</v>
      </c>
      <c r="I1479" s="947">
        <v>4</v>
      </c>
      <c r="J1479" s="950">
        <v>142</v>
      </c>
      <c r="K1479" s="629" t="s">
        <v>219</v>
      </c>
      <c r="L1479" s="951">
        <f t="shared" si="205"/>
        <v>4106250</v>
      </c>
      <c r="M1479" s="623">
        <v>4000000</v>
      </c>
      <c r="N1479" s="952">
        <v>106250</v>
      </c>
      <c r="O1479" s="587"/>
      <c r="P1479" s="586"/>
      <c r="Q1479" s="586"/>
      <c r="R1479" s="582">
        <f t="shared" si="207"/>
        <v>1000000</v>
      </c>
      <c r="S1479" s="586">
        <f t="shared" si="202"/>
        <v>0</v>
      </c>
      <c r="T1479" s="589"/>
      <c r="U1479" s="560"/>
      <c r="V1479" s="589"/>
      <c r="W1479" s="600"/>
      <c r="Y1479" s="600">
        <f t="shared" si="204"/>
        <v>4106250</v>
      </c>
    </row>
    <row r="1480" spans="1:25" ht="37.5" hidden="1">
      <c r="A1480" s="580">
        <f t="shared" si="203"/>
        <v>21</v>
      </c>
      <c r="B1480" s="945" t="s">
        <v>4197</v>
      </c>
      <c r="C1480" s="946" t="s">
        <v>296</v>
      </c>
      <c r="D1480" s="947">
        <v>31229</v>
      </c>
      <c r="E1480" s="948">
        <v>2800</v>
      </c>
      <c r="F1480" s="947" t="s">
        <v>227</v>
      </c>
      <c r="G1480" s="955">
        <v>1363</v>
      </c>
      <c r="H1480" s="947">
        <v>9</v>
      </c>
      <c r="I1480" s="947">
        <v>4</v>
      </c>
      <c r="J1480" s="950">
        <v>142</v>
      </c>
      <c r="K1480" s="629" t="s">
        <v>219</v>
      </c>
      <c r="L1480" s="956">
        <f>M1480+N1480</f>
        <v>8148750</v>
      </c>
      <c r="M1480" s="623">
        <v>8000000</v>
      </c>
      <c r="N1480" s="630">
        <v>148750</v>
      </c>
      <c r="O1480" s="631"/>
      <c r="P1480" s="630"/>
      <c r="Q1480" s="630"/>
      <c r="R1480" s="582">
        <f t="shared" si="207"/>
        <v>2000000</v>
      </c>
      <c r="S1480" s="586">
        <f t="shared" si="202"/>
        <v>0</v>
      </c>
      <c r="T1480" s="589"/>
      <c r="U1480" s="560"/>
      <c r="V1480" s="589"/>
      <c r="W1480" s="600"/>
      <c r="Y1480" s="600">
        <f t="shared" si="204"/>
        <v>8148750</v>
      </c>
    </row>
    <row r="1481" spans="1:25" ht="37.5" hidden="1">
      <c r="A1481" s="580">
        <f t="shared" si="203"/>
        <v>22</v>
      </c>
      <c r="B1481" s="945" t="s">
        <v>4209</v>
      </c>
      <c r="C1481" s="946" t="s">
        <v>296</v>
      </c>
      <c r="D1481" s="947">
        <v>43554</v>
      </c>
      <c r="E1481" s="948">
        <v>3000</v>
      </c>
      <c r="F1481" s="947" t="s">
        <v>227</v>
      </c>
      <c r="G1481" s="955">
        <v>1901.1</v>
      </c>
      <c r="H1481" s="947">
        <v>9</v>
      </c>
      <c r="I1481" s="947">
        <v>4</v>
      </c>
      <c r="J1481" s="950">
        <v>216</v>
      </c>
      <c r="K1481" s="629" t="s">
        <v>219</v>
      </c>
      <c r="L1481" s="956">
        <f>M1481+N1481</f>
        <v>8148750</v>
      </c>
      <c r="M1481" s="623">
        <v>8000000</v>
      </c>
      <c r="N1481" s="630">
        <v>148750</v>
      </c>
      <c r="O1481" s="631"/>
      <c r="P1481" s="630"/>
      <c r="Q1481" s="630"/>
      <c r="R1481" s="582">
        <f t="shared" si="207"/>
        <v>2000000</v>
      </c>
      <c r="S1481" s="586">
        <f t="shared" si="202"/>
        <v>0</v>
      </c>
      <c r="T1481" s="589"/>
      <c r="U1481" s="560"/>
      <c r="V1481" s="589"/>
      <c r="W1481" s="600"/>
      <c r="Y1481" s="600">
        <f t="shared" si="204"/>
        <v>8148750</v>
      </c>
    </row>
    <row r="1482" spans="1:25" ht="37.5" hidden="1">
      <c r="A1482" s="580">
        <f t="shared" si="203"/>
        <v>23</v>
      </c>
      <c r="B1482" s="945" t="s">
        <v>4198</v>
      </c>
      <c r="C1482" s="946" t="s">
        <v>296</v>
      </c>
      <c r="D1482" s="947">
        <v>31362</v>
      </c>
      <c r="E1482" s="630">
        <v>2800</v>
      </c>
      <c r="F1482" s="947" t="s">
        <v>227</v>
      </c>
      <c r="G1482" s="955">
        <v>1359</v>
      </c>
      <c r="H1482" s="947">
        <v>9</v>
      </c>
      <c r="I1482" s="947">
        <v>4</v>
      </c>
      <c r="J1482" s="950">
        <v>142</v>
      </c>
      <c r="K1482" s="629" t="s">
        <v>219</v>
      </c>
      <c r="L1482" s="956">
        <f>M1482+N1482</f>
        <v>8148750</v>
      </c>
      <c r="M1482" s="623">
        <v>8000000</v>
      </c>
      <c r="N1482" s="630">
        <v>148750</v>
      </c>
      <c r="O1482" s="631"/>
      <c r="P1482" s="630"/>
      <c r="Q1482" s="630"/>
      <c r="R1482" s="582">
        <f t="shared" si="207"/>
        <v>2000000</v>
      </c>
      <c r="S1482" s="586">
        <f t="shared" si="202"/>
        <v>0</v>
      </c>
      <c r="T1482" s="589"/>
      <c r="U1482" s="560"/>
      <c r="V1482" s="589"/>
      <c r="W1482" s="600"/>
      <c r="Y1482" s="600">
        <f t="shared" si="204"/>
        <v>8148750</v>
      </c>
    </row>
    <row r="1483" spans="1:25" ht="37.5" hidden="1">
      <c r="A1483" s="580">
        <f t="shared" si="203"/>
        <v>24</v>
      </c>
      <c r="B1483" s="945" t="s">
        <v>2657</v>
      </c>
      <c r="C1483" s="946" t="s">
        <v>296</v>
      </c>
      <c r="D1483" s="947">
        <v>36164</v>
      </c>
      <c r="E1483" s="948">
        <v>5832</v>
      </c>
      <c r="F1483" s="947" t="s">
        <v>227</v>
      </c>
      <c r="G1483" s="955">
        <v>1360</v>
      </c>
      <c r="H1483" s="947">
        <v>9</v>
      </c>
      <c r="I1483" s="947">
        <v>4</v>
      </c>
      <c r="J1483" s="950">
        <v>143</v>
      </c>
      <c r="K1483" s="629" t="s">
        <v>219</v>
      </c>
      <c r="L1483" s="956">
        <f>M1483+N1483</f>
        <v>8148750</v>
      </c>
      <c r="M1483" s="623">
        <v>8000000</v>
      </c>
      <c r="N1483" s="630">
        <v>148750</v>
      </c>
      <c r="O1483" s="631"/>
      <c r="P1483" s="630"/>
      <c r="Q1483" s="630"/>
      <c r="R1483" s="582">
        <f t="shared" si="207"/>
        <v>2000000</v>
      </c>
      <c r="S1483" s="586">
        <f t="shared" si="202"/>
        <v>0</v>
      </c>
      <c r="T1483" s="589"/>
      <c r="U1483" s="560"/>
      <c r="V1483" s="589"/>
      <c r="W1483" s="600"/>
      <c r="Y1483" s="600">
        <f t="shared" si="204"/>
        <v>8148750</v>
      </c>
    </row>
    <row r="1484" spans="1:25" ht="37.5" hidden="1">
      <c r="A1484" s="580">
        <f t="shared" si="203"/>
        <v>25</v>
      </c>
      <c r="B1484" s="945" t="s">
        <v>4174</v>
      </c>
      <c r="C1484" s="946" t="s">
        <v>296</v>
      </c>
      <c r="D1484" s="947">
        <v>31119</v>
      </c>
      <c r="E1484" s="948">
        <v>6804</v>
      </c>
      <c r="F1484" s="947" t="s">
        <v>227</v>
      </c>
      <c r="G1484" s="955">
        <v>1234</v>
      </c>
      <c r="H1484" s="947">
        <v>9</v>
      </c>
      <c r="I1484" s="947">
        <v>4</v>
      </c>
      <c r="J1484" s="950">
        <v>144</v>
      </c>
      <c r="K1484" s="629" t="s">
        <v>219</v>
      </c>
      <c r="L1484" s="956">
        <f>M1484+N1484</f>
        <v>8148750</v>
      </c>
      <c r="M1484" s="623">
        <v>8000000</v>
      </c>
      <c r="N1484" s="630">
        <v>148750</v>
      </c>
      <c r="O1484" s="631"/>
      <c r="P1484" s="630"/>
      <c r="Q1484" s="630"/>
      <c r="R1484" s="582">
        <f t="shared" si="207"/>
        <v>2000000</v>
      </c>
      <c r="S1484" s="586">
        <f t="shared" si="202"/>
        <v>0</v>
      </c>
      <c r="T1484" s="589"/>
      <c r="U1484" s="560"/>
      <c r="V1484" s="589"/>
      <c r="W1484" s="600"/>
      <c r="Y1484" s="600">
        <f t="shared" si="204"/>
        <v>8148750</v>
      </c>
    </row>
    <row r="1485" spans="1:25" ht="37.5" hidden="1">
      <c r="A1485" s="580">
        <f t="shared" si="203"/>
        <v>26</v>
      </c>
      <c r="B1485" s="945" t="s">
        <v>4200</v>
      </c>
      <c r="C1485" s="946" t="s">
        <v>296</v>
      </c>
      <c r="D1485" s="947">
        <v>21569</v>
      </c>
      <c r="E1485" s="948">
        <v>5400</v>
      </c>
      <c r="F1485" s="947" t="s">
        <v>227</v>
      </c>
      <c r="G1485" s="949">
        <v>679</v>
      </c>
      <c r="H1485" s="947">
        <v>12</v>
      </c>
      <c r="I1485" s="947">
        <v>2</v>
      </c>
      <c r="J1485" s="950">
        <v>90</v>
      </c>
      <c r="K1485" s="629" t="s">
        <v>219</v>
      </c>
      <c r="L1485" s="951">
        <f>SUM(M1485:P1485)</f>
        <v>8948750</v>
      </c>
      <c r="M1485" s="623">
        <v>8800000</v>
      </c>
      <c r="N1485" s="630">
        <v>148750</v>
      </c>
      <c r="O1485" s="631"/>
      <c r="P1485" s="630"/>
      <c r="Q1485" s="630"/>
      <c r="R1485" s="582">
        <v>2200000</v>
      </c>
      <c r="S1485" s="586">
        <f t="shared" si="202"/>
        <v>0</v>
      </c>
      <c r="T1485" s="589"/>
      <c r="U1485" s="560"/>
      <c r="V1485" s="589"/>
      <c r="W1485" s="600"/>
      <c r="Y1485" s="600">
        <f t="shared" si="204"/>
        <v>8948750</v>
      </c>
    </row>
    <row r="1486" spans="1:25" ht="37.5" hidden="1">
      <c r="A1486" s="580">
        <f t="shared" si="203"/>
        <v>27</v>
      </c>
      <c r="B1486" s="945" t="s">
        <v>4201</v>
      </c>
      <c r="C1486" s="946" t="s">
        <v>296</v>
      </c>
      <c r="D1486" s="947">
        <v>20791</v>
      </c>
      <c r="E1486" s="948">
        <v>3400</v>
      </c>
      <c r="F1486" s="947" t="s">
        <v>227</v>
      </c>
      <c r="G1486" s="949">
        <v>620</v>
      </c>
      <c r="H1486" s="947">
        <v>12</v>
      </c>
      <c r="I1486" s="947">
        <v>2</v>
      </c>
      <c r="J1486" s="950">
        <v>96</v>
      </c>
      <c r="K1486" s="629" t="s">
        <v>219</v>
      </c>
      <c r="L1486" s="951">
        <f>SUM(M1486:P1486)</f>
        <v>8948750</v>
      </c>
      <c r="M1486" s="623">
        <v>8800000</v>
      </c>
      <c r="N1486" s="630">
        <v>148750</v>
      </c>
      <c r="O1486" s="631"/>
      <c r="P1486" s="630"/>
      <c r="Q1486" s="630"/>
      <c r="R1486" s="582">
        <v>2200000</v>
      </c>
      <c r="S1486" s="586">
        <f t="shared" si="202"/>
        <v>0</v>
      </c>
      <c r="T1486" s="589"/>
      <c r="U1486" s="560"/>
      <c r="V1486" s="589"/>
      <c r="W1486" s="600"/>
      <c r="Y1486" s="600">
        <f t="shared" si="204"/>
        <v>8948750</v>
      </c>
    </row>
    <row r="1487" spans="1:25" ht="37.5" hidden="1">
      <c r="A1487" s="580">
        <f t="shared" si="203"/>
        <v>28</v>
      </c>
      <c r="B1487" s="945" t="s">
        <v>3856</v>
      </c>
      <c r="C1487" s="946" t="s">
        <v>296</v>
      </c>
      <c r="D1487" s="947">
        <v>12971</v>
      </c>
      <c r="E1487" s="948">
        <v>3240</v>
      </c>
      <c r="F1487" s="947" t="s">
        <v>227</v>
      </c>
      <c r="G1487" s="949">
        <v>694</v>
      </c>
      <c r="H1487" s="947">
        <v>9</v>
      </c>
      <c r="I1487" s="947">
        <v>4</v>
      </c>
      <c r="J1487" s="950">
        <v>144</v>
      </c>
      <c r="K1487" s="629" t="s">
        <v>219</v>
      </c>
      <c r="L1487" s="951">
        <f>SUM(M1487:P1487)</f>
        <v>6127500</v>
      </c>
      <c r="M1487" s="623">
        <v>6000000</v>
      </c>
      <c r="N1487" s="630">
        <v>127500</v>
      </c>
      <c r="O1487" s="587"/>
      <c r="P1487" s="586"/>
      <c r="Q1487" s="586"/>
      <c r="R1487" s="582">
        <f>M1487/3</f>
        <v>2000000</v>
      </c>
      <c r="S1487" s="586">
        <f t="shared" si="202"/>
        <v>0</v>
      </c>
      <c r="T1487" s="589"/>
      <c r="U1487" s="560"/>
      <c r="V1487" s="589"/>
      <c r="W1487" s="600"/>
      <c r="Y1487" s="600">
        <f t="shared" si="204"/>
        <v>6127500</v>
      </c>
    </row>
    <row r="1488" spans="1:25" ht="37.5" hidden="1">
      <c r="A1488" s="580">
        <f t="shared" si="203"/>
        <v>29</v>
      </c>
      <c r="B1488" s="945" t="s">
        <v>4202</v>
      </c>
      <c r="C1488" s="946" t="s">
        <v>296</v>
      </c>
      <c r="D1488" s="947">
        <v>46377</v>
      </c>
      <c r="E1488" s="948">
        <v>9216</v>
      </c>
      <c r="F1488" s="947" t="s">
        <v>227</v>
      </c>
      <c r="G1488" s="955">
        <v>1624.2</v>
      </c>
      <c r="H1488" s="950">
        <v>9</v>
      </c>
      <c r="I1488" s="950">
        <v>6</v>
      </c>
      <c r="J1488" s="950">
        <v>215</v>
      </c>
      <c r="K1488" s="629" t="s">
        <v>219</v>
      </c>
      <c r="L1488" s="951">
        <f>SUM(M1488:P1488)</f>
        <v>12191250</v>
      </c>
      <c r="M1488" s="623">
        <v>12000000</v>
      </c>
      <c r="N1488" s="630">
        <v>191250</v>
      </c>
      <c r="O1488" s="631"/>
      <c r="P1488" s="630"/>
      <c r="Q1488" s="630"/>
      <c r="R1488" s="582">
        <f>M1488/I1488</f>
        <v>2000000</v>
      </c>
      <c r="S1488" s="586">
        <f t="shared" si="202"/>
        <v>0</v>
      </c>
      <c r="T1488" s="589"/>
      <c r="U1488" s="560"/>
      <c r="V1488" s="589"/>
      <c r="W1488" s="600"/>
      <c r="Y1488" s="600">
        <f t="shared" si="204"/>
        <v>12191250</v>
      </c>
    </row>
    <row r="1489" spans="1:26" ht="37.5" hidden="1">
      <c r="A1489" s="580">
        <f t="shared" si="203"/>
        <v>30</v>
      </c>
      <c r="B1489" s="945" t="s">
        <v>4210</v>
      </c>
      <c r="C1489" s="946" t="s">
        <v>296</v>
      </c>
      <c r="D1489" s="947">
        <v>34316</v>
      </c>
      <c r="E1489" s="947">
        <v>6144</v>
      </c>
      <c r="F1489" s="947" t="s">
        <v>227</v>
      </c>
      <c r="G1489" s="955">
        <v>1374.3</v>
      </c>
      <c r="H1489" s="947">
        <v>9</v>
      </c>
      <c r="I1489" s="947">
        <v>4</v>
      </c>
      <c r="J1489" s="950">
        <v>144</v>
      </c>
      <c r="K1489" s="629" t="s">
        <v>219</v>
      </c>
      <c r="L1489" s="956">
        <f>M1489+N1489</f>
        <v>8148750</v>
      </c>
      <c r="M1489" s="623">
        <v>8000000</v>
      </c>
      <c r="N1489" s="630">
        <v>148750</v>
      </c>
      <c r="O1489" s="631"/>
      <c r="P1489" s="630"/>
      <c r="Q1489" s="630"/>
      <c r="R1489" s="582">
        <f>M1489/I1489</f>
        <v>2000000</v>
      </c>
      <c r="S1489" s="586">
        <f t="shared" si="202"/>
        <v>0</v>
      </c>
      <c r="T1489" s="589"/>
      <c r="U1489" s="560"/>
      <c r="V1489" s="589"/>
      <c r="W1489" s="600"/>
      <c r="Y1489" s="600">
        <f t="shared" si="204"/>
        <v>8148750</v>
      </c>
    </row>
    <row r="1490" spans="1:26" ht="37.5" hidden="1">
      <c r="A1490" s="580">
        <f t="shared" si="203"/>
        <v>31</v>
      </c>
      <c r="B1490" s="945" t="s">
        <v>4203</v>
      </c>
      <c r="C1490" s="948" t="s">
        <v>296</v>
      </c>
      <c r="D1490" s="957">
        <v>32336</v>
      </c>
      <c r="E1490" s="958">
        <v>6144</v>
      </c>
      <c r="F1490" s="959" t="s">
        <v>227</v>
      </c>
      <c r="G1490" s="957">
        <v>1384</v>
      </c>
      <c r="H1490" s="957">
        <v>9</v>
      </c>
      <c r="I1490" s="957">
        <v>4</v>
      </c>
      <c r="J1490" s="957">
        <v>144</v>
      </c>
      <c r="K1490" s="632" t="s">
        <v>219</v>
      </c>
      <c r="L1490" s="960">
        <v>8148750</v>
      </c>
      <c r="M1490" s="623">
        <v>8000000</v>
      </c>
      <c r="N1490" s="630">
        <v>148750</v>
      </c>
      <c r="O1490" s="576"/>
      <c r="P1490" s="575"/>
      <c r="Q1490" s="630"/>
      <c r="R1490" s="582">
        <f>M1490/I1490</f>
        <v>2000000</v>
      </c>
      <c r="S1490" s="586">
        <f t="shared" si="202"/>
        <v>0</v>
      </c>
      <c r="T1490" s="589"/>
      <c r="U1490" s="560"/>
      <c r="V1490" s="589"/>
      <c r="W1490" s="600"/>
      <c r="Y1490" s="600">
        <f t="shared" si="204"/>
        <v>8148750</v>
      </c>
    </row>
    <row r="1491" spans="1:26" s="75" customFormat="1" hidden="1">
      <c r="A1491" s="580">
        <f t="shared" si="203"/>
        <v>32</v>
      </c>
      <c r="B1491" s="592" t="s">
        <v>1700</v>
      </c>
      <c r="C1491" s="593" t="s">
        <v>217</v>
      </c>
      <c r="D1491" s="594">
        <v>25579</v>
      </c>
      <c r="E1491" s="594">
        <v>4608</v>
      </c>
      <c r="F1491" s="594" t="s">
        <v>233</v>
      </c>
      <c r="G1491" s="594">
        <v>1023</v>
      </c>
      <c r="H1491" s="594">
        <v>9</v>
      </c>
      <c r="I1491" s="594">
        <v>3</v>
      </c>
      <c r="J1491" s="594">
        <v>108</v>
      </c>
      <c r="K1491" s="590" t="s">
        <v>224</v>
      </c>
      <c r="L1491" s="584">
        <f>M1491+N1491+O1491+Q1491+Q1492+O1492+N1492+M1492</f>
        <v>8475641</v>
      </c>
      <c r="M1491" s="596">
        <v>2292900</v>
      </c>
      <c r="N1491" s="597">
        <v>35441</v>
      </c>
      <c r="O1491" s="598"/>
      <c r="P1491" s="597"/>
      <c r="Q1491" s="597">
        <v>19800</v>
      </c>
      <c r="R1491" s="599">
        <f>M1491/J1491</f>
        <v>21230.555555555555</v>
      </c>
      <c r="S1491" s="586">
        <f t="shared" si="202"/>
        <v>6127500</v>
      </c>
      <c r="T1491" s="600"/>
      <c r="U1491" s="589"/>
      <c r="V1491" s="589"/>
      <c r="W1491" s="600"/>
      <c r="X1491" s="601"/>
      <c r="Y1491" s="600">
        <f t="shared" si="204"/>
        <v>2348141</v>
      </c>
      <c r="Z1491" s="601"/>
    </row>
    <row r="1492" spans="1:26" s="136" customFormat="1" ht="37.5" hidden="1">
      <c r="A1492" s="716"/>
      <c r="B1492" s="961"/>
      <c r="C1492" s="718"/>
      <c r="D1492" s="719"/>
      <c r="E1492" s="719"/>
      <c r="F1492" s="719"/>
      <c r="G1492" s="719"/>
      <c r="H1492" s="719"/>
      <c r="I1492" s="719"/>
      <c r="J1492" s="719"/>
      <c r="K1492" s="720" t="s">
        <v>219</v>
      </c>
      <c r="L1492" s="962"/>
      <c r="M1492" s="962">
        <v>6000000</v>
      </c>
      <c r="N1492" s="722">
        <v>127500</v>
      </c>
      <c r="O1492" s="963"/>
      <c r="P1492" s="722"/>
      <c r="Q1492" s="722"/>
      <c r="R1492" s="964">
        <f>M1492/I1491</f>
        <v>2000000</v>
      </c>
      <c r="S1492" s="586">
        <f t="shared" ref="S1492:S1523" si="208">L1492-M1492-N1492-O1492-P1492-Q1492</f>
        <v>-6127500</v>
      </c>
      <c r="T1492" s="726"/>
      <c r="U1492" s="965"/>
      <c r="V1492" s="589"/>
      <c r="W1492" s="600"/>
      <c r="X1492" s="727"/>
      <c r="Y1492" s="600">
        <f t="shared" si="204"/>
        <v>6127500</v>
      </c>
      <c r="Z1492" s="727"/>
    </row>
    <row r="1493" spans="1:26" s="75" customFormat="1" hidden="1">
      <c r="A1493" s="714">
        <f>A1491+1</f>
        <v>33</v>
      </c>
      <c r="B1493" s="592" t="s">
        <v>1701</v>
      </c>
      <c r="C1493" s="593" t="s">
        <v>217</v>
      </c>
      <c r="D1493" s="594">
        <v>20791</v>
      </c>
      <c r="E1493" s="594">
        <v>3400</v>
      </c>
      <c r="F1493" s="594" t="s">
        <v>233</v>
      </c>
      <c r="G1493" s="594">
        <v>637</v>
      </c>
      <c r="H1493" s="594">
        <v>12</v>
      </c>
      <c r="I1493" s="594">
        <v>2</v>
      </c>
      <c r="J1493" s="594">
        <v>96</v>
      </c>
      <c r="K1493" s="590" t="s">
        <v>224</v>
      </c>
      <c r="L1493" s="584">
        <f>M1493+N1493+O1493+Q1493+Q1494+O1494+N1494+M1494</f>
        <v>11056654</v>
      </c>
      <c r="M1493" s="596">
        <v>2052900</v>
      </c>
      <c r="N1493" s="597">
        <v>35204</v>
      </c>
      <c r="O1493" s="598"/>
      <c r="P1493" s="597"/>
      <c r="Q1493" s="597">
        <v>19800</v>
      </c>
      <c r="R1493" s="599">
        <f>M1493/J1493</f>
        <v>21384.375</v>
      </c>
      <c r="S1493" s="586">
        <f t="shared" si="208"/>
        <v>8948750</v>
      </c>
      <c r="T1493" s="600"/>
      <c r="U1493" s="589"/>
      <c r="V1493" s="589"/>
      <c r="W1493" s="600"/>
      <c r="X1493" s="601"/>
      <c r="Y1493" s="600">
        <f t="shared" si="204"/>
        <v>2107904</v>
      </c>
      <c r="Z1493" s="601"/>
    </row>
    <row r="1494" spans="1:26" s="136" customFormat="1" ht="37.5" hidden="1">
      <c r="A1494" s="716"/>
      <c r="B1494" s="961"/>
      <c r="C1494" s="718"/>
      <c r="D1494" s="719"/>
      <c r="E1494" s="719"/>
      <c r="F1494" s="719"/>
      <c r="G1494" s="719"/>
      <c r="H1494" s="719"/>
      <c r="I1494" s="719"/>
      <c r="J1494" s="719"/>
      <c r="K1494" s="720" t="s">
        <v>219</v>
      </c>
      <c r="L1494" s="962"/>
      <c r="M1494" s="962">
        <v>8800000</v>
      </c>
      <c r="N1494" s="722">
        <v>148750</v>
      </c>
      <c r="O1494" s="963"/>
      <c r="P1494" s="722"/>
      <c r="Q1494" s="722"/>
      <c r="R1494" s="599">
        <f>M1494/4</f>
        <v>2200000</v>
      </c>
      <c r="S1494" s="586">
        <f t="shared" si="208"/>
        <v>-8948750</v>
      </c>
      <c r="T1494" s="726"/>
      <c r="U1494" s="965"/>
      <c r="V1494" s="589"/>
      <c r="W1494" s="600"/>
      <c r="X1494" s="727"/>
      <c r="Y1494" s="600">
        <f t="shared" si="204"/>
        <v>8948750</v>
      </c>
      <c r="Z1494" s="727"/>
    </row>
    <row r="1495" spans="1:26" s="75" customFormat="1" ht="37.5" hidden="1">
      <c r="A1495" s="714">
        <v>34</v>
      </c>
      <c r="B1495" s="592" t="s">
        <v>1778</v>
      </c>
      <c r="C1495" s="593" t="s">
        <v>217</v>
      </c>
      <c r="D1495" s="594">
        <v>25144</v>
      </c>
      <c r="E1495" s="594">
        <v>2016</v>
      </c>
      <c r="F1495" s="594" t="s">
        <v>233</v>
      </c>
      <c r="G1495" s="594">
        <v>824.5</v>
      </c>
      <c r="H1495" s="594">
        <v>12</v>
      </c>
      <c r="I1495" s="594">
        <v>1</v>
      </c>
      <c r="J1495" s="594">
        <v>56</v>
      </c>
      <c r="K1495" s="632" t="s">
        <v>219</v>
      </c>
      <c r="L1495" s="966">
        <f>M1495+N1495+O1495+P1495+Q1495</f>
        <v>4506250</v>
      </c>
      <c r="M1495" s="607">
        <v>4400000</v>
      </c>
      <c r="N1495" s="675">
        <v>106250</v>
      </c>
      <c r="O1495" s="631"/>
      <c r="P1495" s="675"/>
      <c r="Q1495" s="675"/>
      <c r="R1495" s="599">
        <v>2200000</v>
      </c>
      <c r="S1495" s="586">
        <f t="shared" si="208"/>
        <v>0</v>
      </c>
      <c r="T1495" s="600"/>
      <c r="U1495" s="589"/>
      <c r="V1495" s="589"/>
      <c r="W1495" s="600"/>
      <c r="X1495" s="601"/>
      <c r="Y1495" s="600">
        <f t="shared" si="204"/>
        <v>4506250</v>
      </c>
      <c r="Z1495" s="601"/>
    </row>
    <row r="1496" spans="1:26" s="103" customFormat="1" ht="37.5" hidden="1">
      <c r="A1496" s="714">
        <f>A1495+1</f>
        <v>35</v>
      </c>
      <c r="B1496" s="592" t="s">
        <v>4001</v>
      </c>
      <c r="C1496" s="593" t="s">
        <v>271</v>
      </c>
      <c r="D1496" s="594"/>
      <c r="E1496" s="594"/>
      <c r="F1496" s="594" t="s">
        <v>233</v>
      </c>
      <c r="G1496" s="594"/>
      <c r="H1496" s="594">
        <v>10</v>
      </c>
      <c r="I1496" s="594">
        <v>7</v>
      </c>
      <c r="J1496" s="594">
        <v>232</v>
      </c>
      <c r="K1496" s="588" t="s">
        <v>219</v>
      </c>
      <c r="L1496" s="967">
        <f>M1496+N1496</f>
        <v>2285000</v>
      </c>
      <c r="M1496" s="596">
        <v>2200000</v>
      </c>
      <c r="N1496" s="597">
        <v>85000</v>
      </c>
      <c r="O1496" s="598"/>
      <c r="P1496" s="597"/>
      <c r="Q1496" s="597"/>
      <c r="R1496" s="582">
        <v>2200000</v>
      </c>
      <c r="S1496" s="586">
        <f t="shared" si="208"/>
        <v>0</v>
      </c>
      <c r="T1496" s="589"/>
      <c r="U1496" s="560"/>
      <c r="V1496" s="589"/>
      <c r="W1496" s="600"/>
      <c r="X1496" s="560"/>
      <c r="Y1496" s="600">
        <f t="shared" si="204"/>
        <v>2285000</v>
      </c>
      <c r="Z1496" s="560"/>
    </row>
    <row r="1497" spans="1:26" ht="37.5" hidden="1">
      <c r="A1497" s="580">
        <f t="shared" si="203"/>
        <v>36</v>
      </c>
      <c r="B1497" s="945" t="s">
        <v>4143</v>
      </c>
      <c r="C1497" s="948" t="s">
        <v>221</v>
      </c>
      <c r="D1497" s="968">
        <v>19250</v>
      </c>
      <c r="E1497" s="969">
        <v>2108</v>
      </c>
      <c r="F1497" s="950" t="s">
        <v>222</v>
      </c>
      <c r="G1497" s="968">
        <v>1548.7</v>
      </c>
      <c r="H1497" s="970" t="s">
        <v>4144</v>
      </c>
      <c r="I1497" s="957">
        <v>2</v>
      </c>
      <c r="J1497" s="971">
        <v>112</v>
      </c>
      <c r="K1497" s="632" t="s">
        <v>219</v>
      </c>
      <c r="L1497" s="972">
        <f>SUM(M1497:P1497)</f>
        <v>4106250</v>
      </c>
      <c r="M1497" s="623">
        <v>4000000</v>
      </c>
      <c r="N1497" s="952">
        <v>106250</v>
      </c>
      <c r="O1497" s="613"/>
      <c r="P1497" s="586"/>
      <c r="Q1497" s="614"/>
      <c r="R1497" s="586">
        <f t="shared" ref="R1497:R1509" si="209">M1497/I1497</f>
        <v>2000000</v>
      </c>
      <c r="S1497" s="586">
        <f t="shared" si="208"/>
        <v>0</v>
      </c>
      <c r="T1497" s="589"/>
      <c r="U1497" s="560"/>
      <c r="V1497" s="589"/>
      <c r="W1497" s="600"/>
      <c r="Y1497" s="600">
        <f t="shared" si="204"/>
        <v>4106250</v>
      </c>
    </row>
    <row r="1498" spans="1:26" ht="37.5" hidden="1">
      <c r="A1498" s="580">
        <f>A1497+1</f>
        <v>37</v>
      </c>
      <c r="B1498" s="973" t="s">
        <v>4146</v>
      </c>
      <c r="C1498" s="571" t="s">
        <v>296</v>
      </c>
      <c r="D1498" s="974">
        <v>46164</v>
      </c>
      <c r="E1498" s="974">
        <v>8789</v>
      </c>
      <c r="F1498" s="571" t="s">
        <v>227</v>
      </c>
      <c r="G1498" s="974">
        <v>2015</v>
      </c>
      <c r="H1498" s="571">
        <v>9</v>
      </c>
      <c r="I1498" s="571">
        <v>6</v>
      </c>
      <c r="J1498" s="571">
        <v>217</v>
      </c>
      <c r="K1498" s="629" t="s">
        <v>219</v>
      </c>
      <c r="L1498" s="951">
        <f>SUM(M1498:P1498)</f>
        <v>12191250</v>
      </c>
      <c r="M1498" s="623">
        <v>12000000</v>
      </c>
      <c r="N1498" s="630">
        <v>191250</v>
      </c>
      <c r="R1498" s="582">
        <f t="shared" si="209"/>
        <v>2000000</v>
      </c>
      <c r="S1498" s="586">
        <f t="shared" si="208"/>
        <v>0</v>
      </c>
      <c r="T1498" s="589"/>
      <c r="U1498" s="560"/>
      <c r="V1498" s="589"/>
      <c r="W1498" s="600"/>
      <c r="Y1498" s="600">
        <f t="shared" si="204"/>
        <v>12191250</v>
      </c>
    </row>
    <row r="1499" spans="1:26" ht="37.5" hidden="1">
      <c r="A1499" s="580">
        <f t="shared" si="203"/>
        <v>38</v>
      </c>
      <c r="B1499" s="945" t="s">
        <v>2376</v>
      </c>
      <c r="C1499" s="948" t="s">
        <v>217</v>
      </c>
      <c r="D1499" s="948">
        <v>15170</v>
      </c>
      <c r="E1499" s="948">
        <v>3100</v>
      </c>
      <c r="F1499" s="948" t="s">
        <v>233</v>
      </c>
      <c r="G1499" s="948">
        <v>651.9</v>
      </c>
      <c r="H1499" s="971">
        <v>9</v>
      </c>
      <c r="I1499" s="948">
        <v>2</v>
      </c>
      <c r="J1499" s="948">
        <v>72</v>
      </c>
      <c r="K1499" s="632" t="s">
        <v>4147</v>
      </c>
      <c r="L1499" s="956">
        <f>SUM(M1499:P1499)</f>
        <v>4106250</v>
      </c>
      <c r="M1499" s="623">
        <v>4000000</v>
      </c>
      <c r="N1499" s="952">
        <v>106250</v>
      </c>
      <c r="O1499" s="587"/>
      <c r="P1499" s="582"/>
      <c r="Q1499" s="582"/>
      <c r="R1499" s="582">
        <f t="shared" si="209"/>
        <v>2000000</v>
      </c>
      <c r="S1499" s="586">
        <f t="shared" si="208"/>
        <v>0</v>
      </c>
      <c r="T1499" s="589"/>
      <c r="U1499" s="560"/>
      <c r="V1499" s="589"/>
      <c r="W1499" s="600"/>
      <c r="Y1499" s="600">
        <f t="shared" si="204"/>
        <v>4106250</v>
      </c>
    </row>
    <row r="1500" spans="1:26" ht="37.5" hidden="1">
      <c r="A1500" s="580">
        <f t="shared" si="203"/>
        <v>39</v>
      </c>
      <c r="B1500" s="945" t="s">
        <v>4207</v>
      </c>
      <c r="C1500" s="946" t="s">
        <v>296</v>
      </c>
      <c r="D1500" s="947">
        <v>30623</v>
      </c>
      <c r="E1500" s="948">
        <v>6144</v>
      </c>
      <c r="F1500" s="947" t="s">
        <v>227</v>
      </c>
      <c r="G1500" s="955">
        <v>1336.7</v>
      </c>
      <c r="H1500" s="947">
        <v>9</v>
      </c>
      <c r="I1500" s="947">
        <v>4</v>
      </c>
      <c r="J1500" s="950">
        <v>144</v>
      </c>
      <c r="K1500" s="629" t="s">
        <v>219</v>
      </c>
      <c r="L1500" s="951">
        <f>SUM(M1500:P1500)</f>
        <v>8148750</v>
      </c>
      <c r="M1500" s="623">
        <v>8000000</v>
      </c>
      <c r="N1500" s="630">
        <v>148750</v>
      </c>
      <c r="O1500" s="587"/>
      <c r="P1500" s="586"/>
      <c r="Q1500" s="586"/>
      <c r="R1500" s="582">
        <f t="shared" si="209"/>
        <v>2000000</v>
      </c>
      <c r="S1500" s="586">
        <f t="shared" si="208"/>
        <v>0</v>
      </c>
      <c r="T1500" s="589"/>
      <c r="U1500" s="560"/>
      <c r="V1500" s="589"/>
      <c r="W1500" s="600"/>
      <c r="Y1500" s="600">
        <f t="shared" si="204"/>
        <v>8148750</v>
      </c>
    </row>
    <row r="1501" spans="1:26" ht="37.5" hidden="1">
      <c r="A1501" s="580">
        <f t="shared" si="203"/>
        <v>40</v>
      </c>
      <c r="B1501" s="945" t="s">
        <v>4208</v>
      </c>
      <c r="C1501" s="946" t="s">
        <v>296</v>
      </c>
      <c r="D1501" s="947">
        <v>31509</v>
      </c>
      <c r="E1501" s="948">
        <v>6144</v>
      </c>
      <c r="F1501" s="947" t="s">
        <v>227</v>
      </c>
      <c r="G1501" s="955">
        <v>1354</v>
      </c>
      <c r="H1501" s="947">
        <v>9</v>
      </c>
      <c r="I1501" s="947">
        <v>4</v>
      </c>
      <c r="J1501" s="950">
        <v>144</v>
      </c>
      <c r="K1501" s="629" t="s">
        <v>219</v>
      </c>
      <c r="L1501" s="951">
        <f>SUM(M1501:P1501)</f>
        <v>8148750</v>
      </c>
      <c r="M1501" s="623">
        <v>8000000</v>
      </c>
      <c r="N1501" s="630">
        <v>148750</v>
      </c>
      <c r="O1501" s="631"/>
      <c r="P1501" s="630"/>
      <c r="Q1501" s="630"/>
      <c r="R1501" s="582">
        <f t="shared" si="209"/>
        <v>2000000</v>
      </c>
      <c r="S1501" s="586">
        <f t="shared" si="208"/>
        <v>0</v>
      </c>
      <c r="T1501" s="589"/>
      <c r="U1501" s="560"/>
      <c r="V1501" s="589"/>
      <c r="W1501" s="600"/>
      <c r="Y1501" s="600">
        <f t="shared" si="204"/>
        <v>8148750</v>
      </c>
    </row>
    <row r="1502" spans="1:26" ht="37.5" hidden="1">
      <c r="A1502" s="580">
        <f t="shared" si="203"/>
        <v>41</v>
      </c>
      <c r="B1502" s="945" t="s">
        <v>4194</v>
      </c>
      <c r="C1502" s="946" t="s">
        <v>296</v>
      </c>
      <c r="D1502" s="947">
        <v>23501</v>
      </c>
      <c r="E1502" s="948">
        <v>3072</v>
      </c>
      <c r="F1502" s="947" t="s">
        <v>227</v>
      </c>
      <c r="G1502" s="955">
        <v>830</v>
      </c>
      <c r="H1502" s="947">
        <v>9</v>
      </c>
      <c r="I1502" s="947">
        <v>3</v>
      </c>
      <c r="J1502" s="950">
        <v>108</v>
      </c>
      <c r="K1502" s="629" t="s">
        <v>219</v>
      </c>
      <c r="L1502" s="951">
        <v>6127500</v>
      </c>
      <c r="M1502" s="623">
        <v>6000000</v>
      </c>
      <c r="N1502" s="952">
        <v>127500</v>
      </c>
      <c r="O1502" s="587"/>
      <c r="P1502" s="586"/>
      <c r="Q1502" s="586"/>
      <c r="R1502" s="582">
        <f t="shared" si="209"/>
        <v>2000000</v>
      </c>
      <c r="S1502" s="586">
        <f t="shared" si="208"/>
        <v>0</v>
      </c>
      <c r="T1502" s="589"/>
      <c r="U1502" s="560"/>
      <c r="V1502" s="589"/>
      <c r="W1502" s="600"/>
      <c r="Y1502" s="600">
        <f t="shared" si="204"/>
        <v>6127500</v>
      </c>
    </row>
    <row r="1503" spans="1:26" ht="37.5" hidden="1">
      <c r="A1503" s="580">
        <f t="shared" si="203"/>
        <v>42</v>
      </c>
      <c r="B1503" s="945" t="s">
        <v>4195</v>
      </c>
      <c r="C1503" s="946" t="s">
        <v>296</v>
      </c>
      <c r="D1503" s="947">
        <v>32109</v>
      </c>
      <c r="E1503" s="948">
        <v>6144</v>
      </c>
      <c r="F1503" s="947" t="s">
        <v>227</v>
      </c>
      <c r="G1503" s="955">
        <v>1233</v>
      </c>
      <c r="H1503" s="947">
        <v>9</v>
      </c>
      <c r="I1503" s="947">
        <v>4</v>
      </c>
      <c r="J1503" s="950">
        <v>142</v>
      </c>
      <c r="K1503" s="629" t="s">
        <v>219</v>
      </c>
      <c r="L1503" s="951">
        <f>SUM(M1503:P1503)</f>
        <v>8148750</v>
      </c>
      <c r="M1503" s="623">
        <v>8000000</v>
      </c>
      <c r="N1503" s="630">
        <v>148750</v>
      </c>
      <c r="O1503" s="631"/>
      <c r="P1503" s="630"/>
      <c r="Q1503" s="630"/>
      <c r="R1503" s="582">
        <f t="shared" si="209"/>
        <v>2000000</v>
      </c>
      <c r="S1503" s="586">
        <f t="shared" si="208"/>
        <v>0</v>
      </c>
      <c r="T1503" s="589"/>
      <c r="U1503" s="560"/>
      <c r="V1503" s="589"/>
      <c r="W1503" s="600"/>
      <c r="Y1503" s="600">
        <f t="shared" si="204"/>
        <v>8148750</v>
      </c>
    </row>
    <row r="1504" spans="1:26" ht="37.5" hidden="1">
      <c r="A1504" s="580">
        <f t="shared" si="203"/>
        <v>43</v>
      </c>
      <c r="B1504" s="945" t="s">
        <v>2408</v>
      </c>
      <c r="C1504" s="946" t="s">
        <v>296</v>
      </c>
      <c r="D1504" s="947">
        <v>34473</v>
      </c>
      <c r="E1504" s="948">
        <v>5832</v>
      </c>
      <c r="F1504" s="947" t="s">
        <v>227</v>
      </c>
      <c r="G1504" s="955">
        <v>1384</v>
      </c>
      <c r="H1504" s="947">
        <v>9</v>
      </c>
      <c r="I1504" s="947">
        <v>4</v>
      </c>
      <c r="J1504" s="950">
        <v>144</v>
      </c>
      <c r="K1504" s="629" t="s">
        <v>219</v>
      </c>
      <c r="L1504" s="956">
        <f>M1504+N1504</f>
        <v>8148750</v>
      </c>
      <c r="M1504" s="623">
        <v>8000000</v>
      </c>
      <c r="N1504" s="630">
        <v>148750</v>
      </c>
      <c r="O1504" s="631"/>
      <c r="P1504" s="630"/>
      <c r="Q1504" s="630"/>
      <c r="R1504" s="582">
        <f t="shared" si="209"/>
        <v>2000000</v>
      </c>
      <c r="S1504" s="586">
        <f t="shared" si="208"/>
        <v>0</v>
      </c>
      <c r="T1504" s="589"/>
      <c r="U1504" s="560"/>
      <c r="V1504" s="589"/>
      <c r="W1504" s="600"/>
      <c r="Y1504" s="600">
        <f t="shared" si="204"/>
        <v>8148750</v>
      </c>
    </row>
    <row r="1505" spans="1:25" ht="37.5" hidden="1">
      <c r="A1505" s="580">
        <f t="shared" si="203"/>
        <v>44</v>
      </c>
      <c r="B1505" s="945" t="s">
        <v>4196</v>
      </c>
      <c r="C1505" s="946" t="s">
        <v>296</v>
      </c>
      <c r="D1505" s="947">
        <v>43555</v>
      </c>
      <c r="E1505" s="948">
        <v>3000</v>
      </c>
      <c r="F1505" s="947" t="s">
        <v>227</v>
      </c>
      <c r="G1505" s="955">
        <v>1872</v>
      </c>
      <c r="H1505" s="947">
        <v>9</v>
      </c>
      <c r="I1505" s="947">
        <v>4</v>
      </c>
      <c r="J1505" s="950">
        <v>216</v>
      </c>
      <c r="K1505" s="629" t="s">
        <v>219</v>
      </c>
      <c r="L1505" s="956">
        <f>M1505+N1505</f>
        <v>8148750</v>
      </c>
      <c r="M1505" s="623">
        <v>8000000</v>
      </c>
      <c r="N1505" s="630">
        <v>148750</v>
      </c>
      <c r="O1505" s="631"/>
      <c r="P1505" s="630"/>
      <c r="Q1505" s="630"/>
      <c r="R1505" s="582">
        <f t="shared" si="209"/>
        <v>2000000</v>
      </c>
      <c r="S1505" s="586">
        <f t="shared" si="208"/>
        <v>0</v>
      </c>
      <c r="T1505" s="589"/>
      <c r="U1505" s="560"/>
      <c r="V1505" s="589"/>
      <c r="W1505" s="600"/>
      <c r="Y1505" s="600">
        <f t="shared" si="204"/>
        <v>8148750</v>
      </c>
    </row>
    <row r="1506" spans="1:25" ht="37.5" hidden="1">
      <c r="A1506" s="580">
        <f t="shared" si="203"/>
        <v>45</v>
      </c>
      <c r="B1506" s="945" t="s">
        <v>4152</v>
      </c>
      <c r="C1506" s="948" t="s">
        <v>4153</v>
      </c>
      <c r="D1506" s="969">
        <v>56992</v>
      </c>
      <c r="E1506" s="975">
        <v>9677</v>
      </c>
      <c r="F1506" s="947" t="s">
        <v>233</v>
      </c>
      <c r="G1506" s="975">
        <v>2247</v>
      </c>
      <c r="H1506" s="947">
        <v>9</v>
      </c>
      <c r="I1506" s="947">
        <v>7</v>
      </c>
      <c r="J1506" s="947">
        <v>252</v>
      </c>
      <c r="K1506" s="632" t="s">
        <v>219</v>
      </c>
      <c r="L1506" s="960">
        <f t="shared" ref="L1506:L1525" si="210">SUM(M1506:P1506)</f>
        <v>14212500</v>
      </c>
      <c r="M1506" s="623">
        <v>14000000</v>
      </c>
      <c r="N1506" s="675">
        <v>212500</v>
      </c>
      <c r="O1506" s="598"/>
      <c r="P1506" s="597"/>
      <c r="Q1506" s="597"/>
      <c r="R1506" s="582">
        <f t="shared" si="209"/>
        <v>2000000</v>
      </c>
      <c r="S1506" s="586">
        <f t="shared" si="208"/>
        <v>0</v>
      </c>
      <c r="T1506" s="589"/>
      <c r="U1506" s="560"/>
      <c r="V1506" s="589"/>
      <c r="W1506" s="600"/>
      <c r="Y1506" s="600">
        <f t="shared" si="204"/>
        <v>14212500</v>
      </c>
    </row>
    <row r="1507" spans="1:25" ht="37.5" hidden="1">
      <c r="A1507" s="580">
        <f t="shared" si="203"/>
        <v>46</v>
      </c>
      <c r="B1507" s="945" t="s">
        <v>4154</v>
      </c>
      <c r="C1507" s="948" t="s">
        <v>4153</v>
      </c>
      <c r="D1507" s="969">
        <v>60476</v>
      </c>
      <c r="E1507" s="975">
        <v>9816</v>
      </c>
      <c r="F1507" s="947" t="s">
        <v>233</v>
      </c>
      <c r="G1507" s="975">
        <v>2372</v>
      </c>
      <c r="H1507" s="947">
        <v>9</v>
      </c>
      <c r="I1507" s="947">
        <v>7</v>
      </c>
      <c r="J1507" s="947">
        <v>252</v>
      </c>
      <c r="K1507" s="632" t="s">
        <v>219</v>
      </c>
      <c r="L1507" s="960">
        <f t="shared" si="210"/>
        <v>14212500</v>
      </c>
      <c r="M1507" s="623">
        <v>14000000</v>
      </c>
      <c r="N1507" s="675">
        <v>212500</v>
      </c>
      <c r="O1507" s="598"/>
      <c r="P1507" s="597"/>
      <c r="Q1507" s="597"/>
      <c r="R1507" s="582">
        <f t="shared" si="209"/>
        <v>2000000</v>
      </c>
      <c r="S1507" s="586">
        <f t="shared" si="208"/>
        <v>0</v>
      </c>
      <c r="T1507" s="589"/>
      <c r="U1507" s="560"/>
      <c r="V1507" s="589"/>
      <c r="W1507" s="600"/>
      <c r="Y1507" s="600">
        <f t="shared" si="204"/>
        <v>14212500</v>
      </c>
    </row>
    <row r="1508" spans="1:25" ht="37.5" hidden="1">
      <c r="A1508" s="580">
        <f t="shared" si="203"/>
        <v>47</v>
      </c>
      <c r="B1508" s="945" t="s">
        <v>3758</v>
      </c>
      <c r="C1508" s="948" t="s">
        <v>221</v>
      </c>
      <c r="D1508" s="968">
        <v>21263</v>
      </c>
      <c r="E1508" s="969">
        <v>3792.9</v>
      </c>
      <c r="F1508" s="947" t="s">
        <v>233</v>
      </c>
      <c r="G1508" s="968">
        <v>1110</v>
      </c>
      <c r="H1508" s="957">
        <v>9</v>
      </c>
      <c r="I1508" s="957">
        <v>2</v>
      </c>
      <c r="J1508" s="971">
        <v>104</v>
      </c>
      <c r="K1508" s="632" t="s">
        <v>219</v>
      </c>
      <c r="L1508" s="972">
        <f t="shared" si="210"/>
        <v>4106250</v>
      </c>
      <c r="M1508" s="623">
        <v>4000000</v>
      </c>
      <c r="N1508" s="952">
        <v>106250</v>
      </c>
      <c r="O1508" s="613"/>
      <c r="P1508" s="586"/>
      <c r="Q1508" s="614"/>
      <c r="R1508" s="582">
        <f t="shared" si="209"/>
        <v>2000000</v>
      </c>
      <c r="S1508" s="586">
        <f t="shared" si="208"/>
        <v>0</v>
      </c>
      <c r="T1508" s="589"/>
      <c r="U1508" s="560"/>
      <c r="V1508" s="589"/>
      <c r="W1508" s="600"/>
      <c r="Y1508" s="600">
        <f t="shared" si="204"/>
        <v>4106250</v>
      </c>
    </row>
    <row r="1509" spans="1:25" ht="37.5" hidden="1">
      <c r="A1509" s="580">
        <f t="shared" si="203"/>
        <v>48</v>
      </c>
      <c r="B1509" s="976" t="s">
        <v>4155</v>
      </c>
      <c r="C1509" s="948" t="s">
        <v>221</v>
      </c>
      <c r="D1509" s="968">
        <v>21660</v>
      </c>
      <c r="E1509" s="969">
        <v>3668.8</v>
      </c>
      <c r="F1509" s="947" t="s">
        <v>233</v>
      </c>
      <c r="G1509" s="968">
        <v>908</v>
      </c>
      <c r="H1509" s="957">
        <v>9</v>
      </c>
      <c r="I1509" s="957">
        <v>2</v>
      </c>
      <c r="J1509" s="971">
        <v>107</v>
      </c>
      <c r="K1509" s="632" t="s">
        <v>219</v>
      </c>
      <c r="L1509" s="972">
        <f t="shared" si="210"/>
        <v>4106250</v>
      </c>
      <c r="M1509" s="623">
        <v>4000000</v>
      </c>
      <c r="N1509" s="952">
        <v>106250</v>
      </c>
      <c r="O1509" s="613"/>
      <c r="P1509" s="586"/>
      <c r="Q1509" s="614"/>
      <c r="R1509" s="582">
        <f t="shared" si="209"/>
        <v>2000000</v>
      </c>
      <c r="S1509" s="586">
        <f t="shared" si="208"/>
        <v>0</v>
      </c>
      <c r="T1509" s="589"/>
      <c r="U1509" s="560"/>
      <c r="V1509" s="589"/>
      <c r="W1509" s="600"/>
      <c r="Y1509" s="600">
        <f t="shared" si="204"/>
        <v>4106250</v>
      </c>
    </row>
    <row r="1510" spans="1:25" ht="37.5" hidden="1">
      <c r="A1510" s="580">
        <f t="shared" si="203"/>
        <v>49</v>
      </c>
      <c r="B1510" s="945" t="s">
        <v>4156</v>
      </c>
      <c r="C1510" s="948" t="s">
        <v>221</v>
      </c>
      <c r="D1510" s="968">
        <v>92359</v>
      </c>
      <c r="E1510" s="969">
        <v>31499.7</v>
      </c>
      <c r="F1510" s="947" t="s">
        <v>233</v>
      </c>
      <c r="G1510" s="968">
        <v>3816.6</v>
      </c>
      <c r="H1510" s="957">
        <v>10</v>
      </c>
      <c r="I1510" s="957">
        <v>8</v>
      </c>
      <c r="J1510" s="971">
        <v>453</v>
      </c>
      <c r="K1510" s="632" t="s">
        <v>219</v>
      </c>
      <c r="L1510" s="972">
        <f t="shared" si="210"/>
        <v>17833750</v>
      </c>
      <c r="M1510" s="623">
        <v>17600000</v>
      </c>
      <c r="N1510" s="630">
        <v>233750</v>
      </c>
      <c r="O1510" s="613"/>
      <c r="P1510" s="586"/>
      <c r="Q1510" s="614"/>
      <c r="R1510" s="582">
        <v>2200000</v>
      </c>
      <c r="S1510" s="586">
        <f t="shared" si="208"/>
        <v>0</v>
      </c>
      <c r="T1510" s="589"/>
      <c r="U1510" s="560"/>
      <c r="V1510" s="589"/>
      <c r="W1510" s="600"/>
      <c r="Y1510" s="600">
        <f t="shared" si="204"/>
        <v>17833750</v>
      </c>
    </row>
    <row r="1511" spans="1:25" ht="37.5" hidden="1">
      <c r="A1511" s="580">
        <f t="shared" si="203"/>
        <v>50</v>
      </c>
      <c r="B1511" s="945" t="s">
        <v>4157</v>
      </c>
      <c r="C1511" s="948" t="s">
        <v>221</v>
      </c>
      <c r="D1511" s="968">
        <v>33091</v>
      </c>
      <c r="E1511" s="969">
        <v>10906.8</v>
      </c>
      <c r="F1511" s="947" t="s">
        <v>233</v>
      </c>
      <c r="G1511" s="968">
        <v>1417</v>
      </c>
      <c r="H1511" s="957">
        <v>9</v>
      </c>
      <c r="I1511" s="957">
        <v>4</v>
      </c>
      <c r="J1511" s="977">
        <v>150</v>
      </c>
      <c r="K1511" s="632" t="s">
        <v>219</v>
      </c>
      <c r="L1511" s="972">
        <f t="shared" si="210"/>
        <v>8148750</v>
      </c>
      <c r="M1511" s="623">
        <v>8000000</v>
      </c>
      <c r="N1511" s="630">
        <v>148750</v>
      </c>
      <c r="O1511" s="613"/>
      <c r="P1511" s="586"/>
      <c r="Q1511" s="614"/>
      <c r="R1511" s="582">
        <f t="shared" ref="R1511:R1520" si="211">M1511/I1511</f>
        <v>2000000</v>
      </c>
      <c r="S1511" s="586">
        <f t="shared" si="208"/>
        <v>0</v>
      </c>
      <c r="T1511" s="589"/>
      <c r="U1511" s="560"/>
      <c r="V1511" s="589"/>
      <c r="W1511" s="600"/>
      <c r="Y1511" s="600">
        <f t="shared" si="204"/>
        <v>8148750</v>
      </c>
    </row>
    <row r="1512" spans="1:25" ht="37.5" hidden="1">
      <c r="A1512" s="580">
        <f t="shared" si="203"/>
        <v>51</v>
      </c>
      <c r="B1512" s="945" t="s">
        <v>4158</v>
      </c>
      <c r="C1512" s="978" t="s">
        <v>296</v>
      </c>
      <c r="D1512" s="979">
        <v>33231</v>
      </c>
      <c r="E1512" s="979">
        <v>6191</v>
      </c>
      <c r="F1512" s="957" t="s">
        <v>227</v>
      </c>
      <c r="G1512" s="979">
        <v>1139</v>
      </c>
      <c r="H1512" s="571">
        <v>9</v>
      </c>
      <c r="I1512" s="571">
        <v>4</v>
      </c>
      <c r="J1512" s="957">
        <v>133</v>
      </c>
      <c r="K1512" s="629" t="s">
        <v>219</v>
      </c>
      <c r="L1512" s="951">
        <f t="shared" si="210"/>
        <v>8148750</v>
      </c>
      <c r="M1512" s="623">
        <v>8000000</v>
      </c>
      <c r="N1512" s="630">
        <v>148750</v>
      </c>
      <c r="O1512" s="587"/>
      <c r="P1512" s="586"/>
      <c r="Q1512" s="586"/>
      <c r="R1512" s="582">
        <f t="shared" si="211"/>
        <v>2000000</v>
      </c>
      <c r="S1512" s="586">
        <f t="shared" si="208"/>
        <v>0</v>
      </c>
      <c r="T1512" s="589"/>
      <c r="U1512" s="560"/>
      <c r="V1512" s="589"/>
      <c r="W1512" s="600"/>
      <c r="Y1512" s="600">
        <f t="shared" si="204"/>
        <v>8148750</v>
      </c>
    </row>
    <row r="1513" spans="1:25" ht="37.5" hidden="1">
      <c r="A1513" s="580">
        <f t="shared" si="203"/>
        <v>52</v>
      </c>
      <c r="B1513" s="973" t="s">
        <v>4159</v>
      </c>
      <c r="C1513" s="571" t="s">
        <v>296</v>
      </c>
      <c r="D1513" s="974">
        <v>48732</v>
      </c>
      <c r="E1513" s="974">
        <v>5849</v>
      </c>
      <c r="F1513" s="571" t="s">
        <v>227</v>
      </c>
      <c r="G1513" s="974">
        <v>1454</v>
      </c>
      <c r="H1513" s="571">
        <v>9</v>
      </c>
      <c r="I1513" s="571">
        <v>4</v>
      </c>
      <c r="J1513" s="571">
        <v>137</v>
      </c>
      <c r="K1513" s="629" t="s">
        <v>219</v>
      </c>
      <c r="L1513" s="951">
        <f t="shared" si="210"/>
        <v>8148750</v>
      </c>
      <c r="M1513" s="623">
        <v>8000000</v>
      </c>
      <c r="N1513" s="630">
        <v>148750</v>
      </c>
      <c r="R1513" s="582">
        <f t="shared" si="211"/>
        <v>2000000</v>
      </c>
      <c r="S1513" s="586">
        <f t="shared" si="208"/>
        <v>0</v>
      </c>
      <c r="T1513" s="589"/>
      <c r="U1513" s="560"/>
      <c r="V1513" s="589"/>
      <c r="W1513" s="600"/>
      <c r="Y1513" s="600">
        <f t="shared" si="204"/>
        <v>8148750</v>
      </c>
    </row>
    <row r="1514" spans="1:25" ht="37.5" hidden="1">
      <c r="A1514" s="580">
        <f t="shared" si="203"/>
        <v>53</v>
      </c>
      <c r="B1514" s="945" t="s">
        <v>4199</v>
      </c>
      <c r="C1514" s="946" t="s">
        <v>296</v>
      </c>
      <c r="D1514" s="953">
        <v>37549</v>
      </c>
      <c r="E1514" s="948">
        <v>4725</v>
      </c>
      <c r="F1514" s="947" t="s">
        <v>227</v>
      </c>
      <c r="G1514" s="949">
        <v>957</v>
      </c>
      <c r="H1514" s="947">
        <v>9</v>
      </c>
      <c r="I1514" s="947">
        <v>4</v>
      </c>
      <c r="J1514" s="950">
        <v>89</v>
      </c>
      <c r="K1514" s="629" t="s">
        <v>219</v>
      </c>
      <c r="L1514" s="951">
        <f t="shared" si="210"/>
        <v>8148750</v>
      </c>
      <c r="M1514" s="623">
        <v>8000000</v>
      </c>
      <c r="N1514" s="630">
        <v>148750</v>
      </c>
      <c r="O1514" s="587"/>
      <c r="P1514" s="586"/>
      <c r="Q1514" s="586"/>
      <c r="R1514" s="582">
        <f t="shared" si="211"/>
        <v>2000000</v>
      </c>
      <c r="S1514" s="586">
        <f t="shared" si="208"/>
        <v>0</v>
      </c>
      <c r="T1514" s="589"/>
      <c r="U1514" s="560"/>
      <c r="V1514" s="589"/>
      <c r="W1514" s="600"/>
      <c r="Y1514" s="600">
        <f t="shared" si="204"/>
        <v>8148750</v>
      </c>
    </row>
    <row r="1515" spans="1:25" ht="37.5" hidden="1">
      <c r="A1515" s="580">
        <f t="shared" si="203"/>
        <v>54</v>
      </c>
      <c r="B1515" s="973" t="s">
        <v>4270</v>
      </c>
      <c r="C1515" s="571" t="s">
        <v>296</v>
      </c>
      <c r="D1515" s="974">
        <v>51076</v>
      </c>
      <c r="E1515" s="974">
        <v>7128</v>
      </c>
      <c r="F1515" s="571" t="s">
        <v>227</v>
      </c>
      <c r="G1515" s="974">
        <v>2002</v>
      </c>
      <c r="H1515" s="571">
        <v>9</v>
      </c>
      <c r="I1515" s="571">
        <v>6</v>
      </c>
      <c r="J1515" s="571">
        <v>237</v>
      </c>
      <c r="K1515" s="629" t="s">
        <v>219</v>
      </c>
      <c r="L1515" s="951">
        <f t="shared" si="210"/>
        <v>12191250</v>
      </c>
      <c r="M1515" s="623">
        <v>12000000</v>
      </c>
      <c r="N1515" s="630">
        <v>191250</v>
      </c>
      <c r="R1515" s="582">
        <f t="shared" si="211"/>
        <v>2000000</v>
      </c>
      <c r="S1515" s="586">
        <f t="shared" si="208"/>
        <v>0</v>
      </c>
      <c r="T1515" s="589"/>
      <c r="U1515" s="560"/>
      <c r="V1515" s="589"/>
      <c r="W1515" s="600"/>
      <c r="Y1515" s="600">
        <f t="shared" si="204"/>
        <v>12191250</v>
      </c>
    </row>
    <row r="1516" spans="1:25" ht="37.5" hidden="1">
      <c r="A1516" s="580">
        <f t="shared" si="203"/>
        <v>55</v>
      </c>
      <c r="B1516" s="945" t="s">
        <v>4160</v>
      </c>
      <c r="C1516" s="971" t="s">
        <v>217</v>
      </c>
      <c r="D1516" s="971">
        <v>44487</v>
      </c>
      <c r="E1516" s="980">
        <v>7055</v>
      </c>
      <c r="F1516" s="981" t="s">
        <v>4161</v>
      </c>
      <c r="G1516" s="971">
        <v>2033</v>
      </c>
      <c r="H1516" s="971">
        <v>9</v>
      </c>
      <c r="I1516" s="971">
        <v>5</v>
      </c>
      <c r="J1516" s="971">
        <v>216</v>
      </c>
      <c r="K1516" s="632" t="s">
        <v>219</v>
      </c>
      <c r="L1516" s="951">
        <f t="shared" si="210"/>
        <v>10170000</v>
      </c>
      <c r="M1516" s="623">
        <v>10000000</v>
      </c>
      <c r="N1516" s="630">
        <v>170000</v>
      </c>
      <c r="O1516" s="587"/>
      <c r="P1516" s="586"/>
      <c r="Q1516" s="586"/>
      <c r="R1516" s="582">
        <f t="shared" si="211"/>
        <v>2000000</v>
      </c>
      <c r="S1516" s="586">
        <f t="shared" si="208"/>
        <v>0</v>
      </c>
      <c r="T1516" s="589"/>
      <c r="U1516" s="560"/>
      <c r="V1516" s="589"/>
      <c r="W1516" s="600"/>
      <c r="Y1516" s="600">
        <f t="shared" si="204"/>
        <v>10170000</v>
      </c>
    </row>
    <row r="1517" spans="1:25" ht="37.5" hidden="1">
      <c r="A1517" s="580">
        <f t="shared" si="203"/>
        <v>56</v>
      </c>
      <c r="B1517" s="945" t="s">
        <v>4162</v>
      </c>
      <c r="C1517" s="948" t="s">
        <v>217</v>
      </c>
      <c r="D1517" s="948">
        <v>45924</v>
      </c>
      <c r="E1517" s="948">
        <v>9204</v>
      </c>
      <c r="F1517" s="948" t="s">
        <v>233</v>
      </c>
      <c r="G1517" s="948">
        <v>2025</v>
      </c>
      <c r="H1517" s="971">
        <v>9</v>
      </c>
      <c r="I1517" s="948">
        <v>6</v>
      </c>
      <c r="J1517" s="948">
        <v>216</v>
      </c>
      <c r="K1517" s="632" t="s">
        <v>4147</v>
      </c>
      <c r="L1517" s="956">
        <f t="shared" si="210"/>
        <v>12191250</v>
      </c>
      <c r="M1517" s="623">
        <v>12000000</v>
      </c>
      <c r="N1517" s="630">
        <v>191250</v>
      </c>
      <c r="O1517" s="587"/>
      <c r="P1517" s="582"/>
      <c r="Q1517" s="582"/>
      <c r="R1517" s="582">
        <f t="shared" si="211"/>
        <v>2000000</v>
      </c>
      <c r="S1517" s="586">
        <f t="shared" si="208"/>
        <v>0</v>
      </c>
      <c r="T1517" s="589"/>
      <c r="U1517" s="560"/>
      <c r="V1517" s="589"/>
      <c r="W1517" s="600"/>
      <c r="Y1517" s="600">
        <f t="shared" si="204"/>
        <v>12191250</v>
      </c>
    </row>
    <row r="1518" spans="1:25" ht="37.5" hidden="1">
      <c r="A1518" s="580">
        <f t="shared" si="203"/>
        <v>57</v>
      </c>
      <c r="B1518" s="945" t="s">
        <v>4163</v>
      </c>
      <c r="C1518" s="948" t="s">
        <v>217</v>
      </c>
      <c r="D1518" s="948">
        <v>46610</v>
      </c>
      <c r="E1518" s="948">
        <v>8800</v>
      </c>
      <c r="F1518" s="948" t="s">
        <v>233</v>
      </c>
      <c r="G1518" s="948">
        <v>1995</v>
      </c>
      <c r="H1518" s="971">
        <v>9</v>
      </c>
      <c r="I1518" s="948">
        <v>6</v>
      </c>
      <c r="J1518" s="948">
        <v>216</v>
      </c>
      <c r="K1518" s="632" t="s">
        <v>4147</v>
      </c>
      <c r="L1518" s="956">
        <f t="shared" si="210"/>
        <v>12191250</v>
      </c>
      <c r="M1518" s="623">
        <v>12000000</v>
      </c>
      <c r="N1518" s="630">
        <v>191250</v>
      </c>
      <c r="O1518" s="587"/>
      <c r="P1518" s="582"/>
      <c r="Q1518" s="582"/>
      <c r="R1518" s="582">
        <f t="shared" si="211"/>
        <v>2000000</v>
      </c>
      <c r="S1518" s="586">
        <f t="shared" si="208"/>
        <v>0</v>
      </c>
      <c r="T1518" s="589"/>
      <c r="U1518" s="560"/>
      <c r="V1518" s="589"/>
      <c r="W1518" s="600"/>
      <c r="Y1518" s="600">
        <f t="shared" si="204"/>
        <v>12191250</v>
      </c>
    </row>
    <row r="1519" spans="1:25" ht="37.5" hidden="1">
      <c r="A1519" s="580">
        <f t="shared" si="203"/>
        <v>58</v>
      </c>
      <c r="B1519" s="973" t="s">
        <v>4164</v>
      </c>
      <c r="C1519" s="571" t="s">
        <v>296</v>
      </c>
      <c r="D1519" s="974">
        <v>46060</v>
      </c>
      <c r="E1519" s="974">
        <v>8789</v>
      </c>
      <c r="F1519" s="571" t="s">
        <v>227</v>
      </c>
      <c r="G1519" s="974">
        <v>1987</v>
      </c>
      <c r="H1519" s="571">
        <v>9</v>
      </c>
      <c r="I1519" s="571">
        <v>6</v>
      </c>
      <c r="J1519" s="571">
        <v>216</v>
      </c>
      <c r="K1519" s="629" t="s">
        <v>219</v>
      </c>
      <c r="L1519" s="951">
        <f t="shared" si="210"/>
        <v>12191250</v>
      </c>
      <c r="M1519" s="623">
        <v>12000000</v>
      </c>
      <c r="N1519" s="630">
        <v>191250</v>
      </c>
      <c r="R1519" s="582">
        <f t="shared" si="211"/>
        <v>2000000</v>
      </c>
      <c r="S1519" s="586">
        <f t="shared" si="208"/>
        <v>0</v>
      </c>
      <c r="T1519" s="589"/>
      <c r="U1519" s="560"/>
      <c r="V1519" s="589"/>
      <c r="W1519" s="600"/>
      <c r="Y1519" s="600">
        <f t="shared" si="204"/>
        <v>12191250</v>
      </c>
    </row>
    <row r="1520" spans="1:25" ht="37.5" hidden="1">
      <c r="A1520" s="580">
        <f t="shared" si="203"/>
        <v>59</v>
      </c>
      <c r="B1520" s="945" t="s">
        <v>4165</v>
      </c>
      <c r="C1520" s="948" t="s">
        <v>217</v>
      </c>
      <c r="D1520" s="968">
        <v>32745</v>
      </c>
      <c r="E1520" s="969">
        <v>10373.9</v>
      </c>
      <c r="F1520" s="982" t="s">
        <v>233</v>
      </c>
      <c r="G1520" s="968">
        <v>1208</v>
      </c>
      <c r="H1520" s="957">
        <v>9</v>
      </c>
      <c r="I1520" s="957">
        <v>4</v>
      </c>
      <c r="J1520" s="971">
        <v>144</v>
      </c>
      <c r="K1520" s="632" t="s">
        <v>219</v>
      </c>
      <c r="L1520" s="956">
        <f t="shared" si="210"/>
        <v>8148750</v>
      </c>
      <c r="M1520" s="623">
        <v>8000000</v>
      </c>
      <c r="N1520" s="630">
        <v>148750</v>
      </c>
      <c r="O1520" s="587"/>
      <c r="P1520" s="586"/>
      <c r="Q1520" s="586"/>
      <c r="R1520" s="582">
        <f t="shared" si="211"/>
        <v>2000000</v>
      </c>
      <c r="S1520" s="586">
        <f t="shared" si="208"/>
        <v>0</v>
      </c>
      <c r="T1520" s="589"/>
      <c r="U1520" s="560"/>
      <c r="V1520" s="589"/>
      <c r="W1520" s="600"/>
      <c r="Y1520" s="600">
        <f t="shared" si="204"/>
        <v>8148750</v>
      </c>
    </row>
    <row r="1521" spans="1:29" ht="37.5" hidden="1">
      <c r="A1521" s="580">
        <f t="shared" si="203"/>
        <v>60</v>
      </c>
      <c r="B1521" s="976" t="s">
        <v>4166</v>
      </c>
      <c r="C1521" s="957" t="s">
        <v>221</v>
      </c>
      <c r="D1521" s="571">
        <v>48504</v>
      </c>
      <c r="E1521" s="571">
        <v>7507.5</v>
      </c>
      <c r="F1521" s="571" t="s">
        <v>233</v>
      </c>
      <c r="G1521" s="571">
        <v>2272</v>
      </c>
      <c r="H1521" s="571">
        <v>10</v>
      </c>
      <c r="I1521" s="571">
        <v>4</v>
      </c>
      <c r="J1521" s="571">
        <v>144</v>
      </c>
      <c r="K1521" s="983" t="s">
        <v>366</v>
      </c>
      <c r="L1521" s="951">
        <f t="shared" si="210"/>
        <v>8948750</v>
      </c>
      <c r="M1521" s="623">
        <v>8800000</v>
      </c>
      <c r="N1521" s="630">
        <v>148750</v>
      </c>
      <c r="P1521" s="561"/>
      <c r="Q1521" s="561"/>
      <c r="R1521" s="582">
        <v>2200000</v>
      </c>
      <c r="S1521" s="586">
        <f t="shared" si="208"/>
        <v>0</v>
      </c>
      <c r="T1521" s="589"/>
      <c r="U1521" s="560"/>
      <c r="V1521" s="589"/>
      <c r="W1521" s="600"/>
      <c r="Y1521" s="600">
        <f t="shared" si="204"/>
        <v>8948750</v>
      </c>
    </row>
    <row r="1522" spans="1:29" ht="37.5" hidden="1">
      <c r="A1522" s="580">
        <f t="shared" si="203"/>
        <v>61</v>
      </c>
      <c r="B1522" s="945" t="s">
        <v>4167</v>
      </c>
      <c r="C1522" s="948" t="s">
        <v>221</v>
      </c>
      <c r="D1522" s="971">
        <v>39787</v>
      </c>
      <c r="E1522" s="971">
        <v>8521</v>
      </c>
      <c r="F1522" s="971" t="s">
        <v>4161</v>
      </c>
      <c r="G1522" s="971">
        <v>3784</v>
      </c>
      <c r="H1522" s="971">
        <v>9</v>
      </c>
      <c r="I1522" s="971">
        <v>4</v>
      </c>
      <c r="J1522" s="971">
        <v>144</v>
      </c>
      <c r="K1522" s="632" t="s">
        <v>219</v>
      </c>
      <c r="L1522" s="956">
        <f t="shared" si="210"/>
        <v>8148750</v>
      </c>
      <c r="M1522" s="623">
        <v>8000000</v>
      </c>
      <c r="N1522" s="630">
        <v>148750</v>
      </c>
      <c r="O1522" s="587"/>
      <c r="P1522" s="586"/>
      <c r="Q1522" s="586"/>
      <c r="R1522" s="582">
        <f>M1522/I1522</f>
        <v>2000000</v>
      </c>
      <c r="S1522" s="586">
        <f t="shared" si="208"/>
        <v>0</v>
      </c>
      <c r="T1522" s="589"/>
      <c r="U1522" s="560"/>
      <c r="V1522" s="589"/>
      <c r="W1522" s="600"/>
      <c r="Y1522" s="600">
        <f t="shared" si="204"/>
        <v>8148750</v>
      </c>
    </row>
    <row r="1523" spans="1:29" ht="37.5" hidden="1">
      <c r="A1523" s="580">
        <f t="shared" si="203"/>
        <v>62</v>
      </c>
      <c r="B1523" s="945" t="s">
        <v>4168</v>
      </c>
      <c r="C1523" s="946" t="s">
        <v>314</v>
      </c>
      <c r="D1523" s="984">
        <v>30424</v>
      </c>
      <c r="E1523" s="948">
        <v>3200</v>
      </c>
      <c r="F1523" s="950" t="s">
        <v>227</v>
      </c>
      <c r="G1523" s="955">
        <v>1028</v>
      </c>
      <c r="H1523" s="947">
        <v>9</v>
      </c>
      <c r="I1523" s="947">
        <v>2</v>
      </c>
      <c r="J1523" s="950">
        <v>81</v>
      </c>
      <c r="K1523" s="629" t="s">
        <v>219</v>
      </c>
      <c r="L1523" s="951">
        <f t="shared" si="210"/>
        <v>4106250</v>
      </c>
      <c r="M1523" s="623">
        <v>4000000</v>
      </c>
      <c r="N1523" s="952">
        <v>106250</v>
      </c>
      <c r="O1523" s="631"/>
      <c r="P1523" s="630"/>
      <c r="Q1523" s="630"/>
      <c r="R1523" s="582">
        <f>M1523/I1523</f>
        <v>2000000</v>
      </c>
      <c r="S1523" s="586">
        <f t="shared" si="208"/>
        <v>0</v>
      </c>
      <c r="T1523" s="589"/>
      <c r="U1523" s="560"/>
      <c r="V1523" s="589"/>
      <c r="W1523" s="600"/>
      <c r="Y1523" s="600">
        <f t="shared" si="204"/>
        <v>4106250</v>
      </c>
    </row>
    <row r="1524" spans="1:29" ht="37.5" hidden="1">
      <c r="A1524" s="580">
        <f t="shared" si="203"/>
        <v>63</v>
      </c>
      <c r="B1524" s="976" t="s">
        <v>4169</v>
      </c>
      <c r="C1524" s="957" t="s">
        <v>221</v>
      </c>
      <c r="D1524" s="571">
        <v>42528</v>
      </c>
      <c r="E1524" s="571">
        <v>6380</v>
      </c>
      <c r="F1524" s="571" t="s">
        <v>233</v>
      </c>
      <c r="G1524" s="571">
        <v>1237</v>
      </c>
      <c r="H1524" s="571">
        <v>12</v>
      </c>
      <c r="I1524" s="571">
        <v>2</v>
      </c>
      <c r="J1524" s="571">
        <v>110</v>
      </c>
      <c r="K1524" s="983" t="s">
        <v>366</v>
      </c>
      <c r="L1524" s="951">
        <f t="shared" si="210"/>
        <v>8948750</v>
      </c>
      <c r="M1524" s="623">
        <v>8800000</v>
      </c>
      <c r="N1524" s="630">
        <v>148750</v>
      </c>
      <c r="P1524" s="561"/>
      <c r="Q1524" s="561"/>
      <c r="R1524" s="582">
        <v>2200000</v>
      </c>
      <c r="S1524" s="586">
        <f t="shared" ref="S1524:S1555" si="212">L1524-M1524-N1524-O1524-P1524-Q1524</f>
        <v>0</v>
      </c>
      <c r="T1524" s="589"/>
      <c r="U1524" s="560"/>
      <c r="V1524" s="589"/>
      <c r="W1524" s="600"/>
      <c r="Y1524" s="600">
        <f t="shared" si="204"/>
        <v>8948750</v>
      </c>
    </row>
    <row r="1525" spans="1:29" ht="37.5" hidden="1">
      <c r="A1525" s="580">
        <f t="shared" si="203"/>
        <v>64</v>
      </c>
      <c r="B1525" s="945" t="s">
        <v>4170</v>
      </c>
      <c r="C1525" s="948" t="s">
        <v>221</v>
      </c>
      <c r="D1525" s="968">
        <v>28930</v>
      </c>
      <c r="E1525" s="969">
        <v>1125.7</v>
      </c>
      <c r="F1525" s="982" t="s">
        <v>4171</v>
      </c>
      <c r="G1525" s="968">
        <v>1238</v>
      </c>
      <c r="H1525" s="957">
        <v>9</v>
      </c>
      <c r="I1525" s="957">
        <v>3</v>
      </c>
      <c r="J1525" s="971">
        <v>108</v>
      </c>
      <c r="K1525" s="632" t="s">
        <v>219</v>
      </c>
      <c r="L1525" s="972">
        <f t="shared" si="210"/>
        <v>6127500</v>
      </c>
      <c r="M1525" s="623">
        <v>6000000</v>
      </c>
      <c r="N1525" s="630">
        <v>127500</v>
      </c>
      <c r="O1525" s="613"/>
      <c r="P1525" s="586"/>
      <c r="Q1525" s="614"/>
      <c r="R1525" s="582">
        <f>M1525/I1525</f>
        <v>2000000</v>
      </c>
      <c r="S1525" s="586">
        <f t="shared" si="212"/>
        <v>0</v>
      </c>
      <c r="T1525" s="589"/>
      <c r="U1525" s="560"/>
      <c r="V1525" s="589"/>
      <c r="W1525" s="600"/>
      <c r="Y1525" s="600">
        <f t="shared" ref="Y1525:Y1588" si="213">M1525+N1525+O1525+P1525+Q1525</f>
        <v>6127500</v>
      </c>
    </row>
    <row r="1526" spans="1:29" s="133" customFormat="1" ht="37.5" hidden="1">
      <c r="A1526" s="580">
        <f t="shared" si="203"/>
        <v>65</v>
      </c>
      <c r="B1526" s="985" t="s">
        <v>4237</v>
      </c>
      <c r="C1526" s="986" t="s">
        <v>217</v>
      </c>
      <c r="D1526" s="987">
        <v>15937</v>
      </c>
      <c r="E1526" s="988">
        <v>3250</v>
      </c>
      <c r="F1526" s="987" t="s">
        <v>233</v>
      </c>
      <c r="G1526" s="989">
        <v>760</v>
      </c>
      <c r="H1526" s="987">
        <v>9</v>
      </c>
      <c r="I1526" s="987">
        <v>2</v>
      </c>
      <c r="J1526" s="990">
        <v>72</v>
      </c>
      <c r="K1526" s="991" t="s">
        <v>219</v>
      </c>
      <c r="L1526" s="992">
        <f>M1526+N1526+O1526+P1526+Q1526</f>
        <v>4106250</v>
      </c>
      <c r="M1526" s="993">
        <v>4000000</v>
      </c>
      <c r="N1526" s="722">
        <v>106250</v>
      </c>
      <c r="O1526" s="963"/>
      <c r="P1526" s="722"/>
      <c r="Q1526" s="722"/>
      <c r="R1526" s="582">
        <f>M1526/I1526</f>
        <v>2000000</v>
      </c>
      <c r="S1526" s="586">
        <f t="shared" si="212"/>
        <v>0</v>
      </c>
      <c r="T1526" s="965"/>
      <c r="U1526" s="994"/>
      <c r="V1526" s="965"/>
      <c r="W1526" s="600"/>
      <c r="X1526" s="965"/>
      <c r="Y1526" s="600">
        <f t="shared" si="213"/>
        <v>4106250</v>
      </c>
      <c r="Z1526" s="718"/>
      <c r="AA1526" s="132"/>
      <c r="AC1526" s="144"/>
    </row>
    <row r="1527" spans="1:29" ht="37.5" hidden="1">
      <c r="A1527" s="580">
        <f t="shared" si="203"/>
        <v>66</v>
      </c>
      <c r="B1527" s="945" t="s">
        <v>2589</v>
      </c>
      <c r="C1527" s="946" t="s">
        <v>296</v>
      </c>
      <c r="D1527" s="947">
        <v>21890</v>
      </c>
      <c r="E1527" s="948">
        <v>4320</v>
      </c>
      <c r="F1527" s="947" t="s">
        <v>227</v>
      </c>
      <c r="G1527" s="949">
        <v>720</v>
      </c>
      <c r="H1527" s="947">
        <v>12</v>
      </c>
      <c r="I1527" s="947">
        <v>2</v>
      </c>
      <c r="J1527" s="950">
        <v>96</v>
      </c>
      <c r="K1527" s="629" t="s">
        <v>219</v>
      </c>
      <c r="L1527" s="951">
        <f t="shared" ref="L1527:L1544" si="214">SUM(M1527:P1527)</f>
        <v>8948750</v>
      </c>
      <c r="M1527" s="623">
        <v>8800000</v>
      </c>
      <c r="N1527" s="630">
        <v>148750</v>
      </c>
      <c r="O1527" s="587"/>
      <c r="P1527" s="586"/>
      <c r="Q1527" s="586"/>
      <c r="R1527" s="582">
        <v>2200000</v>
      </c>
      <c r="S1527" s="586">
        <f t="shared" si="212"/>
        <v>0</v>
      </c>
      <c r="T1527" s="589"/>
      <c r="U1527" s="560"/>
      <c r="V1527" s="589"/>
      <c r="W1527" s="600"/>
      <c r="Y1527" s="600">
        <f t="shared" si="213"/>
        <v>8948750</v>
      </c>
    </row>
    <row r="1528" spans="1:29" ht="37.5" hidden="1">
      <c r="A1528" s="580">
        <f t="shared" si="203"/>
        <v>67</v>
      </c>
      <c r="B1528" s="945" t="s">
        <v>2590</v>
      </c>
      <c r="C1528" s="946" t="s">
        <v>296</v>
      </c>
      <c r="D1528" s="947">
        <v>21844</v>
      </c>
      <c r="E1528" s="948">
        <v>4320</v>
      </c>
      <c r="F1528" s="947" t="s">
        <v>227</v>
      </c>
      <c r="G1528" s="949">
        <v>718</v>
      </c>
      <c r="H1528" s="947">
        <v>12</v>
      </c>
      <c r="I1528" s="947">
        <v>2</v>
      </c>
      <c r="J1528" s="950">
        <v>96</v>
      </c>
      <c r="K1528" s="629" t="s">
        <v>219</v>
      </c>
      <c r="L1528" s="951">
        <f t="shared" si="214"/>
        <v>8948750</v>
      </c>
      <c r="M1528" s="623">
        <v>8800000</v>
      </c>
      <c r="N1528" s="630">
        <v>148750</v>
      </c>
      <c r="O1528" s="587"/>
      <c r="P1528" s="586"/>
      <c r="Q1528" s="586"/>
      <c r="R1528" s="582">
        <v>2200000</v>
      </c>
      <c r="S1528" s="586">
        <f t="shared" si="212"/>
        <v>0</v>
      </c>
      <c r="T1528" s="589"/>
      <c r="U1528" s="560"/>
      <c r="V1528" s="589"/>
      <c r="W1528" s="600"/>
      <c r="Y1528" s="600">
        <f t="shared" si="213"/>
        <v>8948750</v>
      </c>
    </row>
    <row r="1529" spans="1:29" ht="37.5" hidden="1">
      <c r="A1529" s="580">
        <f t="shared" si="203"/>
        <v>68</v>
      </c>
      <c r="B1529" s="945" t="s">
        <v>4172</v>
      </c>
      <c r="C1529" s="948" t="s">
        <v>217</v>
      </c>
      <c r="D1529" s="948">
        <v>43430</v>
      </c>
      <c r="E1529" s="948">
        <v>8204</v>
      </c>
      <c r="F1529" s="948" t="s">
        <v>233</v>
      </c>
      <c r="G1529" s="948">
        <v>1697</v>
      </c>
      <c r="H1529" s="971">
        <v>9</v>
      </c>
      <c r="I1529" s="948">
        <v>4</v>
      </c>
      <c r="J1529" s="948">
        <v>216</v>
      </c>
      <c r="K1529" s="632" t="s">
        <v>4147</v>
      </c>
      <c r="L1529" s="956">
        <f t="shared" si="214"/>
        <v>8148750</v>
      </c>
      <c r="M1529" s="623">
        <v>8000000</v>
      </c>
      <c r="N1529" s="630">
        <v>148750</v>
      </c>
      <c r="O1529" s="587"/>
      <c r="P1529" s="582"/>
      <c r="Q1529" s="582"/>
      <c r="R1529" s="582">
        <f>M1529/I1529</f>
        <v>2000000</v>
      </c>
      <c r="S1529" s="586">
        <f t="shared" si="212"/>
        <v>0</v>
      </c>
      <c r="T1529" s="589"/>
      <c r="U1529" s="560"/>
      <c r="V1529" s="589"/>
      <c r="W1529" s="600"/>
      <c r="Y1529" s="600">
        <f t="shared" si="213"/>
        <v>8148750</v>
      </c>
    </row>
    <row r="1530" spans="1:29" ht="37.5" hidden="1">
      <c r="A1530" s="580">
        <f t="shared" si="203"/>
        <v>69</v>
      </c>
      <c r="B1530" s="976" t="s">
        <v>4173</v>
      </c>
      <c r="C1530" s="957" t="s">
        <v>221</v>
      </c>
      <c r="D1530" s="571">
        <v>81835</v>
      </c>
      <c r="E1530" s="571">
        <v>9218</v>
      </c>
      <c r="F1530" s="571" t="s">
        <v>233</v>
      </c>
      <c r="G1530" s="571">
        <v>3056</v>
      </c>
      <c r="H1530" s="571">
        <v>9</v>
      </c>
      <c r="I1530" s="571">
        <v>6</v>
      </c>
      <c r="J1530" s="571">
        <v>288</v>
      </c>
      <c r="K1530" s="983" t="s">
        <v>366</v>
      </c>
      <c r="L1530" s="951">
        <f t="shared" si="214"/>
        <v>8148750</v>
      </c>
      <c r="M1530" s="623">
        <v>8000000</v>
      </c>
      <c r="N1530" s="630">
        <v>148750</v>
      </c>
      <c r="P1530" s="561"/>
      <c r="Q1530" s="561"/>
      <c r="R1530" s="582">
        <f>M1530/4</f>
        <v>2000000</v>
      </c>
      <c r="S1530" s="586">
        <f t="shared" si="212"/>
        <v>0</v>
      </c>
      <c r="T1530" s="589"/>
      <c r="U1530" s="560"/>
      <c r="V1530" s="589"/>
      <c r="W1530" s="600"/>
      <c r="Y1530" s="600">
        <f t="shared" si="213"/>
        <v>8148750</v>
      </c>
    </row>
    <row r="1531" spans="1:29" ht="37.5" hidden="1">
      <c r="A1531" s="580">
        <f t="shared" si="203"/>
        <v>70</v>
      </c>
      <c r="B1531" s="945" t="s">
        <v>4175</v>
      </c>
      <c r="C1531" s="948" t="s">
        <v>221</v>
      </c>
      <c r="D1531" s="968">
        <v>16180</v>
      </c>
      <c r="E1531" s="969">
        <v>2275</v>
      </c>
      <c r="F1531" s="947" t="s">
        <v>233</v>
      </c>
      <c r="G1531" s="968">
        <v>625</v>
      </c>
      <c r="H1531" s="957">
        <v>9</v>
      </c>
      <c r="I1531" s="957">
        <v>1</v>
      </c>
      <c r="J1531" s="971">
        <v>50</v>
      </c>
      <c r="K1531" s="632" t="s">
        <v>219</v>
      </c>
      <c r="L1531" s="972">
        <f t="shared" si="214"/>
        <v>2085000</v>
      </c>
      <c r="M1531" s="623">
        <v>2000000</v>
      </c>
      <c r="N1531" s="630">
        <v>85000</v>
      </c>
      <c r="O1531" s="613"/>
      <c r="P1531" s="586"/>
      <c r="Q1531" s="614"/>
      <c r="R1531" s="582">
        <f>M1531/I1531</f>
        <v>2000000</v>
      </c>
      <c r="S1531" s="586">
        <f t="shared" si="212"/>
        <v>0</v>
      </c>
      <c r="T1531" s="589"/>
      <c r="U1531" s="560"/>
      <c r="V1531" s="589"/>
      <c r="W1531" s="600"/>
      <c r="Y1531" s="600">
        <f t="shared" si="213"/>
        <v>2085000</v>
      </c>
    </row>
    <row r="1532" spans="1:29" ht="37.5" hidden="1">
      <c r="A1532" s="580">
        <f t="shared" ref="A1532" si="215">A1531+1</f>
        <v>71</v>
      </c>
      <c r="B1532" s="945" t="s">
        <v>3836</v>
      </c>
      <c r="C1532" s="948" t="s">
        <v>217</v>
      </c>
      <c r="D1532" s="957">
        <v>62917</v>
      </c>
      <c r="E1532" s="995">
        <v>7500</v>
      </c>
      <c r="F1532" s="959" t="s">
        <v>233</v>
      </c>
      <c r="G1532" s="996">
        <v>2737.6</v>
      </c>
      <c r="H1532" s="996">
        <v>9</v>
      </c>
      <c r="I1532" s="957">
        <v>6</v>
      </c>
      <c r="J1532" s="957">
        <v>320</v>
      </c>
      <c r="K1532" s="983" t="s">
        <v>366</v>
      </c>
      <c r="L1532" s="951">
        <f t="shared" si="214"/>
        <v>6127500</v>
      </c>
      <c r="M1532" s="623">
        <v>6000000</v>
      </c>
      <c r="N1532" s="630">
        <v>127500</v>
      </c>
      <c r="P1532" s="561"/>
      <c r="Q1532" s="561"/>
      <c r="R1532" s="582">
        <f>M1532/3</f>
        <v>2000000</v>
      </c>
      <c r="S1532" s="586">
        <f t="shared" si="212"/>
        <v>0</v>
      </c>
      <c r="T1532" s="589"/>
      <c r="U1532" s="560"/>
      <c r="V1532" s="589"/>
      <c r="W1532" s="600"/>
      <c r="Y1532" s="600">
        <f t="shared" si="213"/>
        <v>6127500</v>
      </c>
    </row>
    <row r="1533" spans="1:29" ht="37.5" hidden="1">
      <c r="A1533" s="580">
        <f t="shared" ref="A1533:A1545" si="216">A1532+1</f>
        <v>72</v>
      </c>
      <c r="B1533" s="945" t="s">
        <v>4176</v>
      </c>
      <c r="C1533" s="948" t="s">
        <v>4153</v>
      </c>
      <c r="D1533" s="969">
        <v>21411</v>
      </c>
      <c r="E1533" s="947">
        <v>2003</v>
      </c>
      <c r="F1533" s="947" t="s">
        <v>233</v>
      </c>
      <c r="G1533" s="975">
        <v>665</v>
      </c>
      <c r="H1533" s="947">
        <v>13</v>
      </c>
      <c r="I1533" s="947">
        <v>1</v>
      </c>
      <c r="J1533" s="947">
        <v>83</v>
      </c>
      <c r="K1533" s="632" t="s">
        <v>219</v>
      </c>
      <c r="L1533" s="960">
        <f t="shared" si="214"/>
        <v>2285000</v>
      </c>
      <c r="M1533" s="623">
        <v>2200000</v>
      </c>
      <c r="N1533" s="630">
        <v>85000</v>
      </c>
      <c r="O1533" s="598"/>
      <c r="P1533" s="597"/>
      <c r="Q1533" s="597"/>
      <c r="R1533" s="582">
        <v>2200000</v>
      </c>
      <c r="S1533" s="586">
        <f t="shared" si="212"/>
        <v>0</v>
      </c>
      <c r="T1533" s="589"/>
      <c r="U1533" s="560"/>
      <c r="V1533" s="589"/>
      <c r="W1533" s="600"/>
      <c r="Y1533" s="600">
        <f t="shared" si="213"/>
        <v>2285000</v>
      </c>
    </row>
    <row r="1534" spans="1:29" ht="37.5" hidden="1">
      <c r="A1534" s="580">
        <f t="shared" si="216"/>
        <v>73</v>
      </c>
      <c r="B1534" s="945" t="s">
        <v>4177</v>
      </c>
      <c r="C1534" s="946" t="s">
        <v>314</v>
      </c>
      <c r="D1534" s="947">
        <v>60832</v>
      </c>
      <c r="E1534" s="948">
        <v>3200</v>
      </c>
      <c r="F1534" s="947" t="s">
        <v>227</v>
      </c>
      <c r="G1534" s="955">
        <v>1438.3</v>
      </c>
      <c r="H1534" s="947">
        <v>9</v>
      </c>
      <c r="I1534" s="947">
        <v>4</v>
      </c>
      <c r="J1534" s="950">
        <v>128</v>
      </c>
      <c r="K1534" s="629" t="s">
        <v>219</v>
      </c>
      <c r="L1534" s="951">
        <f t="shared" si="214"/>
        <v>8148750</v>
      </c>
      <c r="M1534" s="623">
        <v>8000000</v>
      </c>
      <c r="N1534" s="630">
        <v>148750</v>
      </c>
      <c r="O1534" s="631"/>
      <c r="P1534" s="630"/>
      <c r="Q1534" s="630"/>
      <c r="R1534" s="582">
        <f>M1534/I1534</f>
        <v>2000000</v>
      </c>
      <c r="S1534" s="586">
        <f t="shared" si="212"/>
        <v>0</v>
      </c>
      <c r="T1534" s="589"/>
      <c r="U1534" s="560"/>
      <c r="V1534" s="589"/>
      <c r="W1534" s="600"/>
      <c r="Y1534" s="600">
        <f t="shared" si="213"/>
        <v>8148750</v>
      </c>
    </row>
    <row r="1535" spans="1:29" ht="37.5" hidden="1">
      <c r="A1535" s="580">
        <f t="shared" si="216"/>
        <v>74</v>
      </c>
      <c r="B1535" s="973" t="s">
        <v>4178</v>
      </c>
      <c r="C1535" s="571" t="s">
        <v>296</v>
      </c>
      <c r="D1535" s="974">
        <v>21041</v>
      </c>
      <c r="E1535" s="974">
        <v>3168</v>
      </c>
      <c r="F1535" s="571" t="s">
        <v>227</v>
      </c>
      <c r="G1535" s="974">
        <v>791</v>
      </c>
      <c r="H1535" s="571">
        <v>12</v>
      </c>
      <c r="I1535" s="571">
        <v>4</v>
      </c>
      <c r="J1535" s="571">
        <v>94</v>
      </c>
      <c r="K1535" s="629" t="s">
        <v>219</v>
      </c>
      <c r="L1535" s="951">
        <f t="shared" si="214"/>
        <v>8948750</v>
      </c>
      <c r="M1535" s="623">
        <v>8800000</v>
      </c>
      <c r="N1535" s="630">
        <v>148750</v>
      </c>
      <c r="R1535" s="582">
        <v>2200000</v>
      </c>
      <c r="S1535" s="586">
        <f t="shared" si="212"/>
        <v>0</v>
      </c>
      <c r="T1535" s="589"/>
      <c r="U1535" s="560"/>
      <c r="V1535" s="589"/>
      <c r="W1535" s="600"/>
      <c r="Y1535" s="600">
        <f t="shared" si="213"/>
        <v>8948750</v>
      </c>
    </row>
    <row r="1536" spans="1:29" ht="37.5" hidden="1">
      <c r="A1536" s="580">
        <f t="shared" si="216"/>
        <v>75</v>
      </c>
      <c r="B1536" s="973" t="s">
        <v>4179</v>
      </c>
      <c r="C1536" s="571" t="s">
        <v>296</v>
      </c>
      <c r="D1536" s="974">
        <v>23428</v>
      </c>
      <c r="E1536" s="974">
        <v>3168</v>
      </c>
      <c r="F1536" s="571" t="s">
        <v>227</v>
      </c>
      <c r="G1536" s="974">
        <v>680</v>
      </c>
      <c r="H1536" s="571">
        <v>12</v>
      </c>
      <c r="I1536" s="571">
        <v>4</v>
      </c>
      <c r="J1536" s="571">
        <v>92</v>
      </c>
      <c r="K1536" s="629" t="s">
        <v>219</v>
      </c>
      <c r="L1536" s="951">
        <f t="shared" si="214"/>
        <v>8948750</v>
      </c>
      <c r="M1536" s="623">
        <v>8800000</v>
      </c>
      <c r="N1536" s="630">
        <v>148750</v>
      </c>
      <c r="R1536" s="582">
        <v>2200000</v>
      </c>
      <c r="S1536" s="586">
        <f t="shared" si="212"/>
        <v>0</v>
      </c>
      <c r="T1536" s="589"/>
      <c r="U1536" s="560"/>
      <c r="V1536" s="589"/>
      <c r="W1536" s="600"/>
      <c r="Y1536" s="600">
        <f t="shared" si="213"/>
        <v>8948750</v>
      </c>
    </row>
    <row r="1537" spans="1:26" ht="37.5" hidden="1">
      <c r="A1537" s="580">
        <f t="shared" si="216"/>
        <v>76</v>
      </c>
      <c r="B1537" s="973" t="s">
        <v>4180</v>
      </c>
      <c r="C1537" s="571" t="s">
        <v>296</v>
      </c>
      <c r="D1537" s="974">
        <v>41603</v>
      </c>
      <c r="E1537" s="974">
        <v>4015</v>
      </c>
      <c r="F1537" s="571" t="s">
        <v>227</v>
      </c>
      <c r="G1537" s="974">
        <v>1505</v>
      </c>
      <c r="H1537" s="571">
        <v>9</v>
      </c>
      <c r="I1537" s="571">
        <v>4</v>
      </c>
      <c r="J1537" s="571">
        <v>141</v>
      </c>
      <c r="K1537" s="629" t="s">
        <v>219</v>
      </c>
      <c r="L1537" s="951">
        <f t="shared" si="214"/>
        <v>8148750</v>
      </c>
      <c r="M1537" s="623">
        <v>8000000</v>
      </c>
      <c r="N1537" s="630">
        <v>148750</v>
      </c>
      <c r="R1537" s="582">
        <f>M1537/I1537</f>
        <v>2000000</v>
      </c>
      <c r="S1537" s="586">
        <f t="shared" si="212"/>
        <v>0</v>
      </c>
      <c r="T1537" s="589"/>
      <c r="U1537" s="560"/>
      <c r="V1537" s="589"/>
      <c r="W1537" s="600"/>
      <c r="Y1537" s="600">
        <f t="shared" si="213"/>
        <v>8148750</v>
      </c>
    </row>
    <row r="1538" spans="1:26" ht="37.5" hidden="1">
      <c r="A1538" s="580">
        <f t="shared" si="216"/>
        <v>77</v>
      </c>
      <c r="B1538" s="973" t="s">
        <v>4181</v>
      </c>
      <c r="C1538" s="571" t="s">
        <v>296</v>
      </c>
      <c r="D1538" s="974">
        <v>32165</v>
      </c>
      <c r="E1538" s="974">
        <v>6089</v>
      </c>
      <c r="F1538" s="571" t="s">
        <v>227</v>
      </c>
      <c r="G1538" s="974">
        <v>1375</v>
      </c>
      <c r="H1538" s="571">
        <v>9</v>
      </c>
      <c r="I1538" s="571">
        <v>4</v>
      </c>
      <c r="J1538" s="571">
        <v>144</v>
      </c>
      <c r="K1538" s="629" t="s">
        <v>219</v>
      </c>
      <c r="L1538" s="951">
        <f t="shared" si="214"/>
        <v>8148750</v>
      </c>
      <c r="M1538" s="623">
        <v>8000000</v>
      </c>
      <c r="N1538" s="630">
        <v>148750</v>
      </c>
      <c r="R1538" s="582">
        <f>M1538/I1538</f>
        <v>2000000</v>
      </c>
      <c r="S1538" s="586">
        <f t="shared" si="212"/>
        <v>0</v>
      </c>
      <c r="T1538" s="589"/>
      <c r="U1538" s="560"/>
      <c r="V1538" s="589"/>
      <c r="W1538" s="600"/>
      <c r="Y1538" s="600">
        <f t="shared" si="213"/>
        <v>8148750</v>
      </c>
    </row>
    <row r="1539" spans="1:26" ht="37.5" hidden="1">
      <c r="A1539" s="580">
        <f t="shared" si="216"/>
        <v>78</v>
      </c>
      <c r="B1539" s="973" t="s">
        <v>4182</v>
      </c>
      <c r="C1539" s="571" t="s">
        <v>296</v>
      </c>
      <c r="D1539" s="974">
        <v>29281</v>
      </c>
      <c r="E1539" s="974">
        <v>6089</v>
      </c>
      <c r="F1539" s="571" t="s">
        <v>227</v>
      </c>
      <c r="G1539" s="974">
        <v>1258.2</v>
      </c>
      <c r="H1539" s="571">
        <v>9</v>
      </c>
      <c r="I1539" s="571">
        <v>4</v>
      </c>
      <c r="J1539" s="571">
        <v>144</v>
      </c>
      <c r="K1539" s="629" t="s">
        <v>219</v>
      </c>
      <c r="L1539" s="951">
        <f t="shared" si="214"/>
        <v>8148750</v>
      </c>
      <c r="M1539" s="623">
        <v>8000000</v>
      </c>
      <c r="N1539" s="630">
        <v>148750</v>
      </c>
      <c r="R1539" s="582">
        <f>M1539/I1539</f>
        <v>2000000</v>
      </c>
      <c r="S1539" s="586">
        <f t="shared" si="212"/>
        <v>0</v>
      </c>
      <c r="T1539" s="589"/>
      <c r="U1539" s="560"/>
      <c r="V1539" s="589"/>
      <c r="W1539" s="600"/>
      <c r="Y1539" s="600">
        <f t="shared" si="213"/>
        <v>8148750</v>
      </c>
    </row>
    <row r="1540" spans="1:26" ht="37.5" hidden="1">
      <c r="A1540" s="580">
        <f t="shared" si="216"/>
        <v>79</v>
      </c>
      <c r="B1540" s="973" t="s">
        <v>4183</v>
      </c>
      <c r="C1540" s="571" t="s">
        <v>296</v>
      </c>
      <c r="D1540" s="974">
        <v>46351</v>
      </c>
      <c r="E1540" s="974">
        <v>8789</v>
      </c>
      <c r="F1540" s="571" t="s">
        <v>227</v>
      </c>
      <c r="G1540" s="974">
        <v>1999</v>
      </c>
      <c r="H1540" s="571">
        <v>9</v>
      </c>
      <c r="I1540" s="571">
        <v>6</v>
      </c>
      <c r="J1540" s="571">
        <v>216</v>
      </c>
      <c r="K1540" s="629" t="s">
        <v>219</v>
      </c>
      <c r="L1540" s="951">
        <f t="shared" si="214"/>
        <v>12191250</v>
      </c>
      <c r="M1540" s="623">
        <v>12000000</v>
      </c>
      <c r="N1540" s="630">
        <v>191250</v>
      </c>
      <c r="R1540" s="582">
        <f>M1540/I1540</f>
        <v>2000000</v>
      </c>
      <c r="S1540" s="586">
        <f t="shared" si="212"/>
        <v>0</v>
      </c>
      <c r="T1540" s="589"/>
      <c r="U1540" s="560"/>
      <c r="V1540" s="589"/>
      <c r="W1540" s="600"/>
      <c r="Y1540" s="600">
        <f t="shared" si="213"/>
        <v>12191250</v>
      </c>
    </row>
    <row r="1541" spans="1:26" ht="37.5" hidden="1">
      <c r="A1541" s="580">
        <f t="shared" si="216"/>
        <v>80</v>
      </c>
      <c r="B1541" s="945" t="s">
        <v>2730</v>
      </c>
      <c r="C1541" s="948" t="s">
        <v>221</v>
      </c>
      <c r="D1541" s="968">
        <v>23535</v>
      </c>
      <c r="E1541" s="969">
        <v>4645</v>
      </c>
      <c r="F1541" s="947" t="s">
        <v>233</v>
      </c>
      <c r="G1541" s="968">
        <v>866.9</v>
      </c>
      <c r="H1541" s="957">
        <v>9</v>
      </c>
      <c r="I1541" s="957">
        <v>1</v>
      </c>
      <c r="J1541" s="971">
        <v>72</v>
      </c>
      <c r="K1541" s="632" t="s">
        <v>219</v>
      </c>
      <c r="L1541" s="972">
        <f t="shared" si="214"/>
        <v>2085000</v>
      </c>
      <c r="M1541" s="623">
        <v>2000000</v>
      </c>
      <c r="N1541" s="630">
        <v>85000</v>
      </c>
      <c r="O1541" s="613"/>
      <c r="P1541" s="586"/>
      <c r="Q1541" s="614"/>
      <c r="R1541" s="582">
        <f>M1541/I1541</f>
        <v>2000000</v>
      </c>
      <c r="S1541" s="586">
        <f t="shared" si="212"/>
        <v>0</v>
      </c>
      <c r="T1541" s="589"/>
      <c r="U1541" s="560"/>
      <c r="V1541" s="589"/>
      <c r="W1541" s="600"/>
      <c r="Y1541" s="600">
        <f t="shared" si="213"/>
        <v>2085000</v>
      </c>
    </row>
    <row r="1542" spans="1:26" ht="37.5" hidden="1">
      <c r="A1542" s="580">
        <f t="shared" si="216"/>
        <v>81</v>
      </c>
      <c r="B1542" s="945" t="s">
        <v>4271</v>
      </c>
      <c r="C1542" s="948" t="s">
        <v>221</v>
      </c>
      <c r="D1542" s="968">
        <v>28465</v>
      </c>
      <c r="E1542" s="969">
        <v>402</v>
      </c>
      <c r="F1542" s="947" t="s">
        <v>233</v>
      </c>
      <c r="G1542" s="968">
        <v>685</v>
      </c>
      <c r="H1542" s="957">
        <v>14</v>
      </c>
      <c r="I1542" s="957">
        <v>1</v>
      </c>
      <c r="J1542" s="971">
        <v>85</v>
      </c>
      <c r="K1542" s="632" t="s">
        <v>219</v>
      </c>
      <c r="L1542" s="951">
        <f t="shared" si="214"/>
        <v>4506250</v>
      </c>
      <c r="M1542" s="623">
        <v>4400000</v>
      </c>
      <c r="N1542" s="630">
        <v>106250</v>
      </c>
      <c r="O1542" s="613"/>
      <c r="P1542" s="586"/>
      <c r="Q1542" s="614"/>
      <c r="R1542" s="582">
        <v>2200000</v>
      </c>
      <c r="S1542" s="586">
        <f t="shared" si="212"/>
        <v>0</v>
      </c>
      <c r="T1542" s="589"/>
      <c r="U1542" s="560"/>
      <c r="V1542" s="589"/>
      <c r="W1542" s="600"/>
      <c r="Y1542" s="600">
        <f t="shared" si="213"/>
        <v>4506250</v>
      </c>
    </row>
    <row r="1543" spans="1:26" ht="37.5" hidden="1">
      <c r="A1543" s="580">
        <f t="shared" si="216"/>
        <v>82</v>
      </c>
      <c r="B1543" s="945" t="s">
        <v>2745</v>
      </c>
      <c r="C1543" s="946" t="s">
        <v>314</v>
      </c>
      <c r="D1543" s="971">
        <v>22128</v>
      </c>
      <c r="E1543" s="948">
        <v>3240</v>
      </c>
      <c r="F1543" s="947" t="s">
        <v>227</v>
      </c>
      <c r="G1543" s="949">
        <v>881.1</v>
      </c>
      <c r="H1543" s="950">
        <v>9</v>
      </c>
      <c r="I1543" s="950">
        <v>2</v>
      </c>
      <c r="J1543" s="950">
        <v>97</v>
      </c>
      <c r="K1543" s="629" t="s">
        <v>219</v>
      </c>
      <c r="L1543" s="951">
        <f t="shared" si="214"/>
        <v>4106250</v>
      </c>
      <c r="M1543" s="623">
        <v>4000000</v>
      </c>
      <c r="N1543" s="630">
        <v>106250</v>
      </c>
      <c r="O1543" s="631"/>
      <c r="P1543" s="630"/>
      <c r="Q1543" s="630"/>
      <c r="R1543" s="582">
        <f>M1543/I1543</f>
        <v>2000000</v>
      </c>
      <c r="S1543" s="586">
        <f t="shared" si="212"/>
        <v>0</v>
      </c>
      <c r="T1543" s="589"/>
      <c r="U1543" s="560"/>
      <c r="V1543" s="589"/>
      <c r="W1543" s="600"/>
      <c r="Y1543" s="600">
        <f t="shared" si="213"/>
        <v>4106250</v>
      </c>
    </row>
    <row r="1544" spans="1:26" ht="37.5" hidden="1">
      <c r="A1544" s="580">
        <f t="shared" si="216"/>
        <v>83</v>
      </c>
      <c r="B1544" s="976" t="s">
        <v>4184</v>
      </c>
      <c r="C1544" s="957" t="s">
        <v>221</v>
      </c>
      <c r="D1544" s="571">
        <v>55719</v>
      </c>
      <c r="E1544" s="571">
        <v>6600</v>
      </c>
      <c r="F1544" s="571" t="s">
        <v>233</v>
      </c>
      <c r="G1544" s="571">
        <v>2456</v>
      </c>
      <c r="H1544" s="571">
        <v>9</v>
      </c>
      <c r="I1544" s="571">
        <v>5</v>
      </c>
      <c r="J1544" s="571">
        <v>269</v>
      </c>
      <c r="K1544" s="983" t="s">
        <v>366</v>
      </c>
      <c r="L1544" s="951">
        <f t="shared" si="214"/>
        <v>10170000</v>
      </c>
      <c r="M1544" s="623">
        <v>10000000</v>
      </c>
      <c r="N1544" s="575">
        <v>170000</v>
      </c>
      <c r="P1544" s="561"/>
      <c r="Q1544" s="561"/>
      <c r="R1544" s="582">
        <f>M1544/I1544</f>
        <v>2000000</v>
      </c>
      <c r="S1544" s="586">
        <f t="shared" si="212"/>
        <v>0</v>
      </c>
      <c r="T1544" s="589"/>
      <c r="U1544" s="560"/>
      <c r="V1544" s="589"/>
      <c r="W1544" s="600"/>
      <c r="Y1544" s="600">
        <f t="shared" si="213"/>
        <v>10170000</v>
      </c>
    </row>
    <row r="1545" spans="1:26" s="75" customFormat="1" hidden="1">
      <c r="A1545" s="580">
        <f t="shared" si="216"/>
        <v>84</v>
      </c>
      <c r="B1545" s="592" t="s">
        <v>1444</v>
      </c>
      <c r="C1545" s="593" t="s">
        <v>217</v>
      </c>
      <c r="D1545" s="594">
        <v>21440</v>
      </c>
      <c r="E1545" s="594">
        <v>4181</v>
      </c>
      <c r="F1545" s="594" t="s">
        <v>233</v>
      </c>
      <c r="G1545" s="594">
        <v>678</v>
      </c>
      <c r="H1545" s="594">
        <v>12</v>
      </c>
      <c r="I1545" s="594">
        <v>2</v>
      </c>
      <c r="J1545" s="594">
        <v>96</v>
      </c>
      <c r="K1545" s="590" t="s">
        <v>33</v>
      </c>
      <c r="L1545" s="584">
        <f>M1545+N1545+O1545+Q1545+M1546+N1546+O1546+Q1546</f>
        <v>10419836</v>
      </c>
      <c r="M1545" s="596">
        <v>1423800</v>
      </c>
      <c r="N1545" s="597"/>
      <c r="O1545" s="587">
        <v>27386</v>
      </c>
      <c r="P1545" s="597"/>
      <c r="Q1545" s="597">
        <v>19900</v>
      </c>
      <c r="R1545" s="599">
        <f>M1545/G1545</f>
        <v>2100</v>
      </c>
      <c r="S1545" s="586">
        <f t="shared" si="212"/>
        <v>8948750</v>
      </c>
      <c r="T1545" s="600"/>
      <c r="U1545" s="589"/>
      <c r="V1545" s="589"/>
      <c r="W1545" s="600"/>
      <c r="X1545" s="601"/>
      <c r="Y1545" s="600">
        <f t="shared" si="213"/>
        <v>1471086</v>
      </c>
      <c r="Z1545" s="601"/>
    </row>
    <row r="1546" spans="1:26" s="75" customFormat="1" ht="37.5" hidden="1">
      <c r="A1546" s="714"/>
      <c r="B1546" s="592"/>
      <c r="C1546" s="593"/>
      <c r="D1546" s="594"/>
      <c r="E1546" s="594"/>
      <c r="F1546" s="594"/>
      <c r="G1546" s="594"/>
      <c r="H1546" s="594"/>
      <c r="I1546" s="594"/>
      <c r="J1546" s="594"/>
      <c r="K1546" s="720" t="s">
        <v>219</v>
      </c>
      <c r="L1546" s="997"/>
      <c r="M1546" s="962">
        <v>8800000</v>
      </c>
      <c r="N1546" s="722">
        <v>148750</v>
      </c>
      <c r="O1546" s="587"/>
      <c r="P1546" s="597"/>
      <c r="Q1546" s="597"/>
      <c r="R1546" s="599">
        <v>2200000</v>
      </c>
      <c r="S1546" s="586">
        <f t="shared" si="212"/>
        <v>-8948750</v>
      </c>
      <c r="T1546" s="600"/>
      <c r="U1546" s="589"/>
      <c r="V1546" s="589"/>
      <c r="W1546" s="600"/>
      <c r="X1546" s="601"/>
      <c r="Y1546" s="600">
        <f t="shared" si="213"/>
        <v>8948750</v>
      </c>
      <c r="Z1546" s="601"/>
    </row>
    <row r="1547" spans="1:26" s="75" customFormat="1" hidden="1">
      <c r="A1547" s="714">
        <f>A1545+1</f>
        <v>85</v>
      </c>
      <c r="B1547" s="592" t="s">
        <v>1588</v>
      </c>
      <c r="C1547" s="593" t="s">
        <v>271</v>
      </c>
      <c r="D1547" s="594">
        <v>24052</v>
      </c>
      <c r="E1547" s="594">
        <v>3720</v>
      </c>
      <c r="F1547" s="594" t="s">
        <v>233</v>
      </c>
      <c r="G1547" s="594">
        <v>662</v>
      </c>
      <c r="H1547" s="594">
        <v>9</v>
      </c>
      <c r="I1547" s="594">
        <v>2</v>
      </c>
      <c r="J1547" s="594">
        <v>72</v>
      </c>
      <c r="K1547" s="590" t="s">
        <v>33</v>
      </c>
      <c r="L1547" s="584">
        <f>M1547+N1547+O1547+Q1547+M1548+N1548+O1548+Q1548</f>
        <v>5544051</v>
      </c>
      <c r="M1547" s="596">
        <v>1390200</v>
      </c>
      <c r="N1547" s="675"/>
      <c r="O1547" s="631">
        <v>27701</v>
      </c>
      <c r="P1547" s="597"/>
      <c r="Q1547" s="597">
        <v>19900</v>
      </c>
      <c r="R1547" s="599">
        <f>M1547/G1547</f>
        <v>2100</v>
      </c>
      <c r="S1547" s="586">
        <f t="shared" si="212"/>
        <v>4106250</v>
      </c>
      <c r="T1547" s="600"/>
      <c r="U1547" s="589"/>
      <c r="V1547" s="589"/>
      <c r="W1547" s="600"/>
      <c r="X1547" s="601"/>
      <c r="Y1547" s="600">
        <f t="shared" si="213"/>
        <v>1437801</v>
      </c>
      <c r="Z1547" s="601"/>
    </row>
    <row r="1548" spans="1:26" s="75" customFormat="1" ht="37.5" hidden="1">
      <c r="A1548" s="714"/>
      <c r="B1548" s="592"/>
      <c r="C1548" s="593"/>
      <c r="D1548" s="594"/>
      <c r="E1548" s="594"/>
      <c r="F1548" s="594"/>
      <c r="G1548" s="594"/>
      <c r="H1548" s="594"/>
      <c r="I1548" s="594"/>
      <c r="J1548" s="594"/>
      <c r="K1548" s="720" t="s">
        <v>219</v>
      </c>
      <c r="L1548" s="721"/>
      <c r="M1548" s="962">
        <v>4000000</v>
      </c>
      <c r="N1548" s="722">
        <v>106250</v>
      </c>
      <c r="O1548" s="631"/>
      <c r="P1548" s="597"/>
      <c r="Q1548" s="597"/>
      <c r="R1548" s="599">
        <v>2000000</v>
      </c>
      <c r="S1548" s="586">
        <f t="shared" si="212"/>
        <v>-4106250</v>
      </c>
      <c r="T1548" s="600"/>
      <c r="U1548" s="589"/>
      <c r="V1548" s="589"/>
      <c r="W1548" s="600"/>
      <c r="X1548" s="601"/>
      <c r="Y1548" s="600">
        <f t="shared" si="213"/>
        <v>4106250</v>
      </c>
      <c r="Z1548" s="601"/>
    </row>
    <row r="1549" spans="1:26" s="75" customFormat="1" ht="37.5" hidden="1">
      <c r="A1549" s="616">
        <f>A1547+1</f>
        <v>86</v>
      </c>
      <c r="B1549" s="592" t="s">
        <v>1603</v>
      </c>
      <c r="C1549" s="593" t="s">
        <v>271</v>
      </c>
      <c r="D1549" s="594">
        <v>24472</v>
      </c>
      <c r="E1549" s="594">
        <v>1950</v>
      </c>
      <c r="F1549" s="594" t="s">
        <v>233</v>
      </c>
      <c r="G1549" s="594">
        <v>975</v>
      </c>
      <c r="H1549" s="594">
        <v>9</v>
      </c>
      <c r="I1549" s="594">
        <v>1</v>
      </c>
      <c r="J1549" s="594">
        <v>204</v>
      </c>
      <c r="K1549" s="590" t="s">
        <v>30</v>
      </c>
      <c r="L1549" s="584">
        <f>M1549+N1549+O1549+Q1549+M1550+N1550+O1550+Q1550</f>
        <v>10660827</v>
      </c>
      <c r="M1549" s="596">
        <v>6496000</v>
      </c>
      <c r="N1549" s="597"/>
      <c r="O1549" s="587">
        <v>18777</v>
      </c>
      <c r="P1549" s="597"/>
      <c r="Q1549" s="597">
        <v>39800</v>
      </c>
      <c r="R1549" s="599">
        <f>M1549/J1549</f>
        <v>31843.137254901962</v>
      </c>
      <c r="S1549" s="586">
        <f t="shared" si="212"/>
        <v>4106250</v>
      </c>
      <c r="T1549" s="600"/>
      <c r="U1549" s="589"/>
      <c r="V1549" s="589"/>
      <c r="W1549" s="600"/>
      <c r="X1549" s="601"/>
      <c r="Y1549" s="600">
        <f t="shared" si="213"/>
        <v>6554577</v>
      </c>
      <c r="Z1549" s="601"/>
    </row>
    <row r="1550" spans="1:26" s="136" customFormat="1" ht="37.5" hidden="1">
      <c r="A1550" s="717"/>
      <c r="B1550" s="961"/>
      <c r="C1550" s="718"/>
      <c r="D1550" s="719"/>
      <c r="E1550" s="719"/>
      <c r="F1550" s="719"/>
      <c r="G1550" s="719"/>
      <c r="H1550" s="719"/>
      <c r="I1550" s="719"/>
      <c r="J1550" s="719"/>
      <c r="K1550" s="720" t="s">
        <v>219</v>
      </c>
      <c r="L1550" s="721"/>
      <c r="M1550" s="962">
        <v>4000000</v>
      </c>
      <c r="N1550" s="722">
        <v>106250</v>
      </c>
      <c r="O1550" s="723"/>
      <c r="P1550" s="722"/>
      <c r="Q1550" s="722"/>
      <c r="R1550" s="599">
        <v>2000000</v>
      </c>
      <c r="S1550" s="586">
        <f t="shared" si="212"/>
        <v>-4106250</v>
      </c>
      <c r="T1550" s="726"/>
      <c r="U1550" s="965"/>
      <c r="V1550" s="589"/>
      <c r="W1550" s="600"/>
      <c r="X1550" s="727"/>
      <c r="Y1550" s="600">
        <f t="shared" si="213"/>
        <v>4106250</v>
      </c>
      <c r="Z1550" s="727"/>
    </row>
    <row r="1551" spans="1:26" s="75" customFormat="1" ht="37.5" hidden="1">
      <c r="A1551" s="616">
        <f>A1549+1</f>
        <v>87</v>
      </c>
      <c r="B1551" s="592" t="s">
        <v>1637</v>
      </c>
      <c r="C1551" s="593" t="s">
        <v>271</v>
      </c>
      <c r="D1551" s="594">
        <v>24749</v>
      </c>
      <c r="E1551" s="594">
        <v>5166</v>
      </c>
      <c r="F1551" s="594" t="s">
        <v>233</v>
      </c>
      <c r="G1551" s="594">
        <v>1969</v>
      </c>
      <c r="H1551" s="594">
        <v>6</v>
      </c>
      <c r="I1551" s="594">
        <v>8</v>
      </c>
      <c r="J1551" s="594">
        <v>152</v>
      </c>
      <c r="K1551" s="590" t="s">
        <v>4318</v>
      </c>
      <c r="L1551" s="584">
        <f>M1551+N1551+O1551+Q1551+M1552+N1552+O1552+Q1552</f>
        <v>22188378</v>
      </c>
      <c r="M1551" s="596">
        <v>5907000</v>
      </c>
      <c r="N1551" s="675">
        <v>27728</v>
      </c>
      <c r="O1551" s="598"/>
      <c r="P1551" s="597"/>
      <c r="Q1551" s="597">
        <v>19900</v>
      </c>
      <c r="R1551" s="582">
        <f>M1551/G1551</f>
        <v>3000</v>
      </c>
      <c r="S1551" s="586">
        <f t="shared" si="212"/>
        <v>16233750</v>
      </c>
      <c r="T1551" s="600"/>
      <c r="U1551" s="589"/>
      <c r="V1551" s="589"/>
      <c r="W1551" s="600"/>
      <c r="X1551" s="601"/>
      <c r="Y1551" s="600">
        <f t="shared" si="213"/>
        <v>5954628</v>
      </c>
      <c r="Z1551" s="601"/>
    </row>
    <row r="1552" spans="1:26" s="136" customFormat="1" ht="37.5" hidden="1">
      <c r="A1552" s="717"/>
      <c r="B1552" s="961"/>
      <c r="C1552" s="718"/>
      <c r="D1552" s="719"/>
      <c r="E1552" s="719"/>
      <c r="F1552" s="719"/>
      <c r="G1552" s="719"/>
      <c r="H1552" s="719"/>
      <c r="I1552" s="719"/>
      <c r="J1552" s="719"/>
      <c r="K1552" s="720" t="s">
        <v>219</v>
      </c>
      <c r="L1552" s="721"/>
      <c r="M1552" s="962">
        <v>16000000</v>
      </c>
      <c r="N1552" s="722">
        <v>233750</v>
      </c>
      <c r="O1552" s="963"/>
      <c r="P1552" s="722"/>
      <c r="Q1552" s="722"/>
      <c r="R1552" s="599">
        <v>2000000</v>
      </c>
      <c r="S1552" s="586">
        <f t="shared" si="212"/>
        <v>-16233750</v>
      </c>
      <c r="T1552" s="726"/>
      <c r="U1552" s="965"/>
      <c r="V1552" s="589"/>
      <c r="W1552" s="600"/>
      <c r="X1552" s="727"/>
      <c r="Y1552" s="600">
        <f t="shared" si="213"/>
        <v>16233750</v>
      </c>
      <c r="Z1552" s="727"/>
    </row>
    <row r="1553" spans="1:26" s="75" customFormat="1" hidden="1">
      <c r="A1553" s="714">
        <f>A1551+1</f>
        <v>88</v>
      </c>
      <c r="B1553" s="592" t="s">
        <v>1649</v>
      </c>
      <c r="C1553" s="593" t="s">
        <v>217</v>
      </c>
      <c r="D1553" s="594">
        <v>21995</v>
      </c>
      <c r="E1553" s="594">
        <v>3600</v>
      </c>
      <c r="F1553" s="594" t="s">
        <v>233</v>
      </c>
      <c r="G1553" s="594">
        <v>720</v>
      </c>
      <c r="H1553" s="594">
        <v>12</v>
      </c>
      <c r="I1553" s="594">
        <v>2</v>
      </c>
      <c r="J1553" s="594">
        <v>96</v>
      </c>
      <c r="K1553" s="590" t="s">
        <v>224</v>
      </c>
      <c r="L1553" s="584">
        <f>M1553+N1553+O1553+Q1553+Q1554+O1554+N1554+M1554</f>
        <v>11057113</v>
      </c>
      <c r="M1553" s="596">
        <v>2052900</v>
      </c>
      <c r="N1553" s="597">
        <v>35663</v>
      </c>
      <c r="O1553" s="598"/>
      <c r="P1553" s="597"/>
      <c r="Q1553" s="597">
        <v>19800</v>
      </c>
      <c r="R1553" s="599">
        <f>M1553/J1553</f>
        <v>21384.375</v>
      </c>
      <c r="S1553" s="586">
        <f t="shared" si="212"/>
        <v>8948750</v>
      </c>
      <c r="T1553" s="600"/>
      <c r="U1553" s="589"/>
      <c r="V1553" s="589"/>
      <c r="W1553" s="600"/>
      <c r="X1553" s="601"/>
      <c r="Y1553" s="600">
        <f t="shared" si="213"/>
        <v>2108363</v>
      </c>
      <c r="Z1553" s="601"/>
    </row>
    <row r="1554" spans="1:26" s="136" customFormat="1" ht="37.5" hidden="1">
      <c r="A1554" s="716"/>
      <c r="B1554" s="961"/>
      <c r="C1554" s="718"/>
      <c r="D1554" s="719"/>
      <c r="E1554" s="719"/>
      <c r="F1554" s="719"/>
      <c r="G1554" s="719"/>
      <c r="H1554" s="719"/>
      <c r="I1554" s="719"/>
      <c r="J1554" s="719"/>
      <c r="K1554" s="720" t="s">
        <v>219</v>
      </c>
      <c r="L1554" s="721"/>
      <c r="M1554" s="962">
        <v>8800000</v>
      </c>
      <c r="N1554" s="722">
        <v>148750</v>
      </c>
      <c r="O1554" s="963"/>
      <c r="P1554" s="722"/>
      <c r="Q1554" s="722"/>
      <c r="R1554" s="599">
        <v>2200000</v>
      </c>
      <c r="S1554" s="586">
        <f t="shared" si="212"/>
        <v>-8948750</v>
      </c>
      <c r="T1554" s="726"/>
      <c r="U1554" s="965"/>
      <c r="V1554" s="589"/>
      <c r="W1554" s="600"/>
      <c r="X1554" s="727"/>
      <c r="Y1554" s="600">
        <f t="shared" si="213"/>
        <v>8948750</v>
      </c>
      <c r="Z1554" s="727"/>
    </row>
    <row r="1555" spans="1:26" s="75" customFormat="1" hidden="1">
      <c r="A1555" s="714">
        <f>A1553+1</f>
        <v>89</v>
      </c>
      <c r="B1555" s="592" t="s">
        <v>1650</v>
      </c>
      <c r="C1555" s="593" t="s">
        <v>217</v>
      </c>
      <c r="D1555" s="594">
        <v>22080</v>
      </c>
      <c r="E1555" s="594">
        <v>3600</v>
      </c>
      <c r="F1555" s="594" t="s">
        <v>233</v>
      </c>
      <c r="G1555" s="594">
        <v>718</v>
      </c>
      <c r="H1555" s="594">
        <v>12</v>
      </c>
      <c r="I1555" s="594">
        <v>2</v>
      </c>
      <c r="J1555" s="594">
        <v>96</v>
      </c>
      <c r="K1555" s="590" t="s">
        <v>224</v>
      </c>
      <c r="L1555" s="584">
        <f>M1555+N1555+O1555+Q1555+Q1556+O1556+N1556+M1556</f>
        <v>11057146</v>
      </c>
      <c r="M1555" s="596">
        <v>2052900</v>
      </c>
      <c r="N1555" s="597">
        <v>35696</v>
      </c>
      <c r="O1555" s="598"/>
      <c r="P1555" s="597"/>
      <c r="Q1555" s="597">
        <v>19800</v>
      </c>
      <c r="R1555" s="599">
        <f>M1555/J1555</f>
        <v>21384.375</v>
      </c>
      <c r="S1555" s="586">
        <f t="shared" si="212"/>
        <v>8948750</v>
      </c>
      <c r="T1555" s="600"/>
      <c r="U1555" s="589"/>
      <c r="V1555" s="589"/>
      <c r="W1555" s="600"/>
      <c r="X1555" s="601"/>
      <c r="Y1555" s="600">
        <f t="shared" si="213"/>
        <v>2108396</v>
      </c>
      <c r="Z1555" s="601"/>
    </row>
    <row r="1556" spans="1:26" s="136" customFormat="1" ht="37.5" hidden="1">
      <c r="A1556" s="716"/>
      <c r="B1556" s="961"/>
      <c r="C1556" s="718"/>
      <c r="D1556" s="719"/>
      <c r="E1556" s="719"/>
      <c r="F1556" s="719"/>
      <c r="G1556" s="719"/>
      <c r="H1556" s="719"/>
      <c r="I1556" s="719"/>
      <c r="J1556" s="719"/>
      <c r="K1556" s="720" t="s">
        <v>219</v>
      </c>
      <c r="L1556" s="721"/>
      <c r="M1556" s="962">
        <v>8800000</v>
      </c>
      <c r="N1556" s="722">
        <v>148750</v>
      </c>
      <c r="O1556" s="963"/>
      <c r="P1556" s="722"/>
      <c r="Q1556" s="722"/>
      <c r="R1556" s="599">
        <v>2200000</v>
      </c>
      <c r="S1556" s="586">
        <f t="shared" ref="S1556:S1587" si="217">L1556-M1556-N1556-O1556-P1556-Q1556</f>
        <v>-8948750</v>
      </c>
      <c r="T1556" s="726"/>
      <c r="U1556" s="965"/>
      <c r="V1556" s="589"/>
      <c r="W1556" s="600"/>
      <c r="X1556" s="727"/>
      <c r="Y1556" s="600">
        <f t="shared" si="213"/>
        <v>8948750</v>
      </c>
      <c r="Z1556" s="727"/>
    </row>
    <row r="1557" spans="1:26" s="75" customFormat="1" hidden="1">
      <c r="A1557" s="714">
        <f>A1555+1</f>
        <v>90</v>
      </c>
      <c r="B1557" s="592" t="s">
        <v>1660</v>
      </c>
      <c r="C1557" s="593" t="s">
        <v>217</v>
      </c>
      <c r="D1557" s="594">
        <v>15776</v>
      </c>
      <c r="E1557" s="594">
        <v>4800</v>
      </c>
      <c r="F1557" s="594" t="s">
        <v>233</v>
      </c>
      <c r="G1557" s="594">
        <v>683</v>
      </c>
      <c r="H1557" s="594">
        <v>9</v>
      </c>
      <c r="I1557" s="594">
        <v>2</v>
      </c>
      <c r="J1557" s="594">
        <v>72</v>
      </c>
      <c r="K1557" s="590" t="s">
        <v>33</v>
      </c>
      <c r="L1557" s="584">
        <f>M1557+N1557+O1557+Q1557+Q1558+O1558+N1558+M1558</f>
        <v>5583806</v>
      </c>
      <c r="M1557" s="596">
        <v>1434300</v>
      </c>
      <c r="N1557" s="597"/>
      <c r="O1557" s="587">
        <v>23356</v>
      </c>
      <c r="P1557" s="597"/>
      <c r="Q1557" s="597">
        <v>19900</v>
      </c>
      <c r="R1557" s="599">
        <f>M1557/G1557</f>
        <v>2100</v>
      </c>
      <c r="S1557" s="586">
        <f t="shared" si="217"/>
        <v>4106250</v>
      </c>
      <c r="T1557" s="600"/>
      <c r="U1557" s="589"/>
      <c r="V1557" s="589"/>
      <c r="W1557" s="600"/>
      <c r="X1557" s="601"/>
      <c r="Y1557" s="600">
        <f t="shared" si="213"/>
        <v>1477556</v>
      </c>
      <c r="Z1557" s="601"/>
    </row>
    <row r="1558" spans="1:26" s="136" customFormat="1" ht="37.5" hidden="1">
      <c r="A1558" s="716"/>
      <c r="B1558" s="961"/>
      <c r="C1558" s="718"/>
      <c r="D1558" s="719"/>
      <c r="E1558" s="719"/>
      <c r="F1558" s="719"/>
      <c r="G1558" s="719"/>
      <c r="H1558" s="719"/>
      <c r="I1558" s="719"/>
      <c r="J1558" s="719"/>
      <c r="K1558" s="720" t="s">
        <v>219</v>
      </c>
      <c r="L1558" s="997"/>
      <c r="M1558" s="962">
        <v>4000000</v>
      </c>
      <c r="N1558" s="722">
        <v>106250</v>
      </c>
      <c r="O1558" s="723"/>
      <c r="P1558" s="722"/>
      <c r="Q1558" s="722"/>
      <c r="R1558" s="599">
        <v>2000000</v>
      </c>
      <c r="S1558" s="586">
        <f t="shared" si="217"/>
        <v>-4106250</v>
      </c>
      <c r="T1558" s="726"/>
      <c r="U1558" s="965"/>
      <c r="V1558" s="589"/>
      <c r="W1558" s="600"/>
      <c r="X1558" s="727"/>
      <c r="Y1558" s="600">
        <f t="shared" si="213"/>
        <v>4106250</v>
      </c>
      <c r="Z1558" s="727"/>
    </row>
    <row r="1559" spans="1:26" s="75" customFormat="1" ht="37.5" hidden="1">
      <c r="A1559" s="714">
        <f>A1557+1</f>
        <v>91</v>
      </c>
      <c r="B1559" s="592" t="s">
        <v>1702</v>
      </c>
      <c r="C1559" s="593" t="s">
        <v>271</v>
      </c>
      <c r="D1559" s="594">
        <v>26920</v>
      </c>
      <c r="E1559" s="594">
        <v>1000</v>
      </c>
      <c r="F1559" s="594" t="s">
        <v>233</v>
      </c>
      <c r="G1559" s="594">
        <v>1219</v>
      </c>
      <c r="H1559" s="594">
        <v>12</v>
      </c>
      <c r="I1559" s="594">
        <v>1</v>
      </c>
      <c r="J1559" s="594">
        <v>70</v>
      </c>
      <c r="K1559" s="590" t="s">
        <v>30</v>
      </c>
      <c r="L1559" s="584">
        <f>M1559+N1559+O1559+Q1559+Q1560+O1560+N1560+M1560</f>
        <v>6807710</v>
      </c>
      <c r="M1559" s="596">
        <v>2240000</v>
      </c>
      <c r="N1559" s="597"/>
      <c r="O1559" s="587">
        <v>21660</v>
      </c>
      <c r="P1559" s="597"/>
      <c r="Q1559" s="597">
        <v>39800</v>
      </c>
      <c r="R1559" s="599">
        <f>M1559/J1559</f>
        <v>32000</v>
      </c>
      <c r="S1559" s="586">
        <f t="shared" si="217"/>
        <v>4506250</v>
      </c>
      <c r="T1559" s="600"/>
      <c r="U1559" s="589"/>
      <c r="V1559" s="589"/>
      <c r="W1559" s="600"/>
      <c r="X1559" s="601"/>
      <c r="Y1559" s="600">
        <f t="shared" si="213"/>
        <v>2301460</v>
      </c>
      <c r="Z1559" s="601"/>
    </row>
    <row r="1560" spans="1:26" s="136" customFormat="1" ht="37.5" hidden="1">
      <c r="A1560" s="716"/>
      <c r="B1560" s="961"/>
      <c r="C1560" s="718"/>
      <c r="D1560" s="719"/>
      <c r="E1560" s="719"/>
      <c r="F1560" s="719"/>
      <c r="G1560" s="719"/>
      <c r="H1560" s="719"/>
      <c r="I1560" s="719"/>
      <c r="J1560" s="719"/>
      <c r="K1560" s="720" t="s">
        <v>219</v>
      </c>
      <c r="L1560" s="962"/>
      <c r="M1560" s="962">
        <v>4400000</v>
      </c>
      <c r="N1560" s="722">
        <v>106250</v>
      </c>
      <c r="O1560" s="723"/>
      <c r="P1560" s="722"/>
      <c r="Q1560" s="722"/>
      <c r="R1560" s="599">
        <v>2200000</v>
      </c>
      <c r="S1560" s="586">
        <f t="shared" si="217"/>
        <v>-4506250</v>
      </c>
      <c r="T1560" s="726"/>
      <c r="U1560" s="965"/>
      <c r="V1560" s="589"/>
      <c r="W1560" s="600"/>
      <c r="X1560" s="727"/>
      <c r="Y1560" s="600">
        <f t="shared" si="213"/>
        <v>4506250</v>
      </c>
      <c r="Z1560" s="727"/>
    </row>
    <row r="1561" spans="1:26" s="75" customFormat="1" hidden="1">
      <c r="A1561" s="714">
        <f>A1559+1</f>
        <v>92</v>
      </c>
      <c r="B1561" s="592" t="s">
        <v>1779</v>
      </c>
      <c r="C1561" s="593" t="s">
        <v>217</v>
      </c>
      <c r="D1561" s="594">
        <v>45042</v>
      </c>
      <c r="E1561" s="594">
        <v>8789</v>
      </c>
      <c r="F1561" s="594" t="s">
        <v>233</v>
      </c>
      <c r="G1561" s="594">
        <v>2076</v>
      </c>
      <c r="H1561" s="594">
        <v>9</v>
      </c>
      <c r="I1561" s="594">
        <v>6</v>
      </c>
      <c r="J1561" s="594">
        <v>216</v>
      </c>
      <c r="K1561" s="590" t="s">
        <v>238</v>
      </c>
      <c r="L1561" s="584">
        <f>M1561+N1561+O1561+Q1561+Q1562+O1562+N1562+M1562</f>
        <v>18095149.25</v>
      </c>
      <c r="M1561" s="596">
        <v>5832000</v>
      </c>
      <c r="N1561" s="675">
        <v>36189</v>
      </c>
      <c r="O1561" s="887"/>
      <c r="P1561" s="597"/>
      <c r="Q1561" s="597">
        <v>35710.25</v>
      </c>
      <c r="R1561" s="599">
        <f>M1561/J1561</f>
        <v>27000</v>
      </c>
      <c r="S1561" s="586">
        <f t="shared" si="217"/>
        <v>12191250</v>
      </c>
      <c r="T1561" s="600"/>
      <c r="U1561" s="589"/>
      <c r="V1561" s="589"/>
      <c r="W1561" s="600"/>
      <c r="X1561" s="601"/>
      <c r="Y1561" s="600">
        <f t="shared" si="213"/>
        <v>5903899.25</v>
      </c>
      <c r="Z1561" s="601"/>
    </row>
    <row r="1562" spans="1:26" s="139" customFormat="1" ht="37.5" hidden="1">
      <c r="A1562" s="998"/>
      <c r="B1562" s="999"/>
      <c r="C1562" s="1000"/>
      <c r="D1562" s="1001"/>
      <c r="E1562" s="1001"/>
      <c r="F1562" s="1001"/>
      <c r="G1562" s="1001"/>
      <c r="H1562" s="1001"/>
      <c r="I1562" s="1001"/>
      <c r="J1562" s="1001"/>
      <c r="K1562" s="720" t="s">
        <v>219</v>
      </c>
      <c r="L1562" s="1002"/>
      <c r="M1562" s="962">
        <v>12000000</v>
      </c>
      <c r="N1562" s="722">
        <v>191250</v>
      </c>
      <c r="O1562" s="963"/>
      <c r="P1562" s="1003"/>
      <c r="Q1562" s="1003"/>
      <c r="R1562" s="599">
        <v>2000000</v>
      </c>
      <c r="S1562" s="586">
        <f t="shared" si="217"/>
        <v>-12191250</v>
      </c>
      <c r="T1562" s="1004"/>
      <c r="U1562" s="1005"/>
      <c r="V1562" s="589"/>
      <c r="W1562" s="600"/>
      <c r="X1562" s="1006"/>
      <c r="Y1562" s="600">
        <f t="shared" si="213"/>
        <v>12191250</v>
      </c>
      <c r="Z1562" s="1006"/>
    </row>
    <row r="1563" spans="1:26" s="75" customFormat="1" ht="37.5" hidden="1">
      <c r="A1563" s="714">
        <f>A1561+1</f>
        <v>93</v>
      </c>
      <c r="B1563" s="592" t="s">
        <v>1794</v>
      </c>
      <c r="C1563" s="593" t="s">
        <v>217</v>
      </c>
      <c r="D1563" s="594">
        <v>21497</v>
      </c>
      <c r="E1563" s="594">
        <v>2500</v>
      </c>
      <c r="F1563" s="594" t="s">
        <v>233</v>
      </c>
      <c r="G1563" s="594">
        <v>913</v>
      </c>
      <c r="H1563" s="594">
        <v>9</v>
      </c>
      <c r="I1563" s="594">
        <v>2</v>
      </c>
      <c r="J1563" s="594">
        <v>101</v>
      </c>
      <c r="K1563" s="590" t="s">
        <v>30</v>
      </c>
      <c r="L1563" s="584">
        <f>M1563+N1563+O1563+Q1563+Q1564+O1564+N1564+M1564</f>
        <v>7334490</v>
      </c>
      <c r="M1563" s="596">
        <v>3168000</v>
      </c>
      <c r="N1563" s="675"/>
      <c r="O1563" s="631">
        <v>20240</v>
      </c>
      <c r="P1563" s="597"/>
      <c r="Q1563" s="597">
        <v>40000</v>
      </c>
      <c r="R1563" s="599">
        <f>M1563/J1563</f>
        <v>31366.336633663366</v>
      </c>
      <c r="S1563" s="586">
        <f t="shared" si="217"/>
        <v>4106250</v>
      </c>
      <c r="T1563" s="600"/>
      <c r="U1563" s="589"/>
      <c r="V1563" s="589"/>
      <c r="W1563" s="600"/>
      <c r="X1563" s="601"/>
      <c r="Y1563" s="600">
        <f t="shared" si="213"/>
        <v>3228240</v>
      </c>
      <c r="Z1563" s="601"/>
    </row>
    <row r="1564" spans="1:26" s="75" customFormat="1" ht="37.5" hidden="1">
      <c r="A1564" s="714"/>
      <c r="B1564" s="592"/>
      <c r="C1564" s="593"/>
      <c r="D1564" s="594"/>
      <c r="E1564" s="594"/>
      <c r="F1564" s="594"/>
      <c r="G1564" s="594"/>
      <c r="H1564" s="594"/>
      <c r="I1564" s="594"/>
      <c r="J1564" s="594"/>
      <c r="K1564" s="720" t="s">
        <v>219</v>
      </c>
      <c r="L1564" s="962"/>
      <c r="M1564" s="962">
        <v>4000000</v>
      </c>
      <c r="N1564" s="722">
        <v>106250</v>
      </c>
      <c r="O1564" s="631"/>
      <c r="P1564" s="597"/>
      <c r="Q1564" s="597"/>
      <c r="R1564" s="599">
        <v>2000000</v>
      </c>
      <c r="S1564" s="586">
        <f t="shared" si="217"/>
        <v>-4106250</v>
      </c>
      <c r="T1564" s="600"/>
      <c r="U1564" s="589"/>
      <c r="V1564" s="589"/>
      <c r="W1564" s="600"/>
      <c r="X1564" s="601"/>
      <c r="Y1564" s="600">
        <f t="shared" si="213"/>
        <v>4106250</v>
      </c>
      <c r="Z1564" s="601"/>
    </row>
    <row r="1565" spans="1:26" s="103" customFormat="1" ht="37.5" hidden="1">
      <c r="A1565" s="714">
        <f>A1563+1</f>
        <v>94</v>
      </c>
      <c r="B1565" s="592" t="s">
        <v>3356</v>
      </c>
      <c r="C1565" s="593" t="s">
        <v>271</v>
      </c>
      <c r="D1565" s="582">
        <v>27959</v>
      </c>
      <c r="E1565" s="646">
        <v>4220</v>
      </c>
      <c r="F1565" s="643" t="s">
        <v>233</v>
      </c>
      <c r="G1565" s="582">
        <v>872</v>
      </c>
      <c r="H1565" s="582">
        <v>14</v>
      </c>
      <c r="I1565" s="582">
        <v>1</v>
      </c>
      <c r="J1565" s="582">
        <v>75</v>
      </c>
      <c r="K1565" s="590" t="s">
        <v>219</v>
      </c>
      <c r="L1565" s="775">
        <f t="shared" ref="L1565:L1581" si="218">M1565+N1565+O1565+P1565+Q1565</f>
        <v>4506250</v>
      </c>
      <c r="M1565" s="585">
        <v>4400000</v>
      </c>
      <c r="N1565" s="586">
        <v>106250</v>
      </c>
      <c r="O1565" s="565"/>
      <c r="P1565" s="564"/>
      <c r="Q1565" s="586"/>
      <c r="R1565" s="582">
        <v>2200000</v>
      </c>
      <c r="S1565" s="586">
        <f t="shared" si="217"/>
        <v>0</v>
      </c>
      <c r="T1565" s="589"/>
      <c r="U1565" s="560"/>
      <c r="V1565" s="589"/>
      <c r="W1565" s="600"/>
      <c r="X1565" s="560"/>
      <c r="Y1565" s="600">
        <f t="shared" si="213"/>
        <v>4506250</v>
      </c>
      <c r="Z1565" s="560"/>
    </row>
    <row r="1566" spans="1:26" hidden="1">
      <c r="A1566" s="580">
        <f>A1565+1</f>
        <v>95</v>
      </c>
      <c r="B1566" s="592" t="s">
        <v>1439</v>
      </c>
      <c r="C1566" s="593" t="s">
        <v>217</v>
      </c>
      <c r="D1566" s="594">
        <v>20200</v>
      </c>
      <c r="E1566" s="594">
        <v>4050</v>
      </c>
      <c r="F1566" s="594" t="s">
        <v>233</v>
      </c>
      <c r="G1566" s="594">
        <v>882</v>
      </c>
      <c r="H1566" s="594">
        <v>9</v>
      </c>
      <c r="I1566" s="594">
        <v>3</v>
      </c>
      <c r="J1566" s="594">
        <v>108</v>
      </c>
      <c r="K1566" s="590" t="s">
        <v>33</v>
      </c>
      <c r="L1566" s="584">
        <f t="shared" si="218"/>
        <v>1898724</v>
      </c>
      <c r="M1566" s="596">
        <v>1852200</v>
      </c>
      <c r="N1566" s="597"/>
      <c r="O1566" s="587">
        <v>26624</v>
      </c>
      <c r="P1566" s="597"/>
      <c r="Q1566" s="597">
        <v>19900</v>
      </c>
      <c r="R1566" s="599">
        <f>M1566/G1566</f>
        <v>2100</v>
      </c>
      <c r="S1566" s="586">
        <f t="shared" si="217"/>
        <v>0</v>
      </c>
      <c r="T1566" s="588"/>
      <c r="U1566" s="589"/>
      <c r="V1566" s="589"/>
      <c r="W1566" s="600"/>
      <c r="Y1566" s="600">
        <f t="shared" si="213"/>
        <v>1898724</v>
      </c>
    </row>
    <row r="1567" spans="1:26" hidden="1">
      <c r="A1567" s="580">
        <f t="shared" ref="A1567:A1582" si="219">A1566+1</f>
        <v>96</v>
      </c>
      <c r="B1567" s="592" t="s">
        <v>1440</v>
      </c>
      <c r="C1567" s="593" t="s">
        <v>271</v>
      </c>
      <c r="D1567" s="594">
        <v>42649</v>
      </c>
      <c r="E1567" s="594">
        <v>7130</v>
      </c>
      <c r="F1567" s="594" t="s">
        <v>233</v>
      </c>
      <c r="G1567" s="594">
        <v>1181.5</v>
      </c>
      <c r="H1567" s="594">
        <v>9</v>
      </c>
      <c r="I1567" s="594">
        <v>4</v>
      </c>
      <c r="J1567" s="594">
        <v>127</v>
      </c>
      <c r="K1567" s="590" t="s">
        <v>224</v>
      </c>
      <c r="L1567" s="584">
        <f t="shared" si="218"/>
        <v>2731195</v>
      </c>
      <c r="M1567" s="607">
        <v>2672900</v>
      </c>
      <c r="N1567" s="597">
        <v>38495</v>
      </c>
      <c r="O1567" s="598"/>
      <c r="P1567" s="597"/>
      <c r="Q1567" s="597">
        <v>19800</v>
      </c>
      <c r="R1567" s="599">
        <f>M1567/J1567</f>
        <v>21046.456692913387</v>
      </c>
      <c r="S1567" s="586">
        <f t="shared" si="217"/>
        <v>0</v>
      </c>
      <c r="T1567" s="588"/>
      <c r="U1567" s="589"/>
      <c r="V1567" s="589"/>
      <c r="W1567" s="600"/>
      <c r="Y1567" s="600">
        <f t="shared" si="213"/>
        <v>2731195</v>
      </c>
    </row>
    <row r="1568" spans="1:26" s="75" customFormat="1" ht="37.5" hidden="1">
      <c r="A1568" s="580">
        <f t="shared" si="219"/>
        <v>97</v>
      </c>
      <c r="B1568" s="592" t="s">
        <v>1441</v>
      </c>
      <c r="C1568" s="593" t="s">
        <v>271</v>
      </c>
      <c r="D1568" s="594">
        <v>41121</v>
      </c>
      <c r="E1568" s="594">
        <v>7130</v>
      </c>
      <c r="F1568" s="594" t="s">
        <v>233</v>
      </c>
      <c r="G1568" s="594">
        <v>1283</v>
      </c>
      <c r="H1568" s="594">
        <v>9</v>
      </c>
      <c r="I1568" s="594">
        <v>3</v>
      </c>
      <c r="J1568" s="594">
        <v>161</v>
      </c>
      <c r="K1568" s="590" t="s">
        <v>30</v>
      </c>
      <c r="L1568" s="584">
        <f t="shared" si="218"/>
        <v>5214329</v>
      </c>
      <c r="M1568" s="596">
        <v>5152000</v>
      </c>
      <c r="N1568" s="597"/>
      <c r="O1568" s="587">
        <v>22529</v>
      </c>
      <c r="P1568" s="597"/>
      <c r="Q1568" s="597">
        <v>39800</v>
      </c>
      <c r="R1568" s="599">
        <f>M1568/J1568</f>
        <v>32000</v>
      </c>
      <c r="S1568" s="586">
        <f t="shared" si="217"/>
        <v>0</v>
      </c>
      <c r="T1568" s="600"/>
      <c r="U1568" s="589"/>
      <c r="V1568" s="589"/>
      <c r="W1568" s="600"/>
      <c r="X1568" s="601"/>
      <c r="Y1568" s="600">
        <f t="shared" si="213"/>
        <v>5214329</v>
      </c>
      <c r="Z1568" s="601"/>
    </row>
    <row r="1569" spans="1:26" s="75" customFormat="1" hidden="1">
      <c r="A1569" s="580">
        <f t="shared" si="219"/>
        <v>98</v>
      </c>
      <c r="B1569" s="592" t="s">
        <v>1442</v>
      </c>
      <c r="C1569" s="593" t="s">
        <v>217</v>
      </c>
      <c r="D1569" s="594">
        <v>16088</v>
      </c>
      <c r="E1569" s="594">
        <v>3134</v>
      </c>
      <c r="F1569" s="594" t="s">
        <v>233</v>
      </c>
      <c r="G1569" s="594">
        <v>687</v>
      </c>
      <c r="H1569" s="594">
        <v>9</v>
      </c>
      <c r="I1569" s="594">
        <v>2</v>
      </c>
      <c r="J1569" s="594">
        <v>72</v>
      </c>
      <c r="K1569" s="590" t="s">
        <v>33</v>
      </c>
      <c r="L1569" s="584">
        <f t="shared" si="218"/>
        <v>1488074</v>
      </c>
      <c r="M1569" s="596">
        <v>1442700</v>
      </c>
      <c r="N1569" s="597"/>
      <c r="O1569" s="587">
        <v>25474</v>
      </c>
      <c r="P1569" s="597"/>
      <c r="Q1569" s="597">
        <v>19900</v>
      </c>
      <c r="R1569" s="599">
        <f>M1569/G1569</f>
        <v>2100</v>
      </c>
      <c r="S1569" s="586">
        <f t="shared" si="217"/>
        <v>0</v>
      </c>
      <c r="T1569" s="600"/>
      <c r="U1569" s="589"/>
      <c r="V1569" s="589"/>
      <c r="W1569" s="600"/>
      <c r="X1569" s="601"/>
      <c r="Y1569" s="600">
        <f t="shared" si="213"/>
        <v>1488074</v>
      </c>
      <c r="Z1569" s="601"/>
    </row>
    <row r="1570" spans="1:26" s="75" customFormat="1" hidden="1">
      <c r="A1570" s="580">
        <f t="shared" si="219"/>
        <v>99</v>
      </c>
      <c r="B1570" s="592" t="s">
        <v>1443</v>
      </c>
      <c r="C1570" s="593" t="s">
        <v>217</v>
      </c>
      <c r="D1570" s="594">
        <v>15503</v>
      </c>
      <c r="E1570" s="594">
        <v>3132</v>
      </c>
      <c r="F1570" s="594" t="s">
        <v>233</v>
      </c>
      <c r="G1570" s="594">
        <v>695.8</v>
      </c>
      <c r="H1570" s="594">
        <v>9</v>
      </c>
      <c r="I1570" s="594">
        <v>2</v>
      </c>
      <c r="J1570" s="594">
        <v>72</v>
      </c>
      <c r="K1570" s="590" t="s">
        <v>33</v>
      </c>
      <c r="L1570" s="584">
        <f t="shared" si="218"/>
        <v>1506390</v>
      </c>
      <c r="M1570" s="596">
        <v>1461180</v>
      </c>
      <c r="N1570" s="597"/>
      <c r="O1570" s="587">
        <v>25310</v>
      </c>
      <c r="P1570" s="597"/>
      <c r="Q1570" s="597">
        <v>19900</v>
      </c>
      <c r="R1570" s="599">
        <f>M1570/G1570</f>
        <v>2100</v>
      </c>
      <c r="S1570" s="586">
        <f t="shared" si="217"/>
        <v>0</v>
      </c>
      <c r="T1570" s="600"/>
      <c r="U1570" s="589"/>
      <c r="V1570" s="589"/>
      <c r="W1570" s="600"/>
      <c r="X1570" s="601"/>
      <c r="Y1570" s="600">
        <f t="shared" si="213"/>
        <v>1506390</v>
      </c>
      <c r="Z1570" s="601"/>
    </row>
    <row r="1571" spans="1:26" s="75" customFormat="1" hidden="1">
      <c r="A1571" s="580">
        <f t="shared" si="219"/>
        <v>100</v>
      </c>
      <c r="B1571" s="592" t="s">
        <v>1445</v>
      </c>
      <c r="C1571" s="593" t="s">
        <v>271</v>
      </c>
      <c r="D1571" s="594">
        <v>45455</v>
      </c>
      <c r="E1571" s="594">
        <v>6089</v>
      </c>
      <c r="F1571" s="594" t="s">
        <v>233</v>
      </c>
      <c r="G1571" s="594">
        <v>3221.7</v>
      </c>
      <c r="H1571" s="594">
        <v>9</v>
      </c>
      <c r="I1571" s="594">
        <v>4</v>
      </c>
      <c r="J1571" s="594">
        <v>128</v>
      </c>
      <c r="K1571" s="590" t="s">
        <v>238</v>
      </c>
      <c r="L1571" s="584">
        <f t="shared" si="218"/>
        <v>3528024.25</v>
      </c>
      <c r="M1571" s="596">
        <v>3456000</v>
      </c>
      <c r="N1571" s="597">
        <v>36314</v>
      </c>
      <c r="O1571" s="598"/>
      <c r="P1571" s="597"/>
      <c r="Q1571" s="597">
        <v>35710.25</v>
      </c>
      <c r="R1571" s="599">
        <f>M1571/J1571</f>
        <v>27000</v>
      </c>
      <c r="S1571" s="586">
        <f t="shared" si="217"/>
        <v>0</v>
      </c>
      <c r="T1571" s="600"/>
      <c r="U1571" s="589"/>
      <c r="V1571" s="589"/>
      <c r="W1571" s="600"/>
      <c r="X1571" s="601"/>
      <c r="Y1571" s="600">
        <f t="shared" si="213"/>
        <v>3528024.25</v>
      </c>
      <c r="Z1571" s="601"/>
    </row>
    <row r="1572" spans="1:26" s="75" customFormat="1" hidden="1">
      <c r="A1572" s="580">
        <f t="shared" si="219"/>
        <v>101</v>
      </c>
      <c r="B1572" s="592" t="s">
        <v>1446</v>
      </c>
      <c r="C1572" s="593" t="s">
        <v>271</v>
      </c>
      <c r="D1572" s="594">
        <v>29223</v>
      </c>
      <c r="E1572" s="594">
        <v>4484</v>
      </c>
      <c r="F1572" s="594" t="s">
        <v>233</v>
      </c>
      <c r="G1572" s="594">
        <v>1080</v>
      </c>
      <c r="H1572" s="594">
        <v>9</v>
      </c>
      <c r="I1572" s="594">
        <v>3</v>
      </c>
      <c r="J1572" s="594">
        <v>96</v>
      </c>
      <c r="K1572" s="590" t="s">
        <v>33</v>
      </c>
      <c r="L1572" s="584">
        <f t="shared" si="218"/>
        <v>2317047</v>
      </c>
      <c r="M1572" s="596">
        <v>2268000</v>
      </c>
      <c r="N1572" s="675"/>
      <c r="O1572" s="631">
        <v>29147</v>
      </c>
      <c r="P1572" s="597"/>
      <c r="Q1572" s="597">
        <v>19900</v>
      </c>
      <c r="R1572" s="599">
        <f>M1572/G1572</f>
        <v>2100</v>
      </c>
      <c r="S1572" s="586">
        <f t="shared" si="217"/>
        <v>0</v>
      </c>
      <c r="T1572" s="600"/>
      <c r="U1572" s="589"/>
      <c r="V1572" s="589"/>
      <c r="W1572" s="600"/>
      <c r="X1572" s="601"/>
      <c r="Y1572" s="600">
        <f t="shared" si="213"/>
        <v>2317047</v>
      </c>
      <c r="Z1572" s="601"/>
    </row>
    <row r="1573" spans="1:26" s="75" customFormat="1" hidden="1">
      <c r="A1573" s="580">
        <f t="shared" si="219"/>
        <v>102</v>
      </c>
      <c r="B1573" s="592" t="s">
        <v>1447</v>
      </c>
      <c r="C1573" s="593" t="s">
        <v>217</v>
      </c>
      <c r="D1573" s="594">
        <v>31421</v>
      </c>
      <c r="E1573" s="594">
        <v>4018</v>
      </c>
      <c r="F1573" s="594" t="s">
        <v>233</v>
      </c>
      <c r="G1573" s="594">
        <v>1345</v>
      </c>
      <c r="H1573" s="594">
        <v>9</v>
      </c>
      <c r="I1573" s="594">
        <v>4</v>
      </c>
      <c r="J1573" s="594">
        <v>144</v>
      </c>
      <c r="K1573" s="590" t="s">
        <v>33</v>
      </c>
      <c r="L1573" s="584">
        <f t="shared" si="218"/>
        <v>2871787</v>
      </c>
      <c r="M1573" s="596">
        <v>2824500</v>
      </c>
      <c r="N1573" s="675"/>
      <c r="O1573" s="631">
        <v>27387</v>
      </c>
      <c r="P1573" s="597"/>
      <c r="Q1573" s="597">
        <v>19900</v>
      </c>
      <c r="R1573" s="599">
        <f>M1573/G1573</f>
        <v>2100</v>
      </c>
      <c r="S1573" s="586">
        <f t="shared" si="217"/>
        <v>0</v>
      </c>
      <c r="T1573" s="600"/>
      <c r="U1573" s="589"/>
      <c r="V1573" s="589"/>
      <c r="W1573" s="600"/>
      <c r="X1573" s="601"/>
      <c r="Y1573" s="600">
        <f t="shared" si="213"/>
        <v>2871787</v>
      </c>
      <c r="Z1573" s="601"/>
    </row>
    <row r="1574" spans="1:26" s="75" customFormat="1" hidden="1">
      <c r="A1574" s="580">
        <f t="shared" si="219"/>
        <v>103</v>
      </c>
      <c r="B1574" s="592" t="s">
        <v>1449</v>
      </c>
      <c r="C1574" s="593" t="s">
        <v>217</v>
      </c>
      <c r="D1574" s="594">
        <v>56304</v>
      </c>
      <c r="E1574" s="594">
        <v>8500</v>
      </c>
      <c r="F1574" s="594" t="s">
        <v>233</v>
      </c>
      <c r="G1574" s="594">
        <v>2881</v>
      </c>
      <c r="H1574" s="594">
        <v>10</v>
      </c>
      <c r="I1574" s="594">
        <v>5</v>
      </c>
      <c r="J1574" s="594">
        <v>190</v>
      </c>
      <c r="K1574" s="590" t="s">
        <v>224</v>
      </c>
      <c r="L1574" s="584">
        <f t="shared" si="218"/>
        <v>3996654</v>
      </c>
      <c r="M1574" s="607">
        <v>3932900</v>
      </c>
      <c r="N1574" s="675">
        <v>43954</v>
      </c>
      <c r="O1574" s="887"/>
      <c r="P1574" s="597"/>
      <c r="Q1574" s="597">
        <v>19800</v>
      </c>
      <c r="R1574" s="599">
        <f>M1574/J1574</f>
        <v>20699.473684210527</v>
      </c>
      <c r="S1574" s="586">
        <f t="shared" si="217"/>
        <v>0</v>
      </c>
      <c r="T1574" s="600"/>
      <c r="U1574" s="589"/>
      <c r="V1574" s="589"/>
      <c r="W1574" s="600"/>
      <c r="X1574" s="601"/>
      <c r="Y1574" s="600">
        <f t="shared" si="213"/>
        <v>3996654</v>
      </c>
      <c r="Z1574" s="601"/>
    </row>
    <row r="1575" spans="1:26" s="75" customFormat="1" hidden="1">
      <c r="A1575" s="580">
        <f t="shared" si="219"/>
        <v>104</v>
      </c>
      <c r="B1575" s="592" t="s">
        <v>1448</v>
      </c>
      <c r="C1575" s="593" t="s">
        <v>271</v>
      </c>
      <c r="D1575" s="594">
        <v>28278</v>
      </c>
      <c r="E1575" s="594">
        <v>3900</v>
      </c>
      <c r="F1575" s="594" t="s">
        <v>233</v>
      </c>
      <c r="G1575" s="594">
        <v>592</v>
      </c>
      <c r="H1575" s="594">
        <v>12</v>
      </c>
      <c r="I1575" s="594">
        <v>1</v>
      </c>
      <c r="J1575" s="594">
        <v>81</v>
      </c>
      <c r="K1575" s="590" t="s">
        <v>33</v>
      </c>
      <c r="L1575" s="584">
        <f t="shared" si="218"/>
        <v>1289672</v>
      </c>
      <c r="M1575" s="596">
        <v>1243200</v>
      </c>
      <c r="N1575" s="675"/>
      <c r="O1575" s="631">
        <v>26572</v>
      </c>
      <c r="P1575" s="597"/>
      <c r="Q1575" s="597">
        <v>19900</v>
      </c>
      <c r="R1575" s="599">
        <f>M1575/G1575</f>
        <v>2100</v>
      </c>
      <c r="S1575" s="586">
        <f t="shared" si="217"/>
        <v>0</v>
      </c>
      <c r="T1575" s="600"/>
      <c r="U1575" s="589"/>
      <c r="V1575" s="589"/>
      <c r="W1575" s="600"/>
      <c r="X1575" s="601"/>
      <c r="Y1575" s="600">
        <f t="shared" si="213"/>
        <v>1289672</v>
      </c>
      <c r="Z1575" s="601"/>
    </row>
    <row r="1576" spans="1:26" s="75" customFormat="1" hidden="1">
      <c r="A1576" s="580">
        <f t="shared" si="219"/>
        <v>105</v>
      </c>
      <c r="B1576" s="592" t="s">
        <v>1450</v>
      </c>
      <c r="C1576" s="593" t="s">
        <v>271</v>
      </c>
      <c r="D1576" s="594">
        <v>9828</v>
      </c>
      <c r="E1576" s="594">
        <v>1809</v>
      </c>
      <c r="F1576" s="594" t="s">
        <v>222</v>
      </c>
      <c r="G1576" s="594">
        <v>914.6</v>
      </c>
      <c r="H1576" s="594">
        <v>5</v>
      </c>
      <c r="I1576" s="594">
        <v>3</v>
      </c>
      <c r="J1576" s="594">
        <v>58</v>
      </c>
      <c r="K1576" s="590" t="s">
        <v>224</v>
      </c>
      <c r="L1576" s="584">
        <f t="shared" si="218"/>
        <v>1103508.6599999999</v>
      </c>
      <c r="M1576" s="607">
        <v>1060900</v>
      </c>
      <c r="N1576" s="675">
        <v>31101</v>
      </c>
      <c r="O1576" s="887"/>
      <c r="P1576" s="597"/>
      <c r="Q1576" s="597">
        <v>11507.66</v>
      </c>
      <c r="R1576" s="599">
        <f>M1576/J1576</f>
        <v>18291.379310344826</v>
      </c>
      <c r="S1576" s="586">
        <f t="shared" si="217"/>
        <v>-8.3673512563109398E-11</v>
      </c>
      <c r="T1576" s="600"/>
      <c r="U1576" s="589"/>
      <c r="V1576" s="589"/>
      <c r="W1576" s="600"/>
      <c r="X1576" s="601"/>
      <c r="Y1576" s="600">
        <f t="shared" si="213"/>
        <v>1103508.6599999999</v>
      </c>
      <c r="Z1576" s="601"/>
    </row>
    <row r="1577" spans="1:26" s="75" customFormat="1" hidden="1">
      <c r="A1577" s="580">
        <f t="shared" si="219"/>
        <v>106</v>
      </c>
      <c r="B1577" s="592" t="s">
        <v>1787</v>
      </c>
      <c r="C1577" s="593" t="s">
        <v>396</v>
      </c>
      <c r="D1577" s="594">
        <v>2657</v>
      </c>
      <c r="E1577" s="594">
        <v>620.79999999999995</v>
      </c>
      <c r="F1577" s="594" t="s">
        <v>222</v>
      </c>
      <c r="G1577" s="594">
        <v>810</v>
      </c>
      <c r="H1577" s="594">
        <v>2</v>
      </c>
      <c r="I1577" s="594">
        <v>2</v>
      </c>
      <c r="J1577" s="594">
        <v>12</v>
      </c>
      <c r="K1577" s="590" t="s">
        <v>33</v>
      </c>
      <c r="L1577" s="584">
        <f t="shared" si="218"/>
        <v>1812332.48</v>
      </c>
      <c r="M1577" s="596">
        <v>1782000</v>
      </c>
      <c r="N1577" s="675"/>
      <c r="O1577" s="631">
        <v>17387</v>
      </c>
      <c r="P1577" s="597"/>
      <c r="Q1577" s="597">
        <v>12945.48</v>
      </c>
      <c r="R1577" s="599">
        <f>M1577/G1577</f>
        <v>2200</v>
      </c>
      <c r="S1577" s="586">
        <f t="shared" si="217"/>
        <v>-1.8189894035458565E-11</v>
      </c>
      <c r="T1577" s="600"/>
      <c r="U1577" s="589"/>
      <c r="V1577" s="589"/>
      <c r="W1577" s="600"/>
      <c r="X1577" s="601"/>
      <c r="Y1577" s="600">
        <f t="shared" si="213"/>
        <v>1812332.48</v>
      </c>
      <c r="Z1577" s="601"/>
    </row>
    <row r="1578" spans="1:26" s="75" customFormat="1" ht="37.5" hidden="1">
      <c r="A1578" s="580">
        <f t="shared" si="219"/>
        <v>107</v>
      </c>
      <c r="B1578" s="592" t="s">
        <v>1452</v>
      </c>
      <c r="C1578" s="593" t="s">
        <v>271</v>
      </c>
      <c r="D1578" s="594">
        <v>11096</v>
      </c>
      <c r="E1578" s="594">
        <v>2339</v>
      </c>
      <c r="F1578" s="594" t="s">
        <v>222</v>
      </c>
      <c r="G1578" s="594">
        <v>1154</v>
      </c>
      <c r="H1578" s="594">
        <v>5</v>
      </c>
      <c r="I1578" s="594">
        <v>4</v>
      </c>
      <c r="J1578" s="594">
        <v>69</v>
      </c>
      <c r="K1578" s="590" t="s">
        <v>30</v>
      </c>
      <c r="L1578" s="584">
        <f t="shared" si="218"/>
        <v>1905168.4</v>
      </c>
      <c r="M1578" s="596">
        <v>1863000</v>
      </c>
      <c r="N1578" s="675"/>
      <c r="O1578" s="631">
        <v>14806</v>
      </c>
      <c r="P1578" s="597"/>
      <c r="Q1578" s="597">
        <v>27362.400000000001</v>
      </c>
      <c r="R1578" s="599">
        <f>M1578/J1578</f>
        <v>27000</v>
      </c>
      <c r="S1578" s="586">
        <f t="shared" si="217"/>
        <v>-9.4587448984384537E-11</v>
      </c>
      <c r="T1578" s="600"/>
      <c r="U1578" s="589"/>
      <c r="V1578" s="589"/>
      <c r="W1578" s="600"/>
      <c r="X1578" s="601"/>
      <c r="Y1578" s="600">
        <f t="shared" si="213"/>
        <v>1905168.4</v>
      </c>
      <c r="Z1578" s="601"/>
    </row>
    <row r="1579" spans="1:26" s="75" customFormat="1" hidden="1">
      <c r="A1579" s="580">
        <f t="shared" si="219"/>
        <v>108</v>
      </c>
      <c r="B1579" s="592" t="s">
        <v>1453</v>
      </c>
      <c r="C1579" s="593" t="s">
        <v>217</v>
      </c>
      <c r="D1579" s="594">
        <v>9705</v>
      </c>
      <c r="E1579" s="594">
        <v>1660</v>
      </c>
      <c r="F1579" s="594" t="s">
        <v>233</v>
      </c>
      <c r="G1579" s="594">
        <v>762</v>
      </c>
      <c r="H1579" s="594">
        <v>5</v>
      </c>
      <c r="I1579" s="594">
        <v>4</v>
      </c>
      <c r="J1579" s="594">
        <v>59</v>
      </c>
      <c r="K1579" s="590" t="s">
        <v>284</v>
      </c>
      <c r="L1579" s="584">
        <f t="shared" si="218"/>
        <v>6557657</v>
      </c>
      <c r="M1579" s="596">
        <v>6500000</v>
      </c>
      <c r="N1579" s="675">
        <v>27957</v>
      </c>
      <c r="O1579" s="887"/>
      <c r="P1579" s="597"/>
      <c r="Q1579" s="597">
        <v>29700</v>
      </c>
      <c r="R1579" s="599">
        <f>M1579/E1579</f>
        <v>3915.6626506024095</v>
      </c>
      <c r="S1579" s="586">
        <f t="shared" si="217"/>
        <v>0</v>
      </c>
      <c r="T1579" s="600"/>
      <c r="U1579" s="589"/>
      <c r="V1579" s="589"/>
      <c r="W1579" s="600"/>
      <c r="X1579" s="601"/>
      <c r="Y1579" s="600">
        <f t="shared" si="213"/>
        <v>6557657</v>
      </c>
      <c r="Z1579" s="601"/>
    </row>
    <row r="1580" spans="1:26" s="75" customFormat="1" hidden="1">
      <c r="A1580" s="580">
        <f t="shared" si="219"/>
        <v>109</v>
      </c>
      <c r="B1580" s="592" t="s">
        <v>1454</v>
      </c>
      <c r="C1580" s="593" t="s">
        <v>271</v>
      </c>
      <c r="D1580" s="594">
        <v>12360</v>
      </c>
      <c r="E1580" s="594">
        <v>2627</v>
      </c>
      <c r="F1580" s="594" t="s">
        <v>222</v>
      </c>
      <c r="G1580" s="594">
        <v>1150</v>
      </c>
      <c r="H1580" s="594">
        <v>5</v>
      </c>
      <c r="I1580" s="594">
        <v>4</v>
      </c>
      <c r="J1580" s="594">
        <v>80</v>
      </c>
      <c r="K1580" s="590" t="s">
        <v>33</v>
      </c>
      <c r="L1580" s="584">
        <f t="shared" si="218"/>
        <v>4085240.21</v>
      </c>
      <c r="M1580" s="596">
        <v>4025000</v>
      </c>
      <c r="N1580" s="675"/>
      <c r="O1580" s="631">
        <v>22133</v>
      </c>
      <c r="P1580" s="597"/>
      <c r="Q1580" s="597">
        <v>38107.21</v>
      </c>
      <c r="R1580" s="599">
        <f>M1580/G1580</f>
        <v>3500</v>
      </c>
      <c r="S1580" s="586">
        <f t="shared" si="217"/>
        <v>0</v>
      </c>
      <c r="T1580" s="600"/>
      <c r="U1580" s="589"/>
      <c r="V1580" s="589"/>
      <c r="W1580" s="600"/>
      <c r="X1580" s="601"/>
      <c r="Y1580" s="600">
        <f t="shared" si="213"/>
        <v>4085240.21</v>
      </c>
      <c r="Z1580" s="601"/>
    </row>
    <row r="1581" spans="1:26" s="75" customFormat="1" ht="37.5" hidden="1">
      <c r="A1581" s="580">
        <f t="shared" si="219"/>
        <v>110</v>
      </c>
      <c r="B1581" s="592" t="s">
        <v>1455</v>
      </c>
      <c r="C1581" s="593" t="s">
        <v>271</v>
      </c>
      <c r="D1581" s="594">
        <v>15535</v>
      </c>
      <c r="E1581" s="594">
        <v>2445.8000000000002</v>
      </c>
      <c r="F1581" s="594" t="s">
        <v>222</v>
      </c>
      <c r="G1581" s="594">
        <v>880</v>
      </c>
      <c r="H1581" s="594">
        <v>5</v>
      </c>
      <c r="I1581" s="594">
        <v>3</v>
      </c>
      <c r="J1581" s="594">
        <v>157</v>
      </c>
      <c r="K1581" s="590" t="s">
        <v>30</v>
      </c>
      <c r="L1581" s="584">
        <f t="shared" si="218"/>
        <v>4288764.9400000004</v>
      </c>
      <c r="M1581" s="596">
        <v>4239000</v>
      </c>
      <c r="N1581" s="675"/>
      <c r="O1581" s="631">
        <v>15446</v>
      </c>
      <c r="P1581" s="597"/>
      <c r="Q1581" s="597">
        <v>34318.94</v>
      </c>
      <c r="R1581" s="599">
        <f>M1581/J1581</f>
        <v>27000</v>
      </c>
      <c r="S1581" s="586">
        <f t="shared" si="217"/>
        <v>4.0745362639427185E-10</v>
      </c>
      <c r="T1581" s="600"/>
      <c r="U1581" s="589"/>
      <c r="V1581" s="589"/>
      <c r="W1581" s="600"/>
      <c r="X1581" s="601"/>
      <c r="Y1581" s="600">
        <f t="shared" si="213"/>
        <v>4288764.9400000004</v>
      </c>
      <c r="Z1581" s="601"/>
    </row>
    <row r="1582" spans="1:26" s="75" customFormat="1" hidden="1">
      <c r="A1582" s="580">
        <f t="shared" si="219"/>
        <v>111</v>
      </c>
      <c r="B1582" s="592" t="s">
        <v>1456</v>
      </c>
      <c r="C1582" s="593" t="s">
        <v>271</v>
      </c>
      <c r="D1582" s="594">
        <v>9732</v>
      </c>
      <c r="E1582" s="594">
        <v>2310.4</v>
      </c>
      <c r="F1582" s="594" t="s">
        <v>222</v>
      </c>
      <c r="G1582" s="594">
        <v>907</v>
      </c>
      <c r="H1582" s="594">
        <v>5</v>
      </c>
      <c r="I1582" s="594">
        <v>3</v>
      </c>
      <c r="J1582" s="594">
        <v>51</v>
      </c>
      <c r="K1582" s="590" t="s">
        <v>33</v>
      </c>
      <c r="L1582" s="1399">
        <f>M1582+N1582+O1582+P1582+Q1582+M1583+N1583+O1583+Q1583</f>
        <v>9777393.8000000007</v>
      </c>
      <c r="M1582" s="596">
        <v>3174500</v>
      </c>
      <c r="N1582" s="675"/>
      <c r="O1582" s="631">
        <v>21134</v>
      </c>
      <c r="P1582" s="597"/>
      <c r="Q1582" s="597">
        <v>30004.799999999999</v>
      </c>
      <c r="R1582" s="599">
        <f>M1582/G1582</f>
        <v>3500</v>
      </c>
      <c r="S1582" s="586">
        <f t="shared" si="217"/>
        <v>6551755.0000000009</v>
      </c>
      <c r="T1582" s="600"/>
      <c r="U1582" s="589"/>
      <c r="V1582" s="589"/>
      <c r="W1582" s="600"/>
      <c r="X1582" s="601"/>
      <c r="Y1582" s="600">
        <f t="shared" si="213"/>
        <v>3225638.8</v>
      </c>
      <c r="Z1582" s="601"/>
    </row>
    <row r="1583" spans="1:26" s="75" customFormat="1" hidden="1">
      <c r="A1583" s="714"/>
      <c r="B1583" s="592"/>
      <c r="C1583" s="593"/>
      <c r="D1583" s="594"/>
      <c r="E1583" s="594"/>
      <c r="F1583" s="594"/>
      <c r="G1583" s="594"/>
      <c r="H1583" s="594"/>
      <c r="I1583" s="594"/>
      <c r="J1583" s="594"/>
      <c r="K1583" s="632" t="s">
        <v>38</v>
      </c>
      <c r="L1583" s="1399"/>
      <c r="M1583" s="596">
        <v>6500000</v>
      </c>
      <c r="N1583" s="675"/>
      <c r="O1583" s="887">
        <v>21755</v>
      </c>
      <c r="P1583" s="675"/>
      <c r="Q1583" s="597">
        <v>30000</v>
      </c>
      <c r="R1583" s="599">
        <f>M1583/E1582</f>
        <v>2813.3656509695288</v>
      </c>
      <c r="S1583" s="586">
        <f t="shared" si="217"/>
        <v>-6551755</v>
      </c>
      <c r="T1583" s="600"/>
      <c r="U1583" s="601"/>
      <c r="V1583" s="589"/>
      <c r="W1583" s="600"/>
      <c r="X1583" s="601"/>
      <c r="Y1583" s="600">
        <f t="shared" si="213"/>
        <v>6551755</v>
      </c>
      <c r="Z1583" s="601"/>
    </row>
    <row r="1584" spans="1:26" s="75" customFormat="1" hidden="1">
      <c r="A1584" s="714">
        <f>A1582+1</f>
        <v>112</v>
      </c>
      <c r="B1584" s="592" t="s">
        <v>1457</v>
      </c>
      <c r="C1584" s="593" t="s">
        <v>271</v>
      </c>
      <c r="D1584" s="594">
        <v>15489</v>
      </c>
      <c r="E1584" s="594">
        <v>2310.6</v>
      </c>
      <c r="F1584" s="594" t="s">
        <v>222</v>
      </c>
      <c r="G1584" s="594">
        <v>1149</v>
      </c>
      <c r="H1584" s="594">
        <v>5</v>
      </c>
      <c r="I1584" s="594">
        <v>4</v>
      </c>
      <c r="J1584" s="594">
        <v>64</v>
      </c>
      <c r="K1584" s="590" t="s">
        <v>33</v>
      </c>
      <c r="L1584" s="1399">
        <f>M1584+N1584+O1584+P1584+Q1584+M1585+N1585+O1585+Q1585</f>
        <v>10635202</v>
      </c>
      <c r="M1584" s="596">
        <v>4021500</v>
      </c>
      <c r="N1584" s="675"/>
      <c r="O1584" s="631">
        <v>21951</v>
      </c>
      <c r="P1584" s="597"/>
      <c r="Q1584" s="597">
        <v>39800</v>
      </c>
      <c r="R1584" s="599">
        <f>M1584/G1584</f>
        <v>3500</v>
      </c>
      <c r="S1584" s="586">
        <f t="shared" si="217"/>
        <v>6551951</v>
      </c>
      <c r="T1584" s="600"/>
      <c r="U1584" s="589"/>
      <c r="V1584" s="589"/>
      <c r="W1584" s="600"/>
      <c r="X1584" s="601"/>
      <c r="Y1584" s="600">
        <f t="shared" si="213"/>
        <v>4083251</v>
      </c>
      <c r="Z1584" s="601"/>
    </row>
    <row r="1585" spans="1:26" s="75" customFormat="1" hidden="1">
      <c r="A1585" s="714"/>
      <c r="B1585" s="592"/>
      <c r="C1585" s="593"/>
      <c r="D1585" s="594"/>
      <c r="E1585" s="594"/>
      <c r="F1585" s="594"/>
      <c r="G1585" s="594"/>
      <c r="H1585" s="594"/>
      <c r="I1585" s="594"/>
      <c r="J1585" s="594"/>
      <c r="K1585" s="632" t="s">
        <v>38</v>
      </c>
      <c r="L1585" s="1399"/>
      <c r="M1585" s="596">
        <v>6500000</v>
      </c>
      <c r="N1585" s="675"/>
      <c r="O1585" s="887">
        <v>21951</v>
      </c>
      <c r="P1585" s="675"/>
      <c r="Q1585" s="597">
        <v>30000</v>
      </c>
      <c r="R1585" s="599">
        <f>M1585/E1584</f>
        <v>2813.1221327793646</v>
      </c>
      <c r="S1585" s="586">
        <f t="shared" si="217"/>
        <v>-6551951</v>
      </c>
      <c r="T1585" s="600"/>
      <c r="U1585" s="601"/>
      <c r="V1585" s="589"/>
      <c r="W1585" s="600"/>
      <c r="X1585" s="601"/>
      <c r="Y1585" s="600">
        <f t="shared" si="213"/>
        <v>6551951</v>
      </c>
      <c r="Z1585" s="601"/>
    </row>
    <row r="1586" spans="1:26" s="75" customFormat="1" hidden="1">
      <c r="A1586" s="714">
        <f>A1584+1</f>
        <v>113</v>
      </c>
      <c r="B1586" s="592" t="s">
        <v>1458</v>
      </c>
      <c r="C1586" s="593" t="s">
        <v>271</v>
      </c>
      <c r="D1586" s="594">
        <v>15991</v>
      </c>
      <c r="E1586" s="594">
        <v>2460.3000000000002</v>
      </c>
      <c r="F1586" s="594" t="s">
        <v>222</v>
      </c>
      <c r="G1586" s="594">
        <v>1149</v>
      </c>
      <c r="H1586" s="594">
        <v>5</v>
      </c>
      <c r="I1586" s="594">
        <v>4</v>
      </c>
      <c r="J1586" s="594">
        <v>64</v>
      </c>
      <c r="K1586" s="590" t="s">
        <v>33</v>
      </c>
      <c r="L1586" s="1399">
        <f>M1586+N1586+O1586+P1586+Q1586+M1587+N1587+O1587+Q1587</f>
        <v>10635562</v>
      </c>
      <c r="M1586" s="596">
        <v>4021500</v>
      </c>
      <c r="N1586" s="675"/>
      <c r="O1586" s="631">
        <v>22131</v>
      </c>
      <c r="P1586" s="597"/>
      <c r="Q1586" s="597">
        <v>39800</v>
      </c>
      <c r="R1586" s="599">
        <f>M1586/G1586</f>
        <v>3500</v>
      </c>
      <c r="S1586" s="586">
        <f t="shared" si="217"/>
        <v>6552131</v>
      </c>
      <c r="T1586" s="600"/>
      <c r="U1586" s="589"/>
      <c r="V1586" s="589"/>
      <c r="W1586" s="600"/>
      <c r="X1586" s="601"/>
      <c r="Y1586" s="600">
        <f t="shared" si="213"/>
        <v>4083431</v>
      </c>
      <c r="Z1586" s="601"/>
    </row>
    <row r="1587" spans="1:26" s="75" customFormat="1" hidden="1">
      <c r="A1587" s="714"/>
      <c r="B1587" s="592"/>
      <c r="C1587" s="593"/>
      <c r="D1587" s="594"/>
      <c r="E1587" s="594"/>
      <c r="F1587" s="594"/>
      <c r="G1587" s="594"/>
      <c r="H1587" s="594"/>
      <c r="I1587" s="594"/>
      <c r="J1587" s="594"/>
      <c r="K1587" s="632" t="s">
        <v>38</v>
      </c>
      <c r="L1587" s="1399"/>
      <c r="M1587" s="596">
        <v>6500000</v>
      </c>
      <c r="N1587" s="675"/>
      <c r="O1587" s="887">
        <v>22131</v>
      </c>
      <c r="P1587" s="675"/>
      <c r="Q1587" s="597">
        <v>30000</v>
      </c>
      <c r="R1587" s="599">
        <f>M1587/E1586</f>
        <v>2641.9542332235906</v>
      </c>
      <c r="S1587" s="586">
        <f t="shared" si="217"/>
        <v>-6552131</v>
      </c>
      <c r="T1587" s="600"/>
      <c r="U1587" s="601"/>
      <c r="V1587" s="589"/>
      <c r="W1587" s="600"/>
      <c r="X1587" s="601"/>
      <c r="Y1587" s="600">
        <f t="shared" si="213"/>
        <v>6552131</v>
      </c>
      <c r="Z1587" s="601"/>
    </row>
    <row r="1588" spans="1:26" s="75" customFormat="1" ht="37.5" hidden="1">
      <c r="A1588" s="714">
        <f>A1586+1</f>
        <v>114</v>
      </c>
      <c r="B1588" s="592" t="s">
        <v>1459</v>
      </c>
      <c r="C1588" s="593" t="s">
        <v>271</v>
      </c>
      <c r="D1588" s="594">
        <v>12719</v>
      </c>
      <c r="E1588" s="594">
        <v>2320.6999999999998</v>
      </c>
      <c r="F1588" s="594" t="s">
        <v>222</v>
      </c>
      <c r="G1588" s="594">
        <v>1145</v>
      </c>
      <c r="H1588" s="594">
        <v>5</v>
      </c>
      <c r="I1588" s="594">
        <v>4</v>
      </c>
      <c r="J1588" s="594">
        <v>68</v>
      </c>
      <c r="K1588" s="590" t="s">
        <v>30</v>
      </c>
      <c r="L1588" s="584">
        <f>M1588+N1588+O1588+P1588+Q1588</f>
        <v>1878591.4</v>
      </c>
      <c r="M1588" s="596">
        <v>1836000</v>
      </c>
      <c r="N1588" s="675"/>
      <c r="O1588" s="631">
        <v>15229</v>
      </c>
      <c r="P1588" s="597"/>
      <c r="Q1588" s="597">
        <v>27362.400000000001</v>
      </c>
      <c r="R1588" s="599">
        <f>M1588/J1588</f>
        <v>27000</v>
      </c>
      <c r="S1588" s="586">
        <f t="shared" ref="S1588:S1614" si="220">L1588-M1588-N1588-O1588-P1588-Q1588</f>
        <v>-9.4587448984384537E-11</v>
      </c>
      <c r="T1588" s="600"/>
      <c r="U1588" s="589"/>
      <c r="V1588" s="589"/>
      <c r="W1588" s="600"/>
      <c r="X1588" s="601"/>
      <c r="Y1588" s="600">
        <f t="shared" si="213"/>
        <v>1878591.4</v>
      </c>
      <c r="Z1588" s="601"/>
    </row>
    <row r="1589" spans="1:26" s="75" customFormat="1" hidden="1">
      <c r="A1589" s="714">
        <f>A1588+1</f>
        <v>115</v>
      </c>
      <c r="B1589" s="592" t="s">
        <v>1460</v>
      </c>
      <c r="C1589" s="593" t="s">
        <v>271</v>
      </c>
      <c r="D1589" s="594">
        <v>11864</v>
      </c>
      <c r="E1589" s="594">
        <v>1952</v>
      </c>
      <c r="F1589" s="594" t="s">
        <v>222</v>
      </c>
      <c r="G1589" s="594">
        <v>907</v>
      </c>
      <c r="H1589" s="594">
        <v>5</v>
      </c>
      <c r="I1589" s="594">
        <v>3</v>
      </c>
      <c r="J1589" s="594">
        <v>60</v>
      </c>
      <c r="K1589" s="590" t="s">
        <v>224</v>
      </c>
      <c r="L1589" s="584">
        <f>M1589+N1589+O1589+P1589+Q1589</f>
        <v>1140867.76</v>
      </c>
      <c r="M1589" s="607">
        <v>1092900</v>
      </c>
      <c r="N1589" s="675">
        <v>31949</v>
      </c>
      <c r="O1589" s="887"/>
      <c r="P1589" s="597"/>
      <c r="Q1589" s="597">
        <v>16018.76</v>
      </c>
      <c r="R1589" s="599">
        <f>M1589/J1589</f>
        <v>18215</v>
      </c>
      <c r="S1589" s="586">
        <f t="shared" si="220"/>
        <v>0</v>
      </c>
      <c r="T1589" s="600"/>
      <c r="U1589" s="589"/>
      <c r="V1589" s="589"/>
      <c r="W1589" s="600"/>
      <c r="X1589" s="601"/>
      <c r="Y1589" s="600">
        <f t="shared" ref="Y1589:Y1652" si="221">M1589+N1589+O1589+P1589+Q1589</f>
        <v>1140867.76</v>
      </c>
      <c r="Z1589" s="601"/>
    </row>
    <row r="1590" spans="1:26" s="75" customFormat="1" hidden="1">
      <c r="A1590" s="714">
        <f t="shared" ref="A1590:A1596" si="222">A1589+1</f>
        <v>116</v>
      </c>
      <c r="B1590" s="592" t="s">
        <v>1461</v>
      </c>
      <c r="C1590" s="593" t="s">
        <v>271</v>
      </c>
      <c r="D1590" s="594">
        <v>17821</v>
      </c>
      <c r="E1590" s="594">
        <v>3642.5</v>
      </c>
      <c r="F1590" s="594" t="s">
        <v>222</v>
      </c>
      <c r="G1590" s="594">
        <v>1643</v>
      </c>
      <c r="H1590" s="594">
        <v>5</v>
      </c>
      <c r="I1590" s="594">
        <v>6</v>
      </c>
      <c r="J1590" s="594">
        <v>100</v>
      </c>
      <c r="K1590" s="590" t="s">
        <v>224</v>
      </c>
      <c r="L1590" s="584">
        <f>M1590+N1590+O1590+P1590+Q1590</f>
        <v>1786345</v>
      </c>
      <c r="M1590" s="607">
        <v>1732900</v>
      </c>
      <c r="N1590" s="597">
        <v>33645</v>
      </c>
      <c r="O1590" s="598"/>
      <c r="P1590" s="597"/>
      <c r="Q1590" s="597">
        <v>19800</v>
      </c>
      <c r="R1590" s="599">
        <f>L1590/J1590</f>
        <v>17863.45</v>
      </c>
      <c r="S1590" s="586">
        <f t="shared" si="220"/>
        <v>0</v>
      </c>
      <c r="T1590" s="600"/>
      <c r="U1590" s="589"/>
      <c r="V1590" s="589"/>
      <c r="W1590" s="600"/>
      <c r="X1590" s="601"/>
      <c r="Y1590" s="600">
        <f t="shared" si="221"/>
        <v>1786345</v>
      </c>
      <c r="Z1590" s="601"/>
    </row>
    <row r="1591" spans="1:26" s="75" customFormat="1" ht="37.5" hidden="1">
      <c r="A1591" s="714">
        <f t="shared" si="222"/>
        <v>117</v>
      </c>
      <c r="B1591" s="592" t="s">
        <v>1462</v>
      </c>
      <c r="C1591" s="593" t="s">
        <v>271</v>
      </c>
      <c r="D1591" s="594">
        <v>10960</v>
      </c>
      <c r="E1591" s="594">
        <v>2120.8000000000002</v>
      </c>
      <c r="F1591" s="594" t="s">
        <v>233</v>
      </c>
      <c r="G1591" s="594">
        <v>397</v>
      </c>
      <c r="H1591" s="594">
        <v>9</v>
      </c>
      <c r="I1591" s="594">
        <v>1</v>
      </c>
      <c r="J1591" s="594">
        <f>54-2</f>
        <v>52</v>
      </c>
      <c r="K1591" s="590" t="s">
        <v>30</v>
      </c>
      <c r="L1591" s="584">
        <f>M1591+N1591+O1591+P1591+Q1591</f>
        <v>1710293.4</v>
      </c>
      <c r="M1591" s="596">
        <v>1664000</v>
      </c>
      <c r="N1591" s="675"/>
      <c r="O1591" s="631">
        <v>18931</v>
      </c>
      <c r="P1591" s="597"/>
      <c r="Q1591" s="597">
        <v>27362.400000000001</v>
      </c>
      <c r="R1591" s="599">
        <f>M1591/J1591</f>
        <v>32000</v>
      </c>
      <c r="S1591" s="586">
        <f t="shared" si="220"/>
        <v>-9.4587448984384537E-11</v>
      </c>
      <c r="T1591" s="600"/>
      <c r="U1591" s="589"/>
      <c r="V1591" s="589"/>
      <c r="W1591" s="600"/>
      <c r="X1591" s="601"/>
      <c r="Y1591" s="600">
        <f t="shared" si="221"/>
        <v>1710293.4</v>
      </c>
      <c r="Z1591" s="601"/>
    </row>
    <row r="1592" spans="1:26" s="75" customFormat="1" hidden="1">
      <c r="A1592" s="714">
        <f t="shared" si="222"/>
        <v>118</v>
      </c>
      <c r="B1592" s="592" t="s">
        <v>1463</v>
      </c>
      <c r="C1592" s="593" t="s">
        <v>271</v>
      </c>
      <c r="D1592" s="594">
        <v>11949</v>
      </c>
      <c r="E1592" s="594">
        <v>2190</v>
      </c>
      <c r="F1592" s="594" t="s">
        <v>222</v>
      </c>
      <c r="G1592" s="594">
        <v>1095</v>
      </c>
      <c r="H1592" s="594">
        <v>5</v>
      </c>
      <c r="I1592" s="594">
        <v>3</v>
      </c>
      <c r="J1592" s="594">
        <v>24</v>
      </c>
      <c r="K1592" s="590" t="s">
        <v>33</v>
      </c>
      <c r="L1592" s="584">
        <f>M1592+N1592+O1592+P1592+Q1592</f>
        <v>3890670.04</v>
      </c>
      <c r="M1592" s="596">
        <v>3832500</v>
      </c>
      <c r="N1592" s="675"/>
      <c r="O1592" s="631">
        <v>21330</v>
      </c>
      <c r="P1592" s="597"/>
      <c r="Q1592" s="597">
        <v>36840.04</v>
      </c>
      <c r="R1592" s="599">
        <f>M1592/G1592</f>
        <v>3500</v>
      </c>
      <c r="S1592" s="586">
        <f t="shared" si="220"/>
        <v>0</v>
      </c>
      <c r="T1592" s="600"/>
      <c r="U1592" s="589"/>
      <c r="V1592" s="589"/>
      <c r="W1592" s="600"/>
      <c r="X1592" s="601"/>
      <c r="Y1592" s="600">
        <f t="shared" si="221"/>
        <v>3890670.04</v>
      </c>
      <c r="Z1592" s="601"/>
    </row>
    <row r="1593" spans="1:26" s="75" customFormat="1" hidden="1">
      <c r="A1593" s="714">
        <f t="shared" si="222"/>
        <v>119</v>
      </c>
      <c r="B1593" s="592" t="s">
        <v>1464</v>
      </c>
      <c r="C1593" s="593" t="s">
        <v>271</v>
      </c>
      <c r="D1593" s="594">
        <v>20095</v>
      </c>
      <c r="E1593" s="594">
        <v>1300</v>
      </c>
      <c r="F1593" s="594" t="s">
        <v>233</v>
      </c>
      <c r="G1593" s="594">
        <v>583.6</v>
      </c>
      <c r="H1593" s="594">
        <v>12</v>
      </c>
      <c r="I1593" s="594">
        <v>1</v>
      </c>
      <c r="J1593" s="594">
        <v>80</v>
      </c>
      <c r="K1593" s="590" t="s">
        <v>33</v>
      </c>
      <c r="L1593" s="584">
        <f>M1593+N1593+O1593+P1593+Q1593+M1594+N1594+O1594+P1594+Q1594</f>
        <v>8324749</v>
      </c>
      <c r="M1593" s="596">
        <v>1225560</v>
      </c>
      <c r="N1593" s="675"/>
      <c r="O1593" s="631">
        <v>26594</v>
      </c>
      <c r="P1593" s="597"/>
      <c r="Q1593" s="597">
        <v>19900</v>
      </c>
      <c r="R1593" s="599">
        <f>M1593/G1593</f>
        <v>2100</v>
      </c>
      <c r="S1593" s="586">
        <f t="shared" si="220"/>
        <v>7052695</v>
      </c>
      <c r="T1593" s="600"/>
      <c r="U1593" s="589"/>
      <c r="V1593" s="589"/>
      <c r="W1593" s="600"/>
      <c r="X1593" s="601"/>
      <c r="Y1593" s="600">
        <f t="shared" si="221"/>
        <v>1272054</v>
      </c>
      <c r="Z1593" s="601"/>
    </row>
    <row r="1594" spans="1:26" s="145" customFormat="1" hidden="1">
      <c r="A1594" s="716"/>
      <c r="B1594" s="994"/>
      <c r="C1594" s="718"/>
      <c r="D1594" s="719"/>
      <c r="E1594" s="719"/>
      <c r="F1594" s="719"/>
      <c r="G1594" s="719"/>
      <c r="H1594" s="719"/>
      <c r="I1594" s="719"/>
      <c r="J1594" s="719"/>
      <c r="K1594" s="720" t="s">
        <v>38</v>
      </c>
      <c r="L1594" s="997"/>
      <c r="M1594" s="596">
        <v>7000000</v>
      </c>
      <c r="N1594" s="722"/>
      <c r="O1594" s="631">
        <v>22695</v>
      </c>
      <c r="P1594" s="722"/>
      <c r="Q1594" s="722">
        <v>30000</v>
      </c>
      <c r="R1594" s="722">
        <f>M1594/E1593</f>
        <v>5384.6153846153848</v>
      </c>
      <c r="S1594" s="586">
        <f t="shared" si="220"/>
        <v>-7052695</v>
      </c>
      <c r="T1594" s="965"/>
      <c r="U1594" s="727"/>
      <c r="V1594" s="589"/>
      <c r="W1594" s="600"/>
      <c r="X1594" s="727"/>
      <c r="Y1594" s="600">
        <f t="shared" si="221"/>
        <v>7052695</v>
      </c>
      <c r="Z1594" s="727"/>
    </row>
    <row r="1595" spans="1:26" s="75" customFormat="1" hidden="1">
      <c r="A1595" s="714">
        <f>A1593+1</f>
        <v>120</v>
      </c>
      <c r="B1595" s="592" t="s">
        <v>1465</v>
      </c>
      <c r="C1595" s="593" t="s">
        <v>217</v>
      </c>
      <c r="D1595" s="594">
        <v>14952</v>
      </c>
      <c r="E1595" s="594">
        <v>2125</v>
      </c>
      <c r="F1595" s="594" t="s">
        <v>222</v>
      </c>
      <c r="G1595" s="594">
        <v>1166</v>
      </c>
      <c r="H1595" s="594">
        <v>5</v>
      </c>
      <c r="I1595" s="594">
        <v>4</v>
      </c>
      <c r="J1595" s="594">
        <v>80</v>
      </c>
      <c r="K1595" s="590" t="s">
        <v>33</v>
      </c>
      <c r="L1595" s="584">
        <f>M1595+N1595+O1595+P1595+Q1595</f>
        <v>4142759</v>
      </c>
      <c r="M1595" s="596">
        <v>4081000</v>
      </c>
      <c r="N1595" s="675"/>
      <c r="O1595" s="631">
        <v>21759</v>
      </c>
      <c r="P1595" s="597"/>
      <c r="Q1595" s="675">
        <v>40000</v>
      </c>
      <c r="R1595" s="599">
        <f>M1595/G1595</f>
        <v>3500</v>
      </c>
      <c r="S1595" s="586">
        <f t="shared" si="220"/>
        <v>0</v>
      </c>
      <c r="T1595" s="600"/>
      <c r="U1595" s="589"/>
      <c r="V1595" s="589"/>
      <c r="W1595" s="600"/>
      <c r="X1595" s="601"/>
      <c r="Y1595" s="600">
        <f t="shared" si="221"/>
        <v>4142759</v>
      </c>
      <c r="Z1595" s="601"/>
    </row>
    <row r="1596" spans="1:26" s="75" customFormat="1" hidden="1">
      <c r="A1596" s="714">
        <f t="shared" si="222"/>
        <v>121</v>
      </c>
      <c r="B1596" s="592" t="s">
        <v>1467</v>
      </c>
      <c r="C1596" s="593" t="s">
        <v>271</v>
      </c>
      <c r="D1596" s="594">
        <v>20724</v>
      </c>
      <c r="E1596" s="594">
        <v>3578</v>
      </c>
      <c r="F1596" s="594" t="s">
        <v>222</v>
      </c>
      <c r="G1596" s="594">
        <v>1789</v>
      </c>
      <c r="H1596" s="594">
        <v>5</v>
      </c>
      <c r="I1596" s="594">
        <v>6</v>
      </c>
      <c r="J1596" s="594">
        <v>96</v>
      </c>
      <c r="K1596" s="590" t="s">
        <v>33</v>
      </c>
      <c r="L1596" s="584">
        <f>M1596+N1596+O1596+P1596+Q1596</f>
        <v>6324381</v>
      </c>
      <c r="M1596" s="596">
        <v>6261500</v>
      </c>
      <c r="N1596" s="675"/>
      <c r="O1596" s="631">
        <v>23081</v>
      </c>
      <c r="P1596" s="597"/>
      <c r="Q1596" s="597">
        <v>39800</v>
      </c>
      <c r="R1596" s="599">
        <f>M1596/G1596</f>
        <v>3500</v>
      </c>
      <c r="S1596" s="586">
        <f t="shared" si="220"/>
        <v>0</v>
      </c>
      <c r="T1596" s="600"/>
      <c r="U1596" s="589"/>
      <c r="V1596" s="589"/>
      <c r="W1596" s="600"/>
      <c r="X1596" s="601"/>
      <c r="Y1596" s="600">
        <f t="shared" si="221"/>
        <v>6324381</v>
      </c>
      <c r="Z1596" s="601"/>
    </row>
    <row r="1597" spans="1:26" s="75" customFormat="1" hidden="1">
      <c r="A1597" s="616">
        <f>A1596+1</f>
        <v>122</v>
      </c>
      <c r="B1597" s="592" t="s">
        <v>1468</v>
      </c>
      <c r="C1597" s="593" t="s">
        <v>271</v>
      </c>
      <c r="D1597" s="594">
        <v>13366</v>
      </c>
      <c r="E1597" s="594">
        <v>2432</v>
      </c>
      <c r="F1597" s="594" t="s">
        <v>222</v>
      </c>
      <c r="G1597" s="594">
        <v>1216</v>
      </c>
      <c r="H1597" s="594">
        <v>5</v>
      </c>
      <c r="I1597" s="594">
        <v>4</v>
      </c>
      <c r="J1597" s="594">
        <v>70</v>
      </c>
      <c r="K1597" s="590" t="s">
        <v>33</v>
      </c>
      <c r="L1597" s="1348">
        <f>M1597+N1597+O1597+P1597+Q1597+M1598+N1598+O1598+P1598+Q1598</f>
        <v>6256209.9400000004</v>
      </c>
      <c r="M1597" s="596">
        <v>4256000</v>
      </c>
      <c r="N1597" s="675"/>
      <c r="O1597" s="631">
        <v>21191</v>
      </c>
      <c r="P1597" s="597"/>
      <c r="Q1597" s="597">
        <v>39800</v>
      </c>
      <c r="R1597" s="599">
        <f>M1597/G1597</f>
        <v>3500</v>
      </c>
      <c r="S1597" s="586">
        <f t="shared" si="220"/>
        <v>1939218.9400000004</v>
      </c>
      <c r="T1597" s="600"/>
      <c r="U1597" s="589"/>
      <c r="V1597" s="589"/>
      <c r="W1597" s="600"/>
      <c r="X1597" s="601"/>
      <c r="Y1597" s="600">
        <f t="shared" si="221"/>
        <v>4316991</v>
      </c>
      <c r="Z1597" s="601"/>
    </row>
    <row r="1598" spans="1:26" s="75" customFormat="1" ht="37.5" hidden="1">
      <c r="A1598" s="616"/>
      <c r="B1598" s="592"/>
      <c r="C1598" s="593"/>
      <c r="D1598" s="594"/>
      <c r="E1598" s="594"/>
      <c r="F1598" s="594"/>
      <c r="G1598" s="594"/>
      <c r="H1598" s="594"/>
      <c r="I1598" s="594"/>
      <c r="J1598" s="594"/>
      <c r="K1598" s="590" t="s">
        <v>30</v>
      </c>
      <c r="L1598" s="1348"/>
      <c r="M1598" s="596">
        <v>1890000</v>
      </c>
      <c r="N1598" s="675"/>
      <c r="O1598" s="631">
        <v>14900</v>
      </c>
      <c r="P1598" s="597"/>
      <c r="Q1598" s="597">
        <v>34318.94</v>
      </c>
      <c r="R1598" s="599">
        <f>M1598/J1597</f>
        <v>27000</v>
      </c>
      <c r="S1598" s="586">
        <f t="shared" si="220"/>
        <v>-1939218.94</v>
      </c>
      <c r="T1598" s="600"/>
      <c r="U1598" s="601"/>
      <c r="V1598" s="589"/>
      <c r="W1598" s="600"/>
      <c r="X1598" s="601"/>
      <c r="Y1598" s="600">
        <f t="shared" si="221"/>
        <v>1939218.94</v>
      </c>
      <c r="Z1598" s="601"/>
    </row>
    <row r="1599" spans="1:26" s="75" customFormat="1" hidden="1">
      <c r="A1599" s="714">
        <f>A1597+1</f>
        <v>123</v>
      </c>
      <c r="B1599" s="592" t="s">
        <v>1470</v>
      </c>
      <c r="C1599" s="593" t="s">
        <v>217</v>
      </c>
      <c r="D1599" s="594">
        <v>48884.5</v>
      </c>
      <c r="E1599" s="594">
        <v>2260</v>
      </c>
      <c r="F1599" s="594" t="s">
        <v>222</v>
      </c>
      <c r="G1599" s="594">
        <v>1114</v>
      </c>
      <c r="H1599" s="594">
        <v>5</v>
      </c>
      <c r="I1599" s="594">
        <v>5</v>
      </c>
      <c r="J1599" s="594">
        <v>100</v>
      </c>
      <c r="K1599" s="590" t="s">
        <v>33</v>
      </c>
      <c r="L1599" s="584">
        <f t="shared" ref="L1599:L1612" si="223">M1599+N1599+O1599+P1599+Q1599</f>
        <v>3959792</v>
      </c>
      <c r="M1599" s="596">
        <v>3899000</v>
      </c>
      <c r="N1599" s="675"/>
      <c r="O1599" s="631">
        <v>20992</v>
      </c>
      <c r="P1599" s="597"/>
      <c r="Q1599" s="597">
        <v>39800</v>
      </c>
      <c r="R1599" s="599">
        <f>M1599/G1599</f>
        <v>3500</v>
      </c>
      <c r="S1599" s="586">
        <f t="shared" si="220"/>
        <v>0</v>
      </c>
      <c r="T1599" s="600"/>
      <c r="U1599" s="589"/>
      <c r="V1599" s="589"/>
      <c r="W1599" s="600"/>
      <c r="X1599" s="601"/>
      <c r="Y1599" s="600">
        <f t="shared" si="221"/>
        <v>3959792</v>
      </c>
      <c r="Z1599" s="601"/>
    </row>
    <row r="1600" spans="1:26" s="75" customFormat="1" hidden="1">
      <c r="A1600" s="714">
        <f t="shared" ref="A1600:A1626" si="224">A1599+1</f>
        <v>124</v>
      </c>
      <c r="B1600" s="592" t="s">
        <v>1471</v>
      </c>
      <c r="C1600" s="593" t="s">
        <v>217</v>
      </c>
      <c r="D1600" s="594">
        <v>5214.3</v>
      </c>
      <c r="E1600" s="594">
        <v>2260</v>
      </c>
      <c r="F1600" s="594" t="s">
        <v>222</v>
      </c>
      <c r="G1600" s="594">
        <v>1122</v>
      </c>
      <c r="H1600" s="594">
        <v>5</v>
      </c>
      <c r="I1600" s="594">
        <v>5</v>
      </c>
      <c r="J1600" s="594">
        <v>100</v>
      </c>
      <c r="K1600" s="590" t="s">
        <v>33</v>
      </c>
      <c r="L1600" s="584">
        <f t="shared" si="223"/>
        <v>3964775.24</v>
      </c>
      <c r="M1600" s="596">
        <v>3927000</v>
      </c>
      <c r="N1600" s="675"/>
      <c r="O1600" s="631">
        <v>21699</v>
      </c>
      <c r="P1600" s="597"/>
      <c r="Q1600" s="597">
        <v>16076.24</v>
      </c>
      <c r="R1600" s="599">
        <f>M1600/G1600</f>
        <v>3500</v>
      </c>
      <c r="S1600" s="586">
        <f t="shared" si="220"/>
        <v>2.2373569663614035E-10</v>
      </c>
      <c r="T1600" s="600"/>
      <c r="U1600" s="589"/>
      <c r="V1600" s="589"/>
      <c r="W1600" s="600"/>
      <c r="X1600" s="601"/>
      <c r="Y1600" s="600">
        <f t="shared" si="221"/>
        <v>3964775.24</v>
      </c>
      <c r="Z1600" s="601"/>
    </row>
    <row r="1601" spans="1:26" s="75" customFormat="1" hidden="1">
      <c r="A1601" s="714">
        <f t="shared" si="224"/>
        <v>125</v>
      </c>
      <c r="B1601" s="592" t="s">
        <v>1472</v>
      </c>
      <c r="C1601" s="593" t="s">
        <v>271</v>
      </c>
      <c r="D1601" s="594">
        <v>20456</v>
      </c>
      <c r="E1601" s="594">
        <v>2970</v>
      </c>
      <c r="F1601" s="594" t="s">
        <v>233</v>
      </c>
      <c r="G1601" s="594">
        <v>785</v>
      </c>
      <c r="H1601" s="594">
        <v>10</v>
      </c>
      <c r="I1601" s="594">
        <v>2</v>
      </c>
      <c r="J1601" s="594">
        <v>80</v>
      </c>
      <c r="K1601" s="590" t="s">
        <v>224</v>
      </c>
      <c r="L1601" s="584">
        <f t="shared" si="223"/>
        <v>1784943.51</v>
      </c>
      <c r="M1601" s="607">
        <v>1732900</v>
      </c>
      <c r="N1601" s="675">
        <v>34837</v>
      </c>
      <c r="O1601" s="887"/>
      <c r="P1601" s="597"/>
      <c r="Q1601" s="597">
        <v>17206.509999999998</v>
      </c>
      <c r="R1601" s="599">
        <f>M1601/J1601</f>
        <v>21661.25</v>
      </c>
      <c r="S1601" s="586">
        <f t="shared" si="220"/>
        <v>0</v>
      </c>
      <c r="T1601" s="600"/>
      <c r="U1601" s="589"/>
      <c r="V1601" s="589"/>
      <c r="W1601" s="600"/>
      <c r="X1601" s="601"/>
      <c r="Y1601" s="600">
        <f t="shared" si="221"/>
        <v>1784943.51</v>
      </c>
      <c r="Z1601" s="601"/>
    </row>
    <row r="1602" spans="1:26" s="75" customFormat="1" hidden="1">
      <c r="A1602" s="714">
        <f t="shared" si="224"/>
        <v>126</v>
      </c>
      <c r="B1602" s="592" t="s">
        <v>1473</v>
      </c>
      <c r="C1602" s="593" t="s">
        <v>217</v>
      </c>
      <c r="D1602" s="594">
        <v>6191</v>
      </c>
      <c r="E1602" s="594">
        <v>1510</v>
      </c>
      <c r="F1602" s="594" t="s">
        <v>222</v>
      </c>
      <c r="G1602" s="594">
        <v>587</v>
      </c>
      <c r="H1602" s="594">
        <v>5</v>
      </c>
      <c r="I1602" s="594">
        <v>2</v>
      </c>
      <c r="J1602" s="594">
        <v>93</v>
      </c>
      <c r="K1602" s="590" t="s">
        <v>284</v>
      </c>
      <c r="L1602" s="584">
        <f t="shared" si="223"/>
        <v>4581981.26</v>
      </c>
      <c r="M1602" s="596">
        <v>4530000</v>
      </c>
      <c r="N1602" s="675">
        <v>27498</v>
      </c>
      <c r="O1602" s="887"/>
      <c r="P1602" s="597"/>
      <c r="Q1602" s="597">
        <v>24483.26</v>
      </c>
      <c r="R1602" s="599">
        <f>M1602/E1602</f>
        <v>3000</v>
      </c>
      <c r="S1602" s="586">
        <f t="shared" si="220"/>
        <v>-2.2191670723259449E-10</v>
      </c>
      <c r="T1602" s="600"/>
      <c r="U1602" s="589"/>
      <c r="V1602" s="589"/>
      <c r="W1602" s="600"/>
      <c r="X1602" s="601"/>
      <c r="Y1602" s="600">
        <f t="shared" si="221"/>
        <v>4581981.26</v>
      </c>
      <c r="Z1602" s="601"/>
    </row>
    <row r="1603" spans="1:26" s="75" customFormat="1" ht="37.5" hidden="1">
      <c r="A1603" s="714">
        <f t="shared" si="224"/>
        <v>127</v>
      </c>
      <c r="B1603" s="592" t="s">
        <v>1478</v>
      </c>
      <c r="C1603" s="593" t="s">
        <v>271</v>
      </c>
      <c r="D1603" s="594">
        <v>12790</v>
      </c>
      <c r="E1603" s="594">
        <v>2439</v>
      </c>
      <c r="F1603" s="594" t="s">
        <v>222</v>
      </c>
      <c r="G1603" s="594">
        <v>1163</v>
      </c>
      <c r="H1603" s="594">
        <v>5</v>
      </c>
      <c r="I1603" s="594">
        <v>3</v>
      </c>
      <c r="J1603" s="594">
        <v>60</v>
      </c>
      <c r="K1603" s="590" t="s">
        <v>30</v>
      </c>
      <c r="L1603" s="584">
        <f t="shared" si="223"/>
        <v>1662117.4</v>
      </c>
      <c r="M1603" s="596">
        <v>1620000</v>
      </c>
      <c r="N1603" s="675"/>
      <c r="O1603" s="631">
        <v>14755</v>
      </c>
      <c r="P1603" s="597"/>
      <c r="Q1603" s="597">
        <v>27362.400000000001</v>
      </c>
      <c r="R1603" s="599">
        <f>M1603/J1603</f>
        <v>27000</v>
      </c>
      <c r="S1603" s="586">
        <f t="shared" si="220"/>
        <v>-9.4587448984384537E-11</v>
      </c>
      <c r="T1603" s="600"/>
      <c r="U1603" s="589"/>
      <c r="V1603" s="589"/>
      <c r="W1603" s="600"/>
      <c r="X1603" s="601"/>
      <c r="Y1603" s="600">
        <f t="shared" si="221"/>
        <v>1662117.4</v>
      </c>
      <c r="Z1603" s="601"/>
    </row>
    <row r="1604" spans="1:26" s="75" customFormat="1" hidden="1">
      <c r="A1604" s="714">
        <f t="shared" si="224"/>
        <v>128</v>
      </c>
      <c r="B1604" s="592" t="s">
        <v>1451</v>
      </c>
      <c r="C1604" s="593" t="s">
        <v>217</v>
      </c>
      <c r="D1604" s="594">
        <v>62625</v>
      </c>
      <c r="E1604" s="594">
        <v>11344.5</v>
      </c>
      <c r="F1604" s="594" t="s">
        <v>233</v>
      </c>
      <c r="G1604" s="594">
        <v>2688</v>
      </c>
      <c r="H1604" s="594">
        <v>9</v>
      </c>
      <c r="I1604" s="594">
        <v>6</v>
      </c>
      <c r="J1604" s="594">
        <v>324</v>
      </c>
      <c r="K1604" s="590" t="s">
        <v>33</v>
      </c>
      <c r="L1604" s="584">
        <f t="shared" si="223"/>
        <v>5689549</v>
      </c>
      <c r="M1604" s="596">
        <v>5644800</v>
      </c>
      <c r="N1604" s="675"/>
      <c r="O1604" s="631">
        <v>24849</v>
      </c>
      <c r="P1604" s="597"/>
      <c r="Q1604" s="597">
        <v>19900</v>
      </c>
      <c r="R1604" s="599">
        <f>M1604/G1604</f>
        <v>2100</v>
      </c>
      <c r="S1604" s="586">
        <f t="shared" si="220"/>
        <v>0</v>
      </c>
      <c r="T1604" s="600"/>
      <c r="U1604" s="589"/>
      <c r="V1604" s="589"/>
      <c r="W1604" s="600"/>
      <c r="X1604" s="601"/>
      <c r="Y1604" s="600">
        <f t="shared" si="221"/>
        <v>5689549</v>
      </c>
      <c r="Z1604" s="601"/>
    </row>
    <row r="1605" spans="1:26" s="75" customFormat="1" ht="37.5" hidden="1">
      <c r="A1605" s="714">
        <f t="shared" si="224"/>
        <v>129</v>
      </c>
      <c r="B1605" s="592" t="s">
        <v>1480</v>
      </c>
      <c r="C1605" s="593" t="s">
        <v>271</v>
      </c>
      <c r="D1605" s="594">
        <v>16429</v>
      </c>
      <c r="E1605" s="594">
        <v>1420</v>
      </c>
      <c r="F1605" s="594" t="s">
        <v>233</v>
      </c>
      <c r="G1605" s="594">
        <v>1270</v>
      </c>
      <c r="H1605" s="594">
        <v>5</v>
      </c>
      <c r="I1605" s="594">
        <v>1</v>
      </c>
      <c r="J1605" s="594">
        <v>191</v>
      </c>
      <c r="K1605" s="590" t="s">
        <v>30</v>
      </c>
      <c r="L1605" s="584">
        <f t="shared" si="223"/>
        <v>5206989.9400000004</v>
      </c>
      <c r="M1605" s="596">
        <v>5157000</v>
      </c>
      <c r="N1605" s="675"/>
      <c r="O1605" s="631">
        <v>15671</v>
      </c>
      <c r="P1605" s="597"/>
      <c r="Q1605" s="597">
        <v>34318.94</v>
      </c>
      <c r="R1605" s="599">
        <f>M1605/J1605</f>
        <v>27000</v>
      </c>
      <c r="S1605" s="586">
        <f t="shared" si="220"/>
        <v>4.0745362639427185E-10</v>
      </c>
      <c r="T1605" s="600"/>
      <c r="U1605" s="589"/>
      <c r="V1605" s="589"/>
      <c r="W1605" s="600"/>
      <c r="X1605" s="601"/>
      <c r="Y1605" s="600">
        <f t="shared" si="221"/>
        <v>5206989.9400000004</v>
      </c>
      <c r="Z1605" s="601"/>
    </row>
    <row r="1606" spans="1:26" s="75" customFormat="1" hidden="1">
      <c r="A1606" s="714">
        <f t="shared" si="224"/>
        <v>130</v>
      </c>
      <c r="B1606" s="592" t="s">
        <v>1482</v>
      </c>
      <c r="C1606" s="593" t="s">
        <v>271</v>
      </c>
      <c r="D1606" s="594">
        <v>5235</v>
      </c>
      <c r="E1606" s="594">
        <v>452.1</v>
      </c>
      <c r="F1606" s="594" t="s">
        <v>222</v>
      </c>
      <c r="G1606" s="594">
        <v>565</v>
      </c>
      <c r="H1606" s="594">
        <v>4</v>
      </c>
      <c r="I1606" s="594">
        <v>2</v>
      </c>
      <c r="J1606" s="594">
        <v>30</v>
      </c>
      <c r="K1606" s="590" t="s">
        <v>33</v>
      </c>
      <c r="L1606" s="584">
        <f t="shared" si="223"/>
        <v>2013055.06</v>
      </c>
      <c r="M1606" s="596">
        <v>1977500</v>
      </c>
      <c r="N1606" s="675"/>
      <c r="O1606" s="631">
        <v>19415</v>
      </c>
      <c r="P1606" s="597"/>
      <c r="Q1606" s="597">
        <v>16140.06</v>
      </c>
      <c r="R1606" s="599">
        <f>M1606/G1606</f>
        <v>3500</v>
      </c>
      <c r="S1606" s="586">
        <f t="shared" si="220"/>
        <v>5.6388671509921551E-11</v>
      </c>
      <c r="T1606" s="600"/>
      <c r="U1606" s="589"/>
      <c r="V1606" s="589"/>
      <c r="W1606" s="600"/>
      <c r="X1606" s="601"/>
      <c r="Y1606" s="600">
        <f t="shared" si="221"/>
        <v>2013055.06</v>
      </c>
      <c r="Z1606" s="601"/>
    </row>
    <row r="1607" spans="1:26" s="75" customFormat="1" hidden="1">
      <c r="A1607" s="714">
        <f t="shared" si="224"/>
        <v>131</v>
      </c>
      <c r="B1607" s="592" t="s">
        <v>1483</v>
      </c>
      <c r="C1607" s="593" t="s">
        <v>217</v>
      </c>
      <c r="D1607" s="594">
        <v>15703</v>
      </c>
      <c r="E1607" s="594">
        <v>3067.05</v>
      </c>
      <c r="F1607" s="594" t="s">
        <v>233</v>
      </c>
      <c r="G1607" s="594">
        <v>683.4</v>
      </c>
      <c r="H1607" s="594">
        <v>9</v>
      </c>
      <c r="I1607" s="594">
        <v>2</v>
      </c>
      <c r="J1607" s="594">
        <v>67</v>
      </c>
      <c r="K1607" s="590" t="s">
        <v>284</v>
      </c>
      <c r="L1607" s="584">
        <f t="shared" si="223"/>
        <v>9262811</v>
      </c>
      <c r="M1607" s="596">
        <v>9201150</v>
      </c>
      <c r="N1607" s="675">
        <v>31961</v>
      </c>
      <c r="O1607" s="887"/>
      <c r="P1607" s="597"/>
      <c r="Q1607" s="597">
        <v>29700</v>
      </c>
      <c r="R1607" s="599">
        <f>M1607/E1607</f>
        <v>3000</v>
      </c>
      <c r="S1607" s="586">
        <f t="shared" si="220"/>
        <v>0</v>
      </c>
      <c r="T1607" s="600"/>
      <c r="U1607" s="589"/>
      <c r="V1607" s="589"/>
      <c r="W1607" s="600"/>
      <c r="X1607" s="601"/>
      <c r="Y1607" s="600">
        <f t="shared" si="221"/>
        <v>9262811</v>
      </c>
      <c r="Z1607" s="601"/>
    </row>
    <row r="1608" spans="1:26" s="75" customFormat="1" hidden="1">
      <c r="A1608" s="714">
        <f t="shared" si="224"/>
        <v>132</v>
      </c>
      <c r="B1608" s="592" t="s">
        <v>1484</v>
      </c>
      <c r="C1608" s="593" t="s">
        <v>217</v>
      </c>
      <c r="D1608" s="594">
        <v>12509</v>
      </c>
      <c r="E1608" s="594">
        <v>2435</v>
      </c>
      <c r="F1608" s="594" t="s">
        <v>222</v>
      </c>
      <c r="G1608" s="594">
        <v>1136</v>
      </c>
      <c r="H1608" s="594">
        <v>5</v>
      </c>
      <c r="I1608" s="594">
        <v>4</v>
      </c>
      <c r="J1608" s="594">
        <v>80</v>
      </c>
      <c r="K1608" s="590" t="s">
        <v>224</v>
      </c>
      <c r="L1608" s="584">
        <f t="shared" si="223"/>
        <v>1464351.77</v>
      </c>
      <c r="M1608" s="607">
        <v>1412900</v>
      </c>
      <c r="N1608" s="675">
        <v>32306</v>
      </c>
      <c r="O1608" s="887"/>
      <c r="P1608" s="597"/>
      <c r="Q1608" s="597">
        <v>19145.77</v>
      </c>
      <c r="R1608" s="599">
        <f>M1608/J1608</f>
        <v>17661.25</v>
      </c>
      <c r="S1608" s="586">
        <f t="shared" si="220"/>
        <v>0</v>
      </c>
      <c r="T1608" s="600"/>
      <c r="U1608" s="589"/>
      <c r="V1608" s="589"/>
      <c r="W1608" s="600"/>
      <c r="X1608" s="601"/>
      <c r="Y1608" s="600">
        <f t="shared" si="221"/>
        <v>1464351.77</v>
      </c>
      <c r="Z1608" s="601"/>
    </row>
    <row r="1609" spans="1:26" hidden="1">
      <c r="A1609" s="714">
        <f t="shared" si="224"/>
        <v>133</v>
      </c>
      <c r="B1609" s="581" t="s">
        <v>3770</v>
      </c>
      <c r="C1609" s="593" t="s">
        <v>271</v>
      </c>
      <c r="D1609" s="603">
        <v>10517</v>
      </c>
      <c r="E1609" s="594">
        <v>320</v>
      </c>
      <c r="F1609" s="643" t="s">
        <v>222</v>
      </c>
      <c r="G1609" s="603">
        <v>1086</v>
      </c>
      <c r="H1609" s="609">
        <v>3</v>
      </c>
      <c r="I1609" s="609">
        <v>3</v>
      </c>
      <c r="J1609" s="609">
        <v>18</v>
      </c>
      <c r="K1609" s="590" t="s">
        <v>224</v>
      </c>
      <c r="L1609" s="595">
        <f t="shared" si="223"/>
        <v>629213.15</v>
      </c>
      <c r="M1609" s="690">
        <v>596300</v>
      </c>
      <c r="N1609" s="661">
        <v>25187</v>
      </c>
      <c r="O1609" s="613"/>
      <c r="P1609" s="586"/>
      <c r="Q1609" s="614">
        <v>7726.15</v>
      </c>
      <c r="R1609" s="599">
        <f>M1609/J1609</f>
        <v>33127.777777777781</v>
      </c>
      <c r="S1609" s="586">
        <f t="shared" si="220"/>
        <v>2.3646862246096134E-11</v>
      </c>
      <c r="T1609" s="588"/>
      <c r="U1609" s="589"/>
      <c r="V1609" s="589"/>
      <c r="W1609" s="600"/>
      <c r="Y1609" s="600">
        <f t="shared" si="221"/>
        <v>629213.15</v>
      </c>
    </row>
    <row r="1610" spans="1:26" s="75" customFormat="1" hidden="1">
      <c r="A1610" s="714">
        <f t="shared" si="224"/>
        <v>134</v>
      </c>
      <c r="B1610" s="592" t="s">
        <v>1485</v>
      </c>
      <c r="C1610" s="593" t="s">
        <v>217</v>
      </c>
      <c r="D1610" s="594">
        <v>21969</v>
      </c>
      <c r="E1610" s="594">
        <v>1321.2</v>
      </c>
      <c r="F1610" s="594" t="s">
        <v>222</v>
      </c>
      <c r="G1610" s="594">
        <v>1652</v>
      </c>
      <c r="H1610" s="594">
        <v>5</v>
      </c>
      <c r="I1610" s="594">
        <v>6</v>
      </c>
      <c r="J1610" s="594">
        <v>113</v>
      </c>
      <c r="K1610" s="590" t="s">
        <v>33</v>
      </c>
      <c r="L1610" s="584">
        <f t="shared" si="223"/>
        <v>5844554</v>
      </c>
      <c r="M1610" s="596">
        <v>5782000</v>
      </c>
      <c r="N1610" s="597"/>
      <c r="O1610" s="587">
        <v>22754</v>
      </c>
      <c r="P1610" s="597"/>
      <c r="Q1610" s="597">
        <v>39800</v>
      </c>
      <c r="R1610" s="599">
        <f>M1610/G1610</f>
        <v>3500</v>
      </c>
      <c r="S1610" s="586">
        <f t="shared" si="220"/>
        <v>0</v>
      </c>
      <c r="T1610" s="600"/>
      <c r="U1610" s="589"/>
      <c r="V1610" s="589"/>
      <c r="W1610" s="600"/>
      <c r="X1610" s="601"/>
      <c r="Y1610" s="600">
        <f t="shared" si="221"/>
        <v>5844554</v>
      </c>
      <c r="Z1610" s="601"/>
    </row>
    <row r="1611" spans="1:26" s="75" customFormat="1" hidden="1">
      <c r="A1611" s="714">
        <f t="shared" si="224"/>
        <v>135</v>
      </c>
      <c r="B1611" s="592" t="s">
        <v>1486</v>
      </c>
      <c r="C1611" s="593" t="s">
        <v>271</v>
      </c>
      <c r="D1611" s="594">
        <v>12618</v>
      </c>
      <c r="E1611" s="594">
        <v>2001</v>
      </c>
      <c r="F1611" s="594" t="s">
        <v>233</v>
      </c>
      <c r="G1611" s="594">
        <v>1147</v>
      </c>
      <c r="H1611" s="594">
        <v>5</v>
      </c>
      <c r="I1611" s="594">
        <v>4</v>
      </c>
      <c r="J1611" s="594">
        <v>79</v>
      </c>
      <c r="K1611" s="590" t="s">
        <v>252</v>
      </c>
      <c r="L1611" s="584">
        <f t="shared" si="223"/>
        <v>3488754</v>
      </c>
      <c r="M1611" s="596">
        <v>3441000</v>
      </c>
      <c r="N1611" s="597">
        <v>27854</v>
      </c>
      <c r="O1611" s="598"/>
      <c r="P1611" s="597"/>
      <c r="Q1611" s="597">
        <v>19900</v>
      </c>
      <c r="R1611" s="582">
        <f>M1611/G1611</f>
        <v>3000</v>
      </c>
      <c r="S1611" s="586">
        <f t="shared" si="220"/>
        <v>0</v>
      </c>
      <c r="T1611" s="600"/>
      <c r="U1611" s="589"/>
      <c r="V1611" s="589"/>
      <c r="W1611" s="600"/>
      <c r="X1611" s="601"/>
      <c r="Y1611" s="600">
        <f t="shared" si="221"/>
        <v>3488754</v>
      </c>
      <c r="Z1611" s="601"/>
    </row>
    <row r="1612" spans="1:26" s="75" customFormat="1" hidden="1">
      <c r="A1612" s="714">
        <f t="shared" si="224"/>
        <v>136</v>
      </c>
      <c r="B1612" s="592" t="s">
        <v>1487</v>
      </c>
      <c r="C1612" s="593" t="s">
        <v>271</v>
      </c>
      <c r="D1612" s="594">
        <v>9849</v>
      </c>
      <c r="E1612" s="594">
        <v>695.5</v>
      </c>
      <c r="F1612" s="594" t="s">
        <v>222</v>
      </c>
      <c r="G1612" s="594">
        <v>908</v>
      </c>
      <c r="H1612" s="594">
        <v>5</v>
      </c>
      <c r="I1612" s="594">
        <v>3</v>
      </c>
      <c r="J1612" s="594">
        <v>60</v>
      </c>
      <c r="K1612" s="632" t="s">
        <v>33</v>
      </c>
      <c r="L1612" s="584">
        <f t="shared" si="223"/>
        <v>2594096</v>
      </c>
      <c r="M1612" s="607">
        <v>2542400</v>
      </c>
      <c r="N1612" s="675"/>
      <c r="O1612" s="631">
        <v>21178</v>
      </c>
      <c r="P1612" s="597"/>
      <c r="Q1612" s="675">
        <v>30518</v>
      </c>
      <c r="R1612" s="599">
        <f>M1612/J1612</f>
        <v>42373.333333333336</v>
      </c>
      <c r="S1612" s="586">
        <f t="shared" si="220"/>
        <v>0</v>
      </c>
      <c r="T1612" s="600"/>
      <c r="U1612" s="589"/>
      <c r="V1612" s="589"/>
      <c r="W1612" s="600"/>
      <c r="X1612" s="601"/>
      <c r="Y1612" s="600">
        <f t="shared" si="221"/>
        <v>2594096</v>
      </c>
      <c r="Z1612" s="601"/>
    </row>
    <row r="1613" spans="1:26" s="75" customFormat="1" ht="37.5" hidden="1">
      <c r="A1613" s="616">
        <f>A1612+1</f>
        <v>137</v>
      </c>
      <c r="B1613" s="592" t="s">
        <v>1491</v>
      </c>
      <c r="C1613" s="593" t="s">
        <v>271</v>
      </c>
      <c r="D1613" s="594">
        <v>17501</v>
      </c>
      <c r="E1613" s="594">
        <v>2997.3</v>
      </c>
      <c r="F1613" s="594" t="s">
        <v>222</v>
      </c>
      <c r="G1613" s="594">
        <v>1649.1</v>
      </c>
      <c r="H1613" s="594">
        <v>4</v>
      </c>
      <c r="I1613" s="594">
        <v>4</v>
      </c>
      <c r="J1613" s="594">
        <v>39</v>
      </c>
      <c r="K1613" s="590" t="s">
        <v>30</v>
      </c>
      <c r="L1613" s="1348">
        <f>M1613+N1613+O1613+P1613+Q1613+M1614+N1614+O1614+P1614+Q1614+M1615+N1615+O1615+Q1615</f>
        <v>11220897</v>
      </c>
      <c r="M1613" s="596">
        <v>1053000</v>
      </c>
      <c r="N1613" s="597"/>
      <c r="O1613" s="598">
        <v>12795</v>
      </c>
      <c r="P1613" s="597"/>
      <c r="Q1613" s="586">
        <v>39800</v>
      </c>
      <c r="R1613" s="599">
        <f>M1613/J1613</f>
        <v>27000</v>
      </c>
      <c r="S1613" s="586">
        <f t="shared" si="220"/>
        <v>10115302</v>
      </c>
      <c r="T1613" s="600"/>
      <c r="U1613" s="589"/>
      <c r="V1613" s="589"/>
      <c r="W1613" s="600"/>
      <c r="X1613" s="601"/>
      <c r="Y1613" s="600">
        <f t="shared" si="221"/>
        <v>1105595</v>
      </c>
      <c r="Z1613" s="601"/>
    </row>
    <row r="1614" spans="1:26" s="75" customFormat="1" hidden="1">
      <c r="A1614" s="616"/>
      <c r="B1614" s="592"/>
      <c r="C1614" s="593"/>
      <c r="D1614" s="594"/>
      <c r="E1614" s="594"/>
      <c r="F1614" s="594"/>
      <c r="G1614" s="594"/>
      <c r="H1614" s="594"/>
      <c r="I1614" s="594"/>
      <c r="J1614" s="594"/>
      <c r="K1614" s="590" t="s">
        <v>38</v>
      </c>
      <c r="L1614" s="1348"/>
      <c r="M1614" s="596">
        <v>5395140</v>
      </c>
      <c r="N1614" s="675"/>
      <c r="O1614" s="887">
        <v>15922</v>
      </c>
      <c r="P1614" s="597"/>
      <c r="Q1614" s="586">
        <v>29700</v>
      </c>
      <c r="R1614" s="599">
        <f>M1614/E1613</f>
        <v>1800</v>
      </c>
      <c r="S1614" s="586">
        <f t="shared" si="220"/>
        <v>-5440762</v>
      </c>
      <c r="T1614" s="600"/>
      <c r="U1614" s="601"/>
      <c r="V1614" s="589"/>
      <c r="W1614" s="600"/>
      <c r="X1614" s="601"/>
      <c r="Y1614" s="600">
        <f t="shared" si="221"/>
        <v>5440762</v>
      </c>
      <c r="Z1614" s="601"/>
    </row>
    <row r="1615" spans="1:26" s="75" customFormat="1" hidden="1">
      <c r="A1615" s="616"/>
      <c r="B1615" s="592"/>
      <c r="C1615" s="593"/>
      <c r="D1615" s="594"/>
      <c r="E1615" s="594"/>
      <c r="F1615" s="594"/>
      <c r="G1615" s="594"/>
      <c r="H1615" s="594">
        <v>4</v>
      </c>
      <c r="I1615" s="594">
        <v>4</v>
      </c>
      <c r="J1615" s="594"/>
      <c r="K1615" s="590" t="s">
        <v>33</v>
      </c>
      <c r="L1615" s="584"/>
      <c r="M1615" s="596">
        <v>4617480</v>
      </c>
      <c r="N1615" s="675"/>
      <c r="O1615" s="887">
        <v>17060</v>
      </c>
      <c r="P1615" s="597"/>
      <c r="Q1615" s="586">
        <v>40000</v>
      </c>
      <c r="R1615" s="599"/>
      <c r="S1615" s="586"/>
      <c r="T1615" s="600"/>
      <c r="U1615" s="601"/>
      <c r="V1615" s="589"/>
      <c r="W1615" s="600"/>
      <c r="X1615" s="601"/>
      <c r="Y1615" s="600">
        <f t="shared" si="221"/>
        <v>4674540</v>
      </c>
      <c r="Z1615" s="601"/>
    </row>
    <row r="1616" spans="1:26" s="75" customFormat="1" hidden="1">
      <c r="A1616" s="714">
        <f>A1613+1</f>
        <v>138</v>
      </c>
      <c r="B1616" s="592" t="s">
        <v>1492</v>
      </c>
      <c r="C1616" s="593" t="s">
        <v>271</v>
      </c>
      <c r="D1616" s="594">
        <v>12402</v>
      </c>
      <c r="E1616" s="594">
        <v>1560</v>
      </c>
      <c r="F1616" s="594" t="s">
        <v>222</v>
      </c>
      <c r="G1616" s="594">
        <v>1144</v>
      </c>
      <c r="H1616" s="594">
        <v>5</v>
      </c>
      <c r="I1616" s="594">
        <v>4</v>
      </c>
      <c r="J1616" s="594">
        <v>76</v>
      </c>
      <c r="K1616" s="590" t="s">
        <v>33</v>
      </c>
      <c r="L1616" s="584">
        <f>M1616+N1616+O1616+P1616+Q1616</f>
        <v>4063734.7</v>
      </c>
      <c r="M1616" s="596">
        <v>4004000</v>
      </c>
      <c r="N1616" s="675"/>
      <c r="O1616" s="631">
        <v>21498</v>
      </c>
      <c r="P1616" s="597"/>
      <c r="Q1616" s="597">
        <v>38236.699999999997</v>
      </c>
      <c r="R1616" s="599">
        <f>M1616/G1616</f>
        <v>3500</v>
      </c>
      <c r="S1616" s="586">
        <f t="shared" ref="S1616:S1622" si="225">L1616-M1616-N1616-O1616-P1616-Q1616</f>
        <v>1.8917489796876907E-10</v>
      </c>
      <c r="T1616" s="600"/>
      <c r="U1616" s="589"/>
      <c r="V1616" s="589"/>
      <c r="W1616" s="600"/>
      <c r="X1616" s="601"/>
      <c r="Y1616" s="600">
        <f t="shared" si="221"/>
        <v>4063734.7</v>
      </c>
      <c r="Z1616" s="601"/>
    </row>
    <row r="1617" spans="1:26" s="75" customFormat="1" hidden="1">
      <c r="A1617" s="714">
        <f>A1616+1</f>
        <v>139</v>
      </c>
      <c r="B1617" s="592" t="s">
        <v>1488</v>
      </c>
      <c r="C1617" s="617" t="s">
        <v>271</v>
      </c>
      <c r="D1617" s="618">
        <v>12165</v>
      </c>
      <c r="E1617" s="619">
        <v>2180.6</v>
      </c>
      <c r="F1617" s="620" t="s">
        <v>222</v>
      </c>
      <c r="G1617" s="620">
        <v>1285</v>
      </c>
      <c r="H1617" s="651">
        <v>4</v>
      </c>
      <c r="I1617" s="620">
        <v>4</v>
      </c>
      <c r="J1617" s="620">
        <v>63</v>
      </c>
      <c r="K1617" s="679" t="s">
        <v>33</v>
      </c>
      <c r="L1617" s="595">
        <f>SUM(M1617:Q1617)</f>
        <v>4555365</v>
      </c>
      <c r="M1617" s="596">
        <v>4497500</v>
      </c>
      <c r="N1617" s="675"/>
      <c r="O1617" s="887">
        <v>20359</v>
      </c>
      <c r="P1617" s="1007"/>
      <c r="Q1617" s="597">
        <v>37506</v>
      </c>
      <c r="R1617" s="582">
        <f>M1617/G1617</f>
        <v>3500</v>
      </c>
      <c r="S1617" s="586">
        <f t="shared" si="225"/>
        <v>0</v>
      </c>
      <c r="T1617" s="600"/>
      <c r="U1617" s="589"/>
      <c r="V1617" s="589"/>
      <c r="W1617" s="600"/>
      <c r="X1617" s="601"/>
      <c r="Y1617" s="600">
        <f t="shared" si="221"/>
        <v>4555365</v>
      </c>
      <c r="Z1617" s="601"/>
    </row>
    <row r="1618" spans="1:26" s="75" customFormat="1" ht="37.5" hidden="1">
      <c r="A1618" s="616">
        <f>A1617+1</f>
        <v>140</v>
      </c>
      <c r="B1618" s="592" t="s">
        <v>1489</v>
      </c>
      <c r="C1618" s="593" t="s">
        <v>271</v>
      </c>
      <c r="D1618" s="594">
        <v>5351</v>
      </c>
      <c r="E1618" s="594">
        <v>1232.0999999999999</v>
      </c>
      <c r="F1618" s="594" t="s">
        <v>222</v>
      </c>
      <c r="G1618" s="594">
        <v>652</v>
      </c>
      <c r="H1618" s="594">
        <v>4</v>
      </c>
      <c r="I1618" s="594">
        <v>2</v>
      </c>
      <c r="J1618" s="594">
        <v>32</v>
      </c>
      <c r="K1618" s="590" t="s">
        <v>30</v>
      </c>
      <c r="L1618" s="1348">
        <f>M1618+N1618+O1618+P1618+Q1618+M1619+N1619+O1619+P1619+Q1619</f>
        <v>2753186.11</v>
      </c>
      <c r="M1618" s="607">
        <v>596500</v>
      </c>
      <c r="N1618" s="675"/>
      <c r="O1618" s="887">
        <v>12982</v>
      </c>
      <c r="P1618" s="597"/>
      <c r="Q1618" s="586">
        <v>21333.4</v>
      </c>
      <c r="R1618" s="599">
        <f>M1618/J1618</f>
        <v>18640.625</v>
      </c>
      <c r="S1618" s="586">
        <f t="shared" si="225"/>
        <v>2122370.71</v>
      </c>
      <c r="T1618" s="600"/>
      <c r="U1618" s="589"/>
      <c r="V1618" s="589"/>
      <c r="W1618" s="600"/>
      <c r="X1618" s="601"/>
      <c r="Y1618" s="600">
        <f t="shared" si="221"/>
        <v>630815.4</v>
      </c>
      <c r="Z1618" s="601"/>
    </row>
    <row r="1619" spans="1:26" s="75" customFormat="1" hidden="1">
      <c r="A1619" s="616"/>
      <c r="B1619" s="592"/>
      <c r="C1619" s="593"/>
      <c r="D1619" s="594"/>
      <c r="E1619" s="594">
        <v>1232.0999999999999</v>
      </c>
      <c r="F1619" s="594" t="s">
        <v>222</v>
      </c>
      <c r="G1619" s="594">
        <v>652</v>
      </c>
      <c r="H1619" s="594">
        <v>4</v>
      </c>
      <c r="I1619" s="594">
        <v>2</v>
      </c>
      <c r="J1619" s="594">
        <v>32</v>
      </c>
      <c r="K1619" s="590" t="s">
        <v>33</v>
      </c>
      <c r="L1619" s="1348"/>
      <c r="M1619" s="596">
        <v>2086400</v>
      </c>
      <c r="N1619" s="675"/>
      <c r="O1619" s="887">
        <v>19473</v>
      </c>
      <c r="P1619" s="597"/>
      <c r="Q1619" s="586">
        <v>16497.71</v>
      </c>
      <c r="R1619" s="599">
        <f>M1619/G1618</f>
        <v>3200</v>
      </c>
      <c r="S1619" s="586">
        <f t="shared" si="225"/>
        <v>-2122370.71</v>
      </c>
      <c r="T1619" s="600"/>
      <c r="U1619" s="601"/>
      <c r="V1619" s="589"/>
      <c r="W1619" s="600"/>
      <c r="X1619" s="601"/>
      <c r="Y1619" s="600">
        <f t="shared" si="221"/>
        <v>2122370.71</v>
      </c>
      <c r="Z1619" s="601"/>
    </row>
    <row r="1620" spans="1:26" hidden="1">
      <c r="A1620" s="714">
        <f>A1618+1</f>
        <v>141</v>
      </c>
      <c r="B1620" s="581" t="s">
        <v>4077</v>
      </c>
      <c r="C1620" s="593" t="s">
        <v>271</v>
      </c>
      <c r="D1620" s="603">
        <v>10917</v>
      </c>
      <c r="E1620" s="594">
        <v>2056.1999999999998</v>
      </c>
      <c r="F1620" s="643" t="s">
        <v>222</v>
      </c>
      <c r="G1620" s="603">
        <v>981</v>
      </c>
      <c r="H1620" s="609">
        <v>4</v>
      </c>
      <c r="I1620" s="609">
        <v>5</v>
      </c>
      <c r="J1620" s="609">
        <v>31</v>
      </c>
      <c r="K1620" s="590" t="s">
        <v>224</v>
      </c>
      <c r="L1620" s="595">
        <f>M1620+N1620+O1620+P1620+Q1620</f>
        <v>717642.9</v>
      </c>
      <c r="M1620" s="690">
        <v>682000</v>
      </c>
      <c r="N1620" s="661">
        <v>26730</v>
      </c>
      <c r="O1620" s="711"/>
      <c r="P1620" s="586"/>
      <c r="Q1620" s="614">
        <v>8912.9</v>
      </c>
      <c r="R1620" s="599">
        <f>M1620/J1620</f>
        <v>22000</v>
      </c>
      <c r="S1620" s="586">
        <f t="shared" si="225"/>
        <v>2.3646862246096134E-11</v>
      </c>
      <c r="T1620" s="588"/>
      <c r="U1620" s="589"/>
      <c r="V1620" s="589"/>
      <c r="W1620" s="600"/>
      <c r="Y1620" s="600">
        <f t="shared" si="221"/>
        <v>717642.9</v>
      </c>
    </row>
    <row r="1621" spans="1:26" s="75" customFormat="1" hidden="1">
      <c r="A1621" s="616">
        <f>A1620+1</f>
        <v>142</v>
      </c>
      <c r="B1621" s="592" t="s">
        <v>1494</v>
      </c>
      <c r="C1621" s="593" t="s">
        <v>271</v>
      </c>
      <c r="D1621" s="594">
        <v>18117</v>
      </c>
      <c r="E1621" s="594">
        <v>3380</v>
      </c>
      <c r="F1621" s="594" t="s">
        <v>222</v>
      </c>
      <c r="G1621" s="594">
        <v>1515</v>
      </c>
      <c r="H1621" s="594">
        <v>4</v>
      </c>
      <c r="I1621" s="594">
        <v>5</v>
      </c>
      <c r="J1621" s="594">
        <v>47</v>
      </c>
      <c r="K1621" s="590" t="s">
        <v>238</v>
      </c>
      <c r="L1621" s="1348">
        <f>M1621+N1621+O1621+P1621+Q1621+M1622+N1622+O1622+P1622+Q1622+M1623+N1623+O1623+Q1623</f>
        <v>11750877.710000001</v>
      </c>
      <c r="M1621" s="596">
        <v>1269000</v>
      </c>
      <c r="N1621" s="675">
        <v>30072</v>
      </c>
      <c r="O1621" s="887"/>
      <c r="P1621" s="597"/>
      <c r="Q1621" s="597">
        <v>22724.71</v>
      </c>
      <c r="R1621" s="599">
        <f>M1621/J1621</f>
        <v>27000</v>
      </c>
      <c r="S1621" s="586">
        <f t="shared" si="225"/>
        <v>10429081</v>
      </c>
      <c r="T1621" s="600"/>
      <c r="U1621" s="589"/>
      <c r="V1621" s="589"/>
      <c r="W1621" s="600"/>
      <c r="X1621" s="601"/>
      <c r="Y1621" s="600">
        <f t="shared" si="221"/>
        <v>1321796.71</v>
      </c>
      <c r="Z1621" s="601"/>
    </row>
    <row r="1622" spans="1:26" s="75" customFormat="1" hidden="1">
      <c r="A1622" s="616"/>
      <c r="B1622" s="592"/>
      <c r="C1622" s="593"/>
      <c r="D1622" s="594"/>
      <c r="E1622" s="594"/>
      <c r="F1622" s="594"/>
      <c r="G1622" s="594"/>
      <c r="H1622" s="594"/>
      <c r="I1622" s="594"/>
      <c r="J1622" s="594"/>
      <c r="K1622" s="590" t="s">
        <v>38</v>
      </c>
      <c r="L1622" s="1348"/>
      <c r="M1622" s="596">
        <v>6084000</v>
      </c>
      <c r="N1622" s="675"/>
      <c r="O1622" s="631">
        <v>16115</v>
      </c>
      <c r="P1622" s="597"/>
      <c r="Q1622" s="597">
        <v>29700</v>
      </c>
      <c r="R1622" s="599">
        <f>M1622/E1621</f>
        <v>1800</v>
      </c>
      <c r="S1622" s="586">
        <f t="shared" si="225"/>
        <v>-6129815</v>
      </c>
      <c r="T1622" s="600"/>
      <c r="U1622" s="601"/>
      <c r="V1622" s="589"/>
      <c r="W1622" s="600"/>
      <c r="X1622" s="601"/>
      <c r="Y1622" s="600">
        <f t="shared" si="221"/>
        <v>6129815</v>
      </c>
      <c r="Z1622" s="601"/>
    </row>
    <row r="1623" spans="1:26" s="115" customFormat="1" hidden="1">
      <c r="A1623" s="616"/>
      <c r="B1623" s="592"/>
      <c r="C1623" s="593"/>
      <c r="D1623" s="594"/>
      <c r="E1623" s="594"/>
      <c r="F1623" s="594"/>
      <c r="G1623" s="594"/>
      <c r="H1623" s="594">
        <v>4</v>
      </c>
      <c r="I1623" s="594">
        <v>5</v>
      </c>
      <c r="J1623" s="594"/>
      <c r="K1623" s="590" t="s">
        <v>33</v>
      </c>
      <c r="L1623" s="584"/>
      <c r="M1623" s="596">
        <v>4242000</v>
      </c>
      <c r="N1623" s="675"/>
      <c r="O1623" s="631">
        <v>17266</v>
      </c>
      <c r="P1623" s="597"/>
      <c r="Q1623" s="597">
        <v>40000</v>
      </c>
      <c r="R1623" s="599"/>
      <c r="S1623" s="586"/>
      <c r="T1623" s="600"/>
      <c r="U1623" s="601"/>
      <c r="V1623" s="589"/>
      <c r="W1623" s="600"/>
      <c r="X1623" s="601"/>
      <c r="Y1623" s="600">
        <f t="shared" si="221"/>
        <v>4299266</v>
      </c>
      <c r="Z1623" s="601"/>
    </row>
    <row r="1624" spans="1:26" s="75" customFormat="1" hidden="1">
      <c r="A1624" s="714">
        <f>A1621+1</f>
        <v>143</v>
      </c>
      <c r="B1624" s="592" t="s">
        <v>1495</v>
      </c>
      <c r="C1624" s="593" t="s">
        <v>271</v>
      </c>
      <c r="D1624" s="594">
        <v>32718</v>
      </c>
      <c r="E1624" s="594">
        <v>4932</v>
      </c>
      <c r="F1624" s="594" t="s">
        <v>222</v>
      </c>
      <c r="G1624" s="594">
        <v>2211</v>
      </c>
      <c r="H1624" s="594">
        <v>4</v>
      </c>
      <c r="I1624" s="594">
        <v>5</v>
      </c>
      <c r="J1624" s="594">
        <v>90</v>
      </c>
      <c r="K1624" s="590" t="s">
        <v>238</v>
      </c>
      <c r="L1624" s="584">
        <f t="shared" ref="L1624:L1636" si="226">M1624+N1624+O1624+P1624+Q1624</f>
        <v>2499173.87</v>
      </c>
      <c r="M1624" s="596">
        <v>2430000</v>
      </c>
      <c r="N1624" s="675">
        <v>36710</v>
      </c>
      <c r="O1624" s="887"/>
      <c r="P1624" s="597"/>
      <c r="Q1624" s="597">
        <v>32463.87</v>
      </c>
      <c r="R1624" s="599">
        <f>M1624/J1624</f>
        <v>27000</v>
      </c>
      <c r="S1624" s="586">
        <f t="shared" ref="S1624:S1655" si="227">L1624-M1624-N1624-O1624-P1624-Q1624</f>
        <v>1.127773430198431E-10</v>
      </c>
      <c r="T1624" s="600"/>
      <c r="U1624" s="589"/>
      <c r="V1624" s="589"/>
      <c r="W1624" s="600"/>
      <c r="X1624" s="601"/>
      <c r="Y1624" s="600">
        <f t="shared" si="221"/>
        <v>2499173.87</v>
      </c>
      <c r="Z1624" s="601"/>
    </row>
    <row r="1625" spans="1:26" s="75" customFormat="1" hidden="1">
      <c r="A1625" s="714">
        <f t="shared" si="224"/>
        <v>144</v>
      </c>
      <c r="B1625" s="592" t="s">
        <v>1496</v>
      </c>
      <c r="C1625" s="593" t="s">
        <v>271</v>
      </c>
      <c r="D1625" s="594">
        <v>19183</v>
      </c>
      <c r="E1625" s="594">
        <v>3521.3</v>
      </c>
      <c r="F1625" s="594" t="s">
        <v>222</v>
      </c>
      <c r="G1625" s="594">
        <v>1483</v>
      </c>
      <c r="H1625" s="594">
        <v>5</v>
      </c>
      <c r="I1625" s="594">
        <v>5</v>
      </c>
      <c r="J1625" s="594">
        <v>60</v>
      </c>
      <c r="K1625" s="590" t="s">
        <v>224</v>
      </c>
      <c r="L1625" s="584">
        <f t="shared" si="226"/>
        <v>1142167.45</v>
      </c>
      <c r="M1625" s="607">
        <v>1092900</v>
      </c>
      <c r="N1625" s="675">
        <v>34365</v>
      </c>
      <c r="O1625" s="887"/>
      <c r="P1625" s="597"/>
      <c r="Q1625" s="597">
        <v>14902.45</v>
      </c>
      <c r="R1625" s="599">
        <f>M1625/J1625</f>
        <v>18215</v>
      </c>
      <c r="S1625" s="586">
        <f t="shared" si="227"/>
        <v>-4.7293724492192268E-11</v>
      </c>
      <c r="T1625" s="600"/>
      <c r="U1625" s="589"/>
      <c r="V1625" s="589"/>
      <c r="W1625" s="600"/>
      <c r="X1625" s="601"/>
      <c r="Y1625" s="600">
        <f t="shared" si="221"/>
        <v>1142167.45</v>
      </c>
      <c r="Z1625" s="601"/>
    </row>
    <row r="1626" spans="1:26" s="75" customFormat="1" hidden="1">
      <c r="A1626" s="714">
        <f t="shared" si="224"/>
        <v>145</v>
      </c>
      <c r="B1626" s="592" t="s">
        <v>1497</v>
      </c>
      <c r="C1626" s="593" t="s">
        <v>229</v>
      </c>
      <c r="D1626" s="594">
        <v>2764</v>
      </c>
      <c r="E1626" s="594">
        <v>390</v>
      </c>
      <c r="F1626" s="594" t="s">
        <v>222</v>
      </c>
      <c r="G1626" s="594">
        <v>502</v>
      </c>
      <c r="H1626" s="594">
        <v>2</v>
      </c>
      <c r="I1626" s="594">
        <v>2</v>
      </c>
      <c r="J1626" s="594">
        <v>12</v>
      </c>
      <c r="K1626" s="590" t="s">
        <v>398</v>
      </c>
      <c r="L1626" s="584">
        <f t="shared" si="226"/>
        <v>1135412.81</v>
      </c>
      <c r="M1626" s="596">
        <v>1104400</v>
      </c>
      <c r="N1626" s="675"/>
      <c r="O1626" s="631">
        <v>17546</v>
      </c>
      <c r="P1626" s="597"/>
      <c r="Q1626" s="597">
        <v>13466.81</v>
      </c>
      <c r="R1626" s="599">
        <f>M1626/G1626</f>
        <v>2200</v>
      </c>
      <c r="S1626" s="586">
        <f t="shared" si="227"/>
        <v>5.6388671509921551E-11</v>
      </c>
      <c r="T1626" s="600"/>
      <c r="U1626" s="589"/>
      <c r="V1626" s="589"/>
      <c r="W1626" s="600"/>
      <c r="X1626" s="601"/>
      <c r="Y1626" s="600">
        <f t="shared" si="221"/>
        <v>1135412.81</v>
      </c>
      <c r="Z1626" s="601"/>
    </row>
    <row r="1627" spans="1:26" s="75" customFormat="1" hidden="1">
      <c r="A1627" s="714">
        <f t="shared" ref="A1627:A1684" si="228">A1626+1</f>
        <v>146</v>
      </c>
      <c r="B1627" s="592" t="s">
        <v>1498</v>
      </c>
      <c r="C1627" s="593" t="s">
        <v>217</v>
      </c>
      <c r="D1627" s="594">
        <v>5793</v>
      </c>
      <c r="E1627" s="594">
        <v>7080</v>
      </c>
      <c r="F1627" s="594" t="s">
        <v>233</v>
      </c>
      <c r="G1627" s="594">
        <v>1849.6</v>
      </c>
      <c r="H1627" s="594">
        <v>9</v>
      </c>
      <c r="I1627" s="594">
        <v>7</v>
      </c>
      <c r="J1627" s="594">
        <v>245</v>
      </c>
      <c r="K1627" s="590" t="s">
        <v>224</v>
      </c>
      <c r="L1627" s="584">
        <f t="shared" si="226"/>
        <v>5096195</v>
      </c>
      <c r="M1627" s="607">
        <v>5032900</v>
      </c>
      <c r="N1627" s="675">
        <v>43495</v>
      </c>
      <c r="O1627" s="887"/>
      <c r="P1627" s="597"/>
      <c r="Q1627" s="597">
        <v>19800</v>
      </c>
      <c r="R1627" s="599">
        <f>M1627/J1627</f>
        <v>20542.448979591838</v>
      </c>
      <c r="S1627" s="586">
        <f t="shared" si="227"/>
        <v>0</v>
      </c>
      <c r="T1627" s="600"/>
      <c r="U1627" s="589"/>
      <c r="V1627" s="589"/>
      <c r="W1627" s="600"/>
      <c r="X1627" s="601"/>
      <c r="Y1627" s="600">
        <f t="shared" si="221"/>
        <v>5096195</v>
      </c>
      <c r="Z1627" s="601"/>
    </row>
    <row r="1628" spans="1:26" s="75" customFormat="1" hidden="1">
      <c r="A1628" s="714">
        <f t="shared" si="228"/>
        <v>147</v>
      </c>
      <c r="B1628" s="592" t="s">
        <v>1499</v>
      </c>
      <c r="C1628" s="593" t="s">
        <v>217</v>
      </c>
      <c r="D1628" s="594">
        <v>17056</v>
      </c>
      <c r="E1628" s="594">
        <v>3510</v>
      </c>
      <c r="F1628" s="594" t="s">
        <v>233</v>
      </c>
      <c r="G1628" s="594">
        <v>663</v>
      </c>
      <c r="H1628" s="594">
        <v>9</v>
      </c>
      <c r="I1628" s="594">
        <v>2</v>
      </c>
      <c r="J1628" s="594">
        <v>72</v>
      </c>
      <c r="K1628" s="590" t="s">
        <v>33</v>
      </c>
      <c r="L1628" s="584">
        <f t="shared" si="226"/>
        <v>1437944</v>
      </c>
      <c r="M1628" s="596">
        <v>1392300</v>
      </c>
      <c r="N1628" s="675"/>
      <c r="O1628" s="631">
        <v>25744</v>
      </c>
      <c r="P1628" s="597"/>
      <c r="Q1628" s="597">
        <v>19900</v>
      </c>
      <c r="R1628" s="599">
        <f>M1628/G1628</f>
        <v>2100</v>
      </c>
      <c r="S1628" s="586">
        <f t="shared" si="227"/>
        <v>0</v>
      </c>
      <c r="T1628" s="600"/>
      <c r="U1628" s="589"/>
      <c r="V1628" s="589"/>
      <c r="W1628" s="600"/>
      <c r="X1628" s="601"/>
      <c r="Y1628" s="600">
        <f t="shared" si="221"/>
        <v>1437944</v>
      </c>
      <c r="Z1628" s="601"/>
    </row>
    <row r="1629" spans="1:26" s="75" customFormat="1" ht="37.5" hidden="1">
      <c r="A1629" s="714">
        <f t="shared" si="228"/>
        <v>148</v>
      </c>
      <c r="B1629" s="592" t="s">
        <v>1500</v>
      </c>
      <c r="C1629" s="593" t="s">
        <v>217</v>
      </c>
      <c r="D1629" s="594">
        <v>16086</v>
      </c>
      <c r="E1629" s="594">
        <v>3510</v>
      </c>
      <c r="F1629" s="594" t="s">
        <v>233</v>
      </c>
      <c r="G1629" s="594">
        <v>455.5</v>
      </c>
      <c r="H1629" s="594">
        <v>9</v>
      </c>
      <c r="I1629" s="594">
        <v>2</v>
      </c>
      <c r="J1629" s="594">
        <v>72</v>
      </c>
      <c r="K1629" s="590" t="s">
        <v>30</v>
      </c>
      <c r="L1629" s="584">
        <f t="shared" si="226"/>
        <v>2358378.94</v>
      </c>
      <c r="M1629" s="596">
        <v>2304000</v>
      </c>
      <c r="N1629" s="675"/>
      <c r="O1629" s="631">
        <v>20060</v>
      </c>
      <c r="P1629" s="597"/>
      <c r="Q1629" s="597">
        <v>34318.94</v>
      </c>
      <c r="R1629" s="599">
        <f>M1629/J1629</f>
        <v>32000</v>
      </c>
      <c r="S1629" s="586">
        <f t="shared" si="227"/>
        <v>-5.8207660913467407E-11</v>
      </c>
      <c r="T1629" s="600"/>
      <c r="U1629" s="589"/>
      <c r="V1629" s="589"/>
      <c r="W1629" s="600"/>
      <c r="X1629" s="601"/>
      <c r="Y1629" s="600">
        <f t="shared" si="221"/>
        <v>2358378.94</v>
      </c>
      <c r="Z1629" s="601"/>
    </row>
    <row r="1630" spans="1:26" s="75" customFormat="1" hidden="1">
      <c r="A1630" s="714">
        <f t="shared" si="228"/>
        <v>149</v>
      </c>
      <c r="B1630" s="592" t="s">
        <v>1501</v>
      </c>
      <c r="C1630" s="593" t="s">
        <v>217</v>
      </c>
      <c r="D1630" s="594">
        <v>56947</v>
      </c>
      <c r="E1630" s="594">
        <v>7080</v>
      </c>
      <c r="F1630" s="594" t="s">
        <v>233</v>
      </c>
      <c r="G1630" s="594">
        <v>1628.5</v>
      </c>
      <c r="H1630" s="594">
        <v>9</v>
      </c>
      <c r="I1630" s="594">
        <v>7</v>
      </c>
      <c r="J1630" s="594">
        <v>250</v>
      </c>
      <c r="K1630" s="590" t="s">
        <v>224</v>
      </c>
      <c r="L1630" s="584">
        <f t="shared" si="226"/>
        <v>5195873</v>
      </c>
      <c r="M1630" s="607">
        <v>5132900</v>
      </c>
      <c r="N1630" s="675">
        <v>43173</v>
      </c>
      <c r="O1630" s="887"/>
      <c r="P1630" s="597"/>
      <c r="Q1630" s="597">
        <v>19800</v>
      </c>
      <c r="R1630" s="599">
        <f>M1630/J1630</f>
        <v>20531.599999999999</v>
      </c>
      <c r="S1630" s="586">
        <f t="shared" si="227"/>
        <v>0</v>
      </c>
      <c r="T1630" s="600"/>
      <c r="U1630" s="589"/>
      <c r="V1630" s="589"/>
      <c r="W1630" s="600"/>
      <c r="X1630" s="601"/>
      <c r="Y1630" s="600">
        <f t="shared" si="221"/>
        <v>5195873</v>
      </c>
      <c r="Z1630" s="601"/>
    </row>
    <row r="1631" spans="1:26" s="75" customFormat="1" hidden="1">
      <c r="A1631" s="714">
        <f t="shared" si="228"/>
        <v>150</v>
      </c>
      <c r="B1631" s="592" t="s">
        <v>1502</v>
      </c>
      <c r="C1631" s="593" t="s">
        <v>271</v>
      </c>
      <c r="D1631" s="594">
        <v>18973</v>
      </c>
      <c r="E1631" s="594">
        <v>4860</v>
      </c>
      <c r="F1631" s="594" t="s">
        <v>233</v>
      </c>
      <c r="G1631" s="594">
        <v>1794</v>
      </c>
      <c r="H1631" s="594">
        <v>9</v>
      </c>
      <c r="I1631" s="594">
        <v>3</v>
      </c>
      <c r="J1631" s="594">
        <v>162</v>
      </c>
      <c r="K1631" s="590" t="s">
        <v>33</v>
      </c>
      <c r="L1631" s="584">
        <f t="shared" si="226"/>
        <v>3813580</v>
      </c>
      <c r="M1631" s="596">
        <v>3767400</v>
      </c>
      <c r="N1631" s="675"/>
      <c r="O1631" s="631">
        <v>26280</v>
      </c>
      <c r="P1631" s="597"/>
      <c r="Q1631" s="597">
        <v>19900</v>
      </c>
      <c r="R1631" s="599">
        <f>M1631/G1631</f>
        <v>2100</v>
      </c>
      <c r="S1631" s="586">
        <f t="shared" si="227"/>
        <v>0</v>
      </c>
      <c r="T1631" s="600"/>
      <c r="U1631" s="589"/>
      <c r="V1631" s="589"/>
      <c r="W1631" s="600"/>
      <c r="X1631" s="601"/>
      <c r="Y1631" s="600">
        <f t="shared" si="221"/>
        <v>3813580</v>
      </c>
      <c r="Z1631" s="601"/>
    </row>
    <row r="1632" spans="1:26" hidden="1">
      <c r="A1632" s="714">
        <f t="shared" si="228"/>
        <v>151</v>
      </c>
      <c r="B1632" s="581" t="s">
        <v>3774</v>
      </c>
      <c r="C1632" s="593" t="s">
        <v>229</v>
      </c>
      <c r="D1632" s="603">
        <v>1536</v>
      </c>
      <c r="E1632" s="594">
        <v>337.24</v>
      </c>
      <c r="F1632" s="643" t="s">
        <v>230</v>
      </c>
      <c r="G1632" s="603">
        <v>316</v>
      </c>
      <c r="H1632" s="609">
        <v>2</v>
      </c>
      <c r="I1632" s="609">
        <v>1</v>
      </c>
      <c r="J1632" s="609">
        <v>8</v>
      </c>
      <c r="K1632" s="590" t="s">
        <v>224</v>
      </c>
      <c r="L1632" s="595">
        <f t="shared" si="226"/>
        <v>216683.81</v>
      </c>
      <c r="M1632" s="690">
        <v>194000</v>
      </c>
      <c r="N1632" s="612">
        <v>21215</v>
      </c>
      <c r="O1632" s="613"/>
      <c r="P1632" s="586"/>
      <c r="Q1632" s="614">
        <v>1468.81</v>
      </c>
      <c r="R1632" s="599">
        <f>M1632/J1632</f>
        <v>24250</v>
      </c>
      <c r="S1632" s="586">
        <f t="shared" si="227"/>
        <v>-2.2737367544323206E-12</v>
      </c>
      <c r="T1632" s="588"/>
      <c r="U1632" s="589"/>
      <c r="V1632" s="589"/>
      <c r="W1632" s="600"/>
      <c r="Y1632" s="600">
        <f t="shared" si="221"/>
        <v>216683.81</v>
      </c>
    </row>
    <row r="1633" spans="1:26" s="75" customFormat="1" ht="37.5" hidden="1">
      <c r="A1633" s="714">
        <f t="shared" si="228"/>
        <v>152</v>
      </c>
      <c r="B1633" s="592" t="s">
        <v>1503</v>
      </c>
      <c r="C1633" s="593" t="s">
        <v>271</v>
      </c>
      <c r="D1633" s="594">
        <v>4089</v>
      </c>
      <c r="E1633" s="594">
        <v>1344.35</v>
      </c>
      <c r="F1633" s="594" t="s">
        <v>371</v>
      </c>
      <c r="G1633" s="594">
        <v>908.6</v>
      </c>
      <c r="H1633" s="594">
        <v>3</v>
      </c>
      <c r="I1633" s="594">
        <v>3</v>
      </c>
      <c r="J1633" s="594">
        <v>44</v>
      </c>
      <c r="K1633" s="590" t="s">
        <v>30</v>
      </c>
      <c r="L1633" s="584">
        <f t="shared" si="226"/>
        <v>836608.47</v>
      </c>
      <c r="M1633" s="607">
        <v>814000</v>
      </c>
      <c r="N1633" s="675"/>
      <c r="O1633" s="631">
        <v>11478</v>
      </c>
      <c r="P1633" s="597"/>
      <c r="Q1633" s="597">
        <v>11130.47</v>
      </c>
      <c r="R1633" s="599">
        <f>M1633/J1633</f>
        <v>18500</v>
      </c>
      <c r="S1633" s="586">
        <f t="shared" si="227"/>
        <v>-2.7284841053187847E-11</v>
      </c>
      <c r="T1633" s="600"/>
      <c r="U1633" s="589"/>
      <c r="V1633" s="589"/>
      <c r="W1633" s="600"/>
      <c r="X1633" s="601"/>
      <c r="Y1633" s="600">
        <f t="shared" si="221"/>
        <v>836608.47</v>
      </c>
      <c r="Z1633" s="601"/>
    </row>
    <row r="1634" spans="1:26" s="75" customFormat="1" hidden="1">
      <c r="A1634" s="714">
        <f t="shared" si="228"/>
        <v>153</v>
      </c>
      <c r="B1634" s="592" t="s">
        <v>1504</v>
      </c>
      <c r="C1634" s="593" t="s">
        <v>217</v>
      </c>
      <c r="D1634" s="594">
        <v>17478</v>
      </c>
      <c r="E1634" s="594">
        <v>3337.6</v>
      </c>
      <c r="F1634" s="594" t="s">
        <v>233</v>
      </c>
      <c r="G1634" s="594">
        <v>686.5</v>
      </c>
      <c r="H1634" s="594">
        <v>10</v>
      </c>
      <c r="I1634" s="594">
        <v>2</v>
      </c>
      <c r="J1634" s="594">
        <v>80</v>
      </c>
      <c r="K1634" s="590" t="s">
        <v>224</v>
      </c>
      <c r="L1634" s="584">
        <f t="shared" si="226"/>
        <v>1783467.62</v>
      </c>
      <c r="M1634" s="607">
        <v>1732900</v>
      </c>
      <c r="N1634" s="675">
        <v>32587</v>
      </c>
      <c r="O1634" s="887"/>
      <c r="P1634" s="597"/>
      <c r="Q1634" s="597">
        <v>17980.62</v>
      </c>
      <c r="R1634" s="599">
        <f>M1634/G1634</f>
        <v>2524.2534595775674</v>
      </c>
      <c r="S1634" s="586">
        <f t="shared" si="227"/>
        <v>1.127773430198431E-10</v>
      </c>
      <c r="T1634" s="600"/>
      <c r="U1634" s="589"/>
      <c r="V1634" s="589"/>
      <c r="W1634" s="600"/>
      <c r="X1634" s="601"/>
      <c r="Y1634" s="600">
        <f t="shared" si="221"/>
        <v>1783467.62</v>
      </c>
      <c r="Z1634" s="601"/>
    </row>
    <row r="1635" spans="1:26" s="75" customFormat="1" hidden="1">
      <c r="A1635" s="714">
        <f t="shared" si="228"/>
        <v>154</v>
      </c>
      <c r="B1635" s="592" t="s">
        <v>1505</v>
      </c>
      <c r="C1635" s="593" t="s">
        <v>271</v>
      </c>
      <c r="D1635" s="594">
        <v>14723</v>
      </c>
      <c r="E1635" s="594">
        <v>2400</v>
      </c>
      <c r="F1635" s="594" t="s">
        <v>222</v>
      </c>
      <c r="G1635" s="594">
        <v>973</v>
      </c>
      <c r="H1635" s="594">
        <v>5</v>
      </c>
      <c r="I1635" s="594">
        <v>4</v>
      </c>
      <c r="J1635" s="594">
        <v>87</v>
      </c>
      <c r="K1635" s="590" t="s">
        <v>33</v>
      </c>
      <c r="L1635" s="584">
        <f t="shared" si="226"/>
        <v>3466977</v>
      </c>
      <c r="M1635" s="596">
        <v>3405500</v>
      </c>
      <c r="N1635" s="675"/>
      <c r="O1635" s="631">
        <v>21677</v>
      </c>
      <c r="P1635" s="597"/>
      <c r="Q1635" s="597">
        <v>39800</v>
      </c>
      <c r="R1635" s="599">
        <f>M1635/G1635</f>
        <v>3500</v>
      </c>
      <c r="S1635" s="586">
        <f t="shared" si="227"/>
        <v>0</v>
      </c>
      <c r="T1635" s="600"/>
      <c r="U1635" s="589"/>
      <c r="V1635" s="589"/>
      <c r="W1635" s="600"/>
      <c r="X1635" s="601"/>
      <c r="Y1635" s="600">
        <f t="shared" si="221"/>
        <v>3466977</v>
      </c>
      <c r="Z1635" s="601"/>
    </row>
    <row r="1636" spans="1:26" hidden="1">
      <c r="A1636" s="714">
        <f t="shared" si="228"/>
        <v>155</v>
      </c>
      <c r="B1636" s="581" t="s">
        <v>3775</v>
      </c>
      <c r="C1636" s="593" t="s">
        <v>217</v>
      </c>
      <c r="D1636" s="603">
        <v>6965</v>
      </c>
      <c r="E1636" s="594">
        <v>6937</v>
      </c>
      <c r="F1636" s="643" t="s">
        <v>233</v>
      </c>
      <c r="G1636" s="603">
        <v>298.10000000000002</v>
      </c>
      <c r="H1636" s="609">
        <v>9</v>
      </c>
      <c r="I1636" s="609">
        <v>1</v>
      </c>
      <c r="J1636" s="609">
        <v>27</v>
      </c>
      <c r="K1636" s="590" t="s">
        <v>224</v>
      </c>
      <c r="L1636" s="595">
        <f t="shared" si="226"/>
        <v>633421.34</v>
      </c>
      <c r="M1636" s="690">
        <v>594000</v>
      </c>
      <c r="N1636" s="661">
        <v>30945</v>
      </c>
      <c r="O1636" s="711"/>
      <c r="P1636" s="586"/>
      <c r="Q1636" s="614">
        <v>8476.34</v>
      </c>
      <c r="R1636" s="599">
        <f>M1636/J1636</f>
        <v>22000</v>
      </c>
      <c r="S1636" s="586">
        <f t="shared" si="227"/>
        <v>-3.2741809263825417E-11</v>
      </c>
      <c r="T1636" s="588"/>
      <c r="U1636" s="589"/>
      <c r="V1636" s="589"/>
      <c r="W1636" s="600"/>
      <c r="Y1636" s="600">
        <f t="shared" si="221"/>
        <v>633421.34</v>
      </c>
    </row>
    <row r="1637" spans="1:26" s="75" customFormat="1" hidden="1">
      <c r="A1637" s="616">
        <f>A1636+1</f>
        <v>156</v>
      </c>
      <c r="B1637" s="592" t="s">
        <v>1507</v>
      </c>
      <c r="C1637" s="593" t="s">
        <v>217</v>
      </c>
      <c r="D1637" s="594">
        <v>12473</v>
      </c>
      <c r="E1637" s="594">
        <v>2674</v>
      </c>
      <c r="F1637" s="594" t="s">
        <v>222</v>
      </c>
      <c r="G1637" s="594">
        <v>1140</v>
      </c>
      <c r="H1637" s="594">
        <v>5</v>
      </c>
      <c r="I1637" s="594">
        <v>4</v>
      </c>
      <c r="J1637" s="594">
        <v>80</v>
      </c>
      <c r="K1637" s="590" t="s">
        <v>33</v>
      </c>
      <c r="L1637" s="1348">
        <f>M1637+N1637+O1637+P1637+Q1637+M1638+N1638+O1638+P1638+Q1638</f>
        <v>5513099.4199999999</v>
      </c>
      <c r="M1637" s="596">
        <v>3990000</v>
      </c>
      <c r="N1637" s="675"/>
      <c r="O1637" s="631">
        <v>21524</v>
      </c>
      <c r="P1637" s="597"/>
      <c r="Q1637" s="597">
        <v>38455.599999999999</v>
      </c>
      <c r="R1637" s="599">
        <f>M1637/G1637</f>
        <v>3500</v>
      </c>
      <c r="S1637" s="586">
        <f t="shared" si="227"/>
        <v>1463119.8199999998</v>
      </c>
      <c r="T1637" s="600"/>
      <c r="U1637" s="589"/>
      <c r="V1637" s="589"/>
      <c r="W1637" s="600"/>
      <c r="X1637" s="601"/>
      <c r="Y1637" s="600">
        <f t="shared" si="221"/>
        <v>4049979.6</v>
      </c>
      <c r="Z1637" s="601"/>
    </row>
    <row r="1638" spans="1:26" s="75" customFormat="1" hidden="1">
      <c r="A1638" s="616"/>
      <c r="B1638" s="592"/>
      <c r="C1638" s="593"/>
      <c r="D1638" s="594"/>
      <c r="E1638" s="594"/>
      <c r="F1638" s="594"/>
      <c r="G1638" s="594"/>
      <c r="H1638" s="594"/>
      <c r="I1638" s="594"/>
      <c r="J1638" s="594"/>
      <c r="K1638" s="590" t="s">
        <v>224</v>
      </c>
      <c r="L1638" s="1348"/>
      <c r="M1638" s="607">
        <v>1412900</v>
      </c>
      <c r="N1638" s="675">
        <v>34017</v>
      </c>
      <c r="O1638" s="887"/>
      <c r="P1638" s="597">
        <v>0</v>
      </c>
      <c r="Q1638" s="597">
        <v>16202.82</v>
      </c>
      <c r="R1638" s="599">
        <f>M1638/J1637</f>
        <v>17661.25</v>
      </c>
      <c r="S1638" s="586">
        <f t="shared" si="227"/>
        <v>-1463119.82</v>
      </c>
      <c r="T1638" s="600"/>
      <c r="U1638" s="601"/>
      <c r="V1638" s="589"/>
      <c r="W1638" s="600"/>
      <c r="X1638" s="601"/>
      <c r="Y1638" s="600">
        <f t="shared" si="221"/>
        <v>1463119.82</v>
      </c>
      <c r="Z1638" s="601"/>
    </row>
    <row r="1639" spans="1:26" s="75" customFormat="1" hidden="1">
      <c r="A1639" s="714">
        <f>A1637+1</f>
        <v>157</v>
      </c>
      <c r="B1639" s="592" t="s">
        <v>1508</v>
      </c>
      <c r="C1639" s="593" t="s">
        <v>271</v>
      </c>
      <c r="D1639" s="594">
        <v>16186</v>
      </c>
      <c r="E1639" s="594">
        <v>5693</v>
      </c>
      <c r="F1639" s="594" t="s">
        <v>233</v>
      </c>
      <c r="G1639" s="594">
        <v>1465</v>
      </c>
      <c r="H1639" s="594">
        <v>9</v>
      </c>
      <c r="I1639" s="594">
        <v>2</v>
      </c>
      <c r="J1639" s="594">
        <v>99</v>
      </c>
      <c r="K1639" s="590" t="s">
        <v>224</v>
      </c>
      <c r="L1639" s="584">
        <f t="shared" ref="L1639:L1647" si="229">M1639+N1639+O1639+P1639+Q1639</f>
        <v>1963038.13</v>
      </c>
      <c r="M1639" s="607">
        <v>1914900</v>
      </c>
      <c r="N1639" s="675">
        <v>32131</v>
      </c>
      <c r="O1639" s="887"/>
      <c r="P1639" s="597"/>
      <c r="Q1639" s="597">
        <v>16007.13</v>
      </c>
      <c r="R1639" s="599">
        <f>M1639/J1639</f>
        <v>19342.424242424244</v>
      </c>
      <c r="S1639" s="586">
        <f t="shared" si="227"/>
        <v>-1.1095835361629725E-10</v>
      </c>
      <c r="T1639" s="600"/>
      <c r="U1639" s="589"/>
      <c r="V1639" s="589"/>
      <c r="W1639" s="600"/>
      <c r="X1639" s="601"/>
      <c r="Y1639" s="600">
        <f t="shared" si="221"/>
        <v>1963038.13</v>
      </c>
      <c r="Z1639" s="601"/>
    </row>
    <row r="1640" spans="1:26" s="75" customFormat="1" hidden="1">
      <c r="A1640" s="714">
        <f t="shared" si="228"/>
        <v>158</v>
      </c>
      <c r="B1640" s="592" t="s">
        <v>1509</v>
      </c>
      <c r="C1640" s="593" t="s">
        <v>271</v>
      </c>
      <c r="D1640" s="594">
        <v>14143</v>
      </c>
      <c r="E1640" s="594">
        <v>2436.6</v>
      </c>
      <c r="F1640" s="594" t="s">
        <v>222</v>
      </c>
      <c r="G1640" s="594">
        <v>1052.5999999999999</v>
      </c>
      <c r="H1640" s="594">
        <v>5</v>
      </c>
      <c r="I1640" s="594">
        <v>2</v>
      </c>
      <c r="J1640" s="594">
        <v>173</v>
      </c>
      <c r="K1640" s="590" t="s">
        <v>224</v>
      </c>
      <c r="L1640" s="584">
        <f t="shared" si="229"/>
        <v>2945819.33</v>
      </c>
      <c r="M1640" s="607">
        <v>2900900</v>
      </c>
      <c r="N1640" s="675">
        <v>33211</v>
      </c>
      <c r="O1640" s="887"/>
      <c r="P1640" s="597"/>
      <c r="Q1640" s="597">
        <v>11708.33</v>
      </c>
      <c r="R1640" s="599">
        <f>M1640/J1640</f>
        <v>16768.208092485551</v>
      </c>
      <c r="S1640" s="586">
        <f t="shared" si="227"/>
        <v>7.4578565545380116E-11</v>
      </c>
      <c r="T1640" s="600"/>
      <c r="U1640" s="589"/>
      <c r="V1640" s="589"/>
      <c r="W1640" s="600"/>
      <c r="X1640" s="601"/>
      <c r="Y1640" s="600">
        <f t="shared" si="221"/>
        <v>2945819.33</v>
      </c>
      <c r="Z1640" s="601"/>
    </row>
    <row r="1641" spans="1:26" s="75" customFormat="1" ht="37.5" hidden="1">
      <c r="A1641" s="714">
        <f t="shared" si="228"/>
        <v>159</v>
      </c>
      <c r="B1641" s="592" t="s">
        <v>1510</v>
      </c>
      <c r="C1641" s="593" t="s">
        <v>271</v>
      </c>
      <c r="D1641" s="594">
        <v>13842</v>
      </c>
      <c r="E1641" s="594">
        <v>2801</v>
      </c>
      <c r="F1641" s="594" t="s">
        <v>222</v>
      </c>
      <c r="G1641" s="594">
        <v>1108</v>
      </c>
      <c r="H1641" s="594">
        <v>5</v>
      </c>
      <c r="I1641" s="594">
        <v>4</v>
      </c>
      <c r="J1641" s="594">
        <v>80</v>
      </c>
      <c r="K1641" s="590" t="s">
        <v>30</v>
      </c>
      <c r="L1641" s="584">
        <f t="shared" si="229"/>
        <v>2209338.94</v>
      </c>
      <c r="M1641" s="596">
        <v>2160000</v>
      </c>
      <c r="N1641" s="675"/>
      <c r="O1641" s="631">
        <v>15020</v>
      </c>
      <c r="P1641" s="597"/>
      <c r="Q1641" s="597">
        <v>34318.94</v>
      </c>
      <c r="R1641" s="599">
        <f>M1641/J1641</f>
        <v>27000</v>
      </c>
      <c r="S1641" s="586">
        <f t="shared" si="227"/>
        <v>-5.8207660913467407E-11</v>
      </c>
      <c r="T1641" s="600"/>
      <c r="U1641" s="589"/>
      <c r="V1641" s="589"/>
      <c r="W1641" s="600"/>
      <c r="X1641" s="601"/>
      <c r="Y1641" s="600">
        <f t="shared" si="221"/>
        <v>2209338.94</v>
      </c>
      <c r="Z1641" s="601"/>
    </row>
    <row r="1642" spans="1:26" s="75" customFormat="1" hidden="1">
      <c r="A1642" s="714">
        <f t="shared" si="228"/>
        <v>160</v>
      </c>
      <c r="B1642" s="592" t="s">
        <v>1511</v>
      </c>
      <c r="C1642" s="593" t="s">
        <v>271</v>
      </c>
      <c r="D1642" s="594">
        <v>13318</v>
      </c>
      <c r="E1642" s="594">
        <v>2176</v>
      </c>
      <c r="F1642" s="594" t="s">
        <v>222</v>
      </c>
      <c r="G1642" s="594">
        <v>893</v>
      </c>
      <c r="H1642" s="594">
        <v>5</v>
      </c>
      <c r="I1642" s="594">
        <v>4</v>
      </c>
      <c r="J1642" s="594">
        <v>80</v>
      </c>
      <c r="K1642" s="590" t="s">
        <v>33</v>
      </c>
      <c r="L1642" s="584">
        <f t="shared" si="229"/>
        <v>3187136</v>
      </c>
      <c r="M1642" s="596">
        <v>3125500</v>
      </c>
      <c r="N1642" s="675"/>
      <c r="O1642" s="631">
        <v>21836</v>
      </c>
      <c r="P1642" s="597"/>
      <c r="Q1642" s="597">
        <v>39800</v>
      </c>
      <c r="R1642" s="599">
        <f>M1642/G1642</f>
        <v>3500</v>
      </c>
      <c r="S1642" s="586">
        <f t="shared" si="227"/>
        <v>0</v>
      </c>
      <c r="T1642" s="600"/>
      <c r="U1642" s="589"/>
      <c r="V1642" s="589"/>
      <c r="W1642" s="600"/>
      <c r="X1642" s="601"/>
      <c r="Y1642" s="600">
        <f t="shared" si="221"/>
        <v>3187136</v>
      </c>
      <c r="Z1642" s="601"/>
    </row>
    <row r="1643" spans="1:26" s="75" customFormat="1" hidden="1">
      <c r="A1643" s="714">
        <f t="shared" si="228"/>
        <v>161</v>
      </c>
      <c r="B1643" s="592" t="s">
        <v>1512</v>
      </c>
      <c r="C1643" s="593" t="s">
        <v>271</v>
      </c>
      <c r="D1643" s="594">
        <v>2471</v>
      </c>
      <c r="E1643" s="594">
        <v>3068</v>
      </c>
      <c r="F1643" s="594" t="s">
        <v>222</v>
      </c>
      <c r="G1643" s="594">
        <v>505.2</v>
      </c>
      <c r="H1643" s="594">
        <v>2</v>
      </c>
      <c r="I1643" s="594">
        <v>2</v>
      </c>
      <c r="J1643" s="594">
        <v>16</v>
      </c>
      <c r="K1643" s="590" t="s">
        <v>33</v>
      </c>
      <c r="L1643" s="584">
        <f t="shared" si="229"/>
        <v>1444564.25</v>
      </c>
      <c r="M1643" s="596">
        <v>1414560</v>
      </c>
      <c r="N1643" s="675"/>
      <c r="O1643" s="631">
        <v>17965</v>
      </c>
      <c r="P1643" s="597"/>
      <c r="Q1643" s="597">
        <v>12039.25</v>
      </c>
      <c r="R1643" s="599">
        <f>M1643/G1643</f>
        <v>2800</v>
      </c>
      <c r="S1643" s="586">
        <f t="shared" si="227"/>
        <v>0</v>
      </c>
      <c r="T1643" s="600"/>
      <c r="U1643" s="589"/>
      <c r="V1643" s="589"/>
      <c r="W1643" s="600"/>
      <c r="X1643" s="601"/>
      <c r="Y1643" s="600">
        <f t="shared" si="221"/>
        <v>1444564.25</v>
      </c>
      <c r="Z1643" s="601"/>
    </row>
    <row r="1644" spans="1:26" s="75" customFormat="1" hidden="1">
      <c r="A1644" s="714">
        <f t="shared" si="228"/>
        <v>162</v>
      </c>
      <c r="B1644" s="592" t="s">
        <v>1513</v>
      </c>
      <c r="C1644" s="593" t="s">
        <v>217</v>
      </c>
      <c r="D1644" s="594">
        <v>30774</v>
      </c>
      <c r="E1644" s="594">
        <v>2964</v>
      </c>
      <c r="F1644" s="594" t="s">
        <v>233</v>
      </c>
      <c r="G1644" s="594">
        <v>1453.7</v>
      </c>
      <c r="H1644" s="594">
        <v>9</v>
      </c>
      <c r="I1644" s="594">
        <v>4</v>
      </c>
      <c r="J1644" s="594">
        <v>144</v>
      </c>
      <c r="K1644" s="590" t="s">
        <v>33</v>
      </c>
      <c r="L1644" s="584">
        <f t="shared" si="229"/>
        <v>3102251</v>
      </c>
      <c r="M1644" s="596">
        <v>3052770</v>
      </c>
      <c r="N1644" s="675"/>
      <c r="O1644" s="631">
        <v>29581</v>
      </c>
      <c r="P1644" s="597"/>
      <c r="Q1644" s="597">
        <v>19900</v>
      </c>
      <c r="R1644" s="599">
        <f>M1644/G1644</f>
        <v>2100</v>
      </c>
      <c r="S1644" s="586">
        <f t="shared" si="227"/>
        <v>0</v>
      </c>
      <c r="T1644" s="600"/>
      <c r="U1644" s="589"/>
      <c r="V1644" s="589"/>
      <c r="W1644" s="600"/>
      <c r="X1644" s="601"/>
      <c r="Y1644" s="600">
        <f t="shared" si="221"/>
        <v>3102251</v>
      </c>
      <c r="Z1644" s="601"/>
    </row>
    <row r="1645" spans="1:26" s="75" customFormat="1" hidden="1">
      <c r="A1645" s="714">
        <f t="shared" si="228"/>
        <v>163</v>
      </c>
      <c r="B1645" s="592" t="s">
        <v>1514</v>
      </c>
      <c r="C1645" s="593" t="s">
        <v>217</v>
      </c>
      <c r="D1645" s="594">
        <v>9301</v>
      </c>
      <c r="E1645" s="594">
        <v>2160</v>
      </c>
      <c r="F1645" s="594" t="s">
        <v>222</v>
      </c>
      <c r="G1645" s="594">
        <v>860.6</v>
      </c>
      <c r="H1645" s="594">
        <v>5</v>
      </c>
      <c r="I1645" s="594">
        <v>3</v>
      </c>
      <c r="J1645" s="594">
        <v>60</v>
      </c>
      <c r="K1645" s="590" t="s">
        <v>33</v>
      </c>
      <c r="L1645" s="584">
        <f t="shared" si="229"/>
        <v>3062361.98</v>
      </c>
      <c r="M1645" s="596">
        <v>3012100</v>
      </c>
      <c r="N1645" s="675"/>
      <c r="O1645" s="631">
        <v>21586</v>
      </c>
      <c r="P1645" s="597"/>
      <c r="Q1645" s="597">
        <v>28675.98</v>
      </c>
      <c r="R1645" s="599">
        <f>M1645/G1645</f>
        <v>3500</v>
      </c>
      <c r="S1645" s="586">
        <f t="shared" si="227"/>
        <v>0</v>
      </c>
      <c r="T1645" s="600"/>
      <c r="U1645" s="589"/>
      <c r="V1645" s="589"/>
      <c r="W1645" s="600"/>
      <c r="X1645" s="601"/>
      <c r="Y1645" s="600">
        <f t="shared" si="221"/>
        <v>3062361.98</v>
      </c>
      <c r="Z1645" s="601"/>
    </row>
    <row r="1646" spans="1:26" s="75" customFormat="1" hidden="1">
      <c r="A1646" s="714">
        <f t="shared" si="228"/>
        <v>164</v>
      </c>
      <c r="B1646" s="592" t="s">
        <v>1515</v>
      </c>
      <c r="C1646" s="593" t="s">
        <v>239</v>
      </c>
      <c r="D1646" s="594">
        <v>3067</v>
      </c>
      <c r="E1646" s="594">
        <v>480</v>
      </c>
      <c r="F1646" s="594" t="s">
        <v>222</v>
      </c>
      <c r="G1646" s="594">
        <v>690.6</v>
      </c>
      <c r="H1646" s="594">
        <v>2</v>
      </c>
      <c r="I1646" s="594">
        <v>1</v>
      </c>
      <c r="J1646" s="594">
        <v>39</v>
      </c>
      <c r="K1646" s="590" t="s">
        <v>38</v>
      </c>
      <c r="L1646" s="584">
        <f t="shared" si="229"/>
        <v>4031736.98</v>
      </c>
      <c r="M1646" s="596">
        <v>4000000</v>
      </c>
      <c r="N1646" s="675"/>
      <c r="O1646" s="631">
        <v>12374</v>
      </c>
      <c r="P1646" s="597"/>
      <c r="Q1646" s="597">
        <v>19362.98</v>
      </c>
      <c r="R1646" s="599">
        <f>M1646/E1646</f>
        <v>8333.3333333333339</v>
      </c>
      <c r="S1646" s="586">
        <f t="shared" si="227"/>
        <v>0</v>
      </c>
      <c r="T1646" s="600"/>
      <c r="U1646" s="589"/>
      <c r="V1646" s="589"/>
      <c r="W1646" s="600"/>
      <c r="X1646" s="601"/>
      <c r="Y1646" s="600">
        <f t="shared" si="221"/>
        <v>4031736.98</v>
      </c>
      <c r="Z1646" s="601"/>
    </row>
    <row r="1647" spans="1:26" s="75" customFormat="1" hidden="1">
      <c r="A1647" s="714">
        <f t="shared" si="228"/>
        <v>165</v>
      </c>
      <c r="B1647" s="592" t="s">
        <v>1516</v>
      </c>
      <c r="C1647" s="593" t="s">
        <v>217</v>
      </c>
      <c r="D1647" s="594">
        <v>14103</v>
      </c>
      <c r="E1647" s="594">
        <v>2729</v>
      </c>
      <c r="F1647" s="594" t="s">
        <v>222</v>
      </c>
      <c r="G1647" s="594">
        <v>1139</v>
      </c>
      <c r="H1647" s="594">
        <v>5</v>
      </c>
      <c r="I1647" s="594">
        <v>4</v>
      </c>
      <c r="J1647" s="594">
        <v>80</v>
      </c>
      <c r="K1647" s="590" t="s">
        <v>224</v>
      </c>
      <c r="L1647" s="584">
        <f t="shared" si="229"/>
        <v>1462168.56</v>
      </c>
      <c r="M1647" s="607">
        <v>1412900</v>
      </c>
      <c r="N1647" s="675">
        <v>33188</v>
      </c>
      <c r="O1647" s="887"/>
      <c r="P1647" s="597"/>
      <c r="Q1647" s="597">
        <v>16080.56</v>
      </c>
      <c r="R1647" s="599">
        <f>M1647/J1647</f>
        <v>17661.25</v>
      </c>
      <c r="S1647" s="586">
        <f t="shared" si="227"/>
        <v>5.6388671509921551E-11</v>
      </c>
      <c r="T1647" s="600"/>
      <c r="U1647" s="589"/>
      <c r="V1647" s="589"/>
      <c r="W1647" s="600"/>
      <c r="X1647" s="601"/>
      <c r="Y1647" s="600">
        <f t="shared" si="221"/>
        <v>1462168.56</v>
      </c>
      <c r="Z1647" s="601"/>
    </row>
    <row r="1648" spans="1:26" s="75" customFormat="1" hidden="1">
      <c r="A1648" s="714">
        <f t="shared" si="228"/>
        <v>166</v>
      </c>
      <c r="B1648" s="592" t="s">
        <v>1517</v>
      </c>
      <c r="C1648" s="666" t="s">
        <v>271</v>
      </c>
      <c r="D1648" s="618">
        <v>27114</v>
      </c>
      <c r="E1648" s="619">
        <v>3732</v>
      </c>
      <c r="F1648" s="643" t="s">
        <v>233</v>
      </c>
      <c r="G1648" s="633">
        <v>1400</v>
      </c>
      <c r="H1648" s="640">
        <v>9</v>
      </c>
      <c r="I1648" s="633">
        <v>3</v>
      </c>
      <c r="J1648" s="633">
        <v>104</v>
      </c>
      <c r="K1648" s="669" t="s">
        <v>33</v>
      </c>
      <c r="L1648" s="595">
        <f>SUM(M1648:Q1648)</f>
        <v>2987315</v>
      </c>
      <c r="M1648" s="635">
        <v>2940000</v>
      </c>
      <c r="N1648" s="1008"/>
      <c r="O1648" s="1009">
        <v>27415</v>
      </c>
      <c r="P1648" s="1010"/>
      <c r="Q1648" s="597">
        <v>19900</v>
      </c>
      <c r="R1648" s="582">
        <f>M1648/G1648</f>
        <v>2100</v>
      </c>
      <c r="S1648" s="586">
        <f t="shared" si="227"/>
        <v>0</v>
      </c>
      <c r="T1648" s="600"/>
      <c r="U1648" s="589"/>
      <c r="V1648" s="589"/>
      <c r="W1648" s="600"/>
      <c r="X1648" s="601"/>
      <c r="Y1648" s="600">
        <f t="shared" si="221"/>
        <v>2987315</v>
      </c>
      <c r="Z1648" s="601"/>
    </row>
    <row r="1649" spans="1:26" s="75" customFormat="1" hidden="1">
      <c r="A1649" s="714">
        <f t="shared" si="228"/>
        <v>167</v>
      </c>
      <c r="B1649" s="592" t="s">
        <v>1518</v>
      </c>
      <c r="C1649" s="593" t="s">
        <v>217</v>
      </c>
      <c r="D1649" s="594">
        <v>9639</v>
      </c>
      <c r="E1649" s="594">
        <v>2353.1999999999998</v>
      </c>
      <c r="F1649" s="594" t="s">
        <v>222</v>
      </c>
      <c r="G1649" s="594">
        <v>1047</v>
      </c>
      <c r="H1649" s="594">
        <v>5</v>
      </c>
      <c r="I1649" s="594">
        <v>4</v>
      </c>
      <c r="J1649" s="594">
        <v>60</v>
      </c>
      <c r="K1649" s="590" t="s">
        <v>284</v>
      </c>
      <c r="L1649" s="584">
        <f>M1649+N1649+O1649+P1649+Q1649</f>
        <v>7157624</v>
      </c>
      <c r="M1649" s="596">
        <v>7100000</v>
      </c>
      <c r="N1649" s="675">
        <v>27924</v>
      </c>
      <c r="O1649" s="887"/>
      <c r="P1649" s="597"/>
      <c r="Q1649" s="597">
        <v>29700</v>
      </c>
      <c r="R1649" s="599">
        <f>M1649/E1649</f>
        <v>3017.1681115077345</v>
      </c>
      <c r="S1649" s="586">
        <f t="shared" si="227"/>
        <v>0</v>
      </c>
      <c r="T1649" s="600"/>
      <c r="U1649" s="589"/>
      <c r="V1649" s="589"/>
      <c r="W1649" s="600"/>
      <c r="X1649" s="601"/>
      <c r="Y1649" s="600">
        <f t="shared" si="221"/>
        <v>7157624</v>
      </c>
      <c r="Z1649" s="601"/>
    </row>
    <row r="1650" spans="1:26" s="75" customFormat="1" ht="37.5" hidden="1">
      <c r="A1650" s="616">
        <f>A1649+1</f>
        <v>168</v>
      </c>
      <c r="B1650" s="592" t="s">
        <v>1519</v>
      </c>
      <c r="C1650" s="593" t="s">
        <v>271</v>
      </c>
      <c r="D1650" s="594">
        <v>7609</v>
      </c>
      <c r="E1650" s="594">
        <v>1602.3</v>
      </c>
      <c r="F1650" s="594" t="s">
        <v>222</v>
      </c>
      <c r="G1650" s="594">
        <v>974</v>
      </c>
      <c r="H1650" s="594">
        <v>3</v>
      </c>
      <c r="I1650" s="594">
        <v>3</v>
      </c>
      <c r="J1650" s="594">
        <v>20</v>
      </c>
      <c r="K1650" s="590" t="s">
        <v>30</v>
      </c>
      <c r="L1650" s="1348">
        <f>M1650+N1650+O1650+P1650+Q1650+M1651+N1651+O1651+P1651+Q1651</f>
        <v>4041523.76</v>
      </c>
      <c r="M1650" s="607">
        <v>556000</v>
      </c>
      <c r="N1650" s="675"/>
      <c r="O1650" s="631">
        <v>12053</v>
      </c>
      <c r="P1650" s="597"/>
      <c r="Q1650" s="597">
        <v>21333.4</v>
      </c>
      <c r="R1650" s="599">
        <f>M1650/J1650</f>
        <v>27800</v>
      </c>
      <c r="S1650" s="586">
        <f t="shared" si="227"/>
        <v>3452137.36</v>
      </c>
      <c r="T1650" s="600"/>
      <c r="U1650" s="589"/>
      <c r="V1650" s="589"/>
      <c r="W1650" s="600"/>
      <c r="X1650" s="601"/>
      <c r="Y1650" s="600">
        <f t="shared" si="221"/>
        <v>589386.4</v>
      </c>
      <c r="Z1650" s="601"/>
    </row>
    <row r="1651" spans="1:26" s="75" customFormat="1" hidden="1">
      <c r="A1651" s="616"/>
      <c r="B1651" s="592"/>
      <c r="C1651" s="593"/>
      <c r="D1651" s="594"/>
      <c r="E1651" s="594">
        <v>1602.3</v>
      </c>
      <c r="F1651" s="594" t="s">
        <v>222</v>
      </c>
      <c r="G1651" s="594">
        <v>974</v>
      </c>
      <c r="H1651" s="594">
        <v>3</v>
      </c>
      <c r="I1651" s="594">
        <v>3</v>
      </c>
      <c r="J1651" s="594">
        <v>20</v>
      </c>
      <c r="K1651" s="590" t="s">
        <v>33</v>
      </c>
      <c r="L1651" s="1348"/>
      <c r="M1651" s="596">
        <v>3409000</v>
      </c>
      <c r="N1651" s="675"/>
      <c r="O1651" s="631">
        <v>19678</v>
      </c>
      <c r="P1651" s="597"/>
      <c r="Q1651" s="597">
        <v>23459.360000000001</v>
      </c>
      <c r="R1651" s="599">
        <f>M1651/G1650</f>
        <v>3500</v>
      </c>
      <c r="S1651" s="586">
        <f t="shared" si="227"/>
        <v>-3452137.36</v>
      </c>
      <c r="T1651" s="600"/>
      <c r="U1651" s="601"/>
      <c r="V1651" s="589"/>
      <c r="W1651" s="600"/>
      <c r="X1651" s="601"/>
      <c r="Y1651" s="600">
        <f t="shared" si="221"/>
        <v>3452137.36</v>
      </c>
      <c r="Z1651" s="601"/>
    </row>
    <row r="1652" spans="1:26" s="75" customFormat="1" ht="37.5" hidden="1">
      <c r="A1652" s="714">
        <f>A1650+1</f>
        <v>169</v>
      </c>
      <c r="B1652" s="592" t="s">
        <v>1520</v>
      </c>
      <c r="C1652" s="593" t="s">
        <v>271</v>
      </c>
      <c r="D1652" s="594">
        <v>14134</v>
      </c>
      <c r="E1652" s="594">
        <v>2427</v>
      </c>
      <c r="F1652" s="594" t="s">
        <v>222</v>
      </c>
      <c r="G1652" s="594">
        <v>1053</v>
      </c>
      <c r="H1652" s="594">
        <v>5</v>
      </c>
      <c r="I1652" s="594">
        <v>2</v>
      </c>
      <c r="J1652" s="594">
        <v>172</v>
      </c>
      <c r="K1652" s="590" t="s">
        <v>30</v>
      </c>
      <c r="L1652" s="584">
        <f>M1652+N1652+O1652+P1652+Q1652</f>
        <v>4693411.9400000004</v>
      </c>
      <c r="M1652" s="596">
        <v>4644000</v>
      </c>
      <c r="N1652" s="675"/>
      <c r="O1652" s="631">
        <v>15093</v>
      </c>
      <c r="P1652" s="597"/>
      <c r="Q1652" s="597">
        <v>34318.94</v>
      </c>
      <c r="R1652" s="599">
        <f>M1652/J1652</f>
        <v>27000</v>
      </c>
      <c r="S1652" s="586">
        <f t="shared" si="227"/>
        <v>4.0745362639427185E-10</v>
      </c>
      <c r="T1652" s="600"/>
      <c r="U1652" s="589"/>
      <c r="V1652" s="589"/>
      <c r="W1652" s="600"/>
      <c r="X1652" s="601"/>
      <c r="Y1652" s="600">
        <f t="shared" si="221"/>
        <v>4693411.9400000004</v>
      </c>
      <c r="Z1652" s="601"/>
    </row>
    <row r="1653" spans="1:26" s="75" customFormat="1" hidden="1">
      <c r="A1653" s="714">
        <f t="shared" si="228"/>
        <v>170</v>
      </c>
      <c r="B1653" s="592" t="s">
        <v>1521</v>
      </c>
      <c r="C1653" s="593" t="s">
        <v>271</v>
      </c>
      <c r="D1653" s="618">
        <v>13170</v>
      </c>
      <c r="E1653" s="594">
        <v>2754</v>
      </c>
      <c r="F1653" s="593" t="s">
        <v>222</v>
      </c>
      <c r="G1653" s="618">
        <v>1104</v>
      </c>
      <c r="H1653" s="650">
        <v>5</v>
      </c>
      <c r="I1653" s="650">
        <v>4</v>
      </c>
      <c r="J1653" s="650">
        <v>64</v>
      </c>
      <c r="K1653" s="590" t="s">
        <v>33</v>
      </c>
      <c r="L1653" s="584">
        <f>SUBTOTAL(9,M1653:Q1653)</f>
        <v>3925581</v>
      </c>
      <c r="M1653" s="585">
        <v>3864000</v>
      </c>
      <c r="N1653" s="630"/>
      <c r="O1653" s="887">
        <v>21781</v>
      </c>
      <c r="P1653" s="586"/>
      <c r="Q1653" s="586">
        <v>39800</v>
      </c>
      <c r="R1653" s="582">
        <f>M1653/G1653</f>
        <v>3500</v>
      </c>
      <c r="S1653" s="586">
        <f t="shared" si="227"/>
        <v>0</v>
      </c>
      <c r="T1653" s="600"/>
      <c r="U1653" s="589"/>
      <c r="V1653" s="589"/>
      <c r="W1653" s="600"/>
      <c r="X1653" s="601"/>
      <c r="Y1653" s="600">
        <f t="shared" ref="Y1653:Y1716" si="230">M1653+N1653+O1653+P1653+Q1653</f>
        <v>3925581</v>
      </c>
      <c r="Z1653" s="601"/>
    </row>
    <row r="1654" spans="1:26" s="75" customFormat="1" ht="37.5" hidden="1">
      <c r="A1654" s="714">
        <f t="shared" si="228"/>
        <v>171</v>
      </c>
      <c r="B1654" s="592" t="s">
        <v>1522</v>
      </c>
      <c r="C1654" s="593" t="s">
        <v>217</v>
      </c>
      <c r="D1654" s="594">
        <v>12648</v>
      </c>
      <c r="E1654" s="594">
        <v>1000</v>
      </c>
      <c r="F1654" s="594" t="s">
        <v>222</v>
      </c>
      <c r="G1654" s="594">
        <v>1145</v>
      </c>
      <c r="H1654" s="594">
        <v>5</v>
      </c>
      <c r="I1654" s="594">
        <v>4</v>
      </c>
      <c r="J1654" s="594">
        <v>72</v>
      </c>
      <c r="K1654" s="590" t="s">
        <v>30</v>
      </c>
      <c r="L1654" s="584">
        <f>M1654+N1654+O1654+P1654+Q1654</f>
        <v>1986572.4</v>
      </c>
      <c r="M1654" s="596">
        <v>1944000</v>
      </c>
      <c r="N1654" s="675"/>
      <c r="O1654" s="631">
        <v>15210</v>
      </c>
      <c r="P1654" s="597"/>
      <c r="Q1654" s="597">
        <v>27362.400000000001</v>
      </c>
      <c r="R1654" s="599">
        <f>M1654/J1654</f>
        <v>27000</v>
      </c>
      <c r="S1654" s="586">
        <f t="shared" si="227"/>
        <v>-9.4587448984384537E-11</v>
      </c>
      <c r="T1654" s="600"/>
      <c r="U1654" s="589"/>
      <c r="V1654" s="589"/>
      <c r="W1654" s="600"/>
      <c r="X1654" s="601"/>
      <c r="Y1654" s="600">
        <f t="shared" si="230"/>
        <v>1986572.4</v>
      </c>
      <c r="Z1654" s="601"/>
    </row>
    <row r="1655" spans="1:26" s="75" customFormat="1" hidden="1">
      <c r="A1655" s="714">
        <f t="shared" si="228"/>
        <v>172</v>
      </c>
      <c r="B1655" s="592" t="s">
        <v>1523</v>
      </c>
      <c r="C1655" s="593" t="s">
        <v>217</v>
      </c>
      <c r="D1655" s="594">
        <v>15828</v>
      </c>
      <c r="E1655" s="594">
        <v>3115</v>
      </c>
      <c r="F1655" s="594" t="s">
        <v>233</v>
      </c>
      <c r="G1655" s="594">
        <v>803</v>
      </c>
      <c r="H1655" s="594">
        <v>9</v>
      </c>
      <c r="I1655" s="594">
        <v>2</v>
      </c>
      <c r="J1655" s="594">
        <v>72</v>
      </c>
      <c r="K1655" s="590" t="s">
        <v>33</v>
      </c>
      <c r="L1655" s="584">
        <f>M1655+N1655+O1655+P1655+Q1655</f>
        <v>1731601</v>
      </c>
      <c r="M1655" s="596">
        <v>1686300</v>
      </c>
      <c r="N1655" s="675"/>
      <c r="O1655" s="631">
        <v>25401</v>
      </c>
      <c r="P1655" s="597"/>
      <c r="Q1655" s="597">
        <v>19900</v>
      </c>
      <c r="R1655" s="599">
        <f>M1655/G1655</f>
        <v>2100</v>
      </c>
      <c r="S1655" s="586">
        <f t="shared" si="227"/>
        <v>0</v>
      </c>
      <c r="T1655" s="600"/>
      <c r="U1655" s="589"/>
      <c r="V1655" s="589"/>
      <c r="W1655" s="600"/>
      <c r="X1655" s="601"/>
      <c r="Y1655" s="600">
        <f t="shared" si="230"/>
        <v>1731601</v>
      </c>
      <c r="Z1655" s="601"/>
    </row>
    <row r="1656" spans="1:26" s="75" customFormat="1" hidden="1">
      <c r="A1656" s="714">
        <f t="shared" si="228"/>
        <v>173</v>
      </c>
      <c r="B1656" s="592" t="s">
        <v>1524</v>
      </c>
      <c r="C1656" s="593" t="s">
        <v>217</v>
      </c>
      <c r="D1656" s="594">
        <v>8709</v>
      </c>
      <c r="E1656" s="593">
        <v>1851</v>
      </c>
      <c r="F1656" s="593" t="s">
        <v>233</v>
      </c>
      <c r="G1656" s="593">
        <v>869.3</v>
      </c>
      <c r="H1656" s="593">
        <v>5</v>
      </c>
      <c r="I1656" s="593">
        <v>4</v>
      </c>
      <c r="J1656" s="593">
        <v>60</v>
      </c>
      <c r="K1656" s="590" t="s">
        <v>33</v>
      </c>
      <c r="L1656" s="595">
        <f>SUM(M1656:Q1656)</f>
        <v>1866785</v>
      </c>
      <c r="M1656" s="585">
        <v>1825530</v>
      </c>
      <c r="N1656" s="630"/>
      <c r="O1656" s="887">
        <v>21355</v>
      </c>
      <c r="P1656" s="586"/>
      <c r="Q1656" s="597">
        <v>19900</v>
      </c>
      <c r="R1656" s="582">
        <f>M1656/G1656</f>
        <v>2100</v>
      </c>
      <c r="S1656" s="586">
        <f t="shared" ref="S1656:S1691" si="231">L1656-M1656-N1656-O1656-P1656-Q1656</f>
        <v>0</v>
      </c>
      <c r="T1656" s="600"/>
      <c r="U1656" s="589"/>
      <c r="V1656" s="589"/>
      <c r="W1656" s="600"/>
      <c r="X1656" s="601"/>
      <c r="Y1656" s="600">
        <f t="shared" si="230"/>
        <v>1866785</v>
      </c>
      <c r="Z1656" s="601"/>
    </row>
    <row r="1657" spans="1:26" s="75" customFormat="1" hidden="1">
      <c r="A1657" s="714">
        <f t="shared" si="228"/>
        <v>174</v>
      </c>
      <c r="B1657" s="592" t="s">
        <v>1525</v>
      </c>
      <c r="C1657" s="593" t="s">
        <v>217</v>
      </c>
      <c r="D1657" s="594">
        <v>14951</v>
      </c>
      <c r="E1657" s="594">
        <v>3082</v>
      </c>
      <c r="F1657" s="594" t="s">
        <v>233</v>
      </c>
      <c r="G1657" s="594">
        <v>694</v>
      </c>
      <c r="H1657" s="594">
        <v>9</v>
      </c>
      <c r="I1657" s="594">
        <v>2</v>
      </c>
      <c r="J1657" s="594">
        <v>72</v>
      </c>
      <c r="K1657" s="590" t="s">
        <v>33</v>
      </c>
      <c r="L1657" s="584">
        <f>M1657+N1657+O1657+P1657+Q1657</f>
        <v>1502456</v>
      </c>
      <c r="M1657" s="596">
        <v>1457400</v>
      </c>
      <c r="N1657" s="675"/>
      <c r="O1657" s="631">
        <v>25156</v>
      </c>
      <c r="P1657" s="597"/>
      <c r="Q1657" s="597">
        <v>19900</v>
      </c>
      <c r="R1657" s="599">
        <f>M1657/G1657</f>
        <v>2100</v>
      </c>
      <c r="S1657" s="586">
        <f t="shared" si="231"/>
        <v>0</v>
      </c>
      <c r="T1657" s="600"/>
      <c r="U1657" s="589"/>
      <c r="V1657" s="589"/>
      <c r="W1657" s="600"/>
      <c r="X1657" s="601"/>
      <c r="Y1657" s="600">
        <f t="shared" si="230"/>
        <v>1502456</v>
      </c>
      <c r="Z1657" s="601"/>
    </row>
    <row r="1658" spans="1:26" s="75" customFormat="1" hidden="1">
      <c r="A1658" s="616">
        <f>A1657+1</f>
        <v>175</v>
      </c>
      <c r="B1658" s="592" t="s">
        <v>1526</v>
      </c>
      <c r="C1658" s="593" t="s">
        <v>217</v>
      </c>
      <c r="D1658" s="594">
        <v>16255</v>
      </c>
      <c r="E1658" s="594">
        <v>3208</v>
      </c>
      <c r="F1658" s="594" t="s">
        <v>233</v>
      </c>
      <c r="G1658" s="594">
        <v>1382.3</v>
      </c>
      <c r="H1658" s="594">
        <v>5</v>
      </c>
      <c r="I1658" s="594">
        <v>6</v>
      </c>
      <c r="J1658" s="594">
        <v>90</v>
      </c>
      <c r="K1658" s="590" t="s">
        <v>252</v>
      </c>
      <c r="L1658" s="1399">
        <f>M1658+N1658+O1658+P1658+Q1658+M1659+N1659+O1659+Q1659</f>
        <v>5821141</v>
      </c>
      <c r="M1658" s="596">
        <v>4146900</v>
      </c>
      <c r="N1658" s="675">
        <v>28355</v>
      </c>
      <c r="O1658" s="887"/>
      <c r="P1658" s="597"/>
      <c r="Q1658" s="597">
        <v>19900</v>
      </c>
      <c r="R1658" s="582">
        <f>M1658/G1658</f>
        <v>3000</v>
      </c>
      <c r="S1658" s="586">
        <f t="shared" si="231"/>
        <v>1625986</v>
      </c>
      <c r="T1658" s="600"/>
      <c r="U1658" s="589"/>
      <c r="V1658" s="589"/>
      <c r="W1658" s="600"/>
      <c r="X1658" s="601"/>
      <c r="Y1658" s="600">
        <f t="shared" si="230"/>
        <v>4195155</v>
      </c>
      <c r="Z1658" s="601"/>
    </row>
    <row r="1659" spans="1:26" s="75" customFormat="1" hidden="1">
      <c r="A1659" s="616"/>
      <c r="B1659" s="592"/>
      <c r="C1659" s="593"/>
      <c r="D1659" s="594"/>
      <c r="E1659" s="594"/>
      <c r="F1659" s="594"/>
      <c r="G1659" s="594"/>
      <c r="H1659" s="594"/>
      <c r="I1659" s="594"/>
      <c r="J1659" s="594"/>
      <c r="K1659" s="632" t="s">
        <v>224</v>
      </c>
      <c r="L1659" s="1399"/>
      <c r="M1659" s="607">
        <v>1572900</v>
      </c>
      <c r="N1659" s="675">
        <v>33599</v>
      </c>
      <c r="O1659" s="887"/>
      <c r="P1659" s="597"/>
      <c r="Q1659" s="597">
        <v>19487</v>
      </c>
      <c r="R1659" s="599">
        <f>M1659/J1658</f>
        <v>17476.666666666668</v>
      </c>
      <c r="S1659" s="586">
        <f t="shared" si="231"/>
        <v>-1625986</v>
      </c>
      <c r="T1659" s="600"/>
      <c r="U1659" s="601"/>
      <c r="V1659" s="589"/>
      <c r="W1659" s="600"/>
      <c r="X1659" s="601"/>
      <c r="Y1659" s="600">
        <f t="shared" si="230"/>
        <v>1625986</v>
      </c>
      <c r="Z1659" s="601"/>
    </row>
    <row r="1660" spans="1:26" s="75" customFormat="1" hidden="1">
      <c r="A1660" s="714">
        <f>A1658+1</f>
        <v>176</v>
      </c>
      <c r="B1660" s="592" t="s">
        <v>1527</v>
      </c>
      <c r="C1660" s="593" t="s">
        <v>217</v>
      </c>
      <c r="D1660" s="594">
        <v>16800</v>
      </c>
      <c r="E1660" s="594">
        <v>2100</v>
      </c>
      <c r="F1660" s="594" t="s">
        <v>233</v>
      </c>
      <c r="G1660" s="594">
        <v>681</v>
      </c>
      <c r="H1660" s="594">
        <v>9</v>
      </c>
      <c r="I1660" s="594">
        <v>2</v>
      </c>
      <c r="J1660" s="594">
        <v>72</v>
      </c>
      <c r="K1660" s="590" t="s">
        <v>33</v>
      </c>
      <c r="L1660" s="584">
        <f t="shared" ref="L1660:L1688" si="232">M1660+N1660+O1660+P1660+Q1660</f>
        <v>1475673</v>
      </c>
      <c r="M1660" s="596">
        <v>1430100</v>
      </c>
      <c r="N1660" s="675"/>
      <c r="O1660" s="631">
        <v>25673</v>
      </c>
      <c r="P1660" s="597"/>
      <c r="Q1660" s="597">
        <v>19900</v>
      </c>
      <c r="R1660" s="599">
        <f>M1660/G1660</f>
        <v>2100</v>
      </c>
      <c r="S1660" s="586">
        <f t="shared" si="231"/>
        <v>0</v>
      </c>
      <c r="T1660" s="600"/>
      <c r="U1660" s="589"/>
      <c r="V1660" s="589"/>
      <c r="W1660" s="600"/>
      <c r="X1660" s="601"/>
      <c r="Y1660" s="600">
        <f t="shared" si="230"/>
        <v>1475673</v>
      </c>
      <c r="Z1660" s="601"/>
    </row>
    <row r="1661" spans="1:26" s="75" customFormat="1" hidden="1">
      <c r="A1661" s="714">
        <f t="shared" si="228"/>
        <v>177</v>
      </c>
      <c r="B1661" s="592" t="s">
        <v>1528</v>
      </c>
      <c r="C1661" s="593" t="s">
        <v>217</v>
      </c>
      <c r="D1661" s="594">
        <v>42567</v>
      </c>
      <c r="E1661" s="594">
        <v>7128</v>
      </c>
      <c r="F1661" s="594" t="s">
        <v>233</v>
      </c>
      <c r="G1661" s="594">
        <v>1800</v>
      </c>
      <c r="H1661" s="594">
        <v>9</v>
      </c>
      <c r="I1661" s="594">
        <v>4</v>
      </c>
      <c r="J1661" s="594">
        <v>215</v>
      </c>
      <c r="K1661" s="590" t="s">
        <v>33</v>
      </c>
      <c r="L1661" s="584">
        <f t="shared" si="232"/>
        <v>3828833</v>
      </c>
      <c r="M1661" s="596">
        <v>3780000</v>
      </c>
      <c r="N1661" s="675"/>
      <c r="O1661" s="631">
        <v>28933</v>
      </c>
      <c r="P1661" s="597"/>
      <c r="Q1661" s="597">
        <v>19900</v>
      </c>
      <c r="R1661" s="599">
        <f>M1661/G1661</f>
        <v>2100</v>
      </c>
      <c r="S1661" s="586">
        <f t="shared" si="231"/>
        <v>0</v>
      </c>
      <c r="T1661" s="600"/>
      <c r="U1661" s="589"/>
      <c r="V1661" s="589"/>
      <c r="W1661" s="600"/>
      <c r="X1661" s="601"/>
      <c r="Y1661" s="600">
        <f t="shared" si="230"/>
        <v>3828833</v>
      </c>
      <c r="Z1661" s="601"/>
    </row>
    <row r="1662" spans="1:26" s="75" customFormat="1" ht="37.5" hidden="1">
      <c r="A1662" s="714">
        <f t="shared" si="228"/>
        <v>178</v>
      </c>
      <c r="B1662" s="592" t="s">
        <v>1529</v>
      </c>
      <c r="C1662" s="593" t="s">
        <v>217</v>
      </c>
      <c r="D1662" s="594">
        <v>15503</v>
      </c>
      <c r="E1662" s="594">
        <v>3054</v>
      </c>
      <c r="F1662" s="594" t="s">
        <v>233</v>
      </c>
      <c r="G1662" s="594">
        <v>676.7</v>
      </c>
      <c r="H1662" s="594">
        <v>9</v>
      </c>
      <c r="I1662" s="594">
        <v>2</v>
      </c>
      <c r="J1662" s="594">
        <v>71</v>
      </c>
      <c r="K1662" s="590" t="s">
        <v>30</v>
      </c>
      <c r="L1662" s="584">
        <f t="shared" si="232"/>
        <v>2326250.94</v>
      </c>
      <c r="M1662" s="596">
        <v>2272000</v>
      </c>
      <c r="N1662" s="675"/>
      <c r="O1662" s="631">
        <v>19932</v>
      </c>
      <c r="P1662" s="597"/>
      <c r="Q1662" s="597">
        <v>34318.94</v>
      </c>
      <c r="R1662" s="599">
        <f>M1662/J1662</f>
        <v>32000</v>
      </c>
      <c r="S1662" s="586">
        <f t="shared" si="231"/>
        <v>-5.8207660913467407E-11</v>
      </c>
      <c r="T1662" s="600"/>
      <c r="U1662" s="589"/>
      <c r="V1662" s="589"/>
      <c r="W1662" s="600"/>
      <c r="X1662" s="601"/>
      <c r="Y1662" s="600">
        <f t="shared" si="230"/>
        <v>2326250.94</v>
      </c>
      <c r="Z1662" s="601"/>
    </row>
    <row r="1663" spans="1:26" s="75" customFormat="1" ht="37.5" hidden="1">
      <c r="A1663" s="714">
        <f t="shared" si="228"/>
        <v>179</v>
      </c>
      <c r="B1663" s="592" t="s">
        <v>1530</v>
      </c>
      <c r="C1663" s="593" t="s">
        <v>271</v>
      </c>
      <c r="D1663" s="594">
        <v>69156</v>
      </c>
      <c r="E1663" s="594">
        <v>9891.5</v>
      </c>
      <c r="F1663" s="594" t="s">
        <v>233</v>
      </c>
      <c r="G1663" s="594">
        <v>2356</v>
      </c>
      <c r="H1663" s="594">
        <v>9</v>
      </c>
      <c r="I1663" s="594">
        <v>7</v>
      </c>
      <c r="J1663" s="594">
        <v>252</v>
      </c>
      <c r="K1663" s="590" t="s">
        <v>30</v>
      </c>
      <c r="L1663" s="584">
        <f t="shared" si="232"/>
        <v>8129501</v>
      </c>
      <c r="M1663" s="596">
        <v>8064000</v>
      </c>
      <c r="N1663" s="675"/>
      <c r="O1663" s="631">
        <v>25701</v>
      </c>
      <c r="P1663" s="597"/>
      <c r="Q1663" s="597">
        <v>39800</v>
      </c>
      <c r="R1663" s="599">
        <f>M1663/J1663</f>
        <v>32000</v>
      </c>
      <c r="S1663" s="586">
        <f t="shared" si="231"/>
        <v>0</v>
      </c>
      <c r="T1663" s="600"/>
      <c r="U1663" s="589"/>
      <c r="V1663" s="589"/>
      <c r="W1663" s="600"/>
      <c r="X1663" s="601"/>
      <c r="Y1663" s="600">
        <f t="shared" si="230"/>
        <v>8129501</v>
      </c>
      <c r="Z1663" s="601"/>
    </row>
    <row r="1664" spans="1:26" s="75" customFormat="1" hidden="1">
      <c r="A1664" s="714">
        <f t="shared" si="228"/>
        <v>180</v>
      </c>
      <c r="B1664" s="592" t="s">
        <v>1531</v>
      </c>
      <c r="C1664" s="593" t="s">
        <v>271</v>
      </c>
      <c r="D1664" s="594">
        <v>2633</v>
      </c>
      <c r="E1664" s="594">
        <v>551.5</v>
      </c>
      <c r="F1664" s="594" t="s">
        <v>222</v>
      </c>
      <c r="G1664" s="594">
        <v>570</v>
      </c>
      <c r="H1664" s="594">
        <v>2</v>
      </c>
      <c r="I1664" s="594">
        <v>2</v>
      </c>
      <c r="J1664" s="594">
        <v>15</v>
      </c>
      <c r="K1664" s="590" t="s">
        <v>33</v>
      </c>
      <c r="L1664" s="584">
        <f t="shared" si="232"/>
        <v>1626179.54</v>
      </c>
      <c r="M1664" s="596">
        <v>1596000</v>
      </c>
      <c r="N1664" s="675"/>
      <c r="O1664" s="631">
        <v>17351</v>
      </c>
      <c r="P1664" s="597"/>
      <c r="Q1664" s="597">
        <v>12828.54</v>
      </c>
      <c r="R1664" s="599">
        <f>M1664/G1664</f>
        <v>2800</v>
      </c>
      <c r="S1664" s="586">
        <f t="shared" si="231"/>
        <v>3.637978807091713E-11</v>
      </c>
      <c r="T1664" s="600"/>
      <c r="U1664" s="589"/>
      <c r="V1664" s="589"/>
      <c r="W1664" s="600"/>
      <c r="X1664" s="601"/>
      <c r="Y1664" s="600">
        <f t="shared" si="230"/>
        <v>1626179.54</v>
      </c>
      <c r="Z1664" s="601"/>
    </row>
    <row r="1665" spans="1:26" s="75" customFormat="1" hidden="1">
      <c r="A1665" s="714">
        <f t="shared" si="228"/>
        <v>181</v>
      </c>
      <c r="B1665" s="592" t="s">
        <v>1532</v>
      </c>
      <c r="C1665" s="593" t="s">
        <v>271</v>
      </c>
      <c r="D1665" s="594">
        <v>25600</v>
      </c>
      <c r="E1665" s="594">
        <v>3666.4</v>
      </c>
      <c r="F1665" s="594" t="s">
        <v>233</v>
      </c>
      <c r="G1665" s="594">
        <v>1320.6</v>
      </c>
      <c r="H1665" s="594">
        <v>5</v>
      </c>
      <c r="I1665" s="594">
        <v>6</v>
      </c>
      <c r="J1665" s="594">
        <v>96</v>
      </c>
      <c r="K1665" s="590" t="s">
        <v>33</v>
      </c>
      <c r="L1665" s="584">
        <f t="shared" si="232"/>
        <v>2816333</v>
      </c>
      <c r="M1665" s="596">
        <v>2773260</v>
      </c>
      <c r="N1665" s="675"/>
      <c r="O1665" s="631">
        <v>23173</v>
      </c>
      <c r="P1665" s="597"/>
      <c r="Q1665" s="597">
        <v>19900</v>
      </c>
      <c r="R1665" s="599">
        <f>M1665/G1665</f>
        <v>2100</v>
      </c>
      <c r="S1665" s="586">
        <f t="shared" si="231"/>
        <v>0</v>
      </c>
      <c r="T1665" s="600"/>
      <c r="U1665" s="589"/>
      <c r="V1665" s="589"/>
      <c r="W1665" s="600"/>
      <c r="X1665" s="601"/>
      <c r="Y1665" s="600">
        <f t="shared" si="230"/>
        <v>2816333</v>
      </c>
      <c r="Z1665" s="601"/>
    </row>
    <row r="1666" spans="1:26" s="75" customFormat="1" hidden="1">
      <c r="A1666" s="714">
        <f t="shared" si="228"/>
        <v>182</v>
      </c>
      <c r="B1666" s="592" t="s">
        <v>1533</v>
      </c>
      <c r="C1666" s="593" t="s">
        <v>217</v>
      </c>
      <c r="D1666" s="594">
        <v>23350</v>
      </c>
      <c r="E1666" s="594">
        <v>3480</v>
      </c>
      <c r="F1666" s="594" t="s">
        <v>233</v>
      </c>
      <c r="G1666" s="594">
        <v>651</v>
      </c>
      <c r="H1666" s="594">
        <v>9</v>
      </c>
      <c r="I1666" s="594">
        <v>3</v>
      </c>
      <c r="J1666" s="594">
        <v>96</v>
      </c>
      <c r="K1666" s="590" t="s">
        <v>224</v>
      </c>
      <c r="L1666" s="584">
        <f t="shared" si="232"/>
        <v>2109831</v>
      </c>
      <c r="M1666" s="607">
        <v>2052900</v>
      </c>
      <c r="N1666" s="675">
        <v>37131</v>
      </c>
      <c r="O1666" s="887"/>
      <c r="P1666" s="597"/>
      <c r="Q1666" s="597">
        <v>19800</v>
      </c>
      <c r="R1666" s="599">
        <f>M1666/J1666</f>
        <v>21384.375</v>
      </c>
      <c r="S1666" s="586">
        <f t="shared" si="231"/>
        <v>0</v>
      </c>
      <c r="T1666" s="600"/>
      <c r="U1666" s="589"/>
      <c r="V1666" s="589"/>
      <c r="W1666" s="600"/>
      <c r="X1666" s="601"/>
      <c r="Y1666" s="600">
        <f t="shared" si="230"/>
        <v>2109831</v>
      </c>
      <c r="Z1666" s="601"/>
    </row>
    <row r="1667" spans="1:26" s="75" customFormat="1" ht="37.5" hidden="1">
      <c r="A1667" s="714">
        <f t="shared" si="228"/>
        <v>183</v>
      </c>
      <c r="B1667" s="592" t="s">
        <v>1534</v>
      </c>
      <c r="C1667" s="593" t="s">
        <v>217</v>
      </c>
      <c r="D1667" s="594">
        <v>55350</v>
      </c>
      <c r="E1667" s="594">
        <v>8381.1</v>
      </c>
      <c r="F1667" s="594" t="s">
        <v>233</v>
      </c>
      <c r="G1667" s="594">
        <v>3070</v>
      </c>
      <c r="H1667" s="594">
        <v>9</v>
      </c>
      <c r="I1667" s="594">
        <v>7</v>
      </c>
      <c r="J1667" s="594">
        <v>252</v>
      </c>
      <c r="K1667" s="590" t="s">
        <v>30</v>
      </c>
      <c r="L1667" s="584">
        <f t="shared" si="232"/>
        <v>8128406</v>
      </c>
      <c r="M1667" s="596">
        <v>8064000</v>
      </c>
      <c r="N1667" s="675"/>
      <c r="O1667" s="631">
        <v>24606</v>
      </c>
      <c r="P1667" s="597"/>
      <c r="Q1667" s="597">
        <v>39800</v>
      </c>
      <c r="R1667" s="599">
        <f>M1667/J1667</f>
        <v>32000</v>
      </c>
      <c r="S1667" s="586">
        <f t="shared" si="231"/>
        <v>0</v>
      </c>
      <c r="T1667" s="600"/>
      <c r="U1667" s="589"/>
      <c r="V1667" s="589"/>
      <c r="W1667" s="600"/>
      <c r="X1667" s="601"/>
      <c r="Y1667" s="600">
        <f t="shared" si="230"/>
        <v>8128406</v>
      </c>
      <c r="Z1667" s="601"/>
    </row>
    <row r="1668" spans="1:26" s="75" customFormat="1" ht="37.5" hidden="1">
      <c r="A1668" s="714">
        <f t="shared" si="228"/>
        <v>184</v>
      </c>
      <c r="B1668" s="592" t="s">
        <v>1535</v>
      </c>
      <c r="C1668" s="593" t="s">
        <v>271</v>
      </c>
      <c r="D1668" s="594">
        <v>17884</v>
      </c>
      <c r="E1668" s="594">
        <v>2644</v>
      </c>
      <c r="F1668" s="594" t="s">
        <v>233</v>
      </c>
      <c r="G1668" s="594">
        <v>547</v>
      </c>
      <c r="H1668" s="594">
        <v>12</v>
      </c>
      <c r="I1668" s="594">
        <v>1</v>
      </c>
      <c r="J1668" s="594">
        <v>82</v>
      </c>
      <c r="K1668" s="590" t="s">
        <v>30</v>
      </c>
      <c r="L1668" s="584">
        <f t="shared" si="232"/>
        <v>2684562</v>
      </c>
      <c r="M1668" s="596">
        <v>2624000</v>
      </c>
      <c r="N1668" s="675"/>
      <c r="O1668" s="631">
        <v>20762</v>
      </c>
      <c r="P1668" s="597"/>
      <c r="Q1668" s="597">
        <v>39800</v>
      </c>
      <c r="R1668" s="599">
        <f>M1668/J1668</f>
        <v>32000</v>
      </c>
      <c r="S1668" s="586">
        <f t="shared" si="231"/>
        <v>0</v>
      </c>
      <c r="T1668" s="600"/>
      <c r="U1668" s="589"/>
      <c r="V1668" s="589"/>
      <c r="W1668" s="600"/>
      <c r="X1668" s="601"/>
      <c r="Y1668" s="600">
        <f t="shared" si="230"/>
        <v>2684562</v>
      </c>
      <c r="Z1668" s="601"/>
    </row>
    <row r="1669" spans="1:26" s="75" customFormat="1" hidden="1">
      <c r="A1669" s="714">
        <f t="shared" si="228"/>
        <v>185</v>
      </c>
      <c r="B1669" s="592" t="s">
        <v>1536</v>
      </c>
      <c r="C1669" s="593" t="s">
        <v>217</v>
      </c>
      <c r="D1669" s="594">
        <v>54790</v>
      </c>
      <c r="E1669" s="594">
        <v>8558</v>
      </c>
      <c r="F1669" s="594" t="s">
        <v>233</v>
      </c>
      <c r="G1669" s="594">
        <v>2052</v>
      </c>
      <c r="H1669" s="594">
        <v>9</v>
      </c>
      <c r="I1669" s="594">
        <v>6</v>
      </c>
      <c r="J1669" s="594">
        <v>237</v>
      </c>
      <c r="K1669" s="590" t="s">
        <v>224</v>
      </c>
      <c r="L1669" s="584">
        <f t="shared" si="232"/>
        <v>4935168</v>
      </c>
      <c r="M1669" s="607">
        <v>4872900</v>
      </c>
      <c r="N1669" s="675">
        <v>42468</v>
      </c>
      <c r="O1669" s="887"/>
      <c r="P1669" s="597"/>
      <c r="Q1669" s="597">
        <v>19800</v>
      </c>
      <c r="R1669" s="599">
        <f>M1669/J1669</f>
        <v>20560.759493670885</v>
      </c>
      <c r="S1669" s="586">
        <f t="shared" si="231"/>
        <v>0</v>
      </c>
      <c r="T1669" s="600"/>
      <c r="U1669" s="589"/>
      <c r="V1669" s="589"/>
      <c r="W1669" s="600"/>
      <c r="X1669" s="601"/>
      <c r="Y1669" s="600">
        <f t="shared" si="230"/>
        <v>4935168</v>
      </c>
      <c r="Z1669" s="601"/>
    </row>
    <row r="1670" spans="1:26" s="75" customFormat="1" ht="37.5" hidden="1">
      <c r="A1670" s="714">
        <f t="shared" si="228"/>
        <v>186</v>
      </c>
      <c r="B1670" s="592" t="s">
        <v>1538</v>
      </c>
      <c r="C1670" s="593" t="s">
        <v>217</v>
      </c>
      <c r="D1670" s="594">
        <v>12650</v>
      </c>
      <c r="E1670" s="594">
        <v>1890</v>
      </c>
      <c r="F1670" s="594" t="s">
        <v>233</v>
      </c>
      <c r="G1670" s="594">
        <v>554</v>
      </c>
      <c r="H1670" s="594">
        <v>9</v>
      </c>
      <c r="I1670" s="594">
        <v>1</v>
      </c>
      <c r="J1670" s="594">
        <v>72</v>
      </c>
      <c r="K1670" s="590" t="s">
        <v>30</v>
      </c>
      <c r="L1670" s="584">
        <f t="shared" si="232"/>
        <v>2349746.4</v>
      </c>
      <c r="M1670" s="596">
        <v>2304000</v>
      </c>
      <c r="N1670" s="675"/>
      <c r="O1670" s="631">
        <v>18384</v>
      </c>
      <c r="P1670" s="597"/>
      <c r="Q1670" s="597">
        <v>27362.400000000001</v>
      </c>
      <c r="R1670" s="599">
        <f>M1670/J1670</f>
        <v>32000</v>
      </c>
      <c r="S1670" s="586">
        <f t="shared" si="231"/>
        <v>-9.4587448984384537E-11</v>
      </c>
      <c r="T1670" s="600"/>
      <c r="U1670" s="589"/>
      <c r="V1670" s="589"/>
      <c r="W1670" s="600"/>
      <c r="X1670" s="601"/>
      <c r="Y1670" s="600">
        <f t="shared" si="230"/>
        <v>2349746.4</v>
      </c>
      <c r="Z1670" s="601"/>
    </row>
    <row r="1671" spans="1:26" s="75" customFormat="1" hidden="1">
      <c r="A1671" s="714">
        <f t="shared" si="228"/>
        <v>187</v>
      </c>
      <c r="B1671" s="592" t="s">
        <v>1540</v>
      </c>
      <c r="C1671" s="593" t="s">
        <v>217</v>
      </c>
      <c r="D1671" s="594">
        <v>7512</v>
      </c>
      <c r="E1671" s="594">
        <v>1452</v>
      </c>
      <c r="F1671" s="594" t="s">
        <v>233</v>
      </c>
      <c r="G1671" s="594">
        <v>327</v>
      </c>
      <c r="H1671" s="594">
        <v>9</v>
      </c>
      <c r="I1671" s="594">
        <v>1</v>
      </c>
      <c r="J1671" s="594">
        <v>35</v>
      </c>
      <c r="K1671" s="590" t="s">
        <v>33</v>
      </c>
      <c r="L1671" s="584">
        <f t="shared" si="232"/>
        <v>724689.31</v>
      </c>
      <c r="M1671" s="596">
        <v>686700</v>
      </c>
      <c r="N1671" s="675"/>
      <c r="O1671" s="631">
        <v>24921</v>
      </c>
      <c r="P1671" s="597"/>
      <c r="Q1671" s="597">
        <v>13068.31</v>
      </c>
      <c r="R1671" s="599">
        <f>M1671/G1671</f>
        <v>2100</v>
      </c>
      <c r="S1671" s="586">
        <f t="shared" si="231"/>
        <v>5.6388671509921551E-11</v>
      </c>
      <c r="T1671" s="600"/>
      <c r="U1671" s="589"/>
      <c r="V1671" s="589"/>
      <c r="W1671" s="600"/>
      <c r="X1671" s="601"/>
      <c r="Y1671" s="600">
        <f t="shared" si="230"/>
        <v>724689.31</v>
      </c>
      <c r="Z1671" s="601"/>
    </row>
    <row r="1672" spans="1:26" s="75" customFormat="1" hidden="1">
      <c r="A1672" s="714">
        <f t="shared" si="228"/>
        <v>188</v>
      </c>
      <c r="B1672" s="592" t="s">
        <v>1539</v>
      </c>
      <c r="C1672" s="593" t="s">
        <v>217</v>
      </c>
      <c r="D1672" s="594">
        <v>15752</v>
      </c>
      <c r="E1672" s="594">
        <v>2470</v>
      </c>
      <c r="F1672" s="594" t="s">
        <v>233</v>
      </c>
      <c r="G1672" s="594">
        <v>687.6</v>
      </c>
      <c r="H1672" s="594">
        <v>9</v>
      </c>
      <c r="I1672" s="594">
        <v>2</v>
      </c>
      <c r="J1672" s="594">
        <v>72</v>
      </c>
      <c r="K1672" s="590" t="s">
        <v>33</v>
      </c>
      <c r="L1672" s="584">
        <f t="shared" si="232"/>
        <v>1489240</v>
      </c>
      <c r="M1672" s="596">
        <v>1443960</v>
      </c>
      <c r="N1672" s="675"/>
      <c r="O1672" s="631">
        <v>25380</v>
      </c>
      <c r="P1672" s="597"/>
      <c r="Q1672" s="597">
        <v>19900</v>
      </c>
      <c r="R1672" s="599">
        <f>M1672/G1672</f>
        <v>2100</v>
      </c>
      <c r="S1672" s="586">
        <f t="shared" si="231"/>
        <v>0</v>
      </c>
      <c r="T1672" s="600"/>
      <c r="U1672" s="589"/>
      <c r="V1672" s="589"/>
      <c r="W1672" s="600"/>
      <c r="X1672" s="601"/>
      <c r="Y1672" s="600">
        <f t="shared" si="230"/>
        <v>1489240</v>
      </c>
      <c r="Z1672" s="601"/>
    </row>
    <row r="1673" spans="1:26" s="75" customFormat="1" ht="37.5" hidden="1">
      <c r="A1673" s="714">
        <f t="shared" si="228"/>
        <v>189</v>
      </c>
      <c r="B1673" s="592" t="s">
        <v>1541</v>
      </c>
      <c r="C1673" s="593" t="s">
        <v>217</v>
      </c>
      <c r="D1673" s="594">
        <v>7652</v>
      </c>
      <c r="E1673" s="594">
        <v>6388</v>
      </c>
      <c r="F1673" s="594" t="s">
        <v>233</v>
      </c>
      <c r="G1673" s="594">
        <v>1333</v>
      </c>
      <c r="H1673" s="594">
        <v>9</v>
      </c>
      <c r="I1673" s="594">
        <v>4</v>
      </c>
      <c r="J1673" s="594">
        <v>144</v>
      </c>
      <c r="K1673" s="590" t="s">
        <v>30</v>
      </c>
      <c r="L1673" s="584">
        <f t="shared" si="232"/>
        <v>4648402.4000000004</v>
      </c>
      <c r="M1673" s="596">
        <v>4608000</v>
      </c>
      <c r="N1673" s="675"/>
      <c r="O1673" s="631">
        <v>19069</v>
      </c>
      <c r="P1673" s="597"/>
      <c r="Q1673" s="597">
        <v>21333.4</v>
      </c>
      <c r="R1673" s="599">
        <f t="shared" ref="R1673:R1684" si="233">M1673/J1673</f>
        <v>32000</v>
      </c>
      <c r="S1673" s="586">
        <f t="shared" si="231"/>
        <v>3.7107383832335472E-10</v>
      </c>
      <c r="T1673" s="600"/>
      <c r="U1673" s="589"/>
      <c r="V1673" s="589"/>
      <c r="W1673" s="600"/>
      <c r="X1673" s="601"/>
      <c r="Y1673" s="600">
        <f t="shared" si="230"/>
        <v>4648402.4000000004</v>
      </c>
      <c r="Z1673" s="601"/>
    </row>
    <row r="1674" spans="1:26" s="75" customFormat="1" ht="37.5" hidden="1">
      <c r="A1674" s="714">
        <f t="shared" si="228"/>
        <v>190</v>
      </c>
      <c r="B1674" s="592" t="s">
        <v>1542</v>
      </c>
      <c r="C1674" s="593" t="s">
        <v>217</v>
      </c>
      <c r="D1674" s="594">
        <v>18851</v>
      </c>
      <c r="E1674" s="594">
        <v>2200</v>
      </c>
      <c r="F1674" s="594" t="s">
        <v>233</v>
      </c>
      <c r="G1674" s="594">
        <v>807</v>
      </c>
      <c r="H1674" s="594">
        <v>9</v>
      </c>
      <c r="I1674" s="594">
        <v>1</v>
      </c>
      <c r="J1674" s="594">
        <v>171</v>
      </c>
      <c r="K1674" s="590" t="s">
        <v>30</v>
      </c>
      <c r="L1674" s="584">
        <f t="shared" si="232"/>
        <v>5533453</v>
      </c>
      <c r="M1674" s="596">
        <v>5472000</v>
      </c>
      <c r="N1674" s="675"/>
      <c r="O1674" s="631">
        <v>21653</v>
      </c>
      <c r="P1674" s="597"/>
      <c r="Q1674" s="597">
        <v>39800</v>
      </c>
      <c r="R1674" s="599">
        <f t="shared" si="233"/>
        <v>32000</v>
      </c>
      <c r="S1674" s="586">
        <f t="shared" si="231"/>
        <v>0</v>
      </c>
      <c r="T1674" s="600"/>
      <c r="U1674" s="589"/>
      <c r="V1674" s="589"/>
      <c r="W1674" s="600"/>
      <c r="X1674" s="601"/>
      <c r="Y1674" s="600">
        <f t="shared" si="230"/>
        <v>5533453</v>
      </c>
      <c r="Z1674" s="601"/>
    </row>
    <row r="1675" spans="1:26" s="75" customFormat="1" ht="37.5" hidden="1">
      <c r="A1675" s="714">
        <f t="shared" si="228"/>
        <v>191</v>
      </c>
      <c r="B1675" s="592" t="s">
        <v>1543</v>
      </c>
      <c r="C1675" s="593" t="s">
        <v>271</v>
      </c>
      <c r="D1675" s="594">
        <v>23857.599999999999</v>
      </c>
      <c r="E1675" s="594">
        <v>3516</v>
      </c>
      <c r="F1675" s="594" t="s">
        <v>233</v>
      </c>
      <c r="G1675" s="594">
        <v>1238</v>
      </c>
      <c r="H1675" s="594">
        <v>9</v>
      </c>
      <c r="I1675" s="594">
        <v>1</v>
      </c>
      <c r="J1675" s="594">
        <v>202</v>
      </c>
      <c r="K1675" s="590" t="s">
        <v>30</v>
      </c>
      <c r="L1675" s="584">
        <f t="shared" si="232"/>
        <v>3484535</v>
      </c>
      <c r="M1675" s="596">
        <v>3424000</v>
      </c>
      <c r="N1675" s="675"/>
      <c r="O1675" s="631">
        <v>20735</v>
      </c>
      <c r="P1675" s="597"/>
      <c r="Q1675" s="597">
        <v>39800</v>
      </c>
      <c r="R1675" s="599">
        <f t="shared" si="233"/>
        <v>16950.495049504949</v>
      </c>
      <c r="S1675" s="586">
        <f t="shared" si="231"/>
        <v>0</v>
      </c>
      <c r="T1675" s="600"/>
      <c r="U1675" s="589"/>
      <c r="V1675" s="589"/>
      <c r="W1675" s="600"/>
      <c r="X1675" s="601"/>
      <c r="Y1675" s="600">
        <f t="shared" si="230"/>
        <v>3484535</v>
      </c>
      <c r="Z1675" s="601"/>
    </row>
    <row r="1676" spans="1:26" s="75" customFormat="1" hidden="1">
      <c r="A1676" s="714">
        <f t="shared" si="228"/>
        <v>192</v>
      </c>
      <c r="B1676" s="592" t="s">
        <v>1544</v>
      </c>
      <c r="C1676" s="593" t="s">
        <v>271</v>
      </c>
      <c r="D1676" s="594">
        <v>13094</v>
      </c>
      <c r="E1676" s="594">
        <v>2760</v>
      </c>
      <c r="F1676" s="594" t="s">
        <v>222</v>
      </c>
      <c r="G1676" s="594">
        <v>1216</v>
      </c>
      <c r="H1676" s="594">
        <v>5</v>
      </c>
      <c r="I1676" s="594">
        <v>4</v>
      </c>
      <c r="J1676" s="594">
        <v>70</v>
      </c>
      <c r="K1676" s="590" t="s">
        <v>224</v>
      </c>
      <c r="L1676" s="584">
        <f t="shared" si="232"/>
        <v>1299974.3</v>
      </c>
      <c r="M1676" s="607">
        <v>1252900</v>
      </c>
      <c r="N1676" s="675">
        <v>32630</v>
      </c>
      <c r="O1676" s="887"/>
      <c r="P1676" s="597"/>
      <c r="Q1676" s="597">
        <v>14444.3</v>
      </c>
      <c r="R1676" s="599">
        <f t="shared" si="233"/>
        <v>17898.571428571428</v>
      </c>
      <c r="S1676" s="586">
        <f t="shared" si="231"/>
        <v>4.7293724492192268E-11</v>
      </c>
      <c r="T1676" s="600"/>
      <c r="U1676" s="589"/>
      <c r="V1676" s="589"/>
      <c r="W1676" s="600"/>
      <c r="X1676" s="601"/>
      <c r="Y1676" s="600">
        <f t="shared" si="230"/>
        <v>1299974.3</v>
      </c>
      <c r="Z1676" s="601"/>
    </row>
    <row r="1677" spans="1:26" s="75" customFormat="1" ht="37.5" hidden="1">
      <c r="A1677" s="714">
        <f t="shared" si="228"/>
        <v>193</v>
      </c>
      <c r="B1677" s="592" t="s">
        <v>1545</v>
      </c>
      <c r="C1677" s="593" t="s">
        <v>271</v>
      </c>
      <c r="D1677" s="594">
        <v>29007</v>
      </c>
      <c r="E1677" s="594">
        <v>5160</v>
      </c>
      <c r="F1677" s="594" t="s">
        <v>233</v>
      </c>
      <c r="G1677" s="594">
        <v>2214.4</v>
      </c>
      <c r="H1677" s="594">
        <v>5</v>
      </c>
      <c r="I1677" s="594">
        <v>8</v>
      </c>
      <c r="J1677" s="594">
        <v>122</v>
      </c>
      <c r="K1677" s="590" t="s">
        <v>30</v>
      </c>
      <c r="L1677" s="584">
        <f t="shared" si="232"/>
        <v>3350125</v>
      </c>
      <c r="M1677" s="596">
        <v>3294000</v>
      </c>
      <c r="N1677" s="675"/>
      <c r="O1677" s="631">
        <v>16325</v>
      </c>
      <c r="P1677" s="597"/>
      <c r="Q1677" s="597">
        <v>39800</v>
      </c>
      <c r="R1677" s="599">
        <f t="shared" si="233"/>
        <v>27000</v>
      </c>
      <c r="S1677" s="586">
        <f t="shared" si="231"/>
        <v>0</v>
      </c>
      <c r="T1677" s="600"/>
      <c r="U1677" s="589"/>
      <c r="V1677" s="589"/>
      <c r="W1677" s="600"/>
      <c r="X1677" s="601"/>
      <c r="Y1677" s="600">
        <f t="shared" si="230"/>
        <v>3350125</v>
      </c>
      <c r="Z1677" s="601"/>
    </row>
    <row r="1678" spans="1:26" s="75" customFormat="1" hidden="1">
      <c r="A1678" s="714">
        <f t="shared" si="228"/>
        <v>194</v>
      </c>
      <c r="B1678" s="592" t="s">
        <v>1546</v>
      </c>
      <c r="C1678" s="593" t="s">
        <v>217</v>
      </c>
      <c r="D1678" s="594">
        <v>15855</v>
      </c>
      <c r="E1678" s="594">
        <v>600</v>
      </c>
      <c r="F1678" s="594" t="s">
        <v>233</v>
      </c>
      <c r="G1678" s="594">
        <v>963.6</v>
      </c>
      <c r="H1678" s="594">
        <v>5</v>
      </c>
      <c r="I1678" s="594">
        <v>4</v>
      </c>
      <c r="J1678" s="594">
        <v>64</v>
      </c>
      <c r="K1678" s="590" t="s">
        <v>224</v>
      </c>
      <c r="L1678" s="584">
        <f t="shared" si="232"/>
        <v>1205122.0900000001</v>
      </c>
      <c r="M1678" s="607">
        <v>1156900</v>
      </c>
      <c r="N1678" s="675">
        <v>32606</v>
      </c>
      <c r="O1678" s="887"/>
      <c r="P1678" s="597"/>
      <c r="Q1678" s="597">
        <v>15616.09</v>
      </c>
      <c r="R1678" s="599">
        <f t="shared" si="233"/>
        <v>18076.5625</v>
      </c>
      <c r="S1678" s="586">
        <f t="shared" si="231"/>
        <v>8.3673512563109398E-11</v>
      </c>
      <c r="T1678" s="600"/>
      <c r="U1678" s="589"/>
      <c r="V1678" s="589"/>
      <c r="W1678" s="600"/>
      <c r="X1678" s="601"/>
      <c r="Y1678" s="600">
        <f t="shared" si="230"/>
        <v>1205122.0900000001</v>
      </c>
      <c r="Z1678" s="601"/>
    </row>
    <row r="1679" spans="1:26" s="75" customFormat="1" hidden="1">
      <c r="A1679" s="714">
        <f t="shared" si="228"/>
        <v>195</v>
      </c>
      <c r="B1679" s="592" t="s">
        <v>1547</v>
      </c>
      <c r="C1679" s="593" t="s">
        <v>271</v>
      </c>
      <c r="D1679" s="594">
        <v>12153</v>
      </c>
      <c r="E1679" s="594">
        <v>11147</v>
      </c>
      <c r="F1679" s="594" t="s">
        <v>222</v>
      </c>
      <c r="G1679" s="594">
        <v>978</v>
      </c>
      <c r="H1679" s="594">
        <v>5</v>
      </c>
      <c r="I1679" s="594">
        <v>4</v>
      </c>
      <c r="J1679" s="594">
        <v>80</v>
      </c>
      <c r="K1679" s="590" t="s">
        <v>224</v>
      </c>
      <c r="L1679" s="584">
        <f t="shared" si="232"/>
        <v>1461125.44</v>
      </c>
      <c r="M1679" s="607">
        <v>1412900</v>
      </c>
      <c r="N1679" s="675">
        <v>32109</v>
      </c>
      <c r="O1679" s="887"/>
      <c r="P1679" s="597"/>
      <c r="Q1679" s="597">
        <v>16116.44</v>
      </c>
      <c r="R1679" s="599">
        <f t="shared" si="233"/>
        <v>17661.25</v>
      </c>
      <c r="S1679" s="586">
        <f t="shared" si="231"/>
        <v>-5.6388671509921551E-11</v>
      </c>
      <c r="T1679" s="600"/>
      <c r="U1679" s="589"/>
      <c r="V1679" s="589"/>
      <c r="W1679" s="600"/>
      <c r="X1679" s="601"/>
      <c r="Y1679" s="600">
        <f t="shared" si="230"/>
        <v>1461125.44</v>
      </c>
      <c r="Z1679" s="601"/>
    </row>
    <row r="1680" spans="1:26" s="75" customFormat="1" hidden="1">
      <c r="A1680" s="714">
        <f t="shared" si="228"/>
        <v>196</v>
      </c>
      <c r="B1680" s="592" t="s">
        <v>1548</v>
      </c>
      <c r="C1680" s="593" t="s">
        <v>217</v>
      </c>
      <c r="D1680" s="594">
        <v>12177</v>
      </c>
      <c r="E1680" s="594">
        <v>2640</v>
      </c>
      <c r="F1680" s="594" t="s">
        <v>222</v>
      </c>
      <c r="G1680" s="594">
        <v>976</v>
      </c>
      <c r="H1680" s="594">
        <v>5</v>
      </c>
      <c r="I1680" s="594">
        <v>4</v>
      </c>
      <c r="J1680" s="594">
        <v>80</v>
      </c>
      <c r="K1680" s="590" t="s">
        <v>224</v>
      </c>
      <c r="L1680" s="584">
        <f t="shared" si="232"/>
        <v>1461069.66</v>
      </c>
      <c r="M1680" s="607">
        <v>1412900</v>
      </c>
      <c r="N1680" s="675">
        <v>32122</v>
      </c>
      <c r="O1680" s="887"/>
      <c r="P1680" s="597"/>
      <c r="Q1680" s="597">
        <v>16047.66</v>
      </c>
      <c r="R1680" s="599">
        <f t="shared" si="233"/>
        <v>17661.25</v>
      </c>
      <c r="S1680" s="586">
        <f t="shared" si="231"/>
        <v>-8.3673512563109398E-11</v>
      </c>
      <c r="T1680" s="600"/>
      <c r="U1680" s="589"/>
      <c r="V1680" s="589"/>
      <c r="W1680" s="600"/>
      <c r="X1680" s="601"/>
      <c r="Y1680" s="600">
        <f t="shared" si="230"/>
        <v>1461069.66</v>
      </c>
      <c r="Z1680" s="601"/>
    </row>
    <row r="1681" spans="1:26" hidden="1">
      <c r="A1681" s="714">
        <f t="shared" si="228"/>
        <v>197</v>
      </c>
      <c r="B1681" s="581" t="s">
        <v>3777</v>
      </c>
      <c r="C1681" s="593" t="s">
        <v>271</v>
      </c>
      <c r="D1681" s="603">
        <v>7906</v>
      </c>
      <c r="E1681" s="594">
        <v>800</v>
      </c>
      <c r="F1681" s="643" t="s">
        <v>233</v>
      </c>
      <c r="G1681" s="603">
        <v>338.8</v>
      </c>
      <c r="H1681" s="609">
        <v>6</v>
      </c>
      <c r="I1681" s="609">
        <v>1</v>
      </c>
      <c r="J1681" s="609">
        <v>20</v>
      </c>
      <c r="K1681" s="590" t="s">
        <v>224</v>
      </c>
      <c r="L1681" s="595">
        <f t="shared" si="232"/>
        <v>477165.96</v>
      </c>
      <c r="M1681" s="690">
        <v>440000</v>
      </c>
      <c r="N1681" s="661">
        <v>31300</v>
      </c>
      <c r="O1681" s="711"/>
      <c r="P1681" s="586"/>
      <c r="Q1681" s="614">
        <v>5865.96</v>
      </c>
      <c r="R1681" s="599">
        <f t="shared" si="233"/>
        <v>22000</v>
      </c>
      <c r="S1681" s="586">
        <f t="shared" si="231"/>
        <v>2.0918378140777349E-11</v>
      </c>
      <c r="T1681" s="588"/>
      <c r="U1681" s="589"/>
      <c r="V1681" s="589"/>
      <c r="W1681" s="600"/>
      <c r="Y1681" s="600">
        <f t="shared" si="230"/>
        <v>477165.96</v>
      </c>
    </row>
    <row r="1682" spans="1:26" s="75" customFormat="1" hidden="1">
      <c r="A1682" s="714">
        <f t="shared" si="228"/>
        <v>198</v>
      </c>
      <c r="B1682" s="592" t="s">
        <v>1549</v>
      </c>
      <c r="C1682" s="593" t="s">
        <v>271</v>
      </c>
      <c r="D1682" s="594">
        <v>20856</v>
      </c>
      <c r="E1682" s="594">
        <v>2989</v>
      </c>
      <c r="F1682" s="594" t="s">
        <v>233</v>
      </c>
      <c r="G1682" s="594">
        <v>1388</v>
      </c>
      <c r="H1682" s="594">
        <v>5</v>
      </c>
      <c r="I1682" s="594">
        <v>6</v>
      </c>
      <c r="J1682" s="594">
        <v>95</v>
      </c>
      <c r="K1682" s="590" t="s">
        <v>224</v>
      </c>
      <c r="L1682" s="584">
        <f t="shared" si="232"/>
        <v>1713639.11</v>
      </c>
      <c r="M1682" s="607">
        <v>1652900</v>
      </c>
      <c r="N1682" s="675">
        <v>41195</v>
      </c>
      <c r="O1682" s="887"/>
      <c r="P1682" s="597"/>
      <c r="Q1682" s="597">
        <v>19544.11</v>
      </c>
      <c r="R1682" s="599">
        <f t="shared" si="233"/>
        <v>17398.947368421053</v>
      </c>
      <c r="S1682" s="586">
        <f t="shared" si="231"/>
        <v>1.0186340659856796E-10</v>
      </c>
      <c r="T1682" s="600"/>
      <c r="U1682" s="589"/>
      <c r="V1682" s="589"/>
      <c r="W1682" s="600"/>
      <c r="X1682" s="601"/>
      <c r="Y1682" s="600">
        <f t="shared" si="230"/>
        <v>1713639.11</v>
      </c>
      <c r="Z1682" s="601"/>
    </row>
    <row r="1683" spans="1:26" s="75" customFormat="1" hidden="1">
      <c r="A1683" s="714">
        <f t="shared" si="228"/>
        <v>199</v>
      </c>
      <c r="B1683" s="592" t="s">
        <v>1550</v>
      </c>
      <c r="C1683" s="593" t="s">
        <v>217</v>
      </c>
      <c r="D1683" s="594">
        <v>18154</v>
      </c>
      <c r="E1683" s="594">
        <v>2004</v>
      </c>
      <c r="F1683" s="594" t="s">
        <v>233</v>
      </c>
      <c r="G1683" s="594">
        <v>516.79999999999995</v>
      </c>
      <c r="H1683" s="594">
        <v>14</v>
      </c>
      <c r="I1683" s="594">
        <v>1</v>
      </c>
      <c r="J1683" s="594">
        <v>66</v>
      </c>
      <c r="K1683" s="590" t="s">
        <v>224</v>
      </c>
      <c r="L1683" s="584">
        <f t="shared" si="232"/>
        <v>1504461.31</v>
      </c>
      <c r="M1683" s="607">
        <v>1452900</v>
      </c>
      <c r="N1683" s="675">
        <v>31873</v>
      </c>
      <c r="O1683" s="887"/>
      <c r="P1683" s="597"/>
      <c r="Q1683" s="597">
        <v>19688.310000000001</v>
      </c>
      <c r="R1683" s="599">
        <f t="shared" si="233"/>
        <v>22013.636363636364</v>
      </c>
      <c r="S1683" s="586">
        <f t="shared" si="231"/>
        <v>5.4569682106375694E-11</v>
      </c>
      <c r="T1683" s="600"/>
      <c r="U1683" s="589"/>
      <c r="V1683" s="589"/>
      <c r="W1683" s="600"/>
      <c r="X1683" s="601"/>
      <c r="Y1683" s="600">
        <f t="shared" si="230"/>
        <v>1504461.31</v>
      </c>
      <c r="Z1683" s="601"/>
    </row>
    <row r="1684" spans="1:26" s="75" customFormat="1" hidden="1">
      <c r="A1684" s="714">
        <f t="shared" si="228"/>
        <v>200</v>
      </c>
      <c r="B1684" s="592" t="s">
        <v>1551</v>
      </c>
      <c r="C1684" s="593" t="s">
        <v>217</v>
      </c>
      <c r="D1684" s="594">
        <v>21359</v>
      </c>
      <c r="E1684" s="594">
        <v>4900</v>
      </c>
      <c r="F1684" s="594" t="s">
        <v>233</v>
      </c>
      <c r="G1684" s="594">
        <v>914</v>
      </c>
      <c r="H1684" s="594">
        <v>9</v>
      </c>
      <c r="I1684" s="594">
        <v>1</v>
      </c>
      <c r="J1684" s="594">
        <v>171</v>
      </c>
      <c r="K1684" s="590" t="s">
        <v>224</v>
      </c>
      <c r="L1684" s="584">
        <f t="shared" si="232"/>
        <v>3609079</v>
      </c>
      <c r="M1684" s="607">
        <v>3552900</v>
      </c>
      <c r="N1684" s="675">
        <v>36379</v>
      </c>
      <c r="O1684" s="887"/>
      <c r="P1684" s="597"/>
      <c r="Q1684" s="597">
        <v>19800</v>
      </c>
      <c r="R1684" s="599">
        <f t="shared" si="233"/>
        <v>20777.192982456141</v>
      </c>
      <c r="S1684" s="586">
        <f t="shared" si="231"/>
        <v>0</v>
      </c>
      <c r="T1684" s="600"/>
      <c r="U1684" s="589"/>
      <c r="V1684" s="589"/>
      <c r="W1684" s="600"/>
      <c r="X1684" s="601"/>
      <c r="Y1684" s="600">
        <f t="shared" si="230"/>
        <v>3609079</v>
      </c>
      <c r="Z1684" s="601"/>
    </row>
    <row r="1685" spans="1:26" s="75" customFormat="1" hidden="1">
      <c r="A1685" s="714">
        <f t="shared" ref="A1685:A1749" si="234">A1684+1</f>
        <v>201</v>
      </c>
      <c r="B1685" s="592" t="s">
        <v>1552</v>
      </c>
      <c r="C1685" s="593" t="s">
        <v>396</v>
      </c>
      <c r="D1685" s="594">
        <v>3828</v>
      </c>
      <c r="E1685" s="594">
        <v>1200</v>
      </c>
      <c r="F1685" s="594" t="s">
        <v>222</v>
      </c>
      <c r="G1685" s="594">
        <v>742</v>
      </c>
      <c r="H1685" s="594">
        <v>2</v>
      </c>
      <c r="I1685" s="594">
        <v>4</v>
      </c>
      <c r="J1685" s="594">
        <v>16</v>
      </c>
      <c r="K1685" s="590" t="s">
        <v>33</v>
      </c>
      <c r="L1685" s="584">
        <f t="shared" si="232"/>
        <v>1668987.85</v>
      </c>
      <c r="M1685" s="596">
        <v>1632400</v>
      </c>
      <c r="N1685" s="675"/>
      <c r="O1685" s="631">
        <v>17937</v>
      </c>
      <c r="P1685" s="597"/>
      <c r="Q1685" s="597">
        <v>18650.849999999999</v>
      </c>
      <c r="R1685" s="599">
        <f>M1685/G1685</f>
        <v>2200</v>
      </c>
      <c r="S1685" s="586">
        <f t="shared" si="231"/>
        <v>9.4587448984384537E-11</v>
      </c>
      <c r="T1685" s="600"/>
      <c r="U1685" s="589"/>
      <c r="V1685" s="589"/>
      <c r="W1685" s="600"/>
      <c r="X1685" s="601"/>
      <c r="Y1685" s="600">
        <f t="shared" si="230"/>
        <v>1668987.85</v>
      </c>
      <c r="Z1685" s="601"/>
    </row>
    <row r="1686" spans="1:26" s="75" customFormat="1" hidden="1">
      <c r="A1686" s="714">
        <f t="shared" si="234"/>
        <v>202</v>
      </c>
      <c r="B1686" s="592" t="s">
        <v>1553</v>
      </c>
      <c r="C1686" s="593" t="s">
        <v>396</v>
      </c>
      <c r="D1686" s="594">
        <v>1261</v>
      </c>
      <c r="E1686" s="594">
        <v>380</v>
      </c>
      <c r="F1686" s="594" t="s">
        <v>222</v>
      </c>
      <c r="G1686" s="594">
        <v>258</v>
      </c>
      <c r="H1686" s="594">
        <v>2</v>
      </c>
      <c r="I1686" s="594">
        <v>1</v>
      </c>
      <c r="J1686" s="594">
        <v>8</v>
      </c>
      <c r="K1686" s="590" t="s">
        <v>33</v>
      </c>
      <c r="L1686" s="584">
        <f t="shared" si="232"/>
        <v>590961.87</v>
      </c>
      <c r="M1686" s="596">
        <v>567600</v>
      </c>
      <c r="N1686" s="675"/>
      <c r="O1686" s="631">
        <v>17218</v>
      </c>
      <c r="P1686" s="597"/>
      <c r="Q1686" s="597">
        <v>6143.87</v>
      </c>
      <c r="R1686" s="599">
        <f>M1686/G1686</f>
        <v>2200</v>
      </c>
      <c r="S1686" s="586">
        <f t="shared" si="231"/>
        <v>0</v>
      </c>
      <c r="T1686" s="600"/>
      <c r="U1686" s="589"/>
      <c r="V1686" s="589"/>
      <c r="W1686" s="600"/>
      <c r="X1686" s="601"/>
      <c r="Y1686" s="600">
        <f t="shared" si="230"/>
        <v>590961.87</v>
      </c>
      <c r="Z1686" s="601"/>
    </row>
    <row r="1687" spans="1:26" s="75" customFormat="1" hidden="1">
      <c r="A1687" s="714">
        <f t="shared" si="234"/>
        <v>203</v>
      </c>
      <c r="B1687" s="592" t="s">
        <v>1555</v>
      </c>
      <c r="C1687" s="593" t="s">
        <v>217</v>
      </c>
      <c r="D1687" s="594">
        <v>8812</v>
      </c>
      <c r="E1687" s="594">
        <v>1830</v>
      </c>
      <c r="F1687" s="594" t="s">
        <v>222</v>
      </c>
      <c r="G1687" s="594">
        <v>837</v>
      </c>
      <c r="H1687" s="594">
        <v>5</v>
      </c>
      <c r="I1687" s="594">
        <v>3</v>
      </c>
      <c r="J1687" s="594">
        <v>60</v>
      </c>
      <c r="K1687" s="590" t="s">
        <v>224</v>
      </c>
      <c r="L1687" s="584">
        <f t="shared" si="232"/>
        <v>3115046.38</v>
      </c>
      <c r="M1687" s="607">
        <v>3062400</v>
      </c>
      <c r="N1687" s="675">
        <v>41557</v>
      </c>
      <c r="O1687" s="887"/>
      <c r="P1687" s="597"/>
      <c r="Q1687" s="597">
        <v>11089.38</v>
      </c>
      <c r="R1687" s="599">
        <f>M1687/J1687</f>
        <v>51040</v>
      </c>
      <c r="S1687" s="586">
        <f t="shared" si="231"/>
        <v>-1.1095835361629725E-10</v>
      </c>
      <c r="T1687" s="600"/>
      <c r="U1687" s="589"/>
      <c r="V1687" s="589"/>
      <c r="W1687" s="600"/>
      <c r="X1687" s="601"/>
      <c r="Y1687" s="600">
        <f t="shared" si="230"/>
        <v>3115046.38</v>
      </c>
      <c r="Z1687" s="601"/>
    </row>
    <row r="1688" spans="1:26" s="75" customFormat="1" hidden="1">
      <c r="A1688" s="714">
        <f t="shared" si="234"/>
        <v>204</v>
      </c>
      <c r="B1688" s="592" t="s">
        <v>1557</v>
      </c>
      <c r="C1688" s="593" t="s">
        <v>217</v>
      </c>
      <c r="D1688" s="594">
        <v>12211</v>
      </c>
      <c r="E1688" s="594">
        <v>2780</v>
      </c>
      <c r="F1688" s="594" t="s">
        <v>222</v>
      </c>
      <c r="G1688" s="594">
        <v>1145</v>
      </c>
      <c r="H1688" s="594">
        <v>5</v>
      </c>
      <c r="I1688" s="594">
        <v>5</v>
      </c>
      <c r="J1688" s="594">
        <v>100</v>
      </c>
      <c r="K1688" s="590" t="s">
        <v>33</v>
      </c>
      <c r="L1688" s="584">
        <f t="shared" si="232"/>
        <v>4066574.81</v>
      </c>
      <c r="M1688" s="596">
        <v>4007500</v>
      </c>
      <c r="N1688" s="675"/>
      <c r="O1688" s="631">
        <v>21427</v>
      </c>
      <c r="P1688" s="597"/>
      <c r="Q1688" s="597">
        <v>37647.81</v>
      </c>
      <c r="R1688" s="599">
        <f>M1688/G1688</f>
        <v>3500</v>
      </c>
      <c r="S1688" s="586">
        <f t="shared" si="231"/>
        <v>5.8207660913467407E-11</v>
      </c>
      <c r="T1688" s="600"/>
      <c r="U1688" s="589"/>
      <c r="V1688" s="589"/>
      <c r="W1688" s="600"/>
      <c r="X1688" s="601"/>
      <c r="Y1688" s="600">
        <f t="shared" si="230"/>
        <v>4066574.81</v>
      </c>
      <c r="Z1688" s="601"/>
    </row>
    <row r="1689" spans="1:26" s="75" customFormat="1" hidden="1">
      <c r="A1689" s="714">
        <f t="shared" si="234"/>
        <v>205</v>
      </c>
      <c r="B1689" s="592" t="s">
        <v>1561</v>
      </c>
      <c r="C1689" s="593" t="s">
        <v>217</v>
      </c>
      <c r="D1689" s="594">
        <v>16895</v>
      </c>
      <c r="E1689" s="594">
        <v>2100</v>
      </c>
      <c r="F1689" s="594" t="s">
        <v>233</v>
      </c>
      <c r="G1689" s="594">
        <v>678.3</v>
      </c>
      <c r="H1689" s="594">
        <v>9</v>
      </c>
      <c r="I1689" s="594">
        <v>2</v>
      </c>
      <c r="J1689" s="594">
        <v>72</v>
      </c>
      <c r="K1689" s="590" t="s">
        <v>238</v>
      </c>
      <c r="L1689" s="1348">
        <f>M1689+N1689+O1689+P1689+Q1689+M1690+N1690+O1690+P1690+Q1690</f>
        <v>3466718.71</v>
      </c>
      <c r="M1689" s="596">
        <v>1944000</v>
      </c>
      <c r="N1689" s="675">
        <v>29965</v>
      </c>
      <c r="O1689" s="887"/>
      <c r="P1689" s="597"/>
      <c r="Q1689" s="597">
        <v>22724.71</v>
      </c>
      <c r="R1689" s="599">
        <f>M1689/J1689</f>
        <v>27000</v>
      </c>
      <c r="S1689" s="586">
        <f t="shared" si="231"/>
        <v>1470029</v>
      </c>
      <c r="T1689" s="600"/>
      <c r="U1689" s="589"/>
      <c r="V1689" s="589"/>
      <c r="W1689" s="600"/>
      <c r="X1689" s="601"/>
      <c r="Y1689" s="600">
        <f t="shared" si="230"/>
        <v>1996689.71</v>
      </c>
      <c r="Z1689" s="601"/>
    </row>
    <row r="1690" spans="1:26" s="75" customFormat="1" hidden="1">
      <c r="A1690" s="616"/>
      <c r="B1690" s="592"/>
      <c r="C1690" s="593"/>
      <c r="D1690" s="594"/>
      <c r="E1690" s="594">
        <v>2100</v>
      </c>
      <c r="F1690" s="594" t="s">
        <v>233</v>
      </c>
      <c r="G1690" s="594">
        <v>678.3</v>
      </c>
      <c r="H1690" s="594">
        <v>9</v>
      </c>
      <c r="I1690" s="594">
        <v>2</v>
      </c>
      <c r="J1690" s="594">
        <v>72</v>
      </c>
      <c r="K1690" s="590" t="s">
        <v>33</v>
      </c>
      <c r="L1690" s="1348"/>
      <c r="M1690" s="596">
        <v>1424430</v>
      </c>
      <c r="N1690" s="675"/>
      <c r="O1690" s="631">
        <v>25699</v>
      </c>
      <c r="P1690" s="597"/>
      <c r="Q1690" s="597">
        <v>19900</v>
      </c>
      <c r="R1690" s="599">
        <f>M1690/G1689</f>
        <v>2100</v>
      </c>
      <c r="S1690" s="586">
        <f t="shared" si="231"/>
        <v>-1470029</v>
      </c>
      <c r="T1690" s="600"/>
      <c r="U1690" s="601"/>
      <c r="V1690" s="589"/>
      <c r="W1690" s="600"/>
      <c r="X1690" s="601"/>
      <c r="Y1690" s="600">
        <f t="shared" si="230"/>
        <v>1470029</v>
      </c>
      <c r="Z1690" s="601"/>
    </row>
    <row r="1691" spans="1:26" s="75" customFormat="1" hidden="1">
      <c r="A1691" s="714">
        <f>A1689+1</f>
        <v>206</v>
      </c>
      <c r="B1691" s="592" t="s">
        <v>1563</v>
      </c>
      <c r="C1691" s="593" t="s">
        <v>396</v>
      </c>
      <c r="D1691" s="594">
        <v>3839</v>
      </c>
      <c r="E1691" s="594">
        <v>362</v>
      </c>
      <c r="F1691" s="594" t="s">
        <v>222</v>
      </c>
      <c r="G1691" s="594">
        <v>715</v>
      </c>
      <c r="H1691" s="594">
        <v>2</v>
      </c>
      <c r="I1691" s="594">
        <v>3</v>
      </c>
      <c r="J1691" s="594">
        <v>20</v>
      </c>
      <c r="K1691" s="590" t="s">
        <v>38</v>
      </c>
      <c r="L1691" s="584">
        <f>M1691+N1691+O1691+P1691+Q1691+M1692+N1692+O1692+Q1692</f>
        <v>4070645.87</v>
      </c>
      <c r="M1691" s="596">
        <v>2000000</v>
      </c>
      <c r="N1691" s="675"/>
      <c r="O1691" s="631">
        <v>12446</v>
      </c>
      <c r="P1691" s="597"/>
      <c r="Q1691" s="597">
        <v>24236.87</v>
      </c>
      <c r="R1691" s="599">
        <f>M1691/E1691</f>
        <v>5524.861878453039</v>
      </c>
      <c r="S1691" s="586">
        <f t="shared" si="231"/>
        <v>2033963</v>
      </c>
      <c r="T1691" s="600"/>
      <c r="U1691" s="589"/>
      <c r="V1691" s="589"/>
      <c r="W1691" s="600"/>
      <c r="X1691" s="601"/>
      <c r="Y1691" s="600">
        <f t="shared" si="230"/>
        <v>2036682.87</v>
      </c>
      <c r="Z1691" s="601"/>
    </row>
    <row r="1692" spans="1:26" s="115" customFormat="1" hidden="1">
      <c r="A1692" s="714"/>
      <c r="B1692" s="592"/>
      <c r="C1692" s="593"/>
      <c r="D1692" s="594"/>
      <c r="E1692" s="594"/>
      <c r="F1692" s="594"/>
      <c r="G1692" s="594"/>
      <c r="H1692" s="594">
        <v>2</v>
      </c>
      <c r="I1692" s="594">
        <v>3</v>
      </c>
      <c r="J1692" s="594"/>
      <c r="K1692" s="590" t="s">
        <v>33</v>
      </c>
      <c r="L1692" s="584"/>
      <c r="M1692" s="596">
        <v>2002000</v>
      </c>
      <c r="N1692" s="675"/>
      <c r="O1692" s="631">
        <v>13165</v>
      </c>
      <c r="P1692" s="597"/>
      <c r="Q1692" s="597">
        <v>18798</v>
      </c>
      <c r="R1692" s="599"/>
      <c r="S1692" s="586"/>
      <c r="T1692" s="600"/>
      <c r="U1692" s="589"/>
      <c r="V1692" s="589"/>
      <c r="W1692" s="600"/>
      <c r="X1692" s="601"/>
      <c r="Y1692" s="600">
        <f t="shared" si="230"/>
        <v>2033963</v>
      </c>
      <c r="Z1692" s="601"/>
    </row>
    <row r="1693" spans="1:26" s="75" customFormat="1" hidden="1">
      <c r="A1693" s="714">
        <f>A1691+1</f>
        <v>207</v>
      </c>
      <c r="B1693" s="592" t="s">
        <v>1565</v>
      </c>
      <c r="C1693" s="593" t="s">
        <v>271</v>
      </c>
      <c r="D1693" s="594">
        <v>11202</v>
      </c>
      <c r="E1693" s="594">
        <v>2154.6</v>
      </c>
      <c r="F1693" s="594" t="s">
        <v>233</v>
      </c>
      <c r="G1693" s="594">
        <v>372</v>
      </c>
      <c r="H1693" s="594">
        <v>10</v>
      </c>
      <c r="I1693" s="594">
        <v>1</v>
      </c>
      <c r="J1693" s="594">
        <v>40</v>
      </c>
      <c r="K1693" s="590" t="s">
        <v>33</v>
      </c>
      <c r="L1693" s="584">
        <f t="shared" ref="L1693:L1701" si="235">M1693+N1693+O1693+P1693+Q1693</f>
        <v>825759.65</v>
      </c>
      <c r="M1693" s="596">
        <v>781200</v>
      </c>
      <c r="N1693" s="675"/>
      <c r="O1693" s="631">
        <v>25072</v>
      </c>
      <c r="P1693" s="597"/>
      <c r="Q1693" s="597">
        <v>19487.650000000001</v>
      </c>
      <c r="R1693" s="599">
        <f>M1693/G1693</f>
        <v>2100</v>
      </c>
      <c r="S1693" s="586">
        <f t="shared" ref="S1693:S1734" si="236">L1693-M1693-N1693-O1693-P1693-Q1693</f>
        <v>0</v>
      </c>
      <c r="T1693" s="600"/>
      <c r="U1693" s="589"/>
      <c r="V1693" s="589"/>
      <c r="W1693" s="600"/>
      <c r="X1693" s="601"/>
      <c r="Y1693" s="600">
        <f t="shared" si="230"/>
        <v>825759.65</v>
      </c>
      <c r="Z1693" s="601"/>
    </row>
    <row r="1694" spans="1:26" s="75" customFormat="1" ht="37.5" hidden="1">
      <c r="A1694" s="714">
        <f t="shared" si="234"/>
        <v>208</v>
      </c>
      <c r="B1694" s="592" t="s">
        <v>1566</v>
      </c>
      <c r="C1694" s="593" t="s">
        <v>271</v>
      </c>
      <c r="D1694" s="594">
        <v>11461</v>
      </c>
      <c r="E1694" s="594">
        <v>1400</v>
      </c>
      <c r="F1694" s="594" t="s">
        <v>233</v>
      </c>
      <c r="G1694" s="594">
        <v>368.1</v>
      </c>
      <c r="H1694" s="594">
        <v>9</v>
      </c>
      <c r="I1694" s="594">
        <v>1</v>
      </c>
      <c r="J1694" s="594">
        <v>53</v>
      </c>
      <c r="K1694" s="590" t="s">
        <v>30</v>
      </c>
      <c r="L1694" s="584">
        <f t="shared" si="235"/>
        <v>1742404.4</v>
      </c>
      <c r="M1694" s="596">
        <v>1696000</v>
      </c>
      <c r="N1694" s="675"/>
      <c r="O1694" s="631">
        <v>19042</v>
      </c>
      <c r="P1694" s="597"/>
      <c r="Q1694" s="597">
        <v>27362.400000000001</v>
      </c>
      <c r="R1694" s="599">
        <f>M1694/J1694</f>
        <v>32000</v>
      </c>
      <c r="S1694" s="586">
        <f t="shared" si="236"/>
        <v>-9.4587448984384537E-11</v>
      </c>
      <c r="T1694" s="600"/>
      <c r="U1694" s="589"/>
      <c r="V1694" s="589"/>
      <c r="W1694" s="600"/>
      <c r="X1694" s="601"/>
      <c r="Y1694" s="600">
        <f t="shared" si="230"/>
        <v>1742404.4</v>
      </c>
      <c r="Z1694" s="601"/>
    </row>
    <row r="1695" spans="1:26" s="75" customFormat="1" hidden="1">
      <c r="A1695" s="714">
        <f t="shared" si="234"/>
        <v>209</v>
      </c>
      <c r="B1695" s="592" t="s">
        <v>1567</v>
      </c>
      <c r="C1695" s="593" t="s">
        <v>217</v>
      </c>
      <c r="D1695" s="594">
        <v>15890</v>
      </c>
      <c r="E1695" s="594">
        <v>1018</v>
      </c>
      <c r="F1695" s="594" t="s">
        <v>233</v>
      </c>
      <c r="G1695" s="594">
        <v>685</v>
      </c>
      <c r="H1695" s="594">
        <v>9</v>
      </c>
      <c r="I1695" s="594">
        <v>2</v>
      </c>
      <c r="J1695" s="594">
        <v>72</v>
      </c>
      <c r="K1695" s="590" t="s">
        <v>33</v>
      </c>
      <c r="L1695" s="584">
        <f t="shared" si="235"/>
        <v>1484835</v>
      </c>
      <c r="M1695" s="596">
        <v>1438500</v>
      </c>
      <c r="N1695" s="675"/>
      <c r="O1695" s="631">
        <v>26435</v>
      </c>
      <c r="P1695" s="597"/>
      <c r="Q1695" s="597">
        <v>19900</v>
      </c>
      <c r="R1695" s="599">
        <f>M1695/G1695</f>
        <v>2100</v>
      </c>
      <c r="S1695" s="586">
        <f t="shared" si="236"/>
        <v>0</v>
      </c>
      <c r="T1695" s="600"/>
      <c r="U1695" s="589"/>
      <c r="V1695" s="589"/>
      <c r="W1695" s="600"/>
      <c r="X1695" s="601"/>
      <c r="Y1695" s="600">
        <f t="shared" si="230"/>
        <v>1484835</v>
      </c>
      <c r="Z1695" s="601"/>
    </row>
    <row r="1696" spans="1:26" s="75" customFormat="1" hidden="1">
      <c r="A1696" s="714">
        <f t="shared" si="234"/>
        <v>210</v>
      </c>
      <c r="B1696" s="592" t="s">
        <v>1568</v>
      </c>
      <c r="C1696" s="593" t="s">
        <v>239</v>
      </c>
      <c r="D1696" s="594">
        <v>2655</v>
      </c>
      <c r="E1696" s="594">
        <v>596</v>
      </c>
      <c r="F1696" s="594" t="s">
        <v>222</v>
      </c>
      <c r="G1696" s="594">
        <v>534</v>
      </c>
      <c r="H1696" s="594">
        <v>2</v>
      </c>
      <c r="I1696" s="594">
        <v>1</v>
      </c>
      <c r="J1696" s="594">
        <v>12</v>
      </c>
      <c r="K1696" s="590" t="s">
        <v>33</v>
      </c>
      <c r="L1696" s="584">
        <f t="shared" si="235"/>
        <v>1525519.74</v>
      </c>
      <c r="M1696" s="596">
        <v>1495200</v>
      </c>
      <c r="N1696" s="675"/>
      <c r="O1696" s="631">
        <v>17384</v>
      </c>
      <c r="P1696" s="597"/>
      <c r="Q1696" s="597">
        <v>12935.74</v>
      </c>
      <c r="R1696" s="599">
        <f>M1696/G1696</f>
        <v>2800</v>
      </c>
      <c r="S1696" s="586">
        <f t="shared" si="236"/>
        <v>0</v>
      </c>
      <c r="T1696" s="600"/>
      <c r="U1696" s="589"/>
      <c r="V1696" s="589"/>
      <c r="W1696" s="600"/>
      <c r="X1696" s="601"/>
      <c r="Y1696" s="600">
        <f t="shared" si="230"/>
        <v>1525519.74</v>
      </c>
      <c r="Z1696" s="601"/>
    </row>
    <row r="1697" spans="1:26" s="75" customFormat="1" hidden="1">
      <c r="A1697" s="714">
        <f t="shared" si="234"/>
        <v>211</v>
      </c>
      <c r="B1697" s="592" t="s">
        <v>1569</v>
      </c>
      <c r="C1697" s="593" t="s">
        <v>239</v>
      </c>
      <c r="D1697" s="594">
        <v>3480</v>
      </c>
      <c r="E1697" s="594">
        <v>480</v>
      </c>
      <c r="F1697" s="594" t="s">
        <v>222</v>
      </c>
      <c r="G1697" s="594">
        <v>502.9</v>
      </c>
      <c r="H1697" s="594">
        <v>2</v>
      </c>
      <c r="I1697" s="594">
        <v>1</v>
      </c>
      <c r="J1697" s="594">
        <v>30</v>
      </c>
      <c r="K1697" s="590" t="s">
        <v>33</v>
      </c>
      <c r="L1697" s="584">
        <f t="shared" si="235"/>
        <v>1442293.32</v>
      </c>
      <c r="M1697" s="596">
        <v>1408120</v>
      </c>
      <c r="N1697" s="675"/>
      <c r="O1697" s="631">
        <v>17218</v>
      </c>
      <c r="P1697" s="597"/>
      <c r="Q1697" s="597">
        <v>16955.32</v>
      </c>
      <c r="R1697" s="599">
        <f>M1697/G1697</f>
        <v>2800</v>
      </c>
      <c r="S1697" s="586">
        <f t="shared" si="236"/>
        <v>6.5483618527650833E-11</v>
      </c>
      <c r="T1697" s="600"/>
      <c r="U1697" s="589"/>
      <c r="V1697" s="589"/>
      <c r="W1697" s="600"/>
      <c r="X1697" s="601"/>
      <c r="Y1697" s="600">
        <f t="shared" si="230"/>
        <v>1442293.32</v>
      </c>
      <c r="Z1697" s="601"/>
    </row>
    <row r="1698" spans="1:26" s="75" customFormat="1" hidden="1">
      <c r="A1698" s="714">
        <f t="shared" si="234"/>
        <v>212</v>
      </c>
      <c r="B1698" s="592" t="s">
        <v>1570</v>
      </c>
      <c r="C1698" s="593" t="s">
        <v>271</v>
      </c>
      <c r="D1698" s="594">
        <v>9771</v>
      </c>
      <c r="E1698" s="594">
        <v>2016.7</v>
      </c>
      <c r="F1698" s="594" t="s">
        <v>222</v>
      </c>
      <c r="G1698" s="594">
        <v>907</v>
      </c>
      <c r="H1698" s="594">
        <v>5</v>
      </c>
      <c r="I1698" s="594">
        <v>3</v>
      </c>
      <c r="J1698" s="594">
        <v>58</v>
      </c>
      <c r="K1698" s="590" t="s">
        <v>33</v>
      </c>
      <c r="L1698" s="584">
        <f t="shared" si="235"/>
        <v>3226395.04</v>
      </c>
      <c r="M1698" s="596">
        <v>3174500</v>
      </c>
      <c r="N1698" s="675"/>
      <c r="O1698" s="631">
        <v>21770</v>
      </c>
      <c r="P1698" s="597"/>
      <c r="Q1698" s="597">
        <v>30125.040000000001</v>
      </c>
      <c r="R1698" s="599">
        <f>M1698/G1698</f>
        <v>3500</v>
      </c>
      <c r="S1698" s="586">
        <f t="shared" si="236"/>
        <v>3.637978807091713E-11</v>
      </c>
      <c r="T1698" s="600"/>
      <c r="U1698" s="589"/>
      <c r="V1698" s="589"/>
      <c r="W1698" s="600"/>
      <c r="X1698" s="601"/>
      <c r="Y1698" s="600">
        <f t="shared" si="230"/>
        <v>3226395.04</v>
      </c>
      <c r="Z1698" s="601"/>
    </row>
    <row r="1699" spans="1:26" s="75" customFormat="1" ht="37.5" hidden="1">
      <c r="A1699" s="714">
        <f t="shared" si="234"/>
        <v>213</v>
      </c>
      <c r="B1699" s="592" t="s">
        <v>1571</v>
      </c>
      <c r="C1699" s="593" t="s">
        <v>271</v>
      </c>
      <c r="D1699" s="594">
        <v>13120</v>
      </c>
      <c r="E1699" s="594">
        <v>2460.3000000000002</v>
      </c>
      <c r="F1699" s="594" t="s">
        <v>222</v>
      </c>
      <c r="G1699" s="594">
        <v>1296</v>
      </c>
      <c r="H1699" s="594">
        <v>4</v>
      </c>
      <c r="I1699" s="594">
        <v>3</v>
      </c>
      <c r="J1699" s="594">
        <v>47</v>
      </c>
      <c r="K1699" s="590" t="s">
        <v>30</v>
      </c>
      <c r="L1699" s="584">
        <f t="shared" si="235"/>
        <v>1316309.94</v>
      </c>
      <c r="M1699" s="596">
        <v>1269000</v>
      </c>
      <c r="N1699" s="675"/>
      <c r="O1699" s="631">
        <v>12991</v>
      </c>
      <c r="P1699" s="597"/>
      <c r="Q1699" s="597">
        <v>34318.94</v>
      </c>
      <c r="R1699" s="599">
        <f>M1699/J1699</f>
        <v>27000</v>
      </c>
      <c r="S1699" s="586">
        <f t="shared" si="236"/>
        <v>-5.8207660913467407E-11</v>
      </c>
      <c r="T1699" s="600"/>
      <c r="U1699" s="589"/>
      <c r="V1699" s="589"/>
      <c r="W1699" s="600"/>
      <c r="X1699" s="601"/>
      <c r="Y1699" s="600">
        <f t="shared" si="230"/>
        <v>1316309.94</v>
      </c>
      <c r="Z1699" s="601"/>
    </row>
    <row r="1700" spans="1:26" s="75" customFormat="1" hidden="1">
      <c r="A1700" s="714">
        <f t="shared" si="234"/>
        <v>214</v>
      </c>
      <c r="B1700" s="592" t="s">
        <v>1572</v>
      </c>
      <c r="C1700" s="593" t="s">
        <v>271</v>
      </c>
      <c r="D1700" s="594">
        <v>7682</v>
      </c>
      <c r="E1700" s="594">
        <v>1631.4</v>
      </c>
      <c r="F1700" s="594" t="s">
        <v>222</v>
      </c>
      <c r="G1700" s="594">
        <v>1150</v>
      </c>
      <c r="H1700" s="594">
        <v>3</v>
      </c>
      <c r="I1700" s="594">
        <v>2</v>
      </c>
      <c r="J1700" s="594">
        <v>27</v>
      </c>
      <c r="K1700" s="590" t="s">
        <v>33</v>
      </c>
      <c r="L1700" s="584">
        <f t="shared" si="235"/>
        <v>3262640.43</v>
      </c>
      <c r="M1700" s="596">
        <v>3220000</v>
      </c>
      <c r="N1700" s="675"/>
      <c r="O1700" s="631">
        <v>18956</v>
      </c>
      <c r="P1700" s="597"/>
      <c r="Q1700" s="597">
        <v>23684.43</v>
      </c>
      <c r="R1700" s="599">
        <f>M1700/G1700</f>
        <v>2800</v>
      </c>
      <c r="S1700" s="586">
        <f t="shared" si="236"/>
        <v>1.673470251262188E-10</v>
      </c>
      <c r="T1700" s="600"/>
      <c r="U1700" s="589"/>
      <c r="V1700" s="589"/>
      <c r="W1700" s="600"/>
      <c r="X1700" s="601"/>
      <c r="Y1700" s="600">
        <f t="shared" si="230"/>
        <v>3262640.43</v>
      </c>
      <c r="Z1700" s="601"/>
    </row>
    <row r="1701" spans="1:26" s="75" customFormat="1" hidden="1">
      <c r="A1701" s="714">
        <f t="shared" si="234"/>
        <v>215</v>
      </c>
      <c r="B1701" s="592" t="s">
        <v>1573</v>
      </c>
      <c r="C1701" s="593" t="s">
        <v>217</v>
      </c>
      <c r="D1701" s="594">
        <v>16355</v>
      </c>
      <c r="E1701" s="594">
        <v>3205.2</v>
      </c>
      <c r="F1701" s="594" t="s">
        <v>233</v>
      </c>
      <c r="G1701" s="594">
        <v>684.6</v>
      </c>
      <c r="H1701" s="594">
        <v>9</v>
      </c>
      <c r="I1701" s="594">
        <v>2</v>
      </c>
      <c r="J1701" s="594">
        <v>72</v>
      </c>
      <c r="K1701" s="590" t="s">
        <v>379</v>
      </c>
      <c r="L1701" s="584">
        <f t="shared" si="235"/>
        <v>9678181</v>
      </c>
      <c r="M1701" s="596">
        <v>9615600</v>
      </c>
      <c r="N1701" s="675">
        <v>32881</v>
      </c>
      <c r="O1701" s="887"/>
      <c r="P1701" s="597"/>
      <c r="Q1701" s="597">
        <v>29700</v>
      </c>
      <c r="R1701" s="599">
        <f>M1701/E1701</f>
        <v>3000</v>
      </c>
      <c r="S1701" s="586">
        <f t="shared" si="236"/>
        <v>0</v>
      </c>
      <c r="T1701" s="600"/>
      <c r="U1701" s="589"/>
      <c r="V1701" s="589"/>
      <c r="W1701" s="600"/>
      <c r="X1701" s="601"/>
      <c r="Y1701" s="600">
        <f t="shared" si="230"/>
        <v>9678181</v>
      </c>
      <c r="Z1701" s="601"/>
    </row>
    <row r="1702" spans="1:26" s="75" customFormat="1" hidden="1">
      <c r="A1702" s="616">
        <f>A1701+1</f>
        <v>216</v>
      </c>
      <c r="B1702" s="592" t="s">
        <v>1574</v>
      </c>
      <c r="C1702" s="593" t="s">
        <v>271</v>
      </c>
      <c r="D1702" s="594">
        <v>15930</v>
      </c>
      <c r="E1702" s="594">
        <v>1472</v>
      </c>
      <c r="F1702" s="594" t="s">
        <v>222</v>
      </c>
      <c r="G1702" s="594">
        <v>1216</v>
      </c>
      <c r="H1702" s="594">
        <v>5</v>
      </c>
      <c r="I1702" s="594">
        <v>4</v>
      </c>
      <c r="J1702" s="594">
        <v>70</v>
      </c>
      <c r="K1702" s="590" t="s">
        <v>33</v>
      </c>
      <c r="L1702" s="1348">
        <f>M1702+N1702+O1702+P1702+Q1702+M1703+N1703+O1703+P1703+Q1703</f>
        <v>6258291.9400000004</v>
      </c>
      <c r="M1702" s="596">
        <v>4256000</v>
      </c>
      <c r="N1702" s="675"/>
      <c r="O1702" s="631">
        <v>22109</v>
      </c>
      <c r="P1702" s="597"/>
      <c r="Q1702" s="597">
        <v>39800</v>
      </c>
      <c r="R1702" s="599">
        <f>M1702/G1702</f>
        <v>3500</v>
      </c>
      <c r="S1702" s="586">
        <f t="shared" si="236"/>
        <v>1940382.9400000004</v>
      </c>
      <c r="T1702" s="600"/>
      <c r="U1702" s="589"/>
      <c r="V1702" s="589"/>
      <c r="W1702" s="600"/>
      <c r="X1702" s="601"/>
      <c r="Y1702" s="600">
        <f t="shared" si="230"/>
        <v>4317909</v>
      </c>
      <c r="Z1702" s="601"/>
    </row>
    <row r="1703" spans="1:26" s="75" customFormat="1" ht="37.5" hidden="1">
      <c r="A1703" s="616"/>
      <c r="B1703" s="592"/>
      <c r="C1703" s="593"/>
      <c r="D1703" s="594"/>
      <c r="E1703" s="594"/>
      <c r="F1703" s="594"/>
      <c r="G1703" s="594"/>
      <c r="H1703" s="594"/>
      <c r="I1703" s="594"/>
      <c r="J1703" s="594"/>
      <c r="K1703" s="590" t="s">
        <v>30</v>
      </c>
      <c r="L1703" s="1348"/>
      <c r="M1703" s="596">
        <v>1890000</v>
      </c>
      <c r="N1703" s="675"/>
      <c r="O1703" s="631">
        <v>16064</v>
      </c>
      <c r="P1703" s="597"/>
      <c r="Q1703" s="597">
        <v>34318.94</v>
      </c>
      <c r="R1703" s="599">
        <f>M1703/J1702</f>
        <v>27000</v>
      </c>
      <c r="S1703" s="586">
        <f t="shared" si="236"/>
        <v>-1940382.94</v>
      </c>
      <c r="T1703" s="600"/>
      <c r="U1703" s="601"/>
      <c r="V1703" s="589"/>
      <c r="W1703" s="600"/>
      <c r="X1703" s="601"/>
      <c r="Y1703" s="600">
        <f t="shared" si="230"/>
        <v>1940382.94</v>
      </c>
      <c r="Z1703" s="601"/>
    </row>
    <row r="1704" spans="1:26" s="75" customFormat="1" hidden="1">
      <c r="A1704" s="714">
        <f>A1702+1</f>
        <v>217</v>
      </c>
      <c r="B1704" s="592" t="s">
        <v>1575</v>
      </c>
      <c r="C1704" s="593" t="s">
        <v>217</v>
      </c>
      <c r="D1704" s="618">
        <v>16097</v>
      </c>
      <c r="E1704" s="618">
        <v>3025</v>
      </c>
      <c r="F1704" s="593" t="s">
        <v>233</v>
      </c>
      <c r="G1704" s="618">
        <v>685</v>
      </c>
      <c r="H1704" s="650">
        <v>9</v>
      </c>
      <c r="I1704" s="650">
        <v>2</v>
      </c>
      <c r="J1704" s="650">
        <v>72</v>
      </c>
      <c r="K1704" s="590" t="s">
        <v>33</v>
      </c>
      <c r="L1704" s="584">
        <f>SUBTOTAL(9,M1704:Q1704)</f>
        <v>1484895</v>
      </c>
      <c r="M1704" s="585">
        <v>1438500</v>
      </c>
      <c r="N1704" s="630"/>
      <c r="O1704" s="887">
        <v>26495</v>
      </c>
      <c r="P1704" s="586"/>
      <c r="Q1704" s="586">
        <v>19900</v>
      </c>
      <c r="R1704" s="582">
        <f>M1704/G1704</f>
        <v>2100</v>
      </c>
      <c r="S1704" s="586">
        <f t="shared" si="236"/>
        <v>0</v>
      </c>
      <c r="T1704" s="600"/>
      <c r="U1704" s="589"/>
      <c r="V1704" s="589"/>
      <c r="W1704" s="600"/>
      <c r="X1704" s="601"/>
      <c r="Y1704" s="600">
        <f t="shared" si="230"/>
        <v>1484895</v>
      </c>
      <c r="Z1704" s="601"/>
    </row>
    <row r="1705" spans="1:26" s="75" customFormat="1" hidden="1">
      <c r="A1705" s="616">
        <f>A1704+1</f>
        <v>218</v>
      </c>
      <c r="B1705" s="592" t="s">
        <v>1577</v>
      </c>
      <c r="C1705" s="593" t="s">
        <v>271</v>
      </c>
      <c r="D1705" s="594">
        <v>12997</v>
      </c>
      <c r="E1705" s="594">
        <v>2459.6</v>
      </c>
      <c r="F1705" s="594" t="s">
        <v>222</v>
      </c>
      <c r="G1705" s="594">
        <v>1173</v>
      </c>
      <c r="H1705" s="594">
        <v>4</v>
      </c>
      <c r="I1705" s="594">
        <v>3</v>
      </c>
      <c r="J1705" s="594">
        <v>34</v>
      </c>
      <c r="K1705" s="590" t="s">
        <v>33</v>
      </c>
      <c r="L1705" s="1348">
        <f>M1705+N1705+O1705+P1705+Q1705+M1707+N1707+O1707+P1707+Q1707+M1706+N1706+O1706+P1706+Q1706</f>
        <v>9360284.9100000001</v>
      </c>
      <c r="M1705" s="596">
        <v>4105500</v>
      </c>
      <c r="N1705" s="675"/>
      <c r="O1705" s="631">
        <v>19761</v>
      </c>
      <c r="P1705" s="597"/>
      <c r="Q1705" s="597">
        <v>39800</v>
      </c>
      <c r="R1705" s="599">
        <f>M1705/G1705</f>
        <v>3500</v>
      </c>
      <c r="S1705" s="586">
        <f t="shared" si="236"/>
        <v>5195223.91</v>
      </c>
      <c r="T1705" s="600"/>
      <c r="U1705" s="589"/>
      <c r="V1705" s="589"/>
      <c r="W1705" s="600"/>
      <c r="X1705" s="601"/>
      <c r="Y1705" s="600">
        <f t="shared" si="230"/>
        <v>4165061</v>
      </c>
      <c r="Z1705" s="601"/>
    </row>
    <row r="1706" spans="1:26" s="75" customFormat="1" hidden="1">
      <c r="A1706" s="616"/>
      <c r="B1706" s="592"/>
      <c r="C1706" s="593"/>
      <c r="D1706" s="594"/>
      <c r="E1706" s="594"/>
      <c r="F1706" s="594"/>
      <c r="G1706" s="594"/>
      <c r="H1706" s="594"/>
      <c r="I1706" s="594"/>
      <c r="J1706" s="594"/>
      <c r="K1706" s="590" t="s">
        <v>38</v>
      </c>
      <c r="L1706" s="1348"/>
      <c r="M1706" s="596">
        <v>4427280</v>
      </c>
      <c r="N1706" s="675"/>
      <c r="O1706" s="631">
        <v>20213</v>
      </c>
      <c r="P1706" s="597"/>
      <c r="Q1706" s="597">
        <v>30000</v>
      </c>
      <c r="R1706" s="599">
        <f>M1706/E1705</f>
        <v>1800</v>
      </c>
      <c r="S1706" s="586">
        <f t="shared" si="236"/>
        <v>-4477493</v>
      </c>
      <c r="T1706" s="600"/>
      <c r="U1706" s="589"/>
      <c r="V1706" s="589"/>
      <c r="W1706" s="600"/>
      <c r="X1706" s="601"/>
      <c r="Y1706" s="600">
        <f t="shared" si="230"/>
        <v>4477493</v>
      </c>
      <c r="Z1706" s="601"/>
    </row>
    <row r="1707" spans="1:26" s="75" customFormat="1" hidden="1">
      <c r="A1707" s="616"/>
      <c r="B1707" s="592"/>
      <c r="C1707" s="593"/>
      <c r="D1707" s="594"/>
      <c r="E1707" s="594"/>
      <c r="F1707" s="594"/>
      <c r="G1707" s="594"/>
      <c r="H1707" s="594"/>
      <c r="I1707" s="594"/>
      <c r="J1707" s="594"/>
      <c r="K1707" s="590" t="s">
        <v>224</v>
      </c>
      <c r="L1707" s="1348"/>
      <c r="M1707" s="607">
        <v>676900</v>
      </c>
      <c r="N1707" s="675">
        <v>27987</v>
      </c>
      <c r="O1707" s="887"/>
      <c r="P1707" s="597"/>
      <c r="Q1707" s="597">
        <v>12843.91</v>
      </c>
      <c r="R1707" s="599">
        <f>M1707/J1705</f>
        <v>19908.823529411766</v>
      </c>
      <c r="S1707" s="586">
        <f t="shared" si="236"/>
        <v>-717730.91</v>
      </c>
      <c r="T1707" s="600"/>
      <c r="U1707" s="601"/>
      <c r="V1707" s="589"/>
      <c r="W1707" s="600"/>
      <c r="X1707" s="601"/>
      <c r="Y1707" s="600">
        <f t="shared" si="230"/>
        <v>717730.91</v>
      </c>
      <c r="Z1707" s="601"/>
    </row>
    <row r="1708" spans="1:26" s="75" customFormat="1" ht="37.5" hidden="1">
      <c r="A1708" s="714">
        <f>A1705+1</f>
        <v>219</v>
      </c>
      <c r="B1708" s="592" t="s">
        <v>1579</v>
      </c>
      <c r="C1708" s="593" t="s">
        <v>271</v>
      </c>
      <c r="D1708" s="594">
        <v>2379</v>
      </c>
      <c r="E1708" s="594">
        <v>498</v>
      </c>
      <c r="F1708" s="594" t="s">
        <v>222</v>
      </c>
      <c r="G1708" s="594">
        <v>429</v>
      </c>
      <c r="H1708" s="594">
        <v>2</v>
      </c>
      <c r="I1708" s="594">
        <v>2</v>
      </c>
      <c r="J1708" s="594">
        <v>16</v>
      </c>
      <c r="K1708" s="590" t="s">
        <v>30</v>
      </c>
      <c r="L1708" s="584">
        <f>M1708+N1708+O1708+P1708+Q1708</f>
        <v>434138.47</v>
      </c>
      <c r="M1708" s="607">
        <v>412400</v>
      </c>
      <c r="N1708" s="675"/>
      <c r="O1708" s="631">
        <v>10608</v>
      </c>
      <c r="P1708" s="597"/>
      <c r="Q1708" s="597">
        <v>11130.47</v>
      </c>
      <c r="R1708" s="599">
        <f>M1708/J1708</f>
        <v>25775</v>
      </c>
      <c r="S1708" s="586">
        <f t="shared" si="236"/>
        <v>-2.7284841053187847E-11</v>
      </c>
      <c r="T1708" s="600"/>
      <c r="U1708" s="589"/>
      <c r="V1708" s="589"/>
      <c r="W1708" s="600"/>
      <c r="X1708" s="601"/>
      <c r="Y1708" s="600">
        <f t="shared" si="230"/>
        <v>434138.47</v>
      </c>
      <c r="Z1708" s="601"/>
    </row>
    <row r="1709" spans="1:26" s="75" customFormat="1" hidden="1">
      <c r="A1709" s="714">
        <f t="shared" ref="A1709:A1714" si="237">A1708+1</f>
        <v>220</v>
      </c>
      <c r="B1709" s="616" t="s">
        <v>1576</v>
      </c>
      <c r="C1709" s="593" t="s">
        <v>217</v>
      </c>
      <c r="D1709" s="594">
        <v>15929</v>
      </c>
      <c r="E1709" s="593">
        <v>3050</v>
      </c>
      <c r="F1709" s="593" t="s">
        <v>233</v>
      </c>
      <c r="G1709" s="593">
        <v>623</v>
      </c>
      <c r="H1709" s="593">
        <v>9</v>
      </c>
      <c r="I1709" s="593">
        <v>2</v>
      </c>
      <c r="J1709" s="593">
        <v>72</v>
      </c>
      <c r="K1709" s="590" t="s">
        <v>33</v>
      </c>
      <c r="L1709" s="584">
        <f>SUBTOTAL(9,M1709:Q1709)</f>
        <v>1354646</v>
      </c>
      <c r="M1709" s="585">
        <v>1308300</v>
      </c>
      <c r="N1709" s="630"/>
      <c r="O1709" s="631">
        <v>26446</v>
      </c>
      <c r="P1709" s="586"/>
      <c r="Q1709" s="586">
        <v>19900</v>
      </c>
      <c r="R1709" s="582">
        <f>M1709/G1709</f>
        <v>2100</v>
      </c>
      <c r="S1709" s="586">
        <f t="shared" si="236"/>
        <v>0</v>
      </c>
      <c r="T1709" s="600"/>
      <c r="U1709" s="589"/>
      <c r="V1709" s="589"/>
      <c r="W1709" s="600"/>
      <c r="X1709" s="601"/>
      <c r="Y1709" s="600">
        <f t="shared" si="230"/>
        <v>1354646</v>
      </c>
      <c r="Z1709" s="601"/>
    </row>
    <row r="1710" spans="1:26" s="75" customFormat="1" hidden="1">
      <c r="A1710" s="714">
        <f t="shared" si="237"/>
        <v>221</v>
      </c>
      <c r="B1710" s="592" t="s">
        <v>1582</v>
      </c>
      <c r="C1710" s="593" t="s">
        <v>217</v>
      </c>
      <c r="D1710" s="594">
        <v>14351</v>
      </c>
      <c r="E1710" s="594">
        <v>3078</v>
      </c>
      <c r="F1710" s="594" t="s">
        <v>233</v>
      </c>
      <c r="G1710" s="594">
        <v>626</v>
      </c>
      <c r="H1710" s="594">
        <v>9</v>
      </c>
      <c r="I1710" s="594">
        <v>2</v>
      </c>
      <c r="J1710" s="594">
        <v>72</v>
      </c>
      <c r="K1710" s="590" t="s">
        <v>224</v>
      </c>
      <c r="L1710" s="584">
        <f>M1710+N1710+O1710+P1710+Q1710</f>
        <v>1622824.53</v>
      </c>
      <c r="M1710" s="607">
        <v>1572900</v>
      </c>
      <c r="N1710" s="675">
        <v>33734</v>
      </c>
      <c r="O1710" s="887"/>
      <c r="P1710" s="597"/>
      <c r="Q1710" s="597">
        <v>16190.53</v>
      </c>
      <c r="R1710" s="599">
        <f>M1710/J1710</f>
        <v>21845.833333333332</v>
      </c>
      <c r="S1710" s="586">
        <f t="shared" si="236"/>
        <v>2.7284841053187847E-11</v>
      </c>
      <c r="T1710" s="600"/>
      <c r="U1710" s="589"/>
      <c r="V1710" s="589"/>
      <c r="W1710" s="600"/>
      <c r="X1710" s="601"/>
      <c r="Y1710" s="600">
        <f t="shared" si="230"/>
        <v>1622824.53</v>
      </c>
      <c r="Z1710" s="601"/>
    </row>
    <row r="1711" spans="1:26" s="75" customFormat="1" hidden="1">
      <c r="A1711" s="714">
        <f t="shared" si="237"/>
        <v>222</v>
      </c>
      <c r="B1711" s="592" t="s">
        <v>1583</v>
      </c>
      <c r="C1711" s="593" t="s">
        <v>217</v>
      </c>
      <c r="D1711" s="594">
        <v>20898</v>
      </c>
      <c r="E1711" s="594">
        <v>3386</v>
      </c>
      <c r="F1711" s="594" t="s">
        <v>222</v>
      </c>
      <c r="G1711" s="594">
        <v>1672</v>
      </c>
      <c r="H1711" s="594">
        <v>5</v>
      </c>
      <c r="I1711" s="594">
        <v>6</v>
      </c>
      <c r="J1711" s="594">
        <v>120</v>
      </c>
      <c r="K1711" s="590" t="s">
        <v>224</v>
      </c>
      <c r="L1711" s="584">
        <f>M1711+N1711+O1711+P1711+Q1711</f>
        <v>2118560</v>
      </c>
      <c r="M1711" s="607">
        <v>2052900</v>
      </c>
      <c r="N1711" s="675">
        <v>45860</v>
      </c>
      <c r="O1711" s="887"/>
      <c r="P1711" s="597"/>
      <c r="Q1711" s="597">
        <v>19800</v>
      </c>
      <c r="R1711" s="599">
        <f>M1711/J1711</f>
        <v>17107.5</v>
      </c>
      <c r="S1711" s="586">
        <f t="shared" si="236"/>
        <v>0</v>
      </c>
      <c r="T1711" s="600"/>
      <c r="U1711" s="589"/>
      <c r="V1711" s="589"/>
      <c r="W1711" s="600"/>
      <c r="X1711" s="601"/>
      <c r="Y1711" s="600">
        <f t="shared" si="230"/>
        <v>2118560</v>
      </c>
      <c r="Z1711" s="601"/>
    </row>
    <row r="1712" spans="1:26" s="75" customFormat="1" hidden="1">
      <c r="A1712" s="714">
        <f t="shared" si="237"/>
        <v>223</v>
      </c>
      <c r="B1712" s="592" t="s">
        <v>1537</v>
      </c>
      <c r="C1712" s="593" t="s">
        <v>271</v>
      </c>
      <c r="D1712" s="594">
        <v>22489</v>
      </c>
      <c r="E1712" s="594">
        <v>2004.9</v>
      </c>
      <c r="F1712" s="594" t="s">
        <v>233</v>
      </c>
      <c r="G1712" s="594">
        <v>791.6</v>
      </c>
      <c r="H1712" s="594">
        <v>9</v>
      </c>
      <c r="I1712" s="594">
        <v>2</v>
      </c>
      <c r="J1712" s="594">
        <v>110</v>
      </c>
      <c r="K1712" s="590" t="s">
        <v>224</v>
      </c>
      <c r="L1712" s="584">
        <f>M1712+N1712+O1712+P1712+Q1712</f>
        <v>2386408.73</v>
      </c>
      <c r="M1712" s="607">
        <v>2332900</v>
      </c>
      <c r="N1712" s="675">
        <v>34352</v>
      </c>
      <c r="O1712" s="887"/>
      <c r="P1712" s="597"/>
      <c r="Q1712" s="597">
        <v>19156.73</v>
      </c>
      <c r="R1712" s="599">
        <f>M1712/J1712</f>
        <v>21208.18181818182</v>
      </c>
      <c r="S1712" s="586">
        <f t="shared" si="236"/>
        <v>0</v>
      </c>
      <c r="T1712" s="600"/>
      <c r="U1712" s="589"/>
      <c r="V1712" s="589"/>
      <c r="W1712" s="600"/>
      <c r="X1712" s="601"/>
      <c r="Y1712" s="600">
        <f t="shared" si="230"/>
        <v>2386408.73</v>
      </c>
      <c r="Z1712" s="601"/>
    </row>
    <row r="1713" spans="1:26" s="75" customFormat="1" ht="37.5" hidden="1">
      <c r="A1713" s="714">
        <f t="shared" si="237"/>
        <v>224</v>
      </c>
      <c r="B1713" s="592" t="s">
        <v>1584</v>
      </c>
      <c r="C1713" s="593" t="s">
        <v>271</v>
      </c>
      <c r="D1713" s="594">
        <v>6786</v>
      </c>
      <c r="E1713" s="594">
        <v>1118</v>
      </c>
      <c r="F1713" s="594" t="s">
        <v>222</v>
      </c>
      <c r="G1713" s="594">
        <v>677</v>
      </c>
      <c r="H1713" s="594">
        <v>2</v>
      </c>
      <c r="I1713" s="594">
        <v>1</v>
      </c>
      <c r="J1713" s="594">
        <v>24</v>
      </c>
      <c r="K1713" s="590" t="s">
        <v>30</v>
      </c>
      <c r="L1713" s="584">
        <f>M1713+N1713+O1713+P1713+Q1713</f>
        <v>632370.4</v>
      </c>
      <c r="M1713" s="596">
        <v>600000</v>
      </c>
      <c r="N1713" s="675"/>
      <c r="O1713" s="631">
        <v>11037</v>
      </c>
      <c r="P1713" s="597"/>
      <c r="Q1713" s="597">
        <v>21333.4</v>
      </c>
      <c r="R1713" s="599">
        <f>M1713/J1713</f>
        <v>25000</v>
      </c>
      <c r="S1713" s="586">
        <f t="shared" si="236"/>
        <v>0</v>
      </c>
      <c r="T1713" s="600"/>
      <c r="U1713" s="589"/>
      <c r="V1713" s="589"/>
      <c r="W1713" s="600"/>
      <c r="X1713" s="601"/>
      <c r="Y1713" s="600">
        <f t="shared" si="230"/>
        <v>632370.4</v>
      </c>
      <c r="Z1713" s="601"/>
    </row>
    <row r="1714" spans="1:26" s="75" customFormat="1" hidden="1">
      <c r="A1714" s="616">
        <f t="shared" si="237"/>
        <v>225</v>
      </c>
      <c r="B1714" s="592" t="s">
        <v>1585</v>
      </c>
      <c r="C1714" s="593" t="s">
        <v>271</v>
      </c>
      <c r="D1714" s="594">
        <v>42663</v>
      </c>
      <c r="E1714" s="594">
        <v>264.5</v>
      </c>
      <c r="F1714" s="594" t="s">
        <v>233</v>
      </c>
      <c r="G1714" s="594">
        <v>1639.8</v>
      </c>
      <c r="H1714" s="594">
        <v>9</v>
      </c>
      <c r="I1714" s="594">
        <v>4</v>
      </c>
      <c r="J1714" s="594">
        <v>144</v>
      </c>
      <c r="K1714" s="590" t="s">
        <v>33</v>
      </c>
      <c r="L1714" s="1348">
        <f>M1714+N1714+O1714+P1714+Q1714+M1715+N1715+O1715+P1715+Q1715</f>
        <v>6558362</v>
      </c>
      <c r="M1714" s="596">
        <v>3443580</v>
      </c>
      <c r="N1714" s="675"/>
      <c r="O1714" s="887">
        <v>23692</v>
      </c>
      <c r="P1714" s="597"/>
      <c r="Q1714" s="597">
        <v>19900</v>
      </c>
      <c r="R1714" s="599">
        <f>M1714/G1714</f>
        <v>2100</v>
      </c>
      <c r="S1714" s="586">
        <f t="shared" si="236"/>
        <v>3071190</v>
      </c>
      <c r="T1714" s="600"/>
      <c r="U1714" s="589"/>
      <c r="V1714" s="589"/>
      <c r="W1714" s="600"/>
      <c r="X1714" s="601"/>
      <c r="Y1714" s="600">
        <f t="shared" si="230"/>
        <v>3487172</v>
      </c>
      <c r="Z1714" s="601"/>
    </row>
    <row r="1715" spans="1:26" s="75" customFormat="1" hidden="1">
      <c r="A1715" s="616"/>
      <c r="B1715" s="592"/>
      <c r="C1715" s="593"/>
      <c r="D1715" s="594"/>
      <c r="E1715" s="594"/>
      <c r="F1715" s="594"/>
      <c r="G1715" s="594"/>
      <c r="H1715" s="594"/>
      <c r="I1715" s="594"/>
      <c r="J1715" s="594"/>
      <c r="K1715" s="590" t="s">
        <v>224</v>
      </c>
      <c r="L1715" s="1348"/>
      <c r="M1715" s="607">
        <v>3012900</v>
      </c>
      <c r="N1715" s="675">
        <v>38490</v>
      </c>
      <c r="O1715" s="887"/>
      <c r="P1715" s="597"/>
      <c r="Q1715" s="597">
        <v>19800</v>
      </c>
      <c r="R1715" s="599">
        <f>M1715/J1714</f>
        <v>20922.916666666668</v>
      </c>
      <c r="S1715" s="586">
        <f t="shared" si="236"/>
        <v>-3071190</v>
      </c>
      <c r="T1715" s="600"/>
      <c r="U1715" s="601"/>
      <c r="V1715" s="589"/>
      <c r="W1715" s="600"/>
      <c r="X1715" s="601"/>
      <c r="Y1715" s="600">
        <f t="shared" si="230"/>
        <v>3071190</v>
      </c>
      <c r="Z1715" s="601"/>
    </row>
    <row r="1716" spans="1:26" s="75" customFormat="1" hidden="1">
      <c r="A1716" s="714">
        <f>A1714+1</f>
        <v>226</v>
      </c>
      <c r="B1716" s="592" t="s">
        <v>1586</v>
      </c>
      <c r="C1716" s="593" t="s">
        <v>217</v>
      </c>
      <c r="D1716" s="594">
        <v>15422</v>
      </c>
      <c r="E1716" s="593">
        <v>3052</v>
      </c>
      <c r="F1716" s="593" t="s">
        <v>233</v>
      </c>
      <c r="G1716" s="593">
        <v>1096.9000000000001</v>
      </c>
      <c r="H1716" s="593">
        <v>5</v>
      </c>
      <c r="I1716" s="593">
        <v>6</v>
      </c>
      <c r="J1716" s="593">
        <v>86</v>
      </c>
      <c r="K1716" s="590" t="s">
        <v>33</v>
      </c>
      <c r="L1716" s="584">
        <f>SUBTOTAL(9,M1716:Q1716)</f>
        <v>2344632</v>
      </c>
      <c r="M1716" s="585">
        <v>2303490</v>
      </c>
      <c r="N1716" s="630"/>
      <c r="O1716" s="631">
        <v>21242</v>
      </c>
      <c r="P1716" s="586"/>
      <c r="Q1716" s="586">
        <v>19900</v>
      </c>
      <c r="R1716" s="582">
        <f>M1716/G1716</f>
        <v>2100</v>
      </c>
      <c r="S1716" s="586">
        <f t="shared" si="236"/>
        <v>0</v>
      </c>
      <c r="T1716" s="600"/>
      <c r="U1716" s="589"/>
      <c r="V1716" s="589"/>
      <c r="W1716" s="600"/>
      <c r="X1716" s="601"/>
      <c r="Y1716" s="600">
        <f t="shared" si="230"/>
        <v>2344632</v>
      </c>
      <c r="Z1716" s="601"/>
    </row>
    <row r="1717" spans="1:26" s="75" customFormat="1" hidden="1">
      <c r="A1717" s="714">
        <f t="shared" si="234"/>
        <v>227</v>
      </c>
      <c r="B1717" s="592" t="s">
        <v>1587</v>
      </c>
      <c r="C1717" s="593" t="s">
        <v>217</v>
      </c>
      <c r="D1717" s="594">
        <v>16884</v>
      </c>
      <c r="E1717" s="594">
        <v>3696</v>
      </c>
      <c r="F1717" s="594" t="s">
        <v>233</v>
      </c>
      <c r="G1717" s="594">
        <v>736</v>
      </c>
      <c r="H1717" s="594">
        <v>9</v>
      </c>
      <c r="I1717" s="594">
        <v>2</v>
      </c>
      <c r="J1717" s="594">
        <v>72</v>
      </c>
      <c r="K1717" s="590" t="s">
        <v>224</v>
      </c>
      <c r="L1717" s="584">
        <f>M1717+N1717+O1717+P1717+Q1717</f>
        <v>1622503.59</v>
      </c>
      <c r="M1717" s="607">
        <v>1572900</v>
      </c>
      <c r="N1717" s="675">
        <v>33534</v>
      </c>
      <c r="O1717" s="887"/>
      <c r="P1717" s="597"/>
      <c r="Q1717" s="597">
        <v>16069.59</v>
      </c>
      <c r="R1717" s="599">
        <f>M1717/J1717</f>
        <v>21845.833333333332</v>
      </c>
      <c r="S1717" s="586">
        <f t="shared" si="236"/>
        <v>8.3673512563109398E-11</v>
      </c>
      <c r="T1717" s="600"/>
      <c r="U1717" s="589"/>
      <c r="V1717" s="589"/>
      <c r="W1717" s="600"/>
      <c r="X1717" s="601"/>
      <c r="Y1717" s="600">
        <f t="shared" ref="Y1717:Y1780" si="238">M1717+N1717+O1717+P1717+Q1717</f>
        <v>1622503.59</v>
      </c>
      <c r="Z1717" s="601"/>
    </row>
    <row r="1718" spans="1:26" s="75" customFormat="1" hidden="1">
      <c r="A1718" s="714">
        <f t="shared" si="234"/>
        <v>228</v>
      </c>
      <c r="B1718" s="592" t="s">
        <v>1589</v>
      </c>
      <c r="C1718" s="593" t="s">
        <v>271</v>
      </c>
      <c r="D1718" s="594">
        <v>12957</v>
      </c>
      <c r="E1718" s="594">
        <v>2655</v>
      </c>
      <c r="F1718" s="594" t="s">
        <v>222</v>
      </c>
      <c r="G1718" s="594">
        <v>1137</v>
      </c>
      <c r="H1718" s="594">
        <v>5</v>
      </c>
      <c r="I1718" s="594">
        <v>4</v>
      </c>
      <c r="J1718" s="594">
        <v>80</v>
      </c>
      <c r="K1718" s="590" t="s">
        <v>33</v>
      </c>
      <c r="L1718" s="584">
        <f>M1718+N1718+O1718+P1718+Q1718</f>
        <v>3245103</v>
      </c>
      <c r="M1718" s="596">
        <v>3183600</v>
      </c>
      <c r="N1718" s="675"/>
      <c r="O1718" s="631">
        <v>21703</v>
      </c>
      <c r="P1718" s="597"/>
      <c r="Q1718" s="597">
        <v>39800</v>
      </c>
      <c r="R1718" s="599">
        <f>M1718/G1718</f>
        <v>2800</v>
      </c>
      <c r="S1718" s="586">
        <f t="shared" si="236"/>
        <v>0</v>
      </c>
      <c r="T1718" s="600"/>
      <c r="U1718" s="589"/>
      <c r="V1718" s="589"/>
      <c r="W1718" s="600"/>
      <c r="X1718" s="601"/>
      <c r="Y1718" s="600">
        <f t="shared" si="238"/>
        <v>3245103</v>
      </c>
      <c r="Z1718" s="601"/>
    </row>
    <row r="1719" spans="1:26" s="75" customFormat="1" ht="37.5" hidden="1">
      <c r="A1719" s="714">
        <f t="shared" si="234"/>
        <v>229</v>
      </c>
      <c r="B1719" s="592" t="s">
        <v>1590</v>
      </c>
      <c r="C1719" s="593" t="s">
        <v>271</v>
      </c>
      <c r="D1719" s="594">
        <v>13478</v>
      </c>
      <c r="E1719" s="594">
        <v>2289.3000000000002</v>
      </c>
      <c r="F1719" s="594" t="s">
        <v>222</v>
      </c>
      <c r="G1719" s="594">
        <v>1170</v>
      </c>
      <c r="H1719" s="594">
        <v>5</v>
      </c>
      <c r="I1719" s="594">
        <v>4</v>
      </c>
      <c r="J1719" s="594">
        <v>80</v>
      </c>
      <c r="K1719" s="590" t="s">
        <v>4320</v>
      </c>
      <c r="L1719" s="584">
        <f>M1719+N1719+O1719+P1719+Q1719</f>
        <v>4156695</v>
      </c>
      <c r="M1719" s="596">
        <v>4095000</v>
      </c>
      <c r="N1719" s="675"/>
      <c r="O1719" s="631">
        <v>21895</v>
      </c>
      <c r="P1719" s="597"/>
      <c r="Q1719" s="597">
        <v>39800</v>
      </c>
      <c r="R1719" s="599">
        <f>M1719/G1719</f>
        <v>3500</v>
      </c>
      <c r="S1719" s="586">
        <f t="shared" si="236"/>
        <v>0</v>
      </c>
      <c r="T1719" s="600"/>
      <c r="U1719" s="589"/>
      <c r="V1719" s="589"/>
      <c r="W1719" s="600"/>
      <c r="X1719" s="601"/>
      <c r="Y1719" s="600">
        <f t="shared" si="238"/>
        <v>4156695</v>
      </c>
      <c r="Z1719" s="601"/>
    </row>
    <row r="1720" spans="1:26" s="75" customFormat="1" ht="37.5" hidden="1">
      <c r="A1720" s="714">
        <f t="shared" si="234"/>
        <v>230</v>
      </c>
      <c r="B1720" s="592" t="s">
        <v>1591</v>
      </c>
      <c r="C1720" s="593" t="s">
        <v>271</v>
      </c>
      <c r="D1720" s="594">
        <v>6456</v>
      </c>
      <c r="E1720" s="594">
        <v>1455.8999999999999</v>
      </c>
      <c r="F1720" s="594" t="s">
        <v>222</v>
      </c>
      <c r="G1720" s="594">
        <v>586</v>
      </c>
      <c r="H1720" s="594">
        <v>5</v>
      </c>
      <c r="I1720" s="594">
        <v>2</v>
      </c>
      <c r="J1720" s="594">
        <v>34</v>
      </c>
      <c r="K1720" s="590" t="s">
        <v>30</v>
      </c>
      <c r="L1720" s="584">
        <f>M1720+N1720+O1720+P1720+Q1720</f>
        <v>953810.4</v>
      </c>
      <c r="M1720" s="596">
        <v>918000</v>
      </c>
      <c r="N1720" s="675"/>
      <c r="O1720" s="631">
        <v>14477</v>
      </c>
      <c r="P1720" s="597"/>
      <c r="Q1720" s="597">
        <v>21333.4</v>
      </c>
      <c r="R1720" s="599">
        <f>M1720/J1720</f>
        <v>27000</v>
      </c>
      <c r="S1720" s="586">
        <f t="shared" si="236"/>
        <v>0</v>
      </c>
      <c r="T1720" s="600"/>
      <c r="U1720" s="589"/>
      <c r="V1720" s="589"/>
      <c r="W1720" s="600"/>
      <c r="X1720" s="601"/>
      <c r="Y1720" s="600">
        <f t="shared" si="238"/>
        <v>953810.4</v>
      </c>
      <c r="Z1720" s="601"/>
    </row>
    <row r="1721" spans="1:26" s="75" customFormat="1" hidden="1">
      <c r="A1721" s="714">
        <f t="shared" si="234"/>
        <v>231</v>
      </c>
      <c r="B1721" s="592" t="s">
        <v>1592</v>
      </c>
      <c r="C1721" s="593" t="s">
        <v>271</v>
      </c>
      <c r="D1721" s="594">
        <v>6713</v>
      </c>
      <c r="E1721" s="594">
        <v>1373.8</v>
      </c>
      <c r="F1721" s="594" t="s">
        <v>222</v>
      </c>
      <c r="G1721" s="594">
        <v>853</v>
      </c>
      <c r="H1721" s="594">
        <v>3</v>
      </c>
      <c r="I1721" s="594">
        <v>3</v>
      </c>
      <c r="J1721" s="594">
        <v>27</v>
      </c>
      <c r="K1721" s="590" t="s">
        <v>33</v>
      </c>
      <c r="L1721" s="584">
        <f>M1721+N1721+O1721+P1721+Q1721</f>
        <v>2427939.89</v>
      </c>
      <c r="M1721" s="596">
        <v>2388400</v>
      </c>
      <c r="N1721" s="675"/>
      <c r="O1721" s="631">
        <v>18843</v>
      </c>
      <c r="P1721" s="597"/>
      <c r="Q1721" s="597">
        <v>20696.89</v>
      </c>
      <c r="R1721" s="599">
        <f>M1721/G1721</f>
        <v>2800</v>
      </c>
      <c r="S1721" s="586">
        <f t="shared" si="236"/>
        <v>1.3096723705530167E-10</v>
      </c>
      <c r="T1721" s="600"/>
      <c r="U1721" s="589"/>
      <c r="V1721" s="589"/>
      <c r="W1721" s="600"/>
      <c r="X1721" s="601"/>
      <c r="Y1721" s="600">
        <f t="shared" si="238"/>
        <v>2427939.89</v>
      </c>
      <c r="Z1721" s="601"/>
    </row>
    <row r="1722" spans="1:26" s="75" customFormat="1" hidden="1">
      <c r="A1722" s="714">
        <f t="shared" si="234"/>
        <v>232</v>
      </c>
      <c r="B1722" s="616" t="s">
        <v>1593</v>
      </c>
      <c r="C1722" s="617" t="s">
        <v>271</v>
      </c>
      <c r="D1722" s="618">
        <v>10139</v>
      </c>
      <c r="E1722" s="619">
        <v>2057.4</v>
      </c>
      <c r="F1722" s="620" t="s">
        <v>222</v>
      </c>
      <c r="G1722" s="620">
        <v>1300</v>
      </c>
      <c r="H1722" s="651">
        <v>3</v>
      </c>
      <c r="I1722" s="620">
        <v>4</v>
      </c>
      <c r="J1722" s="620">
        <v>33</v>
      </c>
      <c r="K1722" s="590" t="s">
        <v>33</v>
      </c>
      <c r="L1722" s="595">
        <f>SUM(M1722:Q1722)</f>
        <v>3691092.63</v>
      </c>
      <c r="M1722" s="596">
        <v>3640000</v>
      </c>
      <c r="N1722" s="675"/>
      <c r="O1722" s="887">
        <v>19833</v>
      </c>
      <c r="P1722" s="1007"/>
      <c r="Q1722" s="597">
        <v>31259.63</v>
      </c>
      <c r="R1722" s="582">
        <f>M1722/G1722</f>
        <v>2800</v>
      </c>
      <c r="S1722" s="586">
        <f t="shared" si="236"/>
        <v>-1.127773430198431E-10</v>
      </c>
      <c r="T1722" s="600"/>
      <c r="U1722" s="589"/>
      <c r="V1722" s="589"/>
      <c r="W1722" s="600"/>
      <c r="X1722" s="601"/>
      <c r="Y1722" s="600">
        <f t="shared" si="238"/>
        <v>3691092.63</v>
      </c>
      <c r="Z1722" s="601"/>
    </row>
    <row r="1723" spans="1:26" s="75" customFormat="1" hidden="1">
      <c r="A1723" s="616">
        <f>A1722+1</f>
        <v>233</v>
      </c>
      <c r="B1723" s="592" t="s">
        <v>1594</v>
      </c>
      <c r="C1723" s="593" t="s">
        <v>271</v>
      </c>
      <c r="D1723" s="594">
        <v>10085</v>
      </c>
      <c r="E1723" s="594">
        <v>1923.5</v>
      </c>
      <c r="F1723" s="594" t="s">
        <v>222</v>
      </c>
      <c r="G1723" s="594">
        <v>1285</v>
      </c>
      <c r="H1723" s="594">
        <v>3</v>
      </c>
      <c r="I1723" s="594">
        <v>3</v>
      </c>
      <c r="J1723" s="594">
        <v>26</v>
      </c>
      <c r="K1723" s="590" t="s">
        <v>33</v>
      </c>
      <c r="L1723" s="1348">
        <f>M1723+N1723+O1723+P1723+Q1723+M1724+N1724+O1724+P1724+Q1724</f>
        <v>7668951.1299999999</v>
      </c>
      <c r="M1723" s="596">
        <v>4112000</v>
      </c>
      <c r="N1723" s="675"/>
      <c r="O1723" s="631">
        <v>19787</v>
      </c>
      <c r="P1723" s="597"/>
      <c r="Q1723" s="597">
        <v>31093.13</v>
      </c>
      <c r="R1723" s="599">
        <f>M1723/G1723</f>
        <v>3200</v>
      </c>
      <c r="S1723" s="586">
        <f t="shared" si="236"/>
        <v>3506071</v>
      </c>
      <c r="T1723" s="600"/>
      <c r="U1723" s="589"/>
      <c r="V1723" s="589"/>
      <c r="W1723" s="600"/>
      <c r="X1723" s="601"/>
      <c r="Y1723" s="600">
        <f t="shared" si="238"/>
        <v>4162880.13</v>
      </c>
      <c r="Z1723" s="601"/>
    </row>
    <row r="1724" spans="1:26" s="75" customFormat="1" hidden="1">
      <c r="A1724" s="616"/>
      <c r="B1724" s="592"/>
      <c r="C1724" s="593"/>
      <c r="D1724" s="594"/>
      <c r="E1724" s="594"/>
      <c r="F1724" s="594"/>
      <c r="G1724" s="594"/>
      <c r="H1724" s="594"/>
      <c r="I1724" s="594"/>
      <c r="J1724" s="594"/>
      <c r="K1724" s="590" t="s">
        <v>38</v>
      </c>
      <c r="L1724" s="1348"/>
      <c r="M1724" s="596">
        <v>3462300</v>
      </c>
      <c r="N1724" s="675"/>
      <c r="O1724" s="631">
        <v>14071</v>
      </c>
      <c r="P1724" s="597"/>
      <c r="Q1724" s="597">
        <v>29700</v>
      </c>
      <c r="R1724" s="599">
        <f>M1724/E1723</f>
        <v>1800</v>
      </c>
      <c r="S1724" s="586">
        <f t="shared" si="236"/>
        <v>-3506071</v>
      </c>
      <c r="T1724" s="600"/>
      <c r="U1724" s="601"/>
      <c r="V1724" s="589"/>
      <c r="W1724" s="600"/>
      <c r="X1724" s="601"/>
      <c r="Y1724" s="600">
        <f t="shared" si="238"/>
        <v>3506071</v>
      </c>
      <c r="Z1724" s="601"/>
    </row>
    <row r="1725" spans="1:26" s="75" customFormat="1" hidden="1">
      <c r="A1725" s="714">
        <f>A1723+1</f>
        <v>234</v>
      </c>
      <c r="B1725" s="592" t="s">
        <v>1595</v>
      </c>
      <c r="C1725" s="665" t="s">
        <v>271</v>
      </c>
      <c r="D1725" s="582">
        <v>12724</v>
      </c>
      <c r="E1725" s="582">
        <v>2532</v>
      </c>
      <c r="F1725" s="582" t="s">
        <v>222</v>
      </c>
      <c r="G1725" s="582">
        <v>1147</v>
      </c>
      <c r="H1725" s="582">
        <v>5</v>
      </c>
      <c r="I1725" s="582">
        <v>4</v>
      </c>
      <c r="J1725" s="582">
        <v>80</v>
      </c>
      <c r="K1725" s="606" t="s">
        <v>33</v>
      </c>
      <c r="L1725" s="584">
        <f t="shared" ref="L1725:L1731" si="239">M1725+N1725+O1725+P1725+Q1725</f>
        <v>3731246.46</v>
      </c>
      <c r="M1725" s="585">
        <v>3670400</v>
      </c>
      <c r="N1725" s="630"/>
      <c r="O1725" s="631">
        <v>21617</v>
      </c>
      <c r="P1725" s="586"/>
      <c r="Q1725" s="586">
        <v>39229.46</v>
      </c>
      <c r="R1725" s="582">
        <f>M1725/G1725</f>
        <v>3200</v>
      </c>
      <c r="S1725" s="586">
        <f t="shared" si="236"/>
        <v>0</v>
      </c>
      <c r="T1725" s="600"/>
      <c r="U1725" s="589"/>
      <c r="V1725" s="589"/>
      <c r="W1725" s="600"/>
      <c r="X1725" s="601"/>
      <c r="Y1725" s="600">
        <f t="shared" si="238"/>
        <v>3731246.46</v>
      </c>
      <c r="Z1725" s="601"/>
    </row>
    <row r="1726" spans="1:26" s="75" customFormat="1" hidden="1">
      <c r="A1726" s="714">
        <f t="shared" si="234"/>
        <v>235</v>
      </c>
      <c r="B1726" s="592" t="s">
        <v>1596</v>
      </c>
      <c r="C1726" s="593" t="s">
        <v>217</v>
      </c>
      <c r="D1726" s="594">
        <v>14330</v>
      </c>
      <c r="E1726" s="594">
        <v>2653.2</v>
      </c>
      <c r="F1726" s="594" t="s">
        <v>222</v>
      </c>
      <c r="G1726" s="594">
        <v>873</v>
      </c>
      <c r="H1726" s="594">
        <v>5</v>
      </c>
      <c r="I1726" s="594">
        <v>4</v>
      </c>
      <c r="J1726" s="594">
        <v>80</v>
      </c>
      <c r="K1726" s="590" t="s">
        <v>33</v>
      </c>
      <c r="L1726" s="584">
        <f t="shared" si="239"/>
        <v>3118855</v>
      </c>
      <c r="M1726" s="596">
        <v>3055500</v>
      </c>
      <c r="N1726" s="675"/>
      <c r="O1726" s="631">
        <v>23555</v>
      </c>
      <c r="P1726" s="597"/>
      <c r="Q1726" s="597">
        <v>39800</v>
      </c>
      <c r="R1726" s="599">
        <f>M1726/G1726</f>
        <v>3500</v>
      </c>
      <c r="S1726" s="586">
        <f t="shared" si="236"/>
        <v>0</v>
      </c>
      <c r="T1726" s="600"/>
      <c r="U1726" s="589"/>
      <c r="V1726" s="589"/>
      <c r="W1726" s="600"/>
      <c r="X1726" s="601"/>
      <c r="Y1726" s="600">
        <f t="shared" si="238"/>
        <v>3118855</v>
      </c>
      <c r="Z1726" s="601"/>
    </row>
    <row r="1727" spans="1:26" s="75" customFormat="1" hidden="1">
      <c r="A1727" s="714">
        <f t="shared" si="234"/>
        <v>236</v>
      </c>
      <c r="B1727" s="592" t="s">
        <v>1597</v>
      </c>
      <c r="C1727" s="593" t="s">
        <v>271</v>
      </c>
      <c r="D1727" s="594">
        <v>12983</v>
      </c>
      <c r="E1727" s="594">
        <v>1320</v>
      </c>
      <c r="F1727" s="594" t="s">
        <v>222</v>
      </c>
      <c r="G1727" s="594">
        <v>1148</v>
      </c>
      <c r="H1727" s="594">
        <v>5</v>
      </c>
      <c r="I1727" s="594">
        <v>4</v>
      </c>
      <c r="J1727" s="594">
        <v>81</v>
      </c>
      <c r="K1727" s="590" t="s">
        <v>33</v>
      </c>
      <c r="L1727" s="584">
        <f t="shared" si="239"/>
        <v>4079512</v>
      </c>
      <c r="M1727" s="596">
        <v>4018000</v>
      </c>
      <c r="N1727" s="675"/>
      <c r="O1727" s="631">
        <v>21712</v>
      </c>
      <c r="P1727" s="597"/>
      <c r="Q1727" s="597">
        <v>39800</v>
      </c>
      <c r="R1727" s="599">
        <f>M1727/G1727</f>
        <v>3500</v>
      </c>
      <c r="S1727" s="586">
        <f t="shared" si="236"/>
        <v>0</v>
      </c>
      <c r="T1727" s="600"/>
      <c r="U1727" s="589"/>
      <c r="V1727" s="589"/>
      <c r="W1727" s="600"/>
      <c r="X1727" s="601"/>
      <c r="Y1727" s="600">
        <f t="shared" si="238"/>
        <v>4079512</v>
      </c>
      <c r="Z1727" s="601"/>
    </row>
    <row r="1728" spans="1:26" s="75" customFormat="1" hidden="1">
      <c r="A1728" s="714">
        <f t="shared" si="234"/>
        <v>237</v>
      </c>
      <c r="B1728" s="592" t="s">
        <v>1598</v>
      </c>
      <c r="C1728" s="593" t="s">
        <v>271</v>
      </c>
      <c r="D1728" s="594">
        <v>10543</v>
      </c>
      <c r="E1728" s="594">
        <v>1860</v>
      </c>
      <c r="F1728" s="594" t="s">
        <v>222</v>
      </c>
      <c r="G1728" s="594">
        <v>838</v>
      </c>
      <c r="H1728" s="594">
        <v>5</v>
      </c>
      <c r="I1728" s="594">
        <v>3</v>
      </c>
      <c r="J1728" s="594">
        <v>60</v>
      </c>
      <c r="K1728" s="590" t="s">
        <v>370</v>
      </c>
      <c r="L1728" s="584">
        <f t="shared" si="239"/>
        <v>5638079</v>
      </c>
      <c r="M1728" s="596">
        <v>5580000</v>
      </c>
      <c r="N1728" s="675">
        <v>28379</v>
      </c>
      <c r="O1728" s="887"/>
      <c r="P1728" s="597"/>
      <c r="Q1728" s="597">
        <v>29700</v>
      </c>
      <c r="R1728" s="599">
        <f>M1728/E1728</f>
        <v>3000</v>
      </c>
      <c r="S1728" s="586">
        <f t="shared" si="236"/>
        <v>0</v>
      </c>
      <c r="T1728" s="600"/>
      <c r="U1728" s="589"/>
      <c r="V1728" s="589"/>
      <c r="W1728" s="600"/>
      <c r="X1728" s="601"/>
      <c r="Y1728" s="600">
        <f t="shared" si="238"/>
        <v>5638079</v>
      </c>
      <c r="Z1728" s="601"/>
    </row>
    <row r="1729" spans="1:26" s="75" customFormat="1" hidden="1">
      <c r="A1729" s="714">
        <f t="shared" si="234"/>
        <v>238</v>
      </c>
      <c r="B1729" s="592" t="s">
        <v>1599</v>
      </c>
      <c r="C1729" s="593" t="s">
        <v>217</v>
      </c>
      <c r="D1729" s="594">
        <v>48069</v>
      </c>
      <c r="E1729" s="594">
        <v>9522.5</v>
      </c>
      <c r="F1729" s="594" t="s">
        <v>233</v>
      </c>
      <c r="G1729" s="594">
        <v>2020</v>
      </c>
      <c r="H1729" s="594">
        <v>10</v>
      </c>
      <c r="I1729" s="594">
        <v>6</v>
      </c>
      <c r="J1729" s="594">
        <v>221</v>
      </c>
      <c r="K1729" s="590" t="s">
        <v>33</v>
      </c>
      <c r="L1729" s="584">
        <f t="shared" si="239"/>
        <v>4290811</v>
      </c>
      <c r="M1729" s="596">
        <v>4242000</v>
      </c>
      <c r="N1729" s="675"/>
      <c r="O1729" s="631">
        <v>28911</v>
      </c>
      <c r="P1729" s="597"/>
      <c r="Q1729" s="597">
        <v>19900</v>
      </c>
      <c r="R1729" s="599">
        <f>M1729/G1729</f>
        <v>2100</v>
      </c>
      <c r="S1729" s="586">
        <f t="shared" si="236"/>
        <v>0</v>
      </c>
      <c r="T1729" s="600"/>
      <c r="U1729" s="589"/>
      <c r="V1729" s="589"/>
      <c r="W1729" s="600"/>
      <c r="X1729" s="601"/>
      <c r="Y1729" s="600">
        <f t="shared" si="238"/>
        <v>4290811</v>
      </c>
      <c r="Z1729" s="601"/>
    </row>
    <row r="1730" spans="1:26" s="75" customFormat="1" hidden="1">
      <c r="A1730" s="714">
        <f t="shared" si="234"/>
        <v>239</v>
      </c>
      <c r="B1730" s="592" t="s">
        <v>1600</v>
      </c>
      <c r="C1730" s="617" t="s">
        <v>217</v>
      </c>
      <c r="D1730" s="582">
        <v>1427</v>
      </c>
      <c r="E1730" s="582">
        <v>2180</v>
      </c>
      <c r="F1730" s="582" t="s">
        <v>222</v>
      </c>
      <c r="G1730" s="582">
        <v>1200</v>
      </c>
      <c r="H1730" s="582">
        <v>5</v>
      </c>
      <c r="I1730" s="582">
        <v>4</v>
      </c>
      <c r="J1730" s="582">
        <v>80</v>
      </c>
      <c r="K1730" s="606" t="s">
        <v>33</v>
      </c>
      <c r="L1730" s="584">
        <f t="shared" si="239"/>
        <v>3901987</v>
      </c>
      <c r="M1730" s="585">
        <v>3840000</v>
      </c>
      <c r="N1730" s="630"/>
      <c r="O1730" s="631">
        <v>22187</v>
      </c>
      <c r="P1730" s="586"/>
      <c r="Q1730" s="586">
        <v>39800</v>
      </c>
      <c r="R1730" s="582">
        <f>M1730/G1730</f>
        <v>3200</v>
      </c>
      <c r="S1730" s="586">
        <f t="shared" si="236"/>
        <v>0</v>
      </c>
      <c r="T1730" s="600"/>
      <c r="U1730" s="589"/>
      <c r="V1730" s="589"/>
      <c r="W1730" s="600"/>
      <c r="X1730" s="601"/>
      <c r="Y1730" s="600">
        <f t="shared" si="238"/>
        <v>3901987</v>
      </c>
      <c r="Z1730" s="601"/>
    </row>
    <row r="1731" spans="1:26" s="75" customFormat="1" hidden="1">
      <c r="A1731" s="714">
        <f t="shared" si="234"/>
        <v>240</v>
      </c>
      <c r="B1731" s="592" t="s">
        <v>1601</v>
      </c>
      <c r="C1731" s="593" t="s">
        <v>271</v>
      </c>
      <c r="D1731" s="594">
        <v>14789</v>
      </c>
      <c r="E1731" s="594">
        <v>2190</v>
      </c>
      <c r="F1731" s="594" t="s">
        <v>233</v>
      </c>
      <c r="G1731" s="594">
        <v>1219</v>
      </c>
      <c r="H1731" s="594">
        <v>5</v>
      </c>
      <c r="I1731" s="594">
        <v>4</v>
      </c>
      <c r="J1731" s="594">
        <v>70</v>
      </c>
      <c r="K1731" s="590" t="s">
        <v>224</v>
      </c>
      <c r="L1731" s="584">
        <f t="shared" si="239"/>
        <v>1309036.4099999999</v>
      </c>
      <c r="M1731" s="607">
        <v>1252900</v>
      </c>
      <c r="N1731" s="675">
        <v>42939</v>
      </c>
      <c r="O1731" s="887"/>
      <c r="P1731" s="597"/>
      <c r="Q1731" s="597">
        <v>13197.41</v>
      </c>
      <c r="R1731" s="599">
        <f>M1731/J1731</f>
        <v>17898.571428571428</v>
      </c>
      <c r="S1731" s="586">
        <f t="shared" si="236"/>
        <v>-8.3673512563109398E-11</v>
      </c>
      <c r="T1731" s="600"/>
      <c r="U1731" s="589"/>
      <c r="V1731" s="589"/>
      <c r="W1731" s="600"/>
      <c r="X1731" s="601"/>
      <c r="Y1731" s="600">
        <f t="shared" si="238"/>
        <v>1309036.4099999999</v>
      </c>
      <c r="Z1731" s="601"/>
    </row>
    <row r="1732" spans="1:26" s="75" customFormat="1" ht="37.5" hidden="1">
      <c r="A1732" s="714">
        <f t="shared" si="234"/>
        <v>241</v>
      </c>
      <c r="B1732" s="592" t="s">
        <v>1604</v>
      </c>
      <c r="C1732" s="593" t="s">
        <v>271</v>
      </c>
      <c r="D1732" s="594">
        <v>24219</v>
      </c>
      <c r="E1732" s="594">
        <v>1593.3</v>
      </c>
      <c r="F1732" s="594" t="s">
        <v>222</v>
      </c>
      <c r="G1732" s="594">
        <v>1139</v>
      </c>
      <c r="H1732" s="594">
        <v>5</v>
      </c>
      <c r="I1732" s="594">
        <v>4</v>
      </c>
      <c r="J1732" s="594">
        <v>80</v>
      </c>
      <c r="K1732" s="590" t="s">
        <v>3875</v>
      </c>
      <c r="L1732" s="1354">
        <f>M1732+N1732+O1732+P1732+Q1732+M1733+N1733+O1733+Q1733</f>
        <v>7058969</v>
      </c>
      <c r="M1732" s="596">
        <v>4779900</v>
      </c>
      <c r="N1732" s="675">
        <v>33500</v>
      </c>
      <c r="O1732" s="887"/>
      <c r="P1732" s="597">
        <v>0</v>
      </c>
      <c r="Q1732" s="597">
        <v>29700</v>
      </c>
      <c r="R1732" s="599">
        <f>M1732/E1732</f>
        <v>3000</v>
      </c>
      <c r="S1732" s="586">
        <f t="shared" si="236"/>
        <v>2215869</v>
      </c>
      <c r="T1732" s="600"/>
      <c r="U1732" s="589"/>
      <c r="V1732" s="589"/>
      <c r="W1732" s="600"/>
      <c r="X1732" s="601"/>
      <c r="Y1732" s="600">
        <f t="shared" si="238"/>
        <v>4843100</v>
      </c>
      <c r="Z1732" s="601"/>
    </row>
    <row r="1733" spans="1:26" s="75" customFormat="1" ht="37.5" hidden="1">
      <c r="A1733" s="714"/>
      <c r="B1733" s="592"/>
      <c r="C1733" s="593"/>
      <c r="D1733" s="594"/>
      <c r="E1733" s="594"/>
      <c r="F1733" s="594"/>
      <c r="G1733" s="594"/>
      <c r="H1733" s="594"/>
      <c r="I1733" s="594"/>
      <c r="J1733" s="594"/>
      <c r="K1733" s="632" t="s">
        <v>30</v>
      </c>
      <c r="L1733" s="1354"/>
      <c r="M1733" s="607">
        <v>2160000</v>
      </c>
      <c r="N1733" s="675"/>
      <c r="O1733" s="887">
        <v>15869</v>
      </c>
      <c r="P1733" s="675"/>
      <c r="Q1733" s="675">
        <v>40000</v>
      </c>
      <c r="R1733" s="599">
        <f>M1733/J1732</f>
        <v>27000</v>
      </c>
      <c r="S1733" s="586">
        <f t="shared" si="236"/>
        <v>-2215869</v>
      </c>
      <c r="T1733" s="600"/>
      <c r="U1733" s="589"/>
      <c r="V1733" s="589"/>
      <c r="W1733" s="600"/>
      <c r="X1733" s="601"/>
      <c r="Y1733" s="600">
        <f t="shared" si="238"/>
        <v>2215869</v>
      </c>
      <c r="Z1733" s="601"/>
    </row>
    <row r="1734" spans="1:26" s="75" customFormat="1" hidden="1">
      <c r="A1734" s="714">
        <f>A1732+1</f>
        <v>242</v>
      </c>
      <c r="B1734" s="592" t="s">
        <v>1605</v>
      </c>
      <c r="C1734" s="593" t="s">
        <v>271</v>
      </c>
      <c r="D1734" s="594">
        <v>36411</v>
      </c>
      <c r="E1734" s="594">
        <v>2154.38</v>
      </c>
      <c r="F1734" s="594" t="s">
        <v>222</v>
      </c>
      <c r="G1734" s="594">
        <v>1139</v>
      </c>
      <c r="H1734" s="594">
        <v>5</v>
      </c>
      <c r="I1734" s="594">
        <v>4</v>
      </c>
      <c r="J1734" s="594">
        <v>80</v>
      </c>
      <c r="K1734" s="590" t="s">
        <v>33</v>
      </c>
      <c r="L1734" s="1354">
        <f>M1734+N1734+O1734+P1734+Q1734+M1735+N1735+O1735+Q1735</f>
        <v>10595295</v>
      </c>
      <c r="M1734" s="596">
        <v>3986500</v>
      </c>
      <c r="N1734" s="675"/>
      <c r="O1734" s="631">
        <v>22187</v>
      </c>
      <c r="P1734" s="597"/>
      <c r="Q1734" s="597">
        <v>39800</v>
      </c>
      <c r="R1734" s="599">
        <f>M1734/G1734</f>
        <v>3500</v>
      </c>
      <c r="S1734" s="586">
        <f t="shared" si="236"/>
        <v>6546808</v>
      </c>
      <c r="T1734" s="600"/>
      <c r="U1734" s="589"/>
      <c r="V1734" s="589"/>
      <c r="W1734" s="600"/>
      <c r="X1734" s="601"/>
      <c r="Y1734" s="600">
        <f t="shared" si="238"/>
        <v>4048487</v>
      </c>
      <c r="Z1734" s="601"/>
    </row>
    <row r="1735" spans="1:26" s="75" customFormat="1" hidden="1">
      <c r="A1735" s="714"/>
      <c r="B1735" s="592"/>
      <c r="C1735" s="593"/>
      <c r="D1735" s="594"/>
      <c r="E1735" s="594"/>
      <c r="F1735" s="594"/>
      <c r="G1735" s="594"/>
      <c r="H1735" s="594"/>
      <c r="I1735" s="594"/>
      <c r="J1735" s="594"/>
      <c r="K1735" s="590" t="s">
        <v>38</v>
      </c>
      <c r="L1735" s="1354"/>
      <c r="M1735" s="596">
        <v>6500000</v>
      </c>
      <c r="N1735" s="675"/>
      <c r="O1735" s="631">
        <v>16808</v>
      </c>
      <c r="P1735" s="597"/>
      <c r="Q1735" s="597">
        <v>30000</v>
      </c>
      <c r="R1735" s="599"/>
      <c r="S1735" s="586"/>
      <c r="T1735" s="600"/>
      <c r="U1735" s="589"/>
      <c r="V1735" s="589"/>
      <c r="W1735" s="600"/>
      <c r="X1735" s="601"/>
      <c r="Y1735" s="600">
        <f t="shared" si="238"/>
        <v>6546808</v>
      </c>
      <c r="Z1735" s="601"/>
    </row>
    <row r="1736" spans="1:26" s="75" customFormat="1" hidden="1">
      <c r="A1736" s="714">
        <f>A1734+1</f>
        <v>243</v>
      </c>
      <c r="B1736" s="592" t="s">
        <v>1606</v>
      </c>
      <c r="C1736" s="593" t="s">
        <v>217</v>
      </c>
      <c r="D1736" s="594">
        <v>16553</v>
      </c>
      <c r="E1736" s="594">
        <v>2580</v>
      </c>
      <c r="F1736" s="594" t="s">
        <v>233</v>
      </c>
      <c r="G1736" s="594">
        <v>533.1</v>
      </c>
      <c r="H1736" s="594">
        <v>9</v>
      </c>
      <c r="I1736" s="594">
        <v>2</v>
      </c>
      <c r="J1736" s="594">
        <v>72</v>
      </c>
      <c r="K1736" s="590" t="s">
        <v>33</v>
      </c>
      <c r="L1736" s="584">
        <f t="shared" ref="L1736:L1749" si="240">M1736+N1736+O1736+P1736+Q1736</f>
        <v>1165014</v>
      </c>
      <c r="M1736" s="596">
        <v>1119510</v>
      </c>
      <c r="N1736" s="675"/>
      <c r="O1736" s="631">
        <v>25604</v>
      </c>
      <c r="P1736" s="597"/>
      <c r="Q1736" s="597">
        <v>19900</v>
      </c>
      <c r="R1736" s="599">
        <f>M1736/G1736</f>
        <v>2100</v>
      </c>
      <c r="S1736" s="586">
        <f t="shared" ref="S1736:S1777" si="241">L1736-M1736-N1736-O1736-P1736-Q1736</f>
        <v>0</v>
      </c>
      <c r="T1736" s="600"/>
      <c r="U1736" s="589"/>
      <c r="V1736" s="589"/>
      <c r="W1736" s="600"/>
      <c r="X1736" s="601"/>
      <c r="Y1736" s="600">
        <f t="shared" si="238"/>
        <v>1165014</v>
      </c>
      <c r="Z1736" s="601"/>
    </row>
    <row r="1737" spans="1:26" s="75" customFormat="1" ht="37.5" hidden="1">
      <c r="A1737" s="714">
        <f t="shared" si="234"/>
        <v>244</v>
      </c>
      <c r="B1737" s="592" t="s">
        <v>1607</v>
      </c>
      <c r="C1737" s="593" t="s">
        <v>271</v>
      </c>
      <c r="D1737" s="594">
        <v>3612</v>
      </c>
      <c r="E1737" s="594">
        <v>812.98</v>
      </c>
      <c r="F1737" s="594" t="s">
        <v>222</v>
      </c>
      <c r="G1737" s="594">
        <v>690.6</v>
      </c>
      <c r="H1737" s="594">
        <v>2</v>
      </c>
      <c r="I1737" s="594">
        <v>2</v>
      </c>
      <c r="J1737" s="594">
        <v>12</v>
      </c>
      <c r="K1737" s="590" t="s">
        <v>30</v>
      </c>
      <c r="L1737" s="584">
        <f t="shared" si="240"/>
        <v>346152.47</v>
      </c>
      <c r="M1737" s="596">
        <v>324000</v>
      </c>
      <c r="N1737" s="675"/>
      <c r="O1737" s="631">
        <v>11022</v>
      </c>
      <c r="P1737" s="597"/>
      <c r="Q1737" s="597">
        <v>11130.47</v>
      </c>
      <c r="R1737" s="599">
        <f>M1737/J1737</f>
        <v>27000</v>
      </c>
      <c r="S1737" s="586">
        <f t="shared" si="241"/>
        <v>-2.7284841053187847E-11</v>
      </c>
      <c r="T1737" s="600"/>
      <c r="U1737" s="589"/>
      <c r="V1737" s="589"/>
      <c r="W1737" s="600"/>
      <c r="X1737" s="601"/>
      <c r="Y1737" s="600">
        <f t="shared" si="238"/>
        <v>346152.47</v>
      </c>
      <c r="Z1737" s="601"/>
    </row>
    <row r="1738" spans="1:26" s="75" customFormat="1" hidden="1">
      <c r="A1738" s="714">
        <f t="shared" si="234"/>
        <v>245</v>
      </c>
      <c r="B1738" s="592" t="s">
        <v>1608</v>
      </c>
      <c r="C1738" s="593" t="s">
        <v>396</v>
      </c>
      <c r="D1738" s="594">
        <v>3004</v>
      </c>
      <c r="E1738" s="594">
        <v>620</v>
      </c>
      <c r="F1738" s="594" t="s">
        <v>222</v>
      </c>
      <c r="G1738" s="594">
        <v>449</v>
      </c>
      <c r="H1738" s="594">
        <v>2</v>
      </c>
      <c r="I1738" s="594">
        <v>1</v>
      </c>
      <c r="J1738" s="594">
        <v>10</v>
      </c>
      <c r="K1738" s="590" t="s">
        <v>33</v>
      </c>
      <c r="L1738" s="584">
        <f t="shared" si="240"/>
        <v>1020340.14</v>
      </c>
      <c r="M1738" s="596">
        <v>987800</v>
      </c>
      <c r="N1738" s="675"/>
      <c r="O1738" s="631">
        <v>17904</v>
      </c>
      <c r="P1738" s="597"/>
      <c r="Q1738" s="597">
        <v>14636.14</v>
      </c>
      <c r="R1738" s="599">
        <f>M1738/G1738</f>
        <v>2200</v>
      </c>
      <c r="S1738" s="586">
        <f t="shared" si="241"/>
        <v>1.4551915228366852E-11</v>
      </c>
      <c r="T1738" s="600"/>
      <c r="U1738" s="589"/>
      <c r="V1738" s="589"/>
      <c r="W1738" s="600"/>
      <c r="X1738" s="601"/>
      <c r="Y1738" s="600">
        <f t="shared" si="238"/>
        <v>1020340.14</v>
      </c>
      <c r="Z1738" s="601"/>
    </row>
    <row r="1739" spans="1:26" s="75" customFormat="1" hidden="1">
      <c r="A1739" s="714">
        <f t="shared" si="234"/>
        <v>246</v>
      </c>
      <c r="B1739" s="616" t="s">
        <v>1609</v>
      </c>
      <c r="C1739" s="617" t="s">
        <v>217</v>
      </c>
      <c r="D1739" s="618">
        <v>9848</v>
      </c>
      <c r="E1739" s="619">
        <v>2362</v>
      </c>
      <c r="F1739" s="620" t="s">
        <v>233</v>
      </c>
      <c r="G1739" s="620">
        <v>760.2</v>
      </c>
      <c r="H1739" s="651">
        <v>5</v>
      </c>
      <c r="I1739" s="620">
        <v>4</v>
      </c>
      <c r="J1739" s="620">
        <v>60</v>
      </c>
      <c r="K1739" s="590" t="s">
        <v>252</v>
      </c>
      <c r="L1739" s="584">
        <f t="shared" si="240"/>
        <v>2327034</v>
      </c>
      <c r="M1739" s="596">
        <v>2280600</v>
      </c>
      <c r="N1739" s="675">
        <v>26534</v>
      </c>
      <c r="O1739" s="887"/>
      <c r="P1739" s="597"/>
      <c r="Q1739" s="597">
        <v>19900</v>
      </c>
      <c r="R1739" s="582">
        <f>M1739/G1739</f>
        <v>3000</v>
      </c>
      <c r="S1739" s="586">
        <f t="shared" si="241"/>
        <v>0</v>
      </c>
      <c r="T1739" s="600"/>
      <c r="U1739" s="589"/>
      <c r="V1739" s="589"/>
      <c r="W1739" s="600"/>
      <c r="X1739" s="601"/>
      <c r="Y1739" s="600">
        <f t="shared" si="238"/>
        <v>2327034</v>
      </c>
      <c r="Z1739" s="601"/>
    </row>
    <row r="1740" spans="1:26" s="75" customFormat="1" ht="37.5" hidden="1">
      <c r="A1740" s="714">
        <f t="shared" si="234"/>
        <v>247</v>
      </c>
      <c r="B1740" s="592" t="s">
        <v>1610</v>
      </c>
      <c r="C1740" s="593" t="s">
        <v>271</v>
      </c>
      <c r="D1740" s="594">
        <v>14461</v>
      </c>
      <c r="E1740" s="594">
        <v>2590</v>
      </c>
      <c r="F1740" s="594" t="s">
        <v>233</v>
      </c>
      <c r="G1740" s="594">
        <v>972.1</v>
      </c>
      <c r="H1740" s="594">
        <v>5</v>
      </c>
      <c r="I1740" s="594">
        <v>4</v>
      </c>
      <c r="J1740" s="594">
        <v>60</v>
      </c>
      <c r="K1740" s="590" t="s">
        <v>30</v>
      </c>
      <c r="L1740" s="584">
        <f t="shared" si="240"/>
        <v>1670000.94</v>
      </c>
      <c r="M1740" s="596">
        <v>1620000</v>
      </c>
      <c r="N1740" s="675"/>
      <c r="O1740" s="631">
        <v>15682</v>
      </c>
      <c r="P1740" s="597"/>
      <c r="Q1740" s="597">
        <v>34318.94</v>
      </c>
      <c r="R1740" s="599">
        <f>M1740/J1740</f>
        <v>27000</v>
      </c>
      <c r="S1740" s="586">
        <f t="shared" si="241"/>
        <v>-5.8207660913467407E-11</v>
      </c>
      <c r="T1740" s="600"/>
      <c r="U1740" s="589"/>
      <c r="V1740" s="589"/>
      <c r="W1740" s="600"/>
      <c r="X1740" s="601"/>
      <c r="Y1740" s="600">
        <f t="shared" si="238"/>
        <v>1670000.94</v>
      </c>
      <c r="Z1740" s="601"/>
    </row>
    <row r="1741" spans="1:26" s="75" customFormat="1" hidden="1">
      <c r="A1741" s="714">
        <f t="shared" si="234"/>
        <v>248</v>
      </c>
      <c r="B1741" s="592" t="s">
        <v>1611</v>
      </c>
      <c r="C1741" s="593" t="s">
        <v>271</v>
      </c>
      <c r="D1741" s="594">
        <v>15374</v>
      </c>
      <c r="E1741" s="594">
        <v>3430</v>
      </c>
      <c r="F1741" s="594" t="s">
        <v>233</v>
      </c>
      <c r="G1741" s="594">
        <v>1034</v>
      </c>
      <c r="H1741" s="594">
        <v>5</v>
      </c>
      <c r="I1741" s="594">
        <v>2</v>
      </c>
      <c r="J1741" s="594">
        <v>140</v>
      </c>
      <c r="K1741" s="590" t="s">
        <v>33</v>
      </c>
      <c r="L1741" s="584">
        <f t="shared" si="240"/>
        <v>2213895</v>
      </c>
      <c r="M1741" s="596">
        <v>2171400</v>
      </c>
      <c r="N1741" s="675"/>
      <c r="O1741" s="631">
        <v>22595</v>
      </c>
      <c r="P1741" s="597"/>
      <c r="Q1741" s="597">
        <v>19900</v>
      </c>
      <c r="R1741" s="599">
        <f>M1741/G1741</f>
        <v>2100</v>
      </c>
      <c r="S1741" s="586">
        <f t="shared" si="241"/>
        <v>0</v>
      </c>
      <c r="T1741" s="600"/>
      <c r="U1741" s="589"/>
      <c r="V1741" s="589"/>
      <c r="W1741" s="600"/>
      <c r="X1741" s="601"/>
      <c r="Y1741" s="600">
        <f t="shared" si="238"/>
        <v>2213895</v>
      </c>
      <c r="Z1741" s="601"/>
    </row>
    <row r="1742" spans="1:26" s="75" customFormat="1" hidden="1">
      <c r="A1742" s="714">
        <f t="shared" si="234"/>
        <v>249</v>
      </c>
      <c r="B1742" s="592" t="s">
        <v>1612</v>
      </c>
      <c r="C1742" s="593" t="s">
        <v>239</v>
      </c>
      <c r="D1742" s="594">
        <v>2571</v>
      </c>
      <c r="E1742" s="594">
        <v>807.8</v>
      </c>
      <c r="F1742" s="594" t="s">
        <v>222</v>
      </c>
      <c r="G1742" s="594">
        <v>548</v>
      </c>
      <c r="H1742" s="594">
        <v>2</v>
      </c>
      <c r="I1742" s="594">
        <v>2</v>
      </c>
      <c r="J1742" s="594">
        <v>12</v>
      </c>
      <c r="K1742" s="590" t="s">
        <v>33</v>
      </c>
      <c r="L1742" s="584">
        <f t="shared" si="240"/>
        <v>1564184.47</v>
      </c>
      <c r="M1742" s="596">
        <v>1534400</v>
      </c>
      <c r="N1742" s="675"/>
      <c r="O1742" s="631">
        <v>17258</v>
      </c>
      <c r="P1742" s="597"/>
      <c r="Q1742" s="597">
        <v>12526.47</v>
      </c>
      <c r="R1742" s="599">
        <f>M1742/G1742</f>
        <v>2800</v>
      </c>
      <c r="S1742" s="586">
        <f t="shared" si="241"/>
        <v>-2.7284841053187847E-11</v>
      </c>
      <c r="T1742" s="600"/>
      <c r="U1742" s="589"/>
      <c r="V1742" s="589"/>
      <c r="W1742" s="600"/>
      <c r="X1742" s="601"/>
      <c r="Y1742" s="600">
        <f t="shared" si="238"/>
        <v>1564184.47</v>
      </c>
      <c r="Z1742" s="601"/>
    </row>
    <row r="1743" spans="1:26" s="75" customFormat="1" hidden="1">
      <c r="A1743" s="714">
        <f t="shared" si="234"/>
        <v>250</v>
      </c>
      <c r="B1743" s="592" t="s">
        <v>1613</v>
      </c>
      <c r="C1743" s="593" t="s">
        <v>239</v>
      </c>
      <c r="D1743" s="594">
        <v>2541</v>
      </c>
      <c r="E1743" s="594">
        <v>586</v>
      </c>
      <c r="F1743" s="594" t="s">
        <v>222</v>
      </c>
      <c r="G1743" s="594">
        <v>500</v>
      </c>
      <c r="H1743" s="594">
        <v>2</v>
      </c>
      <c r="I1743" s="594">
        <v>2</v>
      </c>
      <c r="J1743" s="594">
        <v>12</v>
      </c>
      <c r="K1743" s="590" t="s">
        <v>224</v>
      </c>
      <c r="L1743" s="584">
        <f t="shared" si="240"/>
        <v>283767.46000000002</v>
      </c>
      <c r="M1743" s="596">
        <v>260000</v>
      </c>
      <c r="N1743" s="675">
        <v>21786</v>
      </c>
      <c r="O1743" s="887"/>
      <c r="P1743" s="597"/>
      <c r="Q1743" s="597">
        <v>1981.46</v>
      </c>
      <c r="R1743" s="599">
        <f>M1743/J1743</f>
        <v>21666.666666666668</v>
      </c>
      <c r="S1743" s="586">
        <f t="shared" si="241"/>
        <v>2.0918378140777349E-11</v>
      </c>
      <c r="T1743" s="600"/>
      <c r="U1743" s="589"/>
      <c r="V1743" s="589"/>
      <c r="W1743" s="600"/>
      <c r="X1743" s="601"/>
      <c r="Y1743" s="600">
        <f t="shared" si="238"/>
        <v>283767.46000000002</v>
      </c>
      <c r="Z1743" s="601"/>
    </row>
    <row r="1744" spans="1:26" s="75" customFormat="1" hidden="1">
      <c r="A1744" s="714">
        <f t="shared" si="234"/>
        <v>251</v>
      </c>
      <c r="B1744" s="592" t="s">
        <v>1614</v>
      </c>
      <c r="C1744" s="593" t="s">
        <v>271</v>
      </c>
      <c r="D1744" s="594">
        <v>11357</v>
      </c>
      <c r="E1744" s="594">
        <v>1599</v>
      </c>
      <c r="F1744" s="594" t="s">
        <v>222</v>
      </c>
      <c r="G1744" s="594">
        <v>1106</v>
      </c>
      <c r="H1744" s="594">
        <v>3</v>
      </c>
      <c r="I1744" s="594">
        <v>3</v>
      </c>
      <c r="J1744" s="594">
        <v>24</v>
      </c>
      <c r="K1744" s="590" t="s">
        <v>33</v>
      </c>
      <c r="L1744" s="584">
        <f t="shared" si="240"/>
        <v>3151111.85</v>
      </c>
      <c r="M1744" s="596">
        <v>3096800</v>
      </c>
      <c r="N1744" s="675"/>
      <c r="O1744" s="631">
        <v>19297</v>
      </c>
      <c r="P1744" s="597"/>
      <c r="Q1744" s="597">
        <v>35014.85</v>
      </c>
      <c r="R1744" s="599">
        <f>M1744/G1744</f>
        <v>2800</v>
      </c>
      <c r="S1744" s="586">
        <f t="shared" si="241"/>
        <v>9.4587448984384537E-11</v>
      </c>
      <c r="T1744" s="600"/>
      <c r="U1744" s="589"/>
      <c r="V1744" s="589"/>
      <c r="W1744" s="600"/>
      <c r="X1744" s="601"/>
      <c r="Y1744" s="600">
        <f t="shared" si="238"/>
        <v>3151111.85</v>
      </c>
      <c r="Z1744" s="601"/>
    </row>
    <row r="1745" spans="1:26" s="75" customFormat="1" hidden="1">
      <c r="A1745" s="714">
        <f t="shared" si="234"/>
        <v>252</v>
      </c>
      <c r="B1745" s="592" t="s">
        <v>1615</v>
      </c>
      <c r="C1745" s="593" t="s">
        <v>271</v>
      </c>
      <c r="D1745" s="594">
        <v>2951</v>
      </c>
      <c r="E1745" s="594">
        <v>705.94</v>
      </c>
      <c r="F1745" s="594" t="s">
        <v>222</v>
      </c>
      <c r="G1745" s="594">
        <v>558</v>
      </c>
      <c r="H1745" s="594">
        <v>2</v>
      </c>
      <c r="I1745" s="594">
        <v>2</v>
      </c>
      <c r="J1745" s="594">
        <v>8</v>
      </c>
      <c r="K1745" s="590" t="s">
        <v>33</v>
      </c>
      <c r="L1745" s="584">
        <f t="shared" si="240"/>
        <v>1594602.91</v>
      </c>
      <c r="M1745" s="596">
        <v>1562400</v>
      </c>
      <c r="N1745" s="675"/>
      <c r="O1745" s="631">
        <v>17825</v>
      </c>
      <c r="P1745" s="597"/>
      <c r="Q1745" s="597">
        <v>14377.91</v>
      </c>
      <c r="R1745" s="599">
        <f>M1745/G1745</f>
        <v>2800</v>
      </c>
      <c r="S1745" s="586">
        <f t="shared" si="241"/>
        <v>-8.3673512563109398E-11</v>
      </c>
      <c r="T1745" s="600"/>
      <c r="U1745" s="589"/>
      <c r="V1745" s="589"/>
      <c r="W1745" s="600"/>
      <c r="X1745" s="601"/>
      <c r="Y1745" s="600">
        <f t="shared" si="238"/>
        <v>1594602.91</v>
      </c>
      <c r="Z1745" s="601"/>
    </row>
    <row r="1746" spans="1:26" s="75" customFormat="1" hidden="1">
      <c r="A1746" s="714">
        <f t="shared" si="234"/>
        <v>253</v>
      </c>
      <c r="B1746" s="592" t="s">
        <v>1616</v>
      </c>
      <c r="C1746" s="593" t="s">
        <v>271</v>
      </c>
      <c r="D1746" s="594">
        <v>2525</v>
      </c>
      <c r="E1746" s="594">
        <v>605</v>
      </c>
      <c r="F1746" s="594" t="s">
        <v>222</v>
      </c>
      <c r="G1746" s="594">
        <v>560</v>
      </c>
      <c r="H1746" s="594">
        <v>2</v>
      </c>
      <c r="I1746" s="594">
        <v>2</v>
      </c>
      <c r="J1746" s="594">
        <v>8</v>
      </c>
      <c r="K1746" s="590" t="s">
        <v>33</v>
      </c>
      <c r="L1746" s="584">
        <f t="shared" si="240"/>
        <v>1597492.35</v>
      </c>
      <c r="M1746" s="596">
        <v>1568000</v>
      </c>
      <c r="N1746" s="675"/>
      <c r="O1746" s="631">
        <v>17190</v>
      </c>
      <c r="P1746" s="597"/>
      <c r="Q1746" s="597">
        <v>12302.35</v>
      </c>
      <c r="R1746" s="599">
        <f>M1746/G1746</f>
        <v>2800</v>
      </c>
      <c r="S1746" s="586">
        <f t="shared" si="241"/>
        <v>9.276845958083868E-11</v>
      </c>
      <c r="T1746" s="600"/>
      <c r="U1746" s="589"/>
      <c r="V1746" s="589"/>
      <c r="W1746" s="600"/>
      <c r="X1746" s="601"/>
      <c r="Y1746" s="600">
        <f t="shared" si="238"/>
        <v>1597492.35</v>
      </c>
      <c r="Z1746" s="601"/>
    </row>
    <row r="1747" spans="1:26" s="75" customFormat="1" hidden="1">
      <c r="A1747" s="714">
        <f t="shared" si="234"/>
        <v>254</v>
      </c>
      <c r="B1747" s="592" t="s">
        <v>1617</v>
      </c>
      <c r="C1747" s="593" t="s">
        <v>271</v>
      </c>
      <c r="D1747" s="594">
        <v>14538</v>
      </c>
      <c r="E1747" s="594">
        <v>3003.4</v>
      </c>
      <c r="F1747" s="594" t="s">
        <v>371</v>
      </c>
      <c r="G1747" s="594">
        <v>1763.4</v>
      </c>
      <c r="H1747" s="594">
        <v>5</v>
      </c>
      <c r="I1747" s="594">
        <v>4</v>
      </c>
      <c r="J1747" s="594">
        <v>79</v>
      </c>
      <c r="K1747" s="590" t="s">
        <v>224</v>
      </c>
      <c r="L1747" s="584">
        <f t="shared" si="240"/>
        <v>1451683.81</v>
      </c>
      <c r="M1747" s="607">
        <v>1396900</v>
      </c>
      <c r="N1747" s="675">
        <v>42819</v>
      </c>
      <c r="O1747" s="887"/>
      <c r="P1747" s="597"/>
      <c r="Q1747" s="597">
        <v>11964.81</v>
      </c>
      <c r="R1747" s="599">
        <f>M1747/J1747</f>
        <v>17682.278481012658</v>
      </c>
      <c r="S1747" s="586">
        <f t="shared" si="241"/>
        <v>5.6388671509921551E-11</v>
      </c>
      <c r="T1747" s="600"/>
      <c r="U1747" s="589"/>
      <c r="V1747" s="589"/>
      <c r="W1747" s="600"/>
      <c r="X1747" s="601"/>
      <c r="Y1747" s="600">
        <f t="shared" si="238"/>
        <v>1451683.81</v>
      </c>
      <c r="Z1747" s="601"/>
    </row>
    <row r="1748" spans="1:26" s="75" customFormat="1" ht="37.5" hidden="1">
      <c r="A1748" s="714">
        <f t="shared" si="234"/>
        <v>255</v>
      </c>
      <c r="B1748" s="592" t="s">
        <v>1618</v>
      </c>
      <c r="C1748" s="593" t="s">
        <v>271</v>
      </c>
      <c r="D1748" s="594">
        <v>7891</v>
      </c>
      <c r="E1748" s="594">
        <v>2250</v>
      </c>
      <c r="F1748" s="594" t="s">
        <v>222</v>
      </c>
      <c r="G1748" s="594">
        <v>1148</v>
      </c>
      <c r="H1748" s="594">
        <v>5</v>
      </c>
      <c r="I1748" s="594">
        <v>4</v>
      </c>
      <c r="J1748" s="594">
        <v>48</v>
      </c>
      <c r="K1748" s="590" t="s">
        <v>30</v>
      </c>
      <c r="L1748" s="584">
        <f t="shared" si="240"/>
        <v>1331757.3999999999</v>
      </c>
      <c r="M1748" s="596">
        <v>1296000</v>
      </c>
      <c r="N1748" s="675"/>
      <c r="O1748" s="631">
        <v>14424</v>
      </c>
      <c r="P1748" s="597"/>
      <c r="Q1748" s="597">
        <v>21333.4</v>
      </c>
      <c r="R1748" s="599">
        <f>M1748/J1748</f>
        <v>27000</v>
      </c>
      <c r="S1748" s="586">
        <f t="shared" si="241"/>
        <v>-9.4587448984384537E-11</v>
      </c>
      <c r="T1748" s="600"/>
      <c r="U1748" s="589"/>
      <c r="V1748" s="589"/>
      <c r="W1748" s="600"/>
      <c r="X1748" s="601"/>
      <c r="Y1748" s="600">
        <f t="shared" si="238"/>
        <v>1331757.3999999999</v>
      </c>
      <c r="Z1748" s="601"/>
    </row>
    <row r="1749" spans="1:26" s="75" customFormat="1" hidden="1">
      <c r="A1749" s="714">
        <f t="shared" si="234"/>
        <v>256</v>
      </c>
      <c r="B1749" s="592" t="s">
        <v>1619</v>
      </c>
      <c r="C1749" s="593" t="s">
        <v>271</v>
      </c>
      <c r="D1749" s="594">
        <v>22168</v>
      </c>
      <c r="E1749" s="594">
        <v>3480</v>
      </c>
      <c r="F1749" s="594" t="s">
        <v>233</v>
      </c>
      <c r="G1749" s="594">
        <v>1639</v>
      </c>
      <c r="H1749" s="594">
        <v>5</v>
      </c>
      <c r="I1749" s="594">
        <v>6</v>
      </c>
      <c r="J1749" s="594">
        <v>100</v>
      </c>
      <c r="K1749" s="590" t="s">
        <v>224</v>
      </c>
      <c r="L1749" s="584">
        <f t="shared" si="240"/>
        <v>1786492.05</v>
      </c>
      <c r="M1749" s="607">
        <v>1732900</v>
      </c>
      <c r="N1749" s="675">
        <v>34231</v>
      </c>
      <c r="O1749" s="887"/>
      <c r="P1749" s="597"/>
      <c r="Q1749" s="597">
        <v>19361.05</v>
      </c>
      <c r="R1749" s="599">
        <f>M1749/J1749</f>
        <v>17329</v>
      </c>
      <c r="S1749" s="586">
        <f t="shared" si="241"/>
        <v>4.7293724492192268E-11</v>
      </c>
      <c r="T1749" s="600"/>
      <c r="U1749" s="589"/>
      <c r="V1749" s="589"/>
      <c r="W1749" s="600"/>
      <c r="X1749" s="601"/>
      <c r="Y1749" s="600">
        <f t="shared" si="238"/>
        <v>1786492.05</v>
      </c>
      <c r="Z1749" s="601"/>
    </row>
    <row r="1750" spans="1:26" ht="37.5" hidden="1">
      <c r="A1750" s="616">
        <f>A1749+1</f>
        <v>257</v>
      </c>
      <c r="B1750" s="592" t="s">
        <v>1620</v>
      </c>
      <c r="C1750" s="593" t="s">
        <v>271</v>
      </c>
      <c r="D1750" s="618">
        <v>8534</v>
      </c>
      <c r="E1750" s="594">
        <v>1612</v>
      </c>
      <c r="F1750" s="593" t="s">
        <v>233</v>
      </c>
      <c r="G1750" s="618">
        <v>624.4</v>
      </c>
      <c r="H1750" s="650">
        <v>5</v>
      </c>
      <c r="I1750" s="650">
        <v>3</v>
      </c>
      <c r="J1750" s="650">
        <v>35</v>
      </c>
      <c r="K1750" s="610" t="s">
        <v>30</v>
      </c>
      <c r="L1750" s="584">
        <f>SUBTOTAL(9,M1750:Q1751)</f>
        <v>2333355.4</v>
      </c>
      <c r="M1750" s="585">
        <v>945000</v>
      </c>
      <c r="N1750" s="630"/>
      <c r="O1750" s="631">
        <v>14596</v>
      </c>
      <c r="P1750" s="586"/>
      <c r="Q1750" s="586">
        <v>21333.4</v>
      </c>
      <c r="R1750" s="582">
        <f>M1750/J1750</f>
        <v>27000</v>
      </c>
      <c r="S1750" s="586">
        <f t="shared" si="241"/>
        <v>1352426</v>
      </c>
      <c r="T1750" s="588"/>
      <c r="U1750" s="589"/>
      <c r="V1750" s="589"/>
      <c r="W1750" s="600"/>
      <c r="Y1750" s="600">
        <f t="shared" si="238"/>
        <v>980929.4</v>
      </c>
    </row>
    <row r="1751" spans="1:26" hidden="1">
      <c r="A1751" s="616"/>
      <c r="B1751" s="592"/>
      <c r="C1751" s="593" t="s">
        <v>271</v>
      </c>
      <c r="D1751" s="618">
        <v>8534</v>
      </c>
      <c r="E1751" s="594">
        <v>1612</v>
      </c>
      <c r="F1751" s="593" t="s">
        <v>233</v>
      </c>
      <c r="G1751" s="618">
        <v>624.4</v>
      </c>
      <c r="H1751" s="650">
        <v>5</v>
      </c>
      <c r="I1751" s="650">
        <v>3</v>
      </c>
      <c r="J1751" s="650">
        <v>35</v>
      </c>
      <c r="K1751" s="590" t="s">
        <v>33</v>
      </c>
      <c r="L1751" s="584"/>
      <c r="M1751" s="585">
        <v>1311240</v>
      </c>
      <c r="N1751" s="630"/>
      <c r="O1751" s="631">
        <v>21286</v>
      </c>
      <c r="P1751" s="586"/>
      <c r="Q1751" s="597">
        <v>19900</v>
      </c>
      <c r="R1751" s="582">
        <f>M1751/G1751</f>
        <v>2100</v>
      </c>
      <c r="S1751" s="586">
        <f t="shared" si="241"/>
        <v>-1352426</v>
      </c>
      <c r="T1751" s="588"/>
      <c r="U1751" s="560"/>
      <c r="V1751" s="589"/>
      <c r="W1751" s="600"/>
      <c r="Y1751" s="600">
        <f t="shared" si="238"/>
        <v>1352426</v>
      </c>
    </row>
    <row r="1752" spans="1:26" s="75" customFormat="1" hidden="1">
      <c r="A1752" s="714">
        <f>A1750+1</f>
        <v>258</v>
      </c>
      <c r="B1752" s="592" t="s">
        <v>1621</v>
      </c>
      <c r="C1752" s="593" t="s">
        <v>271</v>
      </c>
      <c r="D1752" s="594">
        <v>3856</v>
      </c>
      <c r="E1752" s="594">
        <v>1296</v>
      </c>
      <c r="F1752" s="594" t="s">
        <v>230</v>
      </c>
      <c r="G1752" s="594">
        <v>470</v>
      </c>
      <c r="H1752" s="594">
        <v>3</v>
      </c>
      <c r="I1752" s="594">
        <v>2</v>
      </c>
      <c r="J1752" s="594">
        <v>16</v>
      </c>
      <c r="K1752" s="590" t="s">
        <v>224</v>
      </c>
      <c r="L1752" s="584">
        <f t="shared" ref="L1752:L1764" si="242">M1752+N1752+O1752+P1752+Q1752</f>
        <v>489611.52000000002</v>
      </c>
      <c r="M1752" s="607">
        <v>465000</v>
      </c>
      <c r="N1752" s="675">
        <v>21842</v>
      </c>
      <c r="O1752" s="887"/>
      <c r="P1752" s="597"/>
      <c r="Q1752" s="597">
        <v>2769.52</v>
      </c>
      <c r="R1752" s="599">
        <f>M1752/J1752</f>
        <v>29062.5</v>
      </c>
      <c r="S1752" s="586">
        <f t="shared" si="241"/>
        <v>1.8644641386345029E-11</v>
      </c>
      <c r="T1752" s="600"/>
      <c r="U1752" s="589"/>
      <c r="V1752" s="589"/>
      <c r="W1752" s="600"/>
      <c r="X1752" s="601"/>
      <c r="Y1752" s="600">
        <f t="shared" si="238"/>
        <v>489611.52000000002</v>
      </c>
      <c r="Z1752" s="601"/>
    </row>
    <row r="1753" spans="1:26" s="75" customFormat="1" hidden="1">
      <c r="A1753" s="714">
        <f t="shared" ref="A1753:A1774" si="243">A1752+1</f>
        <v>259</v>
      </c>
      <c r="B1753" s="592" t="s">
        <v>1622</v>
      </c>
      <c r="C1753" s="593" t="s">
        <v>271</v>
      </c>
      <c r="D1753" s="618">
        <v>16403</v>
      </c>
      <c r="E1753" s="594">
        <v>2018</v>
      </c>
      <c r="F1753" s="582" t="s">
        <v>233</v>
      </c>
      <c r="G1753" s="618">
        <v>1031</v>
      </c>
      <c r="H1753" s="650">
        <v>5</v>
      </c>
      <c r="I1753" s="650">
        <v>4</v>
      </c>
      <c r="J1753" s="650">
        <v>70</v>
      </c>
      <c r="K1753" s="590" t="s">
        <v>252</v>
      </c>
      <c r="L1753" s="584">
        <f t="shared" si="242"/>
        <v>3141322</v>
      </c>
      <c r="M1753" s="585">
        <v>3093000</v>
      </c>
      <c r="N1753" s="630">
        <v>28422</v>
      </c>
      <c r="O1753" s="631"/>
      <c r="P1753" s="586"/>
      <c r="Q1753" s="597">
        <v>19900</v>
      </c>
      <c r="R1753" s="582">
        <f>M1753/G1753</f>
        <v>3000</v>
      </c>
      <c r="S1753" s="586">
        <f t="shared" si="241"/>
        <v>0</v>
      </c>
      <c r="T1753" s="600"/>
      <c r="U1753" s="589"/>
      <c r="V1753" s="589"/>
      <c r="W1753" s="600"/>
      <c r="X1753" s="601"/>
      <c r="Y1753" s="600">
        <f t="shared" si="238"/>
        <v>3141322</v>
      </c>
      <c r="Z1753" s="601"/>
    </row>
    <row r="1754" spans="1:26" s="75" customFormat="1" hidden="1">
      <c r="A1754" s="714">
        <f t="shared" si="243"/>
        <v>260</v>
      </c>
      <c r="B1754" s="592" t="s">
        <v>1623</v>
      </c>
      <c r="C1754" s="593" t="s">
        <v>271</v>
      </c>
      <c r="D1754" s="594">
        <v>13594</v>
      </c>
      <c r="E1754" s="594">
        <v>2333</v>
      </c>
      <c r="F1754" s="594" t="s">
        <v>371</v>
      </c>
      <c r="G1754" s="594">
        <v>1031</v>
      </c>
      <c r="H1754" s="594">
        <v>5</v>
      </c>
      <c r="I1754" s="594">
        <v>4</v>
      </c>
      <c r="J1754" s="594">
        <v>66</v>
      </c>
      <c r="K1754" s="590" t="s">
        <v>224</v>
      </c>
      <c r="L1754" s="584">
        <f t="shared" si="242"/>
        <v>1236774.8999999999</v>
      </c>
      <c r="M1754" s="607">
        <v>1188900</v>
      </c>
      <c r="N1754" s="675">
        <v>32907</v>
      </c>
      <c r="O1754" s="887"/>
      <c r="P1754" s="597"/>
      <c r="Q1754" s="597">
        <v>14967.9</v>
      </c>
      <c r="R1754" s="599">
        <f>M1754/J1754</f>
        <v>18013.636363636364</v>
      </c>
      <c r="S1754" s="586">
        <f t="shared" si="241"/>
        <v>-9.276845958083868E-11</v>
      </c>
      <c r="T1754" s="600"/>
      <c r="U1754" s="589"/>
      <c r="V1754" s="589"/>
      <c r="W1754" s="600"/>
      <c r="X1754" s="601"/>
      <c r="Y1754" s="600">
        <f t="shared" si="238"/>
        <v>1236774.8999999999</v>
      </c>
      <c r="Z1754" s="601"/>
    </row>
    <row r="1755" spans="1:26" s="75" customFormat="1" hidden="1">
      <c r="A1755" s="714">
        <f t="shared" si="243"/>
        <v>261</v>
      </c>
      <c r="B1755" s="592" t="s">
        <v>1625</v>
      </c>
      <c r="C1755" s="593" t="s">
        <v>217</v>
      </c>
      <c r="D1755" s="594">
        <v>35746</v>
      </c>
      <c r="E1755" s="594">
        <v>6210</v>
      </c>
      <c r="F1755" s="594" t="s">
        <v>233</v>
      </c>
      <c r="G1755" s="594">
        <v>1004.4</v>
      </c>
      <c r="H1755" s="594">
        <v>9</v>
      </c>
      <c r="I1755" s="594">
        <v>4</v>
      </c>
      <c r="J1755" s="594">
        <v>144</v>
      </c>
      <c r="K1755" s="590" t="s">
        <v>33</v>
      </c>
      <c r="L1755" s="584">
        <f t="shared" si="242"/>
        <v>2148459.81</v>
      </c>
      <c r="M1755" s="596">
        <v>2109240</v>
      </c>
      <c r="N1755" s="675"/>
      <c r="O1755" s="631">
        <v>27255</v>
      </c>
      <c r="P1755" s="597"/>
      <c r="Q1755" s="597">
        <v>11964.81</v>
      </c>
      <c r="R1755" s="599">
        <f>M1755/G1755</f>
        <v>2100</v>
      </c>
      <c r="S1755" s="586">
        <f t="shared" si="241"/>
        <v>5.6388671509921551E-11</v>
      </c>
      <c r="T1755" s="600"/>
      <c r="U1755" s="589"/>
      <c r="V1755" s="589"/>
      <c r="W1755" s="600"/>
      <c r="X1755" s="601"/>
      <c r="Y1755" s="600">
        <f t="shared" si="238"/>
        <v>2148459.81</v>
      </c>
      <c r="Z1755" s="601"/>
    </row>
    <row r="1756" spans="1:26" s="75" customFormat="1" hidden="1">
      <c r="A1756" s="714">
        <f t="shared" si="243"/>
        <v>262</v>
      </c>
      <c r="B1756" s="592" t="s">
        <v>1626</v>
      </c>
      <c r="C1756" s="593" t="s">
        <v>217</v>
      </c>
      <c r="D1756" s="594">
        <v>18229</v>
      </c>
      <c r="E1756" s="594">
        <v>3510</v>
      </c>
      <c r="F1756" s="594" t="s">
        <v>233</v>
      </c>
      <c r="G1756" s="594">
        <v>633</v>
      </c>
      <c r="H1756" s="594">
        <v>9</v>
      </c>
      <c r="I1756" s="594">
        <v>2</v>
      </c>
      <c r="J1756" s="594">
        <v>72</v>
      </c>
      <c r="K1756" s="590" t="s">
        <v>33</v>
      </c>
      <c r="L1756" s="584">
        <f t="shared" si="242"/>
        <v>1375272</v>
      </c>
      <c r="M1756" s="596">
        <v>1329300</v>
      </c>
      <c r="N1756" s="675"/>
      <c r="O1756" s="631">
        <v>26072</v>
      </c>
      <c r="P1756" s="597"/>
      <c r="Q1756" s="597">
        <v>19900</v>
      </c>
      <c r="R1756" s="599">
        <f>M1756/G1756</f>
        <v>2100</v>
      </c>
      <c r="S1756" s="586">
        <f t="shared" si="241"/>
        <v>0</v>
      </c>
      <c r="T1756" s="600"/>
      <c r="U1756" s="589"/>
      <c r="V1756" s="589"/>
      <c r="W1756" s="600"/>
      <c r="X1756" s="601"/>
      <c r="Y1756" s="600">
        <f t="shared" si="238"/>
        <v>1375272</v>
      </c>
      <c r="Z1756" s="601"/>
    </row>
    <row r="1757" spans="1:26" s="75" customFormat="1" hidden="1">
      <c r="A1757" s="714">
        <f t="shared" si="243"/>
        <v>263</v>
      </c>
      <c r="B1757" s="592" t="s">
        <v>1627</v>
      </c>
      <c r="C1757" s="593" t="s">
        <v>271</v>
      </c>
      <c r="D1757" s="594">
        <v>1079</v>
      </c>
      <c r="E1757" s="594">
        <v>236</v>
      </c>
      <c r="F1757" s="594" t="s">
        <v>230</v>
      </c>
      <c r="G1757" s="594">
        <v>249.7</v>
      </c>
      <c r="H1757" s="594">
        <v>2</v>
      </c>
      <c r="I1757" s="594">
        <v>1</v>
      </c>
      <c r="J1757" s="594">
        <v>8</v>
      </c>
      <c r="K1757" s="590" t="s">
        <v>33</v>
      </c>
      <c r="L1757" s="584">
        <f t="shared" si="242"/>
        <v>721329.12</v>
      </c>
      <c r="M1757" s="596">
        <v>699160</v>
      </c>
      <c r="N1757" s="675"/>
      <c r="O1757" s="631">
        <v>16912</v>
      </c>
      <c r="P1757" s="597"/>
      <c r="Q1757" s="597">
        <v>5257.12</v>
      </c>
      <c r="R1757" s="599">
        <f>M1757/G1757</f>
        <v>2800</v>
      </c>
      <c r="S1757" s="586">
        <f t="shared" si="241"/>
        <v>0</v>
      </c>
      <c r="T1757" s="600"/>
      <c r="U1757" s="589"/>
      <c r="V1757" s="589"/>
      <c r="W1757" s="600"/>
      <c r="X1757" s="601"/>
      <c r="Y1757" s="600">
        <f t="shared" si="238"/>
        <v>721329.12</v>
      </c>
      <c r="Z1757" s="601"/>
    </row>
    <row r="1758" spans="1:26" s="75" customFormat="1" hidden="1">
      <c r="A1758" s="714">
        <f t="shared" si="243"/>
        <v>264</v>
      </c>
      <c r="B1758" s="592" t="s">
        <v>1628</v>
      </c>
      <c r="C1758" s="593" t="s">
        <v>271</v>
      </c>
      <c r="D1758" s="594">
        <v>6636</v>
      </c>
      <c r="E1758" s="594">
        <v>1025.0999999999999</v>
      </c>
      <c r="F1758" s="594" t="s">
        <v>222</v>
      </c>
      <c r="G1758" s="594">
        <v>1062</v>
      </c>
      <c r="H1758" s="594">
        <v>2</v>
      </c>
      <c r="I1758" s="594">
        <v>4</v>
      </c>
      <c r="J1758" s="594">
        <v>24</v>
      </c>
      <c r="K1758" s="590" t="s">
        <v>33</v>
      </c>
      <c r="L1758" s="584">
        <f t="shared" si="242"/>
        <v>3024006.03</v>
      </c>
      <c r="M1758" s="596">
        <v>2973600</v>
      </c>
      <c r="N1758" s="675"/>
      <c r="O1758" s="631">
        <v>18074</v>
      </c>
      <c r="P1758" s="597"/>
      <c r="Q1758" s="597">
        <v>32332.03</v>
      </c>
      <c r="R1758" s="599">
        <f>M1758/G1758</f>
        <v>2800</v>
      </c>
      <c r="S1758" s="586">
        <f t="shared" si="241"/>
        <v>-2.0372681319713593E-10</v>
      </c>
      <c r="T1758" s="600"/>
      <c r="U1758" s="589"/>
      <c r="V1758" s="589"/>
      <c r="W1758" s="600"/>
      <c r="X1758" s="601"/>
      <c r="Y1758" s="600">
        <f t="shared" si="238"/>
        <v>3024006.03</v>
      </c>
      <c r="Z1758" s="601"/>
    </row>
    <row r="1759" spans="1:26" s="75" customFormat="1" hidden="1">
      <c r="A1759" s="714">
        <f t="shared" si="243"/>
        <v>265</v>
      </c>
      <c r="B1759" s="592" t="s">
        <v>1629</v>
      </c>
      <c r="C1759" s="593" t="s">
        <v>271</v>
      </c>
      <c r="D1759" s="594">
        <v>26759</v>
      </c>
      <c r="E1759" s="594">
        <v>4252.5</v>
      </c>
      <c r="F1759" s="594" t="s">
        <v>233</v>
      </c>
      <c r="G1759" s="594">
        <v>1234</v>
      </c>
      <c r="H1759" s="594">
        <v>9</v>
      </c>
      <c r="I1759" s="594">
        <v>3</v>
      </c>
      <c r="J1759" s="594">
        <v>110</v>
      </c>
      <c r="K1759" s="590" t="s">
        <v>380</v>
      </c>
      <c r="L1759" s="584">
        <f t="shared" si="242"/>
        <v>14565557</v>
      </c>
      <c r="M1759" s="596">
        <v>14500000</v>
      </c>
      <c r="N1759" s="675">
        <v>35857</v>
      </c>
      <c r="O1759" s="887"/>
      <c r="P1759" s="597"/>
      <c r="Q1759" s="597">
        <v>29700</v>
      </c>
      <c r="R1759" s="599">
        <f>M1759/E1759</f>
        <v>3409.758965314521</v>
      </c>
      <c r="S1759" s="586">
        <f t="shared" si="241"/>
        <v>0</v>
      </c>
      <c r="T1759" s="600"/>
      <c r="U1759" s="589"/>
      <c r="V1759" s="589"/>
      <c r="W1759" s="600"/>
      <c r="X1759" s="601"/>
      <c r="Y1759" s="600">
        <f t="shared" si="238"/>
        <v>14565557</v>
      </c>
      <c r="Z1759" s="601"/>
    </row>
    <row r="1760" spans="1:26" s="75" customFormat="1" hidden="1">
      <c r="A1760" s="714">
        <f t="shared" si="243"/>
        <v>266</v>
      </c>
      <c r="B1760" s="592" t="s">
        <v>1630</v>
      </c>
      <c r="C1760" s="593" t="s">
        <v>271</v>
      </c>
      <c r="D1760" s="594">
        <v>9998</v>
      </c>
      <c r="E1760" s="594">
        <v>2349</v>
      </c>
      <c r="F1760" s="594" t="s">
        <v>233</v>
      </c>
      <c r="G1760" s="594">
        <v>434</v>
      </c>
      <c r="H1760" s="594">
        <v>9</v>
      </c>
      <c r="I1760" s="594">
        <v>1</v>
      </c>
      <c r="J1760" s="594">
        <v>52</v>
      </c>
      <c r="K1760" s="590" t="s">
        <v>33</v>
      </c>
      <c r="L1760" s="584">
        <f t="shared" si="242"/>
        <v>950662.1</v>
      </c>
      <c r="M1760" s="596">
        <v>911400</v>
      </c>
      <c r="N1760" s="675"/>
      <c r="O1760" s="631">
        <v>21869</v>
      </c>
      <c r="P1760" s="597"/>
      <c r="Q1760" s="597">
        <v>17393.099999999999</v>
      </c>
      <c r="R1760" s="599">
        <f>M1760/G1760</f>
        <v>2100</v>
      </c>
      <c r="S1760" s="586">
        <f t="shared" si="241"/>
        <v>0</v>
      </c>
      <c r="T1760" s="600"/>
      <c r="U1760" s="589"/>
      <c r="V1760" s="589"/>
      <c r="W1760" s="600"/>
      <c r="X1760" s="601"/>
      <c r="Y1760" s="600">
        <f t="shared" si="238"/>
        <v>950662.1</v>
      </c>
      <c r="Z1760" s="601"/>
    </row>
    <row r="1761" spans="1:26" s="75" customFormat="1" ht="37.5" hidden="1">
      <c r="A1761" s="714">
        <f t="shared" si="243"/>
        <v>267</v>
      </c>
      <c r="B1761" s="592" t="s">
        <v>1631</v>
      </c>
      <c r="C1761" s="593" t="s">
        <v>217</v>
      </c>
      <c r="D1761" s="594">
        <v>16374</v>
      </c>
      <c r="E1761" s="594">
        <v>2970</v>
      </c>
      <c r="F1761" s="594" t="s">
        <v>233</v>
      </c>
      <c r="G1761" s="594">
        <v>647</v>
      </c>
      <c r="H1761" s="594">
        <v>9</v>
      </c>
      <c r="I1761" s="594">
        <v>2</v>
      </c>
      <c r="J1761" s="594">
        <v>72</v>
      </c>
      <c r="K1761" s="590" t="s">
        <v>30</v>
      </c>
      <c r="L1761" s="584">
        <f t="shared" si="242"/>
        <v>2357483.94</v>
      </c>
      <c r="M1761" s="596">
        <v>2304000</v>
      </c>
      <c r="N1761" s="675"/>
      <c r="O1761" s="631">
        <v>19165</v>
      </c>
      <c r="P1761" s="597"/>
      <c r="Q1761" s="597">
        <v>34318.94</v>
      </c>
      <c r="R1761" s="599">
        <f>M1761/J1761</f>
        <v>32000</v>
      </c>
      <c r="S1761" s="586">
        <f t="shared" si="241"/>
        <v>-5.8207660913467407E-11</v>
      </c>
      <c r="T1761" s="600"/>
      <c r="U1761" s="589"/>
      <c r="V1761" s="589"/>
      <c r="W1761" s="600"/>
      <c r="X1761" s="601"/>
      <c r="Y1761" s="600">
        <f t="shared" si="238"/>
        <v>2357483.94</v>
      </c>
      <c r="Z1761" s="601"/>
    </row>
    <row r="1762" spans="1:26" s="75" customFormat="1" ht="37.5" hidden="1">
      <c r="A1762" s="714">
        <f t="shared" si="243"/>
        <v>268</v>
      </c>
      <c r="B1762" s="592" t="s">
        <v>1632</v>
      </c>
      <c r="C1762" s="593" t="s">
        <v>217</v>
      </c>
      <c r="D1762" s="594">
        <v>32592</v>
      </c>
      <c r="E1762" s="594">
        <v>4050</v>
      </c>
      <c r="F1762" s="594" t="s">
        <v>233</v>
      </c>
      <c r="G1762" s="594">
        <v>977.7</v>
      </c>
      <c r="H1762" s="594">
        <v>9</v>
      </c>
      <c r="I1762" s="594">
        <v>3</v>
      </c>
      <c r="J1762" s="594">
        <v>117</v>
      </c>
      <c r="K1762" s="590" t="s">
        <v>30</v>
      </c>
      <c r="L1762" s="584">
        <f t="shared" si="242"/>
        <v>3805239</v>
      </c>
      <c r="M1762" s="596">
        <v>3744000</v>
      </c>
      <c r="N1762" s="675"/>
      <c r="O1762" s="631">
        <v>21439</v>
      </c>
      <c r="P1762" s="597"/>
      <c r="Q1762" s="597">
        <v>39800</v>
      </c>
      <c r="R1762" s="599">
        <f>M1762/J1762</f>
        <v>32000</v>
      </c>
      <c r="S1762" s="586">
        <f t="shared" si="241"/>
        <v>0</v>
      </c>
      <c r="T1762" s="600"/>
      <c r="U1762" s="589"/>
      <c r="V1762" s="589"/>
      <c r="W1762" s="600"/>
      <c r="X1762" s="601"/>
      <c r="Y1762" s="600">
        <f t="shared" si="238"/>
        <v>3805239</v>
      </c>
      <c r="Z1762" s="601"/>
    </row>
    <row r="1763" spans="1:26" s="75" customFormat="1" ht="37.5" hidden="1">
      <c r="A1763" s="714">
        <f t="shared" si="243"/>
        <v>269</v>
      </c>
      <c r="B1763" s="592" t="s">
        <v>1634</v>
      </c>
      <c r="C1763" s="593" t="s">
        <v>217</v>
      </c>
      <c r="D1763" s="594">
        <v>59840</v>
      </c>
      <c r="E1763" s="594">
        <v>10173</v>
      </c>
      <c r="F1763" s="594" t="s">
        <v>233</v>
      </c>
      <c r="G1763" s="594">
        <v>2473.6999999999998</v>
      </c>
      <c r="H1763" s="594">
        <v>9</v>
      </c>
      <c r="I1763" s="594">
        <v>7</v>
      </c>
      <c r="J1763" s="594">
        <v>266</v>
      </c>
      <c r="K1763" s="590" t="s">
        <v>30</v>
      </c>
      <c r="L1763" s="584">
        <f t="shared" si="242"/>
        <v>8575840</v>
      </c>
      <c r="M1763" s="596">
        <v>8512000</v>
      </c>
      <c r="N1763" s="675"/>
      <c r="O1763" s="631">
        <v>24040</v>
      </c>
      <c r="P1763" s="597"/>
      <c r="Q1763" s="597">
        <v>39800</v>
      </c>
      <c r="R1763" s="599">
        <f>M1763/J1763</f>
        <v>32000</v>
      </c>
      <c r="S1763" s="586">
        <f t="shared" si="241"/>
        <v>0</v>
      </c>
      <c r="T1763" s="600"/>
      <c r="U1763" s="589"/>
      <c r="V1763" s="589"/>
      <c r="W1763" s="600"/>
      <c r="X1763" s="601"/>
      <c r="Y1763" s="600">
        <f t="shared" si="238"/>
        <v>8575840</v>
      </c>
      <c r="Z1763" s="601"/>
    </row>
    <row r="1764" spans="1:26" s="75" customFormat="1" hidden="1">
      <c r="A1764" s="714">
        <f t="shared" si="243"/>
        <v>270</v>
      </c>
      <c r="B1764" s="592" t="s">
        <v>1635</v>
      </c>
      <c r="C1764" s="593" t="s">
        <v>217</v>
      </c>
      <c r="D1764" s="594">
        <v>62028</v>
      </c>
      <c r="E1764" s="594">
        <v>10343</v>
      </c>
      <c r="F1764" s="594" t="s">
        <v>233</v>
      </c>
      <c r="G1764" s="594">
        <v>1712</v>
      </c>
      <c r="H1764" s="594">
        <v>9</v>
      </c>
      <c r="I1764" s="594">
        <v>7</v>
      </c>
      <c r="J1764" s="594">
        <v>266</v>
      </c>
      <c r="K1764" s="590" t="s">
        <v>224</v>
      </c>
      <c r="L1764" s="584">
        <f t="shared" si="242"/>
        <v>5517536</v>
      </c>
      <c r="M1764" s="607">
        <v>5452900</v>
      </c>
      <c r="N1764" s="675">
        <v>44836</v>
      </c>
      <c r="O1764" s="887"/>
      <c r="P1764" s="597"/>
      <c r="Q1764" s="597">
        <v>19800</v>
      </c>
      <c r="R1764" s="599">
        <f>M1764/J1764</f>
        <v>20499.624060150374</v>
      </c>
      <c r="S1764" s="586">
        <f t="shared" si="241"/>
        <v>0</v>
      </c>
      <c r="T1764" s="600"/>
      <c r="U1764" s="589"/>
      <c r="V1764" s="589"/>
      <c r="W1764" s="600"/>
      <c r="X1764" s="601"/>
      <c r="Y1764" s="600">
        <f t="shared" si="238"/>
        <v>5517536</v>
      </c>
      <c r="Z1764" s="601"/>
    </row>
    <row r="1765" spans="1:26" s="75" customFormat="1" hidden="1">
      <c r="A1765" s="714">
        <f t="shared" si="243"/>
        <v>271</v>
      </c>
      <c r="B1765" s="592" t="s">
        <v>1636</v>
      </c>
      <c r="C1765" s="617" t="s">
        <v>271</v>
      </c>
      <c r="D1765" s="582">
        <v>4527</v>
      </c>
      <c r="E1765" s="582">
        <v>855</v>
      </c>
      <c r="F1765" s="620" t="s">
        <v>222</v>
      </c>
      <c r="G1765" s="582">
        <v>530</v>
      </c>
      <c r="H1765" s="602">
        <v>3</v>
      </c>
      <c r="I1765" s="602">
        <v>2</v>
      </c>
      <c r="J1765" s="582">
        <v>24</v>
      </c>
      <c r="K1765" s="606" t="s">
        <v>33</v>
      </c>
      <c r="L1765" s="584">
        <f>SUBTOTAL(9,M1765:Q1765)</f>
        <v>1515434.22</v>
      </c>
      <c r="M1765" s="585">
        <v>1484000</v>
      </c>
      <c r="N1765" s="630"/>
      <c r="O1765" s="887">
        <v>17477</v>
      </c>
      <c r="P1765" s="586"/>
      <c r="Q1765" s="586">
        <v>13957.22</v>
      </c>
      <c r="R1765" s="582">
        <f>M1765/G1765</f>
        <v>2800</v>
      </c>
      <c r="S1765" s="586">
        <f t="shared" si="241"/>
        <v>-2.7284841053187847E-11</v>
      </c>
      <c r="T1765" s="600"/>
      <c r="U1765" s="589"/>
      <c r="V1765" s="589"/>
      <c r="W1765" s="600"/>
      <c r="X1765" s="601"/>
      <c r="Y1765" s="600">
        <f t="shared" si="238"/>
        <v>1515434.22</v>
      </c>
      <c r="Z1765" s="601"/>
    </row>
    <row r="1766" spans="1:26" s="75" customFormat="1" hidden="1">
      <c r="A1766" s="714">
        <f t="shared" si="243"/>
        <v>272</v>
      </c>
      <c r="B1766" s="592" t="s">
        <v>1638</v>
      </c>
      <c r="C1766" s="593" t="s">
        <v>217</v>
      </c>
      <c r="D1766" s="594">
        <v>16255</v>
      </c>
      <c r="E1766" s="594">
        <v>3043</v>
      </c>
      <c r="F1766" s="594" t="s">
        <v>233</v>
      </c>
      <c r="G1766" s="594">
        <v>623</v>
      </c>
      <c r="H1766" s="594">
        <v>9</v>
      </c>
      <c r="I1766" s="594">
        <v>2</v>
      </c>
      <c r="J1766" s="594">
        <v>71</v>
      </c>
      <c r="K1766" s="590" t="s">
        <v>33</v>
      </c>
      <c r="L1766" s="584">
        <f t="shared" ref="L1766:L1772" si="244">M1766+N1766+O1766+P1766+Q1766</f>
        <v>1351679</v>
      </c>
      <c r="M1766" s="596">
        <v>1308300</v>
      </c>
      <c r="N1766" s="675"/>
      <c r="O1766" s="631">
        <v>23479</v>
      </c>
      <c r="P1766" s="597"/>
      <c r="Q1766" s="597">
        <v>19900</v>
      </c>
      <c r="R1766" s="599">
        <f>M1766/G1766</f>
        <v>2100</v>
      </c>
      <c r="S1766" s="586">
        <f t="shared" si="241"/>
        <v>0</v>
      </c>
      <c r="T1766" s="600"/>
      <c r="U1766" s="589"/>
      <c r="V1766" s="589"/>
      <c r="W1766" s="600"/>
      <c r="X1766" s="601"/>
      <c r="Y1766" s="600">
        <f t="shared" si="238"/>
        <v>1351679</v>
      </c>
      <c r="Z1766" s="601"/>
    </row>
    <row r="1767" spans="1:26" s="75" customFormat="1" ht="37.5" hidden="1">
      <c r="A1767" s="714">
        <f t="shared" si="243"/>
        <v>273</v>
      </c>
      <c r="B1767" s="592" t="s">
        <v>1639</v>
      </c>
      <c r="C1767" s="593" t="s">
        <v>217</v>
      </c>
      <c r="D1767" s="594">
        <v>15994</v>
      </c>
      <c r="E1767" s="594">
        <v>1172</v>
      </c>
      <c r="F1767" s="594" t="s">
        <v>233</v>
      </c>
      <c r="G1767" s="594">
        <v>623</v>
      </c>
      <c r="H1767" s="594">
        <v>9</v>
      </c>
      <c r="I1767" s="594">
        <v>2</v>
      </c>
      <c r="J1767" s="594">
        <v>71</v>
      </c>
      <c r="K1767" s="590" t="s">
        <v>30</v>
      </c>
      <c r="L1767" s="584">
        <f t="shared" si="244"/>
        <v>2326358.94</v>
      </c>
      <c r="M1767" s="596">
        <v>2272000</v>
      </c>
      <c r="N1767" s="675"/>
      <c r="O1767" s="631">
        <v>20040</v>
      </c>
      <c r="P1767" s="597"/>
      <c r="Q1767" s="597">
        <v>34318.94</v>
      </c>
      <c r="R1767" s="599">
        <f>M1767/J1767</f>
        <v>32000</v>
      </c>
      <c r="S1767" s="586">
        <f t="shared" si="241"/>
        <v>-5.8207660913467407E-11</v>
      </c>
      <c r="T1767" s="600"/>
      <c r="U1767" s="589"/>
      <c r="V1767" s="589"/>
      <c r="W1767" s="600"/>
      <c r="X1767" s="601"/>
      <c r="Y1767" s="600">
        <f t="shared" si="238"/>
        <v>2326358.94</v>
      </c>
      <c r="Z1767" s="601"/>
    </row>
    <row r="1768" spans="1:26" s="75" customFormat="1" hidden="1">
      <c r="A1768" s="714">
        <f t="shared" si="243"/>
        <v>274</v>
      </c>
      <c r="B1768" s="592" t="s">
        <v>1640</v>
      </c>
      <c r="C1768" s="593" t="s">
        <v>217</v>
      </c>
      <c r="D1768" s="594">
        <v>44832</v>
      </c>
      <c r="E1768" s="594">
        <v>7010</v>
      </c>
      <c r="F1768" s="594" t="s">
        <v>233</v>
      </c>
      <c r="G1768" s="594">
        <v>1890</v>
      </c>
      <c r="H1768" s="594">
        <v>9</v>
      </c>
      <c r="I1768" s="594">
        <v>4</v>
      </c>
      <c r="J1768" s="594">
        <v>215</v>
      </c>
      <c r="K1768" s="590" t="s">
        <v>224</v>
      </c>
      <c r="L1768" s="584">
        <f t="shared" si="244"/>
        <v>4497941</v>
      </c>
      <c r="M1768" s="607">
        <v>4432900</v>
      </c>
      <c r="N1768" s="675">
        <v>45241</v>
      </c>
      <c r="O1768" s="887"/>
      <c r="P1768" s="597"/>
      <c r="Q1768" s="597">
        <v>19800</v>
      </c>
      <c r="R1768" s="599">
        <f>M1768/J1768</f>
        <v>20618.139534883721</v>
      </c>
      <c r="S1768" s="586">
        <f t="shared" si="241"/>
        <v>0</v>
      </c>
      <c r="T1768" s="600"/>
      <c r="U1768" s="589"/>
      <c r="V1768" s="589"/>
      <c r="W1768" s="600"/>
      <c r="X1768" s="601"/>
      <c r="Y1768" s="600">
        <f t="shared" si="238"/>
        <v>4497941</v>
      </c>
      <c r="Z1768" s="601"/>
    </row>
    <row r="1769" spans="1:26" s="75" customFormat="1" hidden="1">
      <c r="A1769" s="714">
        <f t="shared" si="243"/>
        <v>275</v>
      </c>
      <c r="B1769" s="592" t="s">
        <v>1633</v>
      </c>
      <c r="C1769" s="593" t="s">
        <v>217</v>
      </c>
      <c r="D1769" s="594">
        <v>46725</v>
      </c>
      <c r="E1769" s="594">
        <v>6980</v>
      </c>
      <c r="F1769" s="594" t="s">
        <v>233</v>
      </c>
      <c r="G1769" s="594">
        <v>1715</v>
      </c>
      <c r="H1769" s="594">
        <v>9</v>
      </c>
      <c r="I1769" s="594">
        <v>4</v>
      </c>
      <c r="J1769" s="594">
        <v>216</v>
      </c>
      <c r="K1769" s="590" t="s">
        <v>224</v>
      </c>
      <c r="L1769" s="584">
        <f t="shared" si="244"/>
        <v>4518656</v>
      </c>
      <c r="M1769" s="607">
        <v>4452900</v>
      </c>
      <c r="N1769" s="675">
        <v>45956</v>
      </c>
      <c r="O1769" s="887"/>
      <c r="P1769" s="597"/>
      <c r="Q1769" s="597">
        <v>19800</v>
      </c>
      <c r="R1769" s="599">
        <f>M1769/J1769</f>
        <v>20615.277777777777</v>
      </c>
      <c r="S1769" s="586">
        <f t="shared" si="241"/>
        <v>0</v>
      </c>
      <c r="T1769" s="600"/>
      <c r="U1769" s="589"/>
      <c r="V1769" s="589"/>
      <c r="W1769" s="600"/>
      <c r="X1769" s="601"/>
      <c r="Y1769" s="600">
        <f t="shared" si="238"/>
        <v>4518656</v>
      </c>
      <c r="Z1769" s="601"/>
    </row>
    <row r="1770" spans="1:26" s="75" customFormat="1" hidden="1">
      <c r="A1770" s="714">
        <f t="shared" si="243"/>
        <v>276</v>
      </c>
      <c r="B1770" s="592" t="s">
        <v>1641</v>
      </c>
      <c r="C1770" s="593" t="s">
        <v>217</v>
      </c>
      <c r="D1770" s="594">
        <v>42771</v>
      </c>
      <c r="E1770" s="594">
        <v>6870</v>
      </c>
      <c r="F1770" s="594" t="s">
        <v>233</v>
      </c>
      <c r="G1770" s="594">
        <v>1718</v>
      </c>
      <c r="H1770" s="594">
        <v>9</v>
      </c>
      <c r="I1770" s="594">
        <v>4</v>
      </c>
      <c r="J1770" s="594">
        <v>215</v>
      </c>
      <c r="K1770" s="590" t="s">
        <v>224</v>
      </c>
      <c r="L1770" s="584">
        <f t="shared" si="244"/>
        <v>4497163</v>
      </c>
      <c r="M1770" s="607">
        <v>4432900</v>
      </c>
      <c r="N1770" s="675">
        <v>44463</v>
      </c>
      <c r="O1770" s="887"/>
      <c r="P1770" s="597"/>
      <c r="Q1770" s="597">
        <v>19800</v>
      </c>
      <c r="R1770" s="599">
        <f>M1770/J1770</f>
        <v>20618.139534883721</v>
      </c>
      <c r="S1770" s="586">
        <f t="shared" si="241"/>
        <v>0</v>
      </c>
      <c r="T1770" s="600"/>
      <c r="U1770" s="589"/>
      <c r="V1770" s="589"/>
      <c r="W1770" s="600"/>
      <c r="X1770" s="601"/>
      <c r="Y1770" s="600">
        <f t="shared" si="238"/>
        <v>4497163</v>
      </c>
      <c r="Z1770" s="601"/>
    </row>
    <row r="1771" spans="1:26" s="75" customFormat="1" ht="37.5" hidden="1">
      <c r="A1771" s="714">
        <f t="shared" si="243"/>
        <v>277</v>
      </c>
      <c r="B1771" s="592" t="s">
        <v>1642</v>
      </c>
      <c r="C1771" s="593" t="s">
        <v>217</v>
      </c>
      <c r="D1771" s="594">
        <v>43845</v>
      </c>
      <c r="E1771" s="594">
        <v>7200</v>
      </c>
      <c r="F1771" s="594" t="s">
        <v>233</v>
      </c>
      <c r="G1771" s="594">
        <v>1719</v>
      </c>
      <c r="H1771" s="594">
        <v>9</v>
      </c>
      <c r="I1771" s="594">
        <v>4</v>
      </c>
      <c r="J1771" s="594">
        <v>216</v>
      </c>
      <c r="K1771" s="590" t="s">
        <v>30</v>
      </c>
      <c r="L1771" s="584">
        <f t="shared" si="244"/>
        <v>6974234</v>
      </c>
      <c r="M1771" s="596">
        <v>6912000</v>
      </c>
      <c r="N1771" s="675"/>
      <c r="O1771" s="631">
        <v>22434</v>
      </c>
      <c r="P1771" s="597"/>
      <c r="Q1771" s="597">
        <v>39800</v>
      </c>
      <c r="R1771" s="599">
        <f>M1771/J1771</f>
        <v>32000</v>
      </c>
      <c r="S1771" s="586">
        <f t="shared" si="241"/>
        <v>0</v>
      </c>
      <c r="T1771" s="600"/>
      <c r="U1771" s="589"/>
      <c r="V1771" s="589"/>
      <c r="W1771" s="600"/>
      <c r="X1771" s="601"/>
      <c r="Y1771" s="600">
        <f t="shared" si="238"/>
        <v>6974234</v>
      </c>
      <c r="Z1771" s="601"/>
    </row>
    <row r="1772" spans="1:26" s="75" customFormat="1" hidden="1">
      <c r="A1772" s="714">
        <f t="shared" si="243"/>
        <v>278</v>
      </c>
      <c r="B1772" s="592" t="s">
        <v>1643</v>
      </c>
      <c r="C1772" s="593" t="s">
        <v>271</v>
      </c>
      <c r="D1772" s="594">
        <v>10012</v>
      </c>
      <c r="E1772" s="594">
        <v>260</v>
      </c>
      <c r="F1772" s="594" t="s">
        <v>222</v>
      </c>
      <c r="G1772" s="594">
        <v>1165</v>
      </c>
      <c r="H1772" s="594">
        <v>3</v>
      </c>
      <c r="I1772" s="594">
        <v>6</v>
      </c>
      <c r="J1772" s="594">
        <v>57</v>
      </c>
      <c r="K1772" s="590" t="s">
        <v>33</v>
      </c>
      <c r="L1772" s="584">
        <f t="shared" si="244"/>
        <v>3312594.06</v>
      </c>
      <c r="M1772" s="596">
        <v>3262000</v>
      </c>
      <c r="N1772" s="675"/>
      <c r="O1772" s="631">
        <v>19726</v>
      </c>
      <c r="P1772" s="597"/>
      <c r="Q1772" s="597">
        <v>30868.06</v>
      </c>
      <c r="R1772" s="599">
        <f>M1772/G1772</f>
        <v>2800</v>
      </c>
      <c r="S1772" s="586">
        <f t="shared" si="241"/>
        <v>5.4569682106375694E-11</v>
      </c>
      <c r="T1772" s="600"/>
      <c r="U1772" s="589"/>
      <c r="V1772" s="589"/>
      <c r="W1772" s="600"/>
      <c r="X1772" s="601"/>
      <c r="Y1772" s="600">
        <f t="shared" si="238"/>
        <v>3312594.06</v>
      </c>
      <c r="Z1772" s="601"/>
    </row>
    <row r="1773" spans="1:26" s="75" customFormat="1" hidden="1">
      <c r="A1773" s="714">
        <f t="shared" si="243"/>
        <v>279</v>
      </c>
      <c r="B1773" s="592" t="s">
        <v>1644</v>
      </c>
      <c r="C1773" s="593" t="s">
        <v>271</v>
      </c>
      <c r="D1773" s="582">
        <v>62510</v>
      </c>
      <c r="E1773" s="646">
        <v>8432</v>
      </c>
      <c r="F1773" s="582" t="s">
        <v>233</v>
      </c>
      <c r="G1773" s="582">
        <v>2366</v>
      </c>
      <c r="H1773" s="582">
        <v>9</v>
      </c>
      <c r="I1773" s="582">
        <v>6</v>
      </c>
      <c r="J1773" s="582">
        <v>198</v>
      </c>
      <c r="K1773" s="610" t="s">
        <v>224</v>
      </c>
      <c r="L1773" s="584">
        <f>SUBTOTAL(9,M1773:Q1773)</f>
        <v>4157694</v>
      </c>
      <c r="M1773" s="623">
        <v>4092900</v>
      </c>
      <c r="N1773" s="630">
        <v>44994</v>
      </c>
      <c r="O1773" s="631"/>
      <c r="P1773" s="586"/>
      <c r="Q1773" s="586">
        <v>19800</v>
      </c>
      <c r="R1773" s="582">
        <f>M1773/J1773</f>
        <v>20671.21212121212</v>
      </c>
      <c r="S1773" s="586">
        <f t="shared" si="241"/>
        <v>0</v>
      </c>
      <c r="T1773" s="600"/>
      <c r="U1773" s="589"/>
      <c r="V1773" s="589"/>
      <c r="W1773" s="600"/>
      <c r="X1773" s="601"/>
      <c r="Y1773" s="600">
        <f t="shared" si="238"/>
        <v>4157694</v>
      </c>
      <c r="Z1773" s="601"/>
    </row>
    <row r="1774" spans="1:26" s="75" customFormat="1" hidden="1">
      <c r="A1774" s="714">
        <f t="shared" si="243"/>
        <v>280</v>
      </c>
      <c r="B1774" s="592" t="s">
        <v>1645</v>
      </c>
      <c r="C1774" s="593" t="s">
        <v>271</v>
      </c>
      <c r="D1774" s="594">
        <v>16186</v>
      </c>
      <c r="E1774" s="594">
        <v>5693</v>
      </c>
      <c r="F1774" s="594" t="s">
        <v>233</v>
      </c>
      <c r="G1774" s="594">
        <v>1047.2</v>
      </c>
      <c r="H1774" s="594">
        <v>9</v>
      </c>
      <c r="I1774" s="594">
        <v>2</v>
      </c>
      <c r="J1774" s="594">
        <v>99</v>
      </c>
      <c r="K1774" s="590" t="s">
        <v>224</v>
      </c>
      <c r="L1774" s="584">
        <f>M1774+N1774+O1774+P1774+Q1774</f>
        <v>2167126</v>
      </c>
      <c r="M1774" s="607">
        <v>2112900</v>
      </c>
      <c r="N1774" s="675">
        <v>34426</v>
      </c>
      <c r="O1774" s="887"/>
      <c r="P1774" s="597"/>
      <c r="Q1774" s="597">
        <v>19800</v>
      </c>
      <c r="R1774" s="599">
        <f>M1774/J1774</f>
        <v>21342.424242424244</v>
      </c>
      <c r="S1774" s="586">
        <f t="shared" si="241"/>
        <v>0</v>
      </c>
      <c r="T1774" s="600"/>
      <c r="U1774" s="589"/>
      <c r="V1774" s="589"/>
      <c r="W1774" s="600"/>
      <c r="X1774" s="601"/>
      <c r="Y1774" s="600">
        <f t="shared" si="238"/>
        <v>2167126</v>
      </c>
      <c r="Z1774" s="601"/>
    </row>
    <row r="1775" spans="1:26" s="75" customFormat="1" hidden="1">
      <c r="A1775" s="714">
        <f t="shared" ref="A1775:A1790" si="245">A1774+1</f>
        <v>281</v>
      </c>
      <c r="B1775" s="592" t="s">
        <v>1646</v>
      </c>
      <c r="C1775" s="593" t="s">
        <v>217</v>
      </c>
      <c r="D1775" s="594">
        <v>18609</v>
      </c>
      <c r="E1775" s="594">
        <v>3410</v>
      </c>
      <c r="F1775" s="594" t="s">
        <v>251</v>
      </c>
      <c r="G1775" s="594">
        <v>1659</v>
      </c>
      <c r="H1775" s="594">
        <v>5</v>
      </c>
      <c r="I1775" s="594">
        <v>6</v>
      </c>
      <c r="J1775" s="594">
        <v>120</v>
      </c>
      <c r="K1775" s="590" t="s">
        <v>224</v>
      </c>
      <c r="L1775" s="584">
        <f>M1775+N1775+O1775+P1775+Q1775</f>
        <v>2117466</v>
      </c>
      <c r="M1775" s="607">
        <v>2052900</v>
      </c>
      <c r="N1775" s="675">
        <v>44766</v>
      </c>
      <c r="O1775" s="887"/>
      <c r="P1775" s="597"/>
      <c r="Q1775" s="597">
        <v>19800</v>
      </c>
      <c r="R1775" s="599">
        <f>M1775/J1775</f>
        <v>17107.5</v>
      </c>
      <c r="S1775" s="586">
        <f t="shared" si="241"/>
        <v>0</v>
      </c>
      <c r="T1775" s="600"/>
      <c r="U1775" s="589"/>
      <c r="V1775" s="589"/>
      <c r="W1775" s="600"/>
      <c r="X1775" s="601"/>
      <c r="Y1775" s="600">
        <f t="shared" si="238"/>
        <v>2117466</v>
      </c>
      <c r="Z1775" s="601"/>
    </row>
    <row r="1776" spans="1:26" s="75" customFormat="1" ht="37.5" hidden="1">
      <c r="A1776" s="714">
        <f t="shared" si="245"/>
        <v>282</v>
      </c>
      <c r="B1776" s="592" t="s">
        <v>1647</v>
      </c>
      <c r="C1776" s="593" t="s">
        <v>271</v>
      </c>
      <c r="D1776" s="594">
        <v>4454</v>
      </c>
      <c r="E1776" s="594">
        <v>455.7</v>
      </c>
      <c r="F1776" s="594" t="s">
        <v>222</v>
      </c>
      <c r="G1776" s="594">
        <v>1041.5999999999999</v>
      </c>
      <c r="H1776" s="594">
        <v>2</v>
      </c>
      <c r="I1776" s="594">
        <v>2</v>
      </c>
      <c r="J1776" s="594">
        <v>57</v>
      </c>
      <c r="K1776" s="590" t="s">
        <v>30</v>
      </c>
      <c r="L1776" s="584">
        <f>M1776+N1776+O1776+P1776+Q1776</f>
        <v>1846104.47</v>
      </c>
      <c r="M1776" s="596">
        <v>1824000</v>
      </c>
      <c r="N1776" s="675"/>
      <c r="O1776" s="631">
        <v>10974</v>
      </c>
      <c r="P1776" s="597"/>
      <c r="Q1776" s="597">
        <v>11130.47</v>
      </c>
      <c r="R1776" s="599">
        <f>M1776/J1776</f>
        <v>32000</v>
      </c>
      <c r="S1776" s="586">
        <f t="shared" si="241"/>
        <v>-2.7284841053187847E-11</v>
      </c>
      <c r="T1776" s="600"/>
      <c r="U1776" s="589"/>
      <c r="V1776" s="589"/>
      <c r="W1776" s="600"/>
      <c r="X1776" s="601"/>
      <c r="Y1776" s="600">
        <f t="shared" si="238"/>
        <v>1846104.47</v>
      </c>
      <c r="Z1776" s="601"/>
    </row>
    <row r="1777" spans="1:26" s="75" customFormat="1" hidden="1">
      <c r="A1777" s="714">
        <f t="shared" si="245"/>
        <v>283</v>
      </c>
      <c r="B1777" s="592" t="s">
        <v>1648</v>
      </c>
      <c r="C1777" s="593" t="s">
        <v>271</v>
      </c>
      <c r="D1777" s="594">
        <v>16931</v>
      </c>
      <c r="E1777" s="594">
        <v>2991.1</v>
      </c>
      <c r="F1777" s="594" t="s">
        <v>222</v>
      </c>
      <c r="G1777" s="594">
        <v>1005</v>
      </c>
      <c r="H1777" s="594">
        <v>4</v>
      </c>
      <c r="I1777" s="594">
        <v>2</v>
      </c>
      <c r="J1777" s="594">
        <v>58</v>
      </c>
      <c r="K1777" s="590" t="s">
        <v>284</v>
      </c>
      <c r="L1777" s="584">
        <f>M1777+N1777+O1777+P1777+Q1777+M1778+N1778+O1778+Q1778</f>
        <v>11902966</v>
      </c>
      <c r="M1777" s="596">
        <v>8973300</v>
      </c>
      <c r="N1777" s="675">
        <v>29098</v>
      </c>
      <c r="O1777" s="887"/>
      <c r="P1777" s="597"/>
      <c r="Q1777" s="597">
        <v>29700</v>
      </c>
      <c r="R1777" s="599">
        <f>M1777/E1777</f>
        <v>3000</v>
      </c>
      <c r="S1777" s="586">
        <f t="shared" si="241"/>
        <v>2870868</v>
      </c>
      <c r="T1777" s="600"/>
      <c r="U1777" s="589"/>
      <c r="V1777" s="589"/>
      <c r="W1777" s="600"/>
      <c r="X1777" s="601"/>
      <c r="Y1777" s="600">
        <f t="shared" si="238"/>
        <v>9032098</v>
      </c>
      <c r="Z1777" s="601"/>
    </row>
    <row r="1778" spans="1:26" s="75" customFormat="1" hidden="1">
      <c r="A1778" s="714"/>
      <c r="B1778" s="592"/>
      <c r="C1778" s="593"/>
      <c r="D1778" s="594"/>
      <c r="E1778" s="594"/>
      <c r="F1778" s="594"/>
      <c r="G1778" s="594"/>
      <c r="H1778" s="594">
        <v>58</v>
      </c>
      <c r="I1778" s="594"/>
      <c r="J1778" s="594"/>
      <c r="K1778" s="590" t="s">
        <v>33</v>
      </c>
      <c r="L1778" s="584"/>
      <c r="M1778" s="596">
        <v>2814000</v>
      </c>
      <c r="N1778" s="675"/>
      <c r="O1778" s="887">
        <v>16868</v>
      </c>
      <c r="P1778" s="597"/>
      <c r="Q1778" s="597">
        <v>40000</v>
      </c>
      <c r="R1778" s="599"/>
      <c r="S1778" s="586"/>
      <c r="T1778" s="600"/>
      <c r="U1778" s="589"/>
      <c r="V1778" s="589"/>
      <c r="W1778" s="600"/>
      <c r="X1778" s="601"/>
      <c r="Y1778" s="600">
        <f t="shared" si="238"/>
        <v>2870868</v>
      </c>
      <c r="Z1778" s="601"/>
    </row>
    <row r="1779" spans="1:26" s="75" customFormat="1" ht="37.5" hidden="1">
      <c r="A1779" s="714">
        <f>A1777+1</f>
        <v>284</v>
      </c>
      <c r="B1779" s="592" t="s">
        <v>1651</v>
      </c>
      <c r="C1779" s="593" t="s">
        <v>271</v>
      </c>
      <c r="D1779" s="594">
        <v>46744</v>
      </c>
      <c r="E1779" s="594">
        <v>6180</v>
      </c>
      <c r="F1779" s="594" t="s">
        <v>230</v>
      </c>
      <c r="G1779" s="594">
        <v>1467</v>
      </c>
      <c r="H1779" s="594">
        <v>10</v>
      </c>
      <c r="I1779" s="594">
        <v>3</v>
      </c>
      <c r="J1779" s="594">
        <v>168</v>
      </c>
      <c r="K1779" s="590" t="s">
        <v>30</v>
      </c>
      <c r="L1779" s="584">
        <f t="shared" ref="L1779:L1790" si="246">M1779+N1779+O1779+P1779+Q1779</f>
        <v>5438782</v>
      </c>
      <c r="M1779" s="596">
        <v>5376000</v>
      </c>
      <c r="N1779" s="675"/>
      <c r="O1779" s="631">
        <v>22982</v>
      </c>
      <c r="P1779" s="597"/>
      <c r="Q1779" s="597">
        <v>39800</v>
      </c>
      <c r="R1779" s="599">
        <f>M1779/J1779</f>
        <v>32000</v>
      </c>
      <c r="S1779" s="586">
        <f t="shared" ref="S1779:S1807" si="247">L1779-M1779-N1779-O1779-P1779-Q1779</f>
        <v>0</v>
      </c>
      <c r="T1779" s="600"/>
      <c r="U1779" s="589"/>
      <c r="V1779" s="589"/>
      <c r="W1779" s="600"/>
      <c r="X1779" s="601"/>
      <c r="Y1779" s="600">
        <f t="shared" si="238"/>
        <v>5438782</v>
      </c>
      <c r="Z1779" s="601"/>
    </row>
    <row r="1780" spans="1:26" s="75" customFormat="1" hidden="1">
      <c r="A1780" s="714">
        <f t="shared" si="245"/>
        <v>285</v>
      </c>
      <c r="B1780" s="592" t="s">
        <v>1652</v>
      </c>
      <c r="C1780" s="593" t="s">
        <v>271</v>
      </c>
      <c r="D1780" s="594">
        <v>62897</v>
      </c>
      <c r="E1780" s="594">
        <v>12750</v>
      </c>
      <c r="F1780" s="594" t="s">
        <v>233</v>
      </c>
      <c r="G1780" s="594">
        <v>3320</v>
      </c>
      <c r="H1780" s="594">
        <v>10</v>
      </c>
      <c r="I1780" s="594">
        <v>8</v>
      </c>
      <c r="J1780" s="594">
        <v>276</v>
      </c>
      <c r="K1780" s="590" t="s">
        <v>224</v>
      </c>
      <c r="L1780" s="584">
        <f t="shared" si="246"/>
        <v>5717820</v>
      </c>
      <c r="M1780" s="607">
        <v>5652900</v>
      </c>
      <c r="N1780" s="675">
        <v>45120</v>
      </c>
      <c r="O1780" s="887"/>
      <c r="P1780" s="597"/>
      <c r="Q1780" s="597">
        <v>19800</v>
      </c>
      <c r="R1780" s="599">
        <f>M1780/J1780</f>
        <v>20481.521739130436</v>
      </c>
      <c r="S1780" s="586">
        <f t="shared" si="247"/>
        <v>0</v>
      </c>
      <c r="T1780" s="600"/>
      <c r="U1780" s="589"/>
      <c r="V1780" s="589"/>
      <c r="W1780" s="600"/>
      <c r="X1780" s="601"/>
      <c r="Y1780" s="600">
        <f t="shared" si="238"/>
        <v>5717820</v>
      </c>
      <c r="Z1780" s="601"/>
    </row>
    <row r="1781" spans="1:26" s="75" customFormat="1" ht="37.5" hidden="1">
      <c r="A1781" s="714">
        <f t="shared" si="245"/>
        <v>286</v>
      </c>
      <c r="B1781" s="592" t="s">
        <v>1653</v>
      </c>
      <c r="C1781" s="593" t="s">
        <v>217</v>
      </c>
      <c r="D1781" s="594">
        <v>13256</v>
      </c>
      <c r="E1781" s="594">
        <v>2250</v>
      </c>
      <c r="F1781" s="594" t="s">
        <v>233</v>
      </c>
      <c r="G1781" s="594">
        <v>523</v>
      </c>
      <c r="H1781" s="594">
        <v>9</v>
      </c>
      <c r="I1781" s="594">
        <v>1</v>
      </c>
      <c r="J1781" s="594">
        <v>72</v>
      </c>
      <c r="K1781" s="590" t="s">
        <v>30</v>
      </c>
      <c r="L1781" s="584">
        <f t="shared" si="246"/>
        <v>2357755.94</v>
      </c>
      <c r="M1781" s="596">
        <v>2304000</v>
      </c>
      <c r="N1781" s="675"/>
      <c r="O1781" s="631">
        <v>19437</v>
      </c>
      <c r="P1781" s="597"/>
      <c r="Q1781" s="597">
        <v>34318.94</v>
      </c>
      <c r="R1781" s="599">
        <f>M1781/J1781</f>
        <v>32000</v>
      </c>
      <c r="S1781" s="586">
        <f t="shared" si="247"/>
        <v>-5.8207660913467407E-11</v>
      </c>
      <c r="T1781" s="600"/>
      <c r="U1781" s="589"/>
      <c r="V1781" s="589"/>
      <c r="W1781" s="600"/>
      <c r="X1781" s="601"/>
      <c r="Y1781" s="600">
        <f t="shared" ref="Y1781:Y1844" si="248">M1781+N1781+O1781+P1781+Q1781</f>
        <v>2357755.94</v>
      </c>
      <c r="Z1781" s="601"/>
    </row>
    <row r="1782" spans="1:26" s="75" customFormat="1" hidden="1">
      <c r="A1782" s="714">
        <f t="shared" si="245"/>
        <v>287</v>
      </c>
      <c r="B1782" s="592" t="s">
        <v>1654</v>
      </c>
      <c r="C1782" s="593" t="s">
        <v>217</v>
      </c>
      <c r="D1782" s="594">
        <v>15245</v>
      </c>
      <c r="E1782" s="594">
        <v>2994</v>
      </c>
      <c r="F1782" s="594" t="s">
        <v>233</v>
      </c>
      <c r="G1782" s="594">
        <v>15245</v>
      </c>
      <c r="H1782" s="594">
        <v>9</v>
      </c>
      <c r="I1782" s="594">
        <v>2</v>
      </c>
      <c r="J1782" s="594">
        <v>72</v>
      </c>
      <c r="K1782" s="590" t="s">
        <v>224</v>
      </c>
      <c r="L1782" s="584">
        <f t="shared" si="246"/>
        <v>1622859.36</v>
      </c>
      <c r="M1782" s="607">
        <v>1572900</v>
      </c>
      <c r="N1782" s="675">
        <v>31800</v>
      </c>
      <c r="O1782" s="887"/>
      <c r="P1782" s="597"/>
      <c r="Q1782" s="597">
        <v>18159.36</v>
      </c>
      <c r="R1782" s="599">
        <f>M1782/J1782</f>
        <v>21845.833333333332</v>
      </c>
      <c r="S1782" s="586">
        <f t="shared" si="247"/>
        <v>1.0186340659856796E-10</v>
      </c>
      <c r="T1782" s="600"/>
      <c r="U1782" s="589"/>
      <c r="V1782" s="589"/>
      <c r="W1782" s="600"/>
      <c r="X1782" s="601"/>
      <c r="Y1782" s="600">
        <f t="shared" si="248"/>
        <v>1622859.36</v>
      </c>
      <c r="Z1782" s="601"/>
    </row>
    <row r="1783" spans="1:26" s="75" customFormat="1" hidden="1">
      <c r="A1783" s="714">
        <f t="shared" si="245"/>
        <v>288</v>
      </c>
      <c r="B1783" s="592" t="s">
        <v>1655</v>
      </c>
      <c r="C1783" s="593" t="s">
        <v>217</v>
      </c>
      <c r="D1783" s="594">
        <v>15792</v>
      </c>
      <c r="E1783" s="594">
        <v>3018</v>
      </c>
      <c r="F1783" s="594" t="s">
        <v>233</v>
      </c>
      <c r="G1783" s="594">
        <v>705</v>
      </c>
      <c r="H1783" s="594">
        <v>9</v>
      </c>
      <c r="I1783" s="594">
        <v>2</v>
      </c>
      <c r="J1783" s="594">
        <v>72</v>
      </c>
      <c r="K1783" s="590" t="s">
        <v>224</v>
      </c>
      <c r="L1783" s="584">
        <f t="shared" si="246"/>
        <v>1623961.79</v>
      </c>
      <c r="M1783" s="607">
        <v>1572900</v>
      </c>
      <c r="N1783" s="675">
        <v>33135</v>
      </c>
      <c r="O1783" s="887"/>
      <c r="P1783" s="597"/>
      <c r="Q1783" s="597">
        <v>17926.79</v>
      </c>
      <c r="R1783" s="599">
        <f>M1783/J1783</f>
        <v>21845.833333333332</v>
      </c>
      <c r="S1783" s="586">
        <f t="shared" si="247"/>
        <v>3.637978807091713E-11</v>
      </c>
      <c r="T1783" s="600"/>
      <c r="U1783" s="589"/>
      <c r="V1783" s="589"/>
      <c r="W1783" s="600"/>
      <c r="X1783" s="601"/>
      <c r="Y1783" s="600">
        <f t="shared" si="248"/>
        <v>1623961.79</v>
      </c>
      <c r="Z1783" s="601"/>
    </row>
    <row r="1784" spans="1:26" s="75" customFormat="1" hidden="1">
      <c r="A1784" s="714">
        <f t="shared" si="245"/>
        <v>289</v>
      </c>
      <c r="B1784" s="592" t="s">
        <v>1656</v>
      </c>
      <c r="C1784" s="593"/>
      <c r="D1784" s="594">
        <v>4774</v>
      </c>
      <c r="E1784" s="594">
        <v>811</v>
      </c>
      <c r="F1784" s="594" t="s">
        <v>222</v>
      </c>
      <c r="G1784" s="594">
        <v>1130</v>
      </c>
      <c r="H1784" s="594">
        <v>2</v>
      </c>
      <c r="I1784" s="594">
        <v>1</v>
      </c>
      <c r="J1784" s="594">
        <v>8</v>
      </c>
      <c r="K1784" s="590" t="s">
        <v>33</v>
      </c>
      <c r="L1784" s="584">
        <f t="shared" si="246"/>
        <v>3204722.96</v>
      </c>
      <c r="M1784" s="596">
        <v>3164000</v>
      </c>
      <c r="N1784" s="675"/>
      <c r="O1784" s="631">
        <v>17463</v>
      </c>
      <c r="P1784" s="597"/>
      <c r="Q1784" s="597">
        <v>23259.96</v>
      </c>
      <c r="R1784" s="599">
        <f>M1784/G1784</f>
        <v>2800</v>
      </c>
      <c r="S1784" s="586">
        <f t="shared" si="247"/>
        <v>-3.637978807091713E-11</v>
      </c>
      <c r="T1784" s="600"/>
      <c r="U1784" s="589"/>
      <c r="V1784" s="589"/>
      <c r="W1784" s="600"/>
      <c r="X1784" s="601"/>
      <c r="Y1784" s="600">
        <f t="shared" si="248"/>
        <v>3204722.96</v>
      </c>
      <c r="Z1784" s="601"/>
    </row>
    <row r="1785" spans="1:26" s="75" customFormat="1" hidden="1">
      <c r="A1785" s="714">
        <f t="shared" si="245"/>
        <v>290</v>
      </c>
      <c r="B1785" s="592" t="s">
        <v>1657</v>
      </c>
      <c r="C1785" s="593" t="s">
        <v>239</v>
      </c>
      <c r="D1785" s="594">
        <v>2905</v>
      </c>
      <c r="E1785" s="594">
        <v>351</v>
      </c>
      <c r="F1785" s="594" t="s">
        <v>222</v>
      </c>
      <c r="G1785" s="594">
        <v>657</v>
      </c>
      <c r="H1785" s="594">
        <v>2</v>
      </c>
      <c r="I1785" s="594">
        <v>2</v>
      </c>
      <c r="J1785" s="594">
        <v>12</v>
      </c>
      <c r="K1785" s="590" t="s">
        <v>33</v>
      </c>
      <c r="L1785" s="584">
        <f t="shared" si="246"/>
        <v>1871066.79</v>
      </c>
      <c r="M1785" s="596">
        <v>1839600</v>
      </c>
      <c r="N1785" s="675"/>
      <c r="O1785" s="631">
        <v>17313</v>
      </c>
      <c r="P1785" s="597"/>
      <c r="Q1785" s="597">
        <v>14153.79</v>
      </c>
      <c r="R1785" s="599">
        <f>M1785/G1785</f>
        <v>2800</v>
      </c>
      <c r="S1785" s="586">
        <f t="shared" si="247"/>
        <v>3.637978807091713E-11</v>
      </c>
      <c r="T1785" s="600"/>
      <c r="U1785" s="589"/>
      <c r="V1785" s="589"/>
      <c r="W1785" s="600"/>
      <c r="X1785" s="601"/>
      <c r="Y1785" s="600">
        <f t="shared" si="248"/>
        <v>1871066.79</v>
      </c>
      <c r="Z1785" s="601"/>
    </row>
    <row r="1786" spans="1:26" s="75" customFormat="1" hidden="1">
      <c r="A1786" s="714">
        <f t="shared" si="245"/>
        <v>291</v>
      </c>
      <c r="B1786" s="592" t="s">
        <v>1658</v>
      </c>
      <c r="C1786" s="593" t="s">
        <v>239</v>
      </c>
      <c r="D1786" s="594">
        <v>1658</v>
      </c>
      <c r="E1786" s="594">
        <v>402</v>
      </c>
      <c r="F1786" s="594" t="s">
        <v>222</v>
      </c>
      <c r="G1786" s="594">
        <v>387</v>
      </c>
      <c r="H1786" s="594">
        <v>2</v>
      </c>
      <c r="I1786" s="594">
        <v>1</v>
      </c>
      <c r="J1786" s="594">
        <v>8</v>
      </c>
      <c r="K1786" s="590" t="s">
        <v>33</v>
      </c>
      <c r="L1786" s="584">
        <f t="shared" si="246"/>
        <v>1109562.1399999999</v>
      </c>
      <c r="M1786" s="596">
        <v>1083600</v>
      </c>
      <c r="N1786" s="675"/>
      <c r="O1786" s="631">
        <v>17884</v>
      </c>
      <c r="P1786" s="597"/>
      <c r="Q1786" s="597">
        <v>8078.14</v>
      </c>
      <c r="R1786" s="599">
        <f>M1786/G1786</f>
        <v>2800</v>
      </c>
      <c r="S1786" s="586">
        <f t="shared" si="247"/>
        <v>-1.0277290130034089E-10</v>
      </c>
      <c r="T1786" s="600"/>
      <c r="U1786" s="589"/>
      <c r="V1786" s="589"/>
      <c r="W1786" s="600"/>
      <c r="X1786" s="601"/>
      <c r="Y1786" s="600">
        <f t="shared" si="248"/>
        <v>1109562.1399999999</v>
      </c>
      <c r="Z1786" s="601"/>
    </row>
    <row r="1787" spans="1:26" s="75" customFormat="1" ht="37.5" hidden="1">
      <c r="A1787" s="714">
        <f t="shared" si="245"/>
        <v>292</v>
      </c>
      <c r="B1787" s="592" t="s">
        <v>1659</v>
      </c>
      <c r="C1787" s="593" t="s">
        <v>271</v>
      </c>
      <c r="D1787" s="594">
        <v>13708</v>
      </c>
      <c r="E1787" s="594">
        <v>1966</v>
      </c>
      <c r="F1787" s="594" t="s">
        <v>233</v>
      </c>
      <c r="G1787" s="594">
        <v>405</v>
      </c>
      <c r="H1787" s="594">
        <v>9</v>
      </c>
      <c r="I1787" s="594">
        <v>1</v>
      </c>
      <c r="J1787" s="594">
        <v>48</v>
      </c>
      <c r="K1787" s="590" t="s">
        <v>30</v>
      </c>
      <c r="L1787" s="584">
        <f t="shared" si="246"/>
        <v>1589854.94</v>
      </c>
      <c r="M1787" s="596">
        <v>1536000</v>
      </c>
      <c r="N1787" s="675"/>
      <c r="O1787" s="631">
        <v>19536</v>
      </c>
      <c r="P1787" s="597"/>
      <c r="Q1787" s="597">
        <v>34318.94</v>
      </c>
      <c r="R1787" s="599">
        <f>M1787/J1787</f>
        <v>32000</v>
      </c>
      <c r="S1787" s="586">
        <f t="shared" si="247"/>
        <v>-5.8207660913467407E-11</v>
      </c>
      <c r="T1787" s="600"/>
      <c r="U1787" s="589"/>
      <c r="V1787" s="589"/>
      <c r="W1787" s="600"/>
      <c r="X1787" s="601"/>
      <c r="Y1787" s="600">
        <f t="shared" si="248"/>
        <v>1589854.94</v>
      </c>
      <c r="Z1787" s="601"/>
    </row>
    <row r="1788" spans="1:26" s="75" customFormat="1" ht="37.5" hidden="1">
      <c r="A1788" s="714">
        <f t="shared" si="245"/>
        <v>293</v>
      </c>
      <c r="B1788" s="592" t="s">
        <v>1661</v>
      </c>
      <c r="C1788" s="593" t="s">
        <v>271</v>
      </c>
      <c r="D1788" s="594">
        <v>9698</v>
      </c>
      <c r="E1788" s="594">
        <v>1361.08</v>
      </c>
      <c r="F1788" s="594" t="s">
        <v>233</v>
      </c>
      <c r="G1788" s="594">
        <v>615</v>
      </c>
      <c r="H1788" s="594">
        <v>6</v>
      </c>
      <c r="I1788" s="594">
        <v>2</v>
      </c>
      <c r="J1788" s="594">
        <v>42</v>
      </c>
      <c r="K1788" s="590" t="s">
        <v>30</v>
      </c>
      <c r="L1788" s="584">
        <f t="shared" si="246"/>
        <v>1262416.3999999999</v>
      </c>
      <c r="M1788" s="596">
        <v>1218000</v>
      </c>
      <c r="N1788" s="675"/>
      <c r="O1788" s="631">
        <v>17054</v>
      </c>
      <c r="P1788" s="597"/>
      <c r="Q1788" s="597">
        <v>27362.400000000001</v>
      </c>
      <c r="R1788" s="599">
        <f>M1788/J1788</f>
        <v>29000</v>
      </c>
      <c r="S1788" s="586">
        <f t="shared" si="247"/>
        <v>-9.4587448984384537E-11</v>
      </c>
      <c r="T1788" s="600"/>
      <c r="U1788" s="589"/>
      <c r="V1788" s="589"/>
      <c r="W1788" s="600"/>
      <c r="X1788" s="601"/>
      <c r="Y1788" s="600">
        <f t="shared" si="248"/>
        <v>1262416.3999999999</v>
      </c>
      <c r="Z1788" s="601"/>
    </row>
    <row r="1789" spans="1:26" s="75" customFormat="1" ht="37.5" hidden="1">
      <c r="A1789" s="714">
        <f>A1788+1</f>
        <v>294</v>
      </c>
      <c r="B1789" s="592" t="s">
        <v>1662</v>
      </c>
      <c r="C1789" s="593" t="s">
        <v>271</v>
      </c>
      <c r="D1789" s="594">
        <v>13326</v>
      </c>
      <c r="E1789" s="594">
        <v>2189</v>
      </c>
      <c r="F1789" s="594" t="s">
        <v>371</v>
      </c>
      <c r="G1789" s="594">
        <v>1024</v>
      </c>
      <c r="H1789" s="594">
        <v>6</v>
      </c>
      <c r="I1789" s="594">
        <v>2</v>
      </c>
      <c r="J1789" s="594">
        <v>35</v>
      </c>
      <c r="K1789" s="590" t="s">
        <v>30</v>
      </c>
      <c r="L1789" s="584">
        <f t="shared" si="246"/>
        <v>1067103.94</v>
      </c>
      <c r="M1789" s="596">
        <v>1015000</v>
      </c>
      <c r="N1789" s="675"/>
      <c r="O1789" s="631">
        <v>17785</v>
      </c>
      <c r="P1789" s="597"/>
      <c r="Q1789" s="597">
        <v>34318.94</v>
      </c>
      <c r="R1789" s="599">
        <f>M1789/J1789</f>
        <v>29000</v>
      </c>
      <c r="S1789" s="586">
        <f t="shared" si="247"/>
        <v>-5.8207660913467407E-11</v>
      </c>
      <c r="T1789" s="600"/>
      <c r="U1789" s="589"/>
      <c r="V1789" s="589"/>
      <c r="W1789" s="600"/>
      <c r="X1789" s="601"/>
      <c r="Y1789" s="600">
        <f t="shared" si="248"/>
        <v>1067103.94</v>
      </c>
      <c r="Z1789" s="601"/>
    </row>
    <row r="1790" spans="1:26" s="75" customFormat="1" hidden="1">
      <c r="A1790" s="714">
        <f t="shared" si="245"/>
        <v>295</v>
      </c>
      <c r="B1790" s="592" t="s">
        <v>1663</v>
      </c>
      <c r="C1790" s="593" t="s">
        <v>271</v>
      </c>
      <c r="D1790" s="594">
        <v>12734</v>
      </c>
      <c r="E1790" s="594">
        <v>2600</v>
      </c>
      <c r="F1790" s="594" t="s">
        <v>230</v>
      </c>
      <c r="G1790" s="594">
        <v>1149</v>
      </c>
      <c r="H1790" s="594">
        <v>5</v>
      </c>
      <c r="I1790" s="594">
        <v>4</v>
      </c>
      <c r="J1790" s="594">
        <v>64</v>
      </c>
      <c r="K1790" s="590" t="s">
        <v>224</v>
      </c>
      <c r="L1790" s="584">
        <f t="shared" si="246"/>
        <v>1203082.25</v>
      </c>
      <c r="M1790" s="607">
        <v>1156900</v>
      </c>
      <c r="N1790" s="675">
        <v>32430</v>
      </c>
      <c r="O1790" s="887"/>
      <c r="P1790" s="597"/>
      <c r="Q1790" s="597">
        <v>13752.25</v>
      </c>
      <c r="R1790" s="599">
        <f>M1790/J1790</f>
        <v>18076.5625</v>
      </c>
      <c r="S1790" s="586">
        <f t="shared" si="247"/>
        <v>0</v>
      </c>
      <c r="T1790" s="600"/>
      <c r="U1790" s="589"/>
      <c r="V1790" s="589"/>
      <c r="W1790" s="600"/>
      <c r="X1790" s="601"/>
      <c r="Y1790" s="600">
        <f t="shared" si="248"/>
        <v>1203082.25</v>
      </c>
      <c r="Z1790" s="601"/>
    </row>
    <row r="1791" spans="1:26" s="75" customFormat="1" hidden="1">
      <c r="A1791" s="616">
        <f>A1790+1</f>
        <v>296</v>
      </c>
      <c r="B1791" s="592" t="s">
        <v>1664</v>
      </c>
      <c r="C1791" s="593" t="s">
        <v>271</v>
      </c>
      <c r="D1791" s="594">
        <v>14632</v>
      </c>
      <c r="E1791" s="594">
        <v>2600</v>
      </c>
      <c r="F1791" s="594" t="s">
        <v>222</v>
      </c>
      <c r="G1791" s="594">
        <v>1141</v>
      </c>
      <c r="H1791" s="594">
        <v>5</v>
      </c>
      <c r="I1791" s="594">
        <v>4</v>
      </c>
      <c r="J1791" s="594">
        <v>84</v>
      </c>
      <c r="K1791" s="590" t="s">
        <v>224</v>
      </c>
      <c r="L1791" s="1348">
        <f>M1791+N1791+O1791+P1791+Q1791+M1792+N1792+O1792+P1792+Q1792</f>
        <v>3981735.63</v>
      </c>
      <c r="M1791" s="607">
        <v>1476900</v>
      </c>
      <c r="N1791" s="675">
        <v>33481</v>
      </c>
      <c r="O1791" s="887"/>
      <c r="P1791" s="597"/>
      <c r="Q1791" s="597">
        <v>13133.63</v>
      </c>
      <c r="R1791" s="599">
        <f>M1791/J1791</f>
        <v>17582.142857142859</v>
      </c>
      <c r="S1791" s="586">
        <f t="shared" si="247"/>
        <v>2458221</v>
      </c>
      <c r="T1791" s="600"/>
      <c r="U1791" s="589"/>
      <c r="V1791" s="589"/>
      <c r="W1791" s="600"/>
      <c r="X1791" s="601"/>
      <c r="Y1791" s="600">
        <f t="shared" si="248"/>
        <v>1523514.63</v>
      </c>
      <c r="Z1791" s="601"/>
    </row>
    <row r="1792" spans="1:26" s="75" customFormat="1" hidden="1">
      <c r="A1792" s="616"/>
      <c r="B1792" s="592"/>
      <c r="C1792" s="593"/>
      <c r="D1792" s="594"/>
      <c r="E1792" s="594"/>
      <c r="F1792" s="594"/>
      <c r="G1792" s="594"/>
      <c r="H1792" s="594"/>
      <c r="I1792" s="594"/>
      <c r="J1792" s="594"/>
      <c r="K1792" s="590" t="s">
        <v>33</v>
      </c>
      <c r="L1792" s="1348"/>
      <c r="M1792" s="596">
        <v>2396100</v>
      </c>
      <c r="N1792" s="675"/>
      <c r="O1792" s="631">
        <v>22321</v>
      </c>
      <c r="P1792" s="597"/>
      <c r="Q1792" s="597">
        <v>39800</v>
      </c>
      <c r="R1792" s="599">
        <f>M1792/G1791</f>
        <v>2100</v>
      </c>
      <c r="S1792" s="586">
        <f t="shared" si="247"/>
        <v>-2458221</v>
      </c>
      <c r="T1792" s="600"/>
      <c r="U1792" s="601"/>
      <c r="V1792" s="589"/>
      <c r="W1792" s="600"/>
      <c r="X1792" s="601"/>
      <c r="Y1792" s="600">
        <f t="shared" si="248"/>
        <v>2458221</v>
      </c>
      <c r="Z1792" s="601"/>
    </row>
    <row r="1793" spans="1:26" s="75" customFormat="1" hidden="1">
      <c r="A1793" s="714">
        <f>A1791+1</f>
        <v>297</v>
      </c>
      <c r="B1793" s="592" t="s">
        <v>1665</v>
      </c>
      <c r="C1793" s="593" t="s">
        <v>271</v>
      </c>
      <c r="D1793" s="594">
        <v>5040</v>
      </c>
      <c r="E1793" s="594">
        <v>259</v>
      </c>
      <c r="F1793" s="594" t="s">
        <v>222</v>
      </c>
      <c r="G1793" s="594">
        <v>804</v>
      </c>
      <c r="H1793" s="594">
        <v>2</v>
      </c>
      <c r="I1793" s="594">
        <v>3</v>
      </c>
      <c r="J1793" s="594">
        <v>24</v>
      </c>
      <c r="K1793" s="590" t="s">
        <v>224</v>
      </c>
      <c r="L1793" s="584">
        <f t="shared" ref="L1793:L1798" si="249">M1793+N1793+O1793+P1793+Q1793</f>
        <v>680676.29</v>
      </c>
      <c r="M1793" s="607">
        <v>653000</v>
      </c>
      <c r="N1793" s="675">
        <v>24736</v>
      </c>
      <c r="O1793" s="887"/>
      <c r="P1793" s="597"/>
      <c r="Q1793" s="597">
        <v>2940.29</v>
      </c>
      <c r="R1793" s="599">
        <f>M1793/J1793</f>
        <v>27208.333333333332</v>
      </c>
      <c r="S1793" s="586">
        <f t="shared" si="247"/>
        <v>3.7289282772690058E-11</v>
      </c>
      <c r="T1793" s="600"/>
      <c r="U1793" s="589"/>
      <c r="V1793" s="589"/>
      <c r="W1793" s="600"/>
      <c r="X1793" s="601"/>
      <c r="Y1793" s="600">
        <f t="shared" si="248"/>
        <v>680676.29</v>
      </c>
      <c r="Z1793" s="601"/>
    </row>
    <row r="1794" spans="1:26" s="75" customFormat="1" hidden="1">
      <c r="A1794" s="714">
        <f t="shared" ref="A1794:A1854" si="250">A1793+1</f>
        <v>298</v>
      </c>
      <c r="B1794" s="592" t="s">
        <v>1666</v>
      </c>
      <c r="C1794" s="593" t="s">
        <v>217</v>
      </c>
      <c r="D1794" s="594">
        <v>10707</v>
      </c>
      <c r="E1794" s="594">
        <v>1700</v>
      </c>
      <c r="F1794" s="594" t="s">
        <v>222</v>
      </c>
      <c r="G1794" s="594">
        <v>1139</v>
      </c>
      <c r="H1794" s="594">
        <v>5</v>
      </c>
      <c r="I1794" s="594">
        <v>4</v>
      </c>
      <c r="J1794" s="594">
        <v>79</v>
      </c>
      <c r="K1794" s="590" t="s">
        <v>33</v>
      </c>
      <c r="L1794" s="584">
        <f t="shared" si="249"/>
        <v>4041014.83</v>
      </c>
      <c r="M1794" s="596">
        <v>3986500</v>
      </c>
      <c r="N1794" s="675"/>
      <c r="O1794" s="631">
        <v>21504</v>
      </c>
      <c r="P1794" s="597"/>
      <c r="Q1794" s="597">
        <v>33010.83</v>
      </c>
      <c r="R1794" s="599">
        <f>M1794/G1794</f>
        <v>3500</v>
      </c>
      <c r="S1794" s="586">
        <f t="shared" si="247"/>
        <v>7.2759576141834259E-11</v>
      </c>
      <c r="T1794" s="600"/>
      <c r="U1794" s="589"/>
      <c r="V1794" s="589"/>
      <c r="W1794" s="600"/>
      <c r="X1794" s="601"/>
      <c r="Y1794" s="600">
        <f t="shared" si="248"/>
        <v>4041014.83</v>
      </c>
      <c r="Z1794" s="601"/>
    </row>
    <row r="1795" spans="1:26" s="75" customFormat="1" hidden="1">
      <c r="A1795" s="714">
        <f t="shared" si="250"/>
        <v>299</v>
      </c>
      <c r="B1795" s="592" t="s">
        <v>1667</v>
      </c>
      <c r="C1795" s="593" t="s">
        <v>217</v>
      </c>
      <c r="D1795" s="594">
        <v>14925</v>
      </c>
      <c r="E1795" s="594">
        <v>1715</v>
      </c>
      <c r="F1795" s="594" t="s">
        <v>222</v>
      </c>
      <c r="G1795" s="594">
        <v>1102</v>
      </c>
      <c r="H1795" s="594">
        <v>5</v>
      </c>
      <c r="I1795" s="594">
        <v>4</v>
      </c>
      <c r="J1795" s="594">
        <v>72</v>
      </c>
      <c r="K1795" s="590" t="s">
        <v>33</v>
      </c>
      <c r="L1795" s="584">
        <f t="shared" si="249"/>
        <v>3918549</v>
      </c>
      <c r="M1795" s="596">
        <v>3857000</v>
      </c>
      <c r="N1795" s="675"/>
      <c r="O1795" s="631">
        <v>21749</v>
      </c>
      <c r="P1795" s="597"/>
      <c r="Q1795" s="597">
        <v>39800</v>
      </c>
      <c r="R1795" s="599">
        <f>M1795/G1795</f>
        <v>3500</v>
      </c>
      <c r="S1795" s="586">
        <f t="shared" si="247"/>
        <v>0</v>
      </c>
      <c r="T1795" s="600"/>
      <c r="U1795" s="589"/>
      <c r="V1795" s="589"/>
      <c r="W1795" s="600"/>
      <c r="X1795" s="601"/>
      <c r="Y1795" s="600">
        <f t="shared" si="248"/>
        <v>3918549</v>
      </c>
      <c r="Z1795" s="601"/>
    </row>
    <row r="1796" spans="1:26" s="75" customFormat="1" hidden="1">
      <c r="A1796" s="714">
        <f t="shared" si="250"/>
        <v>300</v>
      </c>
      <c r="B1796" s="592" t="s">
        <v>1668</v>
      </c>
      <c r="C1796" s="593" t="s">
        <v>217</v>
      </c>
      <c r="D1796" s="594">
        <v>14224</v>
      </c>
      <c r="E1796" s="594">
        <v>1680</v>
      </c>
      <c r="F1796" s="594" t="s">
        <v>222</v>
      </c>
      <c r="G1796" s="594">
        <v>1141</v>
      </c>
      <c r="H1796" s="594">
        <v>5</v>
      </c>
      <c r="I1796" s="594">
        <v>4</v>
      </c>
      <c r="J1796" s="594">
        <v>80</v>
      </c>
      <c r="K1796" s="590" t="s">
        <v>33</v>
      </c>
      <c r="L1796" s="584">
        <f t="shared" si="249"/>
        <v>4054798</v>
      </c>
      <c r="M1796" s="596">
        <v>3993500</v>
      </c>
      <c r="N1796" s="675"/>
      <c r="O1796" s="631">
        <v>21498</v>
      </c>
      <c r="P1796" s="597"/>
      <c r="Q1796" s="597">
        <v>39800</v>
      </c>
      <c r="R1796" s="599">
        <f>M1796/G1796</f>
        <v>3500</v>
      </c>
      <c r="S1796" s="586">
        <f t="shared" si="247"/>
        <v>0</v>
      </c>
      <c r="T1796" s="600"/>
      <c r="U1796" s="589"/>
      <c r="V1796" s="589"/>
      <c r="W1796" s="600"/>
      <c r="X1796" s="601"/>
      <c r="Y1796" s="600">
        <f t="shared" si="248"/>
        <v>4054798</v>
      </c>
      <c r="Z1796" s="601"/>
    </row>
    <row r="1797" spans="1:26" s="75" customFormat="1" ht="37.5" hidden="1">
      <c r="A1797" s="714">
        <f t="shared" si="250"/>
        <v>301</v>
      </c>
      <c r="B1797" s="592" t="s">
        <v>1671</v>
      </c>
      <c r="C1797" s="593" t="s">
        <v>217</v>
      </c>
      <c r="D1797" s="594">
        <v>10272</v>
      </c>
      <c r="E1797" s="594">
        <v>1963</v>
      </c>
      <c r="F1797" s="594" t="s">
        <v>222</v>
      </c>
      <c r="G1797" s="594">
        <v>840</v>
      </c>
      <c r="H1797" s="594">
        <v>5</v>
      </c>
      <c r="I1797" s="594">
        <v>3</v>
      </c>
      <c r="J1797" s="594">
        <v>59</v>
      </c>
      <c r="K1797" s="590" t="s">
        <v>30</v>
      </c>
      <c r="L1797" s="584">
        <f t="shared" si="249"/>
        <v>1641910.94</v>
      </c>
      <c r="M1797" s="596">
        <v>1593000</v>
      </c>
      <c r="N1797" s="675"/>
      <c r="O1797" s="631">
        <v>14592</v>
      </c>
      <c r="P1797" s="597"/>
      <c r="Q1797" s="597">
        <v>34318.94</v>
      </c>
      <c r="R1797" s="599">
        <f>M1797/J1797</f>
        <v>27000</v>
      </c>
      <c r="S1797" s="586">
        <f t="shared" si="247"/>
        <v>-5.8207660913467407E-11</v>
      </c>
      <c r="T1797" s="600"/>
      <c r="U1797" s="589"/>
      <c r="V1797" s="589"/>
      <c r="W1797" s="600"/>
      <c r="X1797" s="601"/>
      <c r="Y1797" s="600">
        <f t="shared" si="248"/>
        <v>1641910.94</v>
      </c>
      <c r="Z1797" s="601"/>
    </row>
    <row r="1798" spans="1:26" s="75" customFormat="1" ht="37.5" hidden="1">
      <c r="A1798" s="714">
        <f t="shared" si="250"/>
        <v>302</v>
      </c>
      <c r="B1798" s="592" t="s">
        <v>1672</v>
      </c>
      <c r="C1798" s="593" t="s">
        <v>271</v>
      </c>
      <c r="D1798" s="594">
        <v>13272</v>
      </c>
      <c r="E1798" s="594">
        <v>2206</v>
      </c>
      <c r="F1798" s="594" t="s">
        <v>233</v>
      </c>
      <c r="G1798" s="594">
        <v>899.4</v>
      </c>
      <c r="H1798" s="594">
        <v>5</v>
      </c>
      <c r="I1798" s="594">
        <v>4</v>
      </c>
      <c r="J1798" s="594">
        <v>64</v>
      </c>
      <c r="K1798" s="590" t="s">
        <v>30</v>
      </c>
      <c r="L1798" s="584">
        <f t="shared" si="249"/>
        <v>1777194.94</v>
      </c>
      <c r="M1798" s="596">
        <v>1728000</v>
      </c>
      <c r="N1798" s="675"/>
      <c r="O1798" s="631">
        <v>14876</v>
      </c>
      <c r="P1798" s="597"/>
      <c r="Q1798" s="597">
        <v>34318.94</v>
      </c>
      <c r="R1798" s="599">
        <f>M1798/J1798</f>
        <v>27000</v>
      </c>
      <c r="S1798" s="586">
        <f t="shared" si="247"/>
        <v>-5.8207660913467407E-11</v>
      </c>
      <c r="T1798" s="600"/>
      <c r="U1798" s="589"/>
      <c r="V1798" s="589"/>
      <c r="W1798" s="600"/>
      <c r="X1798" s="601"/>
      <c r="Y1798" s="600">
        <f t="shared" si="248"/>
        <v>1777194.94</v>
      </c>
      <c r="Z1798" s="601"/>
    </row>
    <row r="1799" spans="1:26" s="75" customFormat="1" ht="37.5" hidden="1">
      <c r="A1799" s="616">
        <f>A1798+1</f>
        <v>303</v>
      </c>
      <c r="B1799" s="592" t="s">
        <v>1673</v>
      </c>
      <c r="C1799" s="593" t="s">
        <v>271</v>
      </c>
      <c r="D1799" s="594">
        <v>18315</v>
      </c>
      <c r="E1799" s="594">
        <v>3115</v>
      </c>
      <c r="F1799" s="594" t="s">
        <v>222</v>
      </c>
      <c r="G1799" s="594">
        <v>1451</v>
      </c>
      <c r="H1799" s="594">
        <v>5</v>
      </c>
      <c r="I1799" s="594">
        <v>3</v>
      </c>
      <c r="J1799" s="594">
        <v>52</v>
      </c>
      <c r="K1799" s="590" t="s">
        <v>30</v>
      </c>
      <c r="L1799" s="1348">
        <f>M1799+N1799+O1799+P1799+Q1799+M1800+N1800+O1800+P1800+Q1800</f>
        <v>4400462</v>
      </c>
      <c r="M1799" s="596">
        <v>1404000</v>
      </c>
      <c r="N1799" s="675"/>
      <c r="O1799" s="631">
        <v>16146</v>
      </c>
      <c r="P1799" s="597"/>
      <c r="Q1799" s="597">
        <v>39800</v>
      </c>
      <c r="R1799" s="599">
        <f>M1799/J1799</f>
        <v>27000</v>
      </c>
      <c r="S1799" s="586">
        <f t="shared" si="247"/>
        <v>2940516</v>
      </c>
      <c r="T1799" s="600"/>
      <c r="U1799" s="589"/>
      <c r="V1799" s="589"/>
      <c r="W1799" s="600"/>
      <c r="X1799" s="601"/>
      <c r="Y1799" s="600">
        <f t="shared" si="248"/>
        <v>1459946</v>
      </c>
      <c r="Z1799" s="601"/>
    </row>
    <row r="1800" spans="1:26" s="75" customFormat="1" hidden="1">
      <c r="A1800" s="616"/>
      <c r="B1800" s="592"/>
      <c r="C1800" s="593"/>
      <c r="D1800" s="594"/>
      <c r="E1800" s="594"/>
      <c r="F1800" s="594"/>
      <c r="G1800" s="594"/>
      <c r="H1800" s="594"/>
      <c r="I1800" s="594"/>
      <c r="J1800" s="594"/>
      <c r="K1800" s="590" t="s">
        <v>33</v>
      </c>
      <c r="L1800" s="1348"/>
      <c r="M1800" s="596">
        <v>2875600</v>
      </c>
      <c r="N1800" s="675"/>
      <c r="O1800" s="631">
        <v>25116</v>
      </c>
      <c r="P1800" s="597"/>
      <c r="Q1800" s="597">
        <v>39800</v>
      </c>
      <c r="R1800" s="599">
        <f>M1800/G1799</f>
        <v>1981.8056512749827</v>
      </c>
      <c r="S1800" s="586">
        <f t="shared" si="247"/>
        <v>-2940516</v>
      </c>
      <c r="T1800" s="600"/>
      <c r="U1800" s="601"/>
      <c r="V1800" s="589"/>
      <c r="W1800" s="600"/>
      <c r="X1800" s="601"/>
      <c r="Y1800" s="600">
        <f t="shared" si="248"/>
        <v>2940516</v>
      </c>
      <c r="Z1800" s="601"/>
    </row>
    <row r="1801" spans="1:26" s="75" customFormat="1" hidden="1">
      <c r="A1801" s="714">
        <f>A1799+1</f>
        <v>304</v>
      </c>
      <c r="B1801" s="592" t="s">
        <v>1674</v>
      </c>
      <c r="C1801" s="593" t="s">
        <v>271</v>
      </c>
      <c r="D1801" s="594">
        <v>8425</v>
      </c>
      <c r="E1801" s="594">
        <v>1410</v>
      </c>
      <c r="F1801" s="594" t="s">
        <v>222</v>
      </c>
      <c r="G1801" s="594">
        <v>1307</v>
      </c>
      <c r="H1801" s="594">
        <v>2</v>
      </c>
      <c r="I1801" s="594">
        <v>4</v>
      </c>
      <c r="J1801" s="594">
        <v>22</v>
      </c>
      <c r="K1801" s="590" t="s">
        <v>33</v>
      </c>
      <c r="L1801" s="1348">
        <f>M1801+N1801+O1801+P1801+Q1801+M1802+N1802+O1802+P1802+Q1802</f>
        <v>6300899</v>
      </c>
      <c r="M1801" s="596">
        <v>3659600</v>
      </c>
      <c r="N1801" s="675"/>
      <c r="O1801" s="631">
        <v>19492</v>
      </c>
      <c r="P1801" s="597"/>
      <c r="Q1801" s="597">
        <v>39800</v>
      </c>
      <c r="R1801" s="599">
        <f>M1801/G1801</f>
        <v>2800</v>
      </c>
      <c r="S1801" s="586">
        <f t="shared" si="247"/>
        <v>2582007</v>
      </c>
      <c r="T1801" s="600"/>
      <c r="U1801" s="589"/>
      <c r="V1801" s="589"/>
      <c r="W1801" s="600"/>
      <c r="X1801" s="601"/>
      <c r="Y1801" s="600">
        <f t="shared" si="248"/>
        <v>3718892</v>
      </c>
      <c r="Z1801" s="601"/>
    </row>
    <row r="1802" spans="1:26" s="75" customFormat="1" hidden="1">
      <c r="A1802" s="714"/>
      <c r="B1802" s="592"/>
      <c r="C1802" s="593"/>
      <c r="D1802" s="594"/>
      <c r="E1802" s="594"/>
      <c r="F1802" s="594"/>
      <c r="G1802" s="594"/>
      <c r="H1802" s="594"/>
      <c r="I1802" s="594"/>
      <c r="J1802" s="594"/>
      <c r="K1802" s="590" t="s">
        <v>38</v>
      </c>
      <c r="L1802" s="1348"/>
      <c r="M1802" s="596">
        <v>2538000</v>
      </c>
      <c r="N1802" s="675"/>
      <c r="O1802" s="631">
        <v>14307</v>
      </c>
      <c r="P1802" s="597"/>
      <c r="Q1802" s="597">
        <v>29700</v>
      </c>
      <c r="R1802" s="599">
        <f>M1802/E1801</f>
        <v>1800</v>
      </c>
      <c r="S1802" s="586">
        <f t="shared" si="247"/>
        <v>-2582007</v>
      </c>
      <c r="T1802" s="600"/>
      <c r="U1802" s="601"/>
      <c r="V1802" s="589"/>
      <c r="W1802" s="600"/>
      <c r="X1802" s="601"/>
      <c r="Y1802" s="600">
        <f t="shared" si="248"/>
        <v>2582007</v>
      </c>
      <c r="Z1802" s="601"/>
    </row>
    <row r="1803" spans="1:26" s="75" customFormat="1" hidden="1">
      <c r="A1803" s="714">
        <f>A1801+1</f>
        <v>305</v>
      </c>
      <c r="B1803" s="592" t="s">
        <v>1675</v>
      </c>
      <c r="C1803" s="593" t="s">
        <v>271</v>
      </c>
      <c r="D1803" s="594">
        <v>26744</v>
      </c>
      <c r="E1803" s="594">
        <v>3971</v>
      </c>
      <c r="F1803" s="594" t="s">
        <v>222</v>
      </c>
      <c r="G1803" s="594">
        <v>1250.5</v>
      </c>
      <c r="H1803" s="594">
        <v>5</v>
      </c>
      <c r="I1803" s="594">
        <v>4</v>
      </c>
      <c r="J1803" s="594">
        <v>63</v>
      </c>
      <c r="K1803" s="590" t="s">
        <v>33</v>
      </c>
      <c r="L1803" s="584">
        <f>M1803+N1803+O1803+P1803+Q1803</f>
        <v>4440094</v>
      </c>
      <c r="M1803" s="596">
        <v>4376750</v>
      </c>
      <c r="N1803" s="675"/>
      <c r="O1803" s="631">
        <v>23544</v>
      </c>
      <c r="P1803" s="597"/>
      <c r="Q1803" s="597">
        <v>39800</v>
      </c>
      <c r="R1803" s="599">
        <f>M1803/G1803</f>
        <v>3500</v>
      </c>
      <c r="S1803" s="586">
        <f t="shared" si="247"/>
        <v>0</v>
      </c>
      <c r="T1803" s="600"/>
      <c r="U1803" s="589"/>
      <c r="V1803" s="589"/>
      <c r="W1803" s="600"/>
      <c r="X1803" s="601"/>
      <c r="Y1803" s="600">
        <f t="shared" si="248"/>
        <v>4440094</v>
      </c>
      <c r="Z1803" s="601"/>
    </row>
    <row r="1804" spans="1:26" s="75" customFormat="1" hidden="1">
      <c r="A1804" s="714">
        <f t="shared" si="250"/>
        <v>306</v>
      </c>
      <c r="B1804" s="592" t="s">
        <v>1676</v>
      </c>
      <c r="C1804" s="593" t="s">
        <v>271</v>
      </c>
      <c r="D1804" s="594">
        <v>18189</v>
      </c>
      <c r="E1804" s="594">
        <v>3127</v>
      </c>
      <c r="F1804" s="594" t="s">
        <v>222</v>
      </c>
      <c r="G1804" s="594">
        <v>1461</v>
      </c>
      <c r="H1804" s="594">
        <v>5</v>
      </c>
      <c r="I1804" s="594">
        <v>3</v>
      </c>
      <c r="J1804" s="594">
        <v>52</v>
      </c>
      <c r="K1804" s="590" t="s">
        <v>224</v>
      </c>
      <c r="L1804" s="584">
        <f>M1804+N1804+O1804+P1804+Q1804</f>
        <v>1028455.94</v>
      </c>
      <c r="M1804" s="607">
        <v>964900</v>
      </c>
      <c r="N1804" s="675">
        <v>44565</v>
      </c>
      <c r="O1804" s="887"/>
      <c r="P1804" s="597"/>
      <c r="Q1804" s="597">
        <v>18990.939999999999</v>
      </c>
      <c r="R1804" s="599">
        <f>M1804/J1804</f>
        <v>18555.76923076923</v>
      </c>
      <c r="S1804" s="586">
        <f t="shared" si="247"/>
        <v>-5.4569682106375694E-11</v>
      </c>
      <c r="T1804" s="600"/>
      <c r="U1804" s="589"/>
      <c r="V1804" s="589"/>
      <c r="W1804" s="600"/>
      <c r="X1804" s="601"/>
      <c r="Y1804" s="600">
        <f t="shared" si="248"/>
        <v>1028455.94</v>
      </c>
      <c r="Z1804" s="601"/>
    </row>
    <row r="1805" spans="1:26" s="75" customFormat="1" hidden="1">
      <c r="A1805" s="714">
        <f t="shared" si="250"/>
        <v>307</v>
      </c>
      <c r="B1805" s="592" t="s">
        <v>1677</v>
      </c>
      <c r="C1805" s="593" t="s">
        <v>271</v>
      </c>
      <c r="D1805" s="594">
        <v>15773</v>
      </c>
      <c r="E1805" s="594">
        <v>2606</v>
      </c>
      <c r="F1805" s="594" t="s">
        <v>222</v>
      </c>
      <c r="G1805" s="594">
        <v>1152</v>
      </c>
      <c r="H1805" s="594">
        <v>5</v>
      </c>
      <c r="I1805" s="594">
        <v>4</v>
      </c>
      <c r="J1805" s="594">
        <v>79</v>
      </c>
      <c r="K1805" s="590" t="s">
        <v>224</v>
      </c>
      <c r="L1805" s="584">
        <f>M1805+N1805+O1805+P1805+Q1805</f>
        <v>1456777.95</v>
      </c>
      <c r="M1805" s="607">
        <v>1396900</v>
      </c>
      <c r="N1805" s="675">
        <v>43409</v>
      </c>
      <c r="O1805" s="887"/>
      <c r="P1805" s="597"/>
      <c r="Q1805" s="597">
        <v>16468.95</v>
      </c>
      <c r="R1805" s="599">
        <f>M1805/J1805</f>
        <v>17682.278481012658</v>
      </c>
      <c r="S1805" s="586">
        <f t="shared" si="247"/>
        <v>-4.7293724492192268E-11</v>
      </c>
      <c r="T1805" s="600"/>
      <c r="U1805" s="589"/>
      <c r="V1805" s="589"/>
      <c r="W1805" s="600"/>
      <c r="X1805" s="601"/>
      <c r="Y1805" s="600">
        <f t="shared" si="248"/>
        <v>1456777.95</v>
      </c>
      <c r="Z1805" s="601"/>
    </row>
    <row r="1806" spans="1:26" s="75" customFormat="1" hidden="1">
      <c r="A1806" s="714">
        <f t="shared" si="250"/>
        <v>308</v>
      </c>
      <c r="B1806" s="592" t="s">
        <v>1678</v>
      </c>
      <c r="C1806" s="593" t="s">
        <v>271</v>
      </c>
      <c r="D1806" s="594">
        <v>13105</v>
      </c>
      <c r="E1806" s="594">
        <v>2600</v>
      </c>
      <c r="F1806" s="594" t="s">
        <v>222</v>
      </c>
      <c r="G1806" s="594">
        <v>1155</v>
      </c>
      <c r="H1806" s="594">
        <v>5</v>
      </c>
      <c r="I1806" s="594">
        <v>4</v>
      </c>
      <c r="J1806" s="594">
        <v>78</v>
      </c>
      <c r="K1806" s="590" t="s">
        <v>224</v>
      </c>
      <c r="L1806" s="584">
        <f>M1806+N1806+O1806+P1806+Q1806</f>
        <v>1438337.46</v>
      </c>
      <c r="M1806" s="607">
        <v>1380900</v>
      </c>
      <c r="N1806" s="675">
        <v>42133</v>
      </c>
      <c r="O1806" s="887"/>
      <c r="P1806" s="597"/>
      <c r="Q1806" s="597">
        <v>15304.46</v>
      </c>
      <c r="R1806" s="599">
        <f>M1806/J1806</f>
        <v>17703.846153846152</v>
      </c>
      <c r="S1806" s="586">
        <f t="shared" si="247"/>
        <v>-3.637978807091713E-11</v>
      </c>
      <c r="T1806" s="600"/>
      <c r="U1806" s="589"/>
      <c r="V1806" s="589"/>
      <c r="W1806" s="600"/>
      <c r="X1806" s="601"/>
      <c r="Y1806" s="600">
        <f t="shared" si="248"/>
        <v>1438337.46</v>
      </c>
      <c r="Z1806" s="601"/>
    </row>
    <row r="1807" spans="1:26" s="75" customFormat="1" hidden="1">
      <c r="A1807" s="714">
        <f t="shared" si="250"/>
        <v>309</v>
      </c>
      <c r="B1807" s="592" t="s">
        <v>1679</v>
      </c>
      <c r="C1807" s="593" t="s">
        <v>271</v>
      </c>
      <c r="D1807" s="594">
        <v>12283</v>
      </c>
      <c r="E1807" s="594">
        <v>2500</v>
      </c>
      <c r="F1807" s="594" t="s">
        <v>222</v>
      </c>
      <c r="G1807" s="594">
        <v>1149</v>
      </c>
      <c r="H1807" s="594">
        <v>5</v>
      </c>
      <c r="I1807" s="594">
        <v>4</v>
      </c>
      <c r="J1807" s="594">
        <v>68</v>
      </c>
      <c r="K1807" s="590" t="s">
        <v>33</v>
      </c>
      <c r="L1807" s="584">
        <f>M1807+N1807+O1807+P1807+Q1807+M1808+N1808+O1808+Q1808</f>
        <v>10627076.800000001</v>
      </c>
      <c r="M1807" s="596">
        <v>4021500</v>
      </c>
      <c r="N1807" s="675"/>
      <c r="O1807" s="631">
        <v>21454</v>
      </c>
      <c r="P1807" s="597"/>
      <c r="Q1807" s="597">
        <v>37869.800000000003</v>
      </c>
      <c r="R1807" s="599">
        <f>M1807/G1807</f>
        <v>3500</v>
      </c>
      <c r="S1807" s="586">
        <f t="shared" si="247"/>
        <v>6546253.0000000009</v>
      </c>
      <c r="T1807" s="600"/>
      <c r="U1807" s="589"/>
      <c r="V1807" s="589"/>
      <c r="W1807" s="600"/>
      <c r="X1807" s="601"/>
      <c r="Y1807" s="600">
        <f t="shared" si="248"/>
        <v>4080823.8</v>
      </c>
      <c r="Z1807" s="601"/>
    </row>
    <row r="1808" spans="1:26" s="75" customFormat="1" hidden="1">
      <c r="A1808" s="714"/>
      <c r="B1808" s="592"/>
      <c r="C1808" s="593"/>
      <c r="D1808" s="594"/>
      <c r="E1808" s="594"/>
      <c r="F1808" s="594"/>
      <c r="G1808" s="594"/>
      <c r="H1808" s="594"/>
      <c r="I1808" s="594"/>
      <c r="J1808" s="594"/>
      <c r="K1808" s="590" t="s">
        <v>38</v>
      </c>
      <c r="L1808" s="584"/>
      <c r="M1808" s="596">
        <v>6500000</v>
      </c>
      <c r="N1808" s="675"/>
      <c r="O1808" s="631">
        <v>16253</v>
      </c>
      <c r="P1808" s="597"/>
      <c r="Q1808" s="597">
        <v>30000</v>
      </c>
      <c r="R1808" s="599"/>
      <c r="S1808" s="586"/>
      <c r="T1808" s="600"/>
      <c r="U1808" s="589"/>
      <c r="V1808" s="589"/>
      <c r="W1808" s="600"/>
      <c r="X1808" s="601"/>
      <c r="Y1808" s="600">
        <f t="shared" si="248"/>
        <v>6546253</v>
      </c>
      <c r="Z1808" s="601"/>
    </row>
    <row r="1809" spans="1:26" s="75" customFormat="1" hidden="1">
      <c r="A1809" s="714">
        <f>A1807+1</f>
        <v>310</v>
      </c>
      <c r="B1809" s="592" t="s">
        <v>1680</v>
      </c>
      <c r="C1809" s="593" t="s">
        <v>271</v>
      </c>
      <c r="D1809" s="594">
        <v>12852</v>
      </c>
      <c r="E1809" s="594">
        <v>2230</v>
      </c>
      <c r="F1809" s="594" t="s">
        <v>222</v>
      </c>
      <c r="G1809" s="594">
        <v>1136</v>
      </c>
      <c r="H1809" s="594">
        <v>5</v>
      </c>
      <c r="I1809" s="594">
        <v>4</v>
      </c>
      <c r="J1809" s="594">
        <v>79</v>
      </c>
      <c r="K1809" s="590" t="s">
        <v>224</v>
      </c>
      <c r="L1809" s="584">
        <f>M1809+N1809+O1809+P1809+Q1809</f>
        <v>1453988.87</v>
      </c>
      <c r="M1809" s="607">
        <v>1396900</v>
      </c>
      <c r="N1809" s="675">
        <v>42012</v>
      </c>
      <c r="O1809" s="887"/>
      <c r="P1809" s="597"/>
      <c r="Q1809" s="597">
        <v>15076.87</v>
      </c>
      <c r="R1809" s="599">
        <f>M1809/J1809</f>
        <v>17682.278481012658</v>
      </c>
      <c r="S1809" s="586">
        <f>L1809-M1809-N1809-O1809-P1809-Q1809</f>
        <v>1.1095835361629725E-10</v>
      </c>
      <c r="T1809" s="600"/>
      <c r="U1809" s="589"/>
      <c r="V1809" s="589"/>
      <c r="W1809" s="600"/>
      <c r="X1809" s="601"/>
      <c r="Y1809" s="600">
        <f t="shared" si="248"/>
        <v>1453988.87</v>
      </c>
      <c r="Z1809" s="601"/>
    </row>
    <row r="1810" spans="1:26" s="75" customFormat="1" hidden="1">
      <c r="A1810" s="714">
        <f t="shared" si="250"/>
        <v>311</v>
      </c>
      <c r="B1810" s="592" t="s">
        <v>1681</v>
      </c>
      <c r="C1810" s="593" t="s">
        <v>271</v>
      </c>
      <c r="D1810" s="594">
        <v>18378</v>
      </c>
      <c r="E1810" s="594">
        <v>3120</v>
      </c>
      <c r="F1810" s="594" t="s">
        <v>222</v>
      </c>
      <c r="G1810" s="594">
        <v>1679</v>
      </c>
      <c r="H1810" s="594">
        <v>5</v>
      </c>
      <c r="I1810" s="594">
        <v>6</v>
      </c>
      <c r="J1810" s="594">
        <v>120</v>
      </c>
      <c r="K1810" s="590" t="s">
        <v>224</v>
      </c>
      <c r="L1810" s="584">
        <f>M1810+N1810+O1810+P1810+Q1810</f>
        <v>2117355</v>
      </c>
      <c r="M1810" s="607">
        <v>2052900</v>
      </c>
      <c r="N1810" s="675">
        <v>44655</v>
      </c>
      <c r="O1810" s="887"/>
      <c r="P1810" s="597"/>
      <c r="Q1810" s="597">
        <v>19800</v>
      </c>
      <c r="R1810" s="599">
        <f>M1810/J1810</f>
        <v>17107.5</v>
      </c>
      <c r="S1810" s="586">
        <f>L1810-M1810-N1810-O1810-P1810-Q1810</f>
        <v>0</v>
      </c>
      <c r="T1810" s="600"/>
      <c r="U1810" s="589"/>
      <c r="V1810" s="589"/>
      <c r="W1810" s="600"/>
      <c r="X1810" s="601"/>
      <c r="Y1810" s="600">
        <f t="shared" si="248"/>
        <v>2117355</v>
      </c>
      <c r="Z1810" s="601"/>
    </row>
    <row r="1811" spans="1:26" s="75" customFormat="1" hidden="1">
      <c r="A1811" s="714">
        <f t="shared" si="250"/>
        <v>312</v>
      </c>
      <c r="B1811" s="592" t="s">
        <v>1682</v>
      </c>
      <c r="C1811" s="593" t="s">
        <v>271</v>
      </c>
      <c r="D1811" s="594">
        <v>12583</v>
      </c>
      <c r="E1811" s="594">
        <v>2190</v>
      </c>
      <c r="F1811" s="594" t="s">
        <v>222</v>
      </c>
      <c r="G1811" s="594">
        <v>1152</v>
      </c>
      <c r="H1811" s="594">
        <v>5</v>
      </c>
      <c r="I1811" s="594">
        <v>4</v>
      </c>
      <c r="J1811" s="594">
        <v>76</v>
      </c>
      <c r="K1811" s="590" t="s">
        <v>38</v>
      </c>
      <c r="L1811" s="584">
        <f>M1811+N1811+O1811+P1811+Q1811+M1812+N1812+O1812+Q1812</f>
        <v>9826310</v>
      </c>
      <c r="M1811" s="596">
        <v>6500000</v>
      </c>
      <c r="N1811" s="675"/>
      <c r="O1811" s="631">
        <v>16337</v>
      </c>
      <c r="P1811" s="597"/>
      <c r="Q1811" s="597">
        <v>29700</v>
      </c>
      <c r="R1811" s="599">
        <f>M1811/E1811</f>
        <v>2968.0365296803652</v>
      </c>
      <c r="S1811" s="586">
        <f>L1811-M1811-N1811-O1811-P1811-Q1811</f>
        <v>3280273</v>
      </c>
      <c r="T1811" s="600"/>
      <c r="U1811" s="589"/>
      <c r="V1811" s="589"/>
      <c r="W1811" s="600"/>
      <c r="X1811" s="601"/>
      <c r="Y1811" s="600">
        <f t="shared" si="248"/>
        <v>6546037</v>
      </c>
      <c r="Z1811" s="601"/>
    </row>
    <row r="1812" spans="1:26" s="115" customFormat="1" hidden="1">
      <c r="A1812" s="714"/>
      <c r="B1812" s="592"/>
      <c r="C1812" s="593"/>
      <c r="D1812" s="594"/>
      <c r="E1812" s="594"/>
      <c r="F1812" s="594"/>
      <c r="G1812" s="594"/>
      <c r="H1812" s="594">
        <v>76</v>
      </c>
      <c r="I1812" s="594"/>
      <c r="J1812" s="594"/>
      <c r="K1812" s="590" t="s">
        <v>33</v>
      </c>
      <c r="L1812" s="584"/>
      <c r="M1812" s="596">
        <v>3225600</v>
      </c>
      <c r="N1812" s="675"/>
      <c r="O1812" s="631">
        <v>15683</v>
      </c>
      <c r="P1812" s="597"/>
      <c r="Q1812" s="597">
        <v>38990</v>
      </c>
      <c r="R1812" s="599"/>
      <c r="S1812" s="586"/>
      <c r="T1812" s="600"/>
      <c r="U1812" s="589"/>
      <c r="V1812" s="589"/>
      <c r="W1812" s="600"/>
      <c r="X1812" s="601"/>
      <c r="Y1812" s="600">
        <f t="shared" si="248"/>
        <v>3280273</v>
      </c>
      <c r="Z1812" s="601"/>
    </row>
    <row r="1813" spans="1:26" s="75" customFormat="1" ht="37.5" hidden="1">
      <c r="A1813" s="714">
        <f>A1811+1</f>
        <v>313</v>
      </c>
      <c r="B1813" s="592" t="s">
        <v>1683</v>
      </c>
      <c r="C1813" s="593" t="s">
        <v>271</v>
      </c>
      <c r="D1813" s="594">
        <v>13478</v>
      </c>
      <c r="E1813" s="594">
        <v>2670</v>
      </c>
      <c r="F1813" s="594" t="s">
        <v>222</v>
      </c>
      <c r="G1813" s="594">
        <v>1137</v>
      </c>
      <c r="H1813" s="594">
        <v>5</v>
      </c>
      <c r="I1813" s="594">
        <v>4</v>
      </c>
      <c r="J1813" s="594">
        <v>80</v>
      </c>
      <c r="K1813" s="590" t="s">
        <v>30</v>
      </c>
      <c r="L1813" s="584">
        <f t="shared" ref="L1813:L1833" si="251">M1813+N1813+O1813+P1813+Q1813</f>
        <v>2209246.94</v>
      </c>
      <c r="M1813" s="596">
        <v>2160000</v>
      </c>
      <c r="N1813" s="675"/>
      <c r="O1813" s="631">
        <v>14928</v>
      </c>
      <c r="P1813" s="597"/>
      <c r="Q1813" s="597">
        <v>34318.94</v>
      </c>
      <c r="R1813" s="599">
        <f>M1813/J1813</f>
        <v>27000</v>
      </c>
      <c r="S1813" s="586">
        <f t="shared" ref="S1813:S1834" si="252">L1813-M1813-N1813-O1813-P1813-Q1813</f>
        <v>-5.8207660913467407E-11</v>
      </c>
      <c r="T1813" s="600"/>
      <c r="U1813" s="589"/>
      <c r="V1813" s="589"/>
      <c r="W1813" s="600"/>
      <c r="X1813" s="601"/>
      <c r="Y1813" s="600">
        <f t="shared" si="248"/>
        <v>2209246.94</v>
      </c>
      <c r="Z1813" s="601"/>
    </row>
    <row r="1814" spans="1:26" s="75" customFormat="1" hidden="1">
      <c r="A1814" s="714">
        <f t="shared" si="250"/>
        <v>314</v>
      </c>
      <c r="B1814" s="592" t="s">
        <v>1684</v>
      </c>
      <c r="C1814" s="593" t="s">
        <v>217</v>
      </c>
      <c r="D1814" s="594">
        <v>12240</v>
      </c>
      <c r="E1814" s="594">
        <v>552</v>
      </c>
      <c r="F1814" s="594" t="s">
        <v>222</v>
      </c>
      <c r="G1814" s="594">
        <v>1128</v>
      </c>
      <c r="H1814" s="594">
        <v>5</v>
      </c>
      <c r="I1814" s="594">
        <v>4</v>
      </c>
      <c r="J1814" s="594">
        <v>80</v>
      </c>
      <c r="K1814" s="590" t="s">
        <v>33</v>
      </c>
      <c r="L1814" s="584">
        <f t="shared" si="251"/>
        <v>4008474.24</v>
      </c>
      <c r="M1814" s="596">
        <v>3948000</v>
      </c>
      <c r="N1814" s="675"/>
      <c r="O1814" s="631">
        <v>22737</v>
      </c>
      <c r="P1814" s="597"/>
      <c r="Q1814" s="597">
        <v>37737.24</v>
      </c>
      <c r="R1814" s="599">
        <f>M1814/G1814</f>
        <v>3500</v>
      </c>
      <c r="S1814" s="586">
        <f t="shared" si="252"/>
        <v>2.255546860396862E-10</v>
      </c>
      <c r="T1814" s="600"/>
      <c r="U1814" s="589"/>
      <c r="V1814" s="589"/>
      <c r="W1814" s="600"/>
      <c r="X1814" s="601"/>
      <c r="Y1814" s="600">
        <f t="shared" si="248"/>
        <v>4008474.24</v>
      </c>
      <c r="Z1814" s="601"/>
    </row>
    <row r="1815" spans="1:26" s="75" customFormat="1" hidden="1">
      <c r="A1815" s="714">
        <f t="shared" si="250"/>
        <v>315</v>
      </c>
      <c r="B1815" s="592" t="s">
        <v>1685</v>
      </c>
      <c r="C1815" s="593" t="s">
        <v>271</v>
      </c>
      <c r="D1815" s="594">
        <v>12329</v>
      </c>
      <c r="E1815" s="594">
        <v>937</v>
      </c>
      <c r="F1815" s="594" t="s">
        <v>222</v>
      </c>
      <c r="G1815" s="594">
        <v>1148.9000000000001</v>
      </c>
      <c r="H1815" s="594">
        <v>5</v>
      </c>
      <c r="I1815" s="594">
        <v>4</v>
      </c>
      <c r="J1815" s="594">
        <v>78</v>
      </c>
      <c r="K1815" s="590" t="s">
        <v>33</v>
      </c>
      <c r="L1815" s="584">
        <f t="shared" si="251"/>
        <v>4081898.6200000006</v>
      </c>
      <c r="M1815" s="596">
        <v>4021150.0000000005</v>
      </c>
      <c r="N1815" s="675"/>
      <c r="O1815" s="631">
        <v>22737</v>
      </c>
      <c r="P1815" s="597"/>
      <c r="Q1815" s="597">
        <v>38011.620000000003</v>
      </c>
      <c r="R1815" s="599">
        <f>M1815/G1815</f>
        <v>3500</v>
      </c>
      <c r="S1815" s="586">
        <f t="shared" si="252"/>
        <v>1.0913936421275139E-10</v>
      </c>
      <c r="T1815" s="600"/>
      <c r="U1815" s="589"/>
      <c r="V1815" s="589"/>
      <c r="W1815" s="600"/>
      <c r="X1815" s="601"/>
      <c r="Y1815" s="600">
        <f t="shared" si="248"/>
        <v>4081898.6200000006</v>
      </c>
      <c r="Z1815" s="601"/>
    </row>
    <row r="1816" spans="1:26" s="75" customFormat="1" hidden="1">
      <c r="A1816" s="714">
        <f t="shared" si="250"/>
        <v>316</v>
      </c>
      <c r="B1816" s="592" t="s">
        <v>1686</v>
      </c>
      <c r="C1816" s="593" t="s">
        <v>217</v>
      </c>
      <c r="D1816" s="594">
        <v>9048</v>
      </c>
      <c r="E1816" s="594">
        <v>2604</v>
      </c>
      <c r="F1816" s="594" t="s">
        <v>222</v>
      </c>
      <c r="G1816" s="594">
        <v>922</v>
      </c>
      <c r="H1816" s="594">
        <v>5</v>
      </c>
      <c r="I1816" s="594">
        <v>3</v>
      </c>
      <c r="J1816" s="594">
        <v>59</v>
      </c>
      <c r="K1816" s="590" t="s">
        <v>33</v>
      </c>
      <c r="L1816" s="584">
        <f t="shared" si="251"/>
        <v>3274541.96</v>
      </c>
      <c r="M1816" s="596">
        <v>3227000</v>
      </c>
      <c r="N1816" s="675"/>
      <c r="O1816" s="631">
        <v>19646</v>
      </c>
      <c r="P1816" s="597"/>
      <c r="Q1816" s="597">
        <v>27895.96</v>
      </c>
      <c r="R1816" s="599">
        <f>M1816/G1816</f>
        <v>3500</v>
      </c>
      <c r="S1816" s="586">
        <f t="shared" si="252"/>
        <v>-3.637978807091713E-11</v>
      </c>
      <c r="T1816" s="600"/>
      <c r="U1816" s="589"/>
      <c r="V1816" s="589"/>
      <c r="W1816" s="600"/>
      <c r="X1816" s="601"/>
      <c r="Y1816" s="600">
        <f t="shared" si="248"/>
        <v>3274541.96</v>
      </c>
      <c r="Z1816" s="601"/>
    </row>
    <row r="1817" spans="1:26" s="75" customFormat="1" hidden="1">
      <c r="A1817" s="714">
        <f t="shared" si="250"/>
        <v>317</v>
      </c>
      <c r="B1817" s="592" t="s">
        <v>1687</v>
      </c>
      <c r="C1817" s="593" t="s">
        <v>271</v>
      </c>
      <c r="D1817" s="594">
        <v>13100</v>
      </c>
      <c r="E1817" s="594">
        <v>644</v>
      </c>
      <c r="F1817" s="594" t="s">
        <v>222</v>
      </c>
      <c r="G1817" s="594">
        <v>1145</v>
      </c>
      <c r="H1817" s="594">
        <v>5</v>
      </c>
      <c r="I1817" s="594">
        <v>4</v>
      </c>
      <c r="J1817" s="594">
        <v>80</v>
      </c>
      <c r="K1817" s="632" t="s">
        <v>33</v>
      </c>
      <c r="L1817" s="584">
        <f t="shared" si="251"/>
        <v>3496755</v>
      </c>
      <c r="M1817" s="596">
        <v>3435000</v>
      </c>
      <c r="N1817" s="675"/>
      <c r="O1817" s="631">
        <v>21755</v>
      </c>
      <c r="P1817" s="597"/>
      <c r="Q1817" s="597">
        <v>40000</v>
      </c>
      <c r="R1817" s="599">
        <f>M1817/J1817</f>
        <v>42937.5</v>
      </c>
      <c r="S1817" s="586">
        <f t="shared" si="252"/>
        <v>0</v>
      </c>
      <c r="T1817" s="600"/>
      <c r="U1817" s="589"/>
      <c r="V1817" s="589"/>
      <c r="W1817" s="600"/>
      <c r="X1817" s="601"/>
      <c r="Y1817" s="600">
        <f t="shared" si="248"/>
        <v>3496755</v>
      </c>
      <c r="Z1817" s="601"/>
    </row>
    <row r="1818" spans="1:26" s="75" customFormat="1" hidden="1">
      <c r="A1818" s="714">
        <f t="shared" si="250"/>
        <v>318</v>
      </c>
      <c r="B1818" s="592" t="s">
        <v>1688</v>
      </c>
      <c r="C1818" s="593" t="s">
        <v>271</v>
      </c>
      <c r="D1818" s="594">
        <v>3675</v>
      </c>
      <c r="E1818" s="594">
        <v>560</v>
      </c>
      <c r="F1818" s="594" t="s">
        <v>222</v>
      </c>
      <c r="G1818" s="594">
        <v>354.6</v>
      </c>
      <c r="H1818" s="594">
        <v>3</v>
      </c>
      <c r="I1818" s="594">
        <v>1</v>
      </c>
      <c r="J1818" s="594">
        <v>46</v>
      </c>
      <c r="K1818" s="590" t="s">
        <v>33</v>
      </c>
      <c r="L1818" s="584">
        <f t="shared" si="251"/>
        <v>1022462.4200000002</v>
      </c>
      <c r="M1818" s="596">
        <v>992880.00000000012</v>
      </c>
      <c r="N1818" s="675"/>
      <c r="O1818" s="631">
        <v>18252</v>
      </c>
      <c r="P1818" s="597"/>
      <c r="Q1818" s="597">
        <v>11330.42</v>
      </c>
      <c r="R1818" s="599">
        <f>M1818/G1818</f>
        <v>2800</v>
      </c>
      <c r="S1818" s="586">
        <f t="shared" si="252"/>
        <v>4.1836756281554699E-11</v>
      </c>
      <c r="T1818" s="600"/>
      <c r="U1818" s="589"/>
      <c r="V1818" s="589"/>
      <c r="W1818" s="600"/>
      <c r="X1818" s="601"/>
      <c r="Y1818" s="600">
        <f t="shared" si="248"/>
        <v>1022462.4200000002</v>
      </c>
      <c r="Z1818" s="601"/>
    </row>
    <row r="1819" spans="1:26" s="75" customFormat="1" hidden="1">
      <c r="A1819" s="714">
        <f t="shared" si="250"/>
        <v>319</v>
      </c>
      <c r="B1819" s="592" t="s">
        <v>1689</v>
      </c>
      <c r="C1819" s="593" t="s">
        <v>271</v>
      </c>
      <c r="D1819" s="594">
        <v>4087</v>
      </c>
      <c r="E1819" s="594">
        <v>818.4</v>
      </c>
      <c r="F1819" s="594" t="s">
        <v>222</v>
      </c>
      <c r="G1819" s="594">
        <v>555.1</v>
      </c>
      <c r="H1819" s="594">
        <v>2</v>
      </c>
      <c r="I1819" s="594">
        <v>2</v>
      </c>
      <c r="J1819" s="594">
        <v>16</v>
      </c>
      <c r="K1819" s="590" t="s">
        <v>33</v>
      </c>
      <c r="L1819" s="584">
        <f t="shared" si="251"/>
        <v>1591516.75</v>
      </c>
      <c r="M1819" s="596">
        <v>1554280</v>
      </c>
      <c r="N1819" s="675"/>
      <c r="O1819" s="631">
        <v>17324</v>
      </c>
      <c r="P1819" s="597"/>
      <c r="Q1819" s="597">
        <v>19912.75</v>
      </c>
      <c r="R1819" s="599">
        <f>M1819/G1819</f>
        <v>2800</v>
      </c>
      <c r="S1819" s="586">
        <f t="shared" si="252"/>
        <v>0</v>
      </c>
      <c r="T1819" s="600"/>
      <c r="U1819" s="589"/>
      <c r="V1819" s="589"/>
      <c r="W1819" s="600"/>
      <c r="X1819" s="601"/>
      <c r="Y1819" s="600">
        <f t="shared" si="248"/>
        <v>1591516.75</v>
      </c>
      <c r="Z1819" s="601"/>
    </row>
    <row r="1820" spans="1:26" s="75" customFormat="1" hidden="1">
      <c r="A1820" s="714">
        <f t="shared" si="250"/>
        <v>320</v>
      </c>
      <c r="B1820" s="592" t="s">
        <v>1690</v>
      </c>
      <c r="C1820" s="593" t="s">
        <v>271</v>
      </c>
      <c r="D1820" s="594">
        <v>12205</v>
      </c>
      <c r="E1820" s="594">
        <v>2716.8</v>
      </c>
      <c r="F1820" s="594" t="s">
        <v>222</v>
      </c>
      <c r="G1820" s="594">
        <v>1152</v>
      </c>
      <c r="H1820" s="594">
        <v>5</v>
      </c>
      <c r="I1820" s="594">
        <v>4</v>
      </c>
      <c r="J1820" s="594">
        <v>61</v>
      </c>
      <c r="K1820" s="590" t="s">
        <v>224</v>
      </c>
      <c r="L1820" s="584">
        <f t="shared" si="251"/>
        <v>1155929.1499999999</v>
      </c>
      <c r="M1820" s="607">
        <v>1108900</v>
      </c>
      <c r="N1820" s="675">
        <v>32137</v>
      </c>
      <c r="O1820" s="887"/>
      <c r="P1820" s="597"/>
      <c r="Q1820" s="597">
        <v>14892.15</v>
      </c>
      <c r="R1820" s="599">
        <f>M1820/J1820</f>
        <v>18178.688524590165</v>
      </c>
      <c r="S1820" s="586">
        <f t="shared" si="252"/>
        <v>-9.276845958083868E-11</v>
      </c>
      <c r="T1820" s="600"/>
      <c r="U1820" s="589"/>
      <c r="V1820" s="589"/>
      <c r="W1820" s="600"/>
      <c r="X1820" s="601"/>
      <c r="Y1820" s="600">
        <f t="shared" si="248"/>
        <v>1155929.1499999999</v>
      </c>
      <c r="Z1820" s="601"/>
    </row>
    <row r="1821" spans="1:26" s="75" customFormat="1" ht="37.5" hidden="1">
      <c r="A1821" s="714">
        <f t="shared" si="250"/>
        <v>321</v>
      </c>
      <c r="B1821" s="592" t="s">
        <v>1691</v>
      </c>
      <c r="C1821" s="593" t="s">
        <v>271</v>
      </c>
      <c r="D1821" s="594">
        <v>14949</v>
      </c>
      <c r="E1821" s="594">
        <v>3289.2</v>
      </c>
      <c r="F1821" s="594" t="s">
        <v>222</v>
      </c>
      <c r="G1821" s="594">
        <v>1100</v>
      </c>
      <c r="H1821" s="594">
        <v>5</v>
      </c>
      <c r="I1821" s="594">
        <v>4</v>
      </c>
      <c r="J1821" s="594">
        <v>49</v>
      </c>
      <c r="K1821" s="590" t="s">
        <v>30</v>
      </c>
      <c r="L1821" s="584">
        <f t="shared" si="251"/>
        <v>1372617.95</v>
      </c>
      <c r="M1821" s="596">
        <v>1323000</v>
      </c>
      <c r="N1821" s="675"/>
      <c r="O1821" s="631">
        <v>15299</v>
      </c>
      <c r="P1821" s="597"/>
      <c r="Q1821" s="597">
        <v>34318.949999999997</v>
      </c>
      <c r="R1821" s="599">
        <f>M1821/J1821</f>
        <v>27000</v>
      </c>
      <c r="S1821" s="586">
        <f t="shared" si="252"/>
        <v>0</v>
      </c>
      <c r="T1821" s="600"/>
      <c r="U1821" s="589"/>
      <c r="V1821" s="589"/>
      <c r="W1821" s="600"/>
      <c r="X1821" s="601"/>
      <c r="Y1821" s="600">
        <f t="shared" si="248"/>
        <v>1372617.95</v>
      </c>
      <c r="Z1821" s="601"/>
    </row>
    <row r="1822" spans="1:26" s="75" customFormat="1" hidden="1">
      <c r="A1822" s="714">
        <f t="shared" si="250"/>
        <v>322</v>
      </c>
      <c r="B1822" s="592" t="s">
        <v>1692</v>
      </c>
      <c r="C1822" s="593" t="s">
        <v>271</v>
      </c>
      <c r="D1822" s="594">
        <v>16221</v>
      </c>
      <c r="E1822" s="594">
        <v>2269.6999999999998</v>
      </c>
      <c r="F1822" s="594" t="s">
        <v>222</v>
      </c>
      <c r="G1822" s="594">
        <v>1435</v>
      </c>
      <c r="H1822" s="594">
        <v>4</v>
      </c>
      <c r="I1822" s="594">
        <v>5</v>
      </c>
      <c r="J1822" s="594">
        <v>43</v>
      </c>
      <c r="K1822" s="590" t="s">
        <v>224</v>
      </c>
      <c r="L1822" s="584">
        <f t="shared" si="251"/>
        <v>869014.43</v>
      </c>
      <c r="M1822" s="607">
        <v>820900</v>
      </c>
      <c r="N1822" s="675">
        <v>34923</v>
      </c>
      <c r="O1822" s="887"/>
      <c r="P1822" s="597">
        <v>0</v>
      </c>
      <c r="Q1822" s="597">
        <v>13191.43</v>
      </c>
      <c r="R1822" s="599">
        <f>M1822/J1822</f>
        <v>19090.697674418603</v>
      </c>
      <c r="S1822" s="586">
        <f t="shared" si="252"/>
        <v>5.0931703299283981E-11</v>
      </c>
      <c r="T1822" s="600"/>
      <c r="U1822" s="589"/>
      <c r="V1822" s="589"/>
      <c r="W1822" s="600"/>
      <c r="X1822" s="601"/>
      <c r="Y1822" s="600">
        <f t="shared" si="248"/>
        <v>869014.43</v>
      </c>
      <c r="Z1822" s="601"/>
    </row>
    <row r="1823" spans="1:26" s="75" customFormat="1" hidden="1">
      <c r="A1823" s="714">
        <f t="shared" si="250"/>
        <v>323</v>
      </c>
      <c r="B1823" s="592" t="s">
        <v>1693</v>
      </c>
      <c r="C1823" s="593" t="s">
        <v>217</v>
      </c>
      <c r="D1823" s="594">
        <v>10664</v>
      </c>
      <c r="E1823" s="594">
        <v>1811</v>
      </c>
      <c r="F1823" s="594" t="s">
        <v>222</v>
      </c>
      <c r="G1823" s="594">
        <v>1138</v>
      </c>
      <c r="H1823" s="594">
        <v>5</v>
      </c>
      <c r="I1823" s="594">
        <v>3</v>
      </c>
      <c r="J1823" s="594">
        <v>59</v>
      </c>
      <c r="K1823" s="590" t="s">
        <v>224</v>
      </c>
      <c r="L1823" s="584">
        <f t="shared" si="251"/>
        <v>1129339.1100000001</v>
      </c>
      <c r="M1823" s="607">
        <v>1076900</v>
      </c>
      <c r="N1823" s="675">
        <v>40966</v>
      </c>
      <c r="O1823" s="887"/>
      <c r="P1823" s="597"/>
      <c r="Q1823" s="597">
        <v>11473.11</v>
      </c>
      <c r="R1823" s="599">
        <f>M1823/J1823</f>
        <v>18252.542372881355</v>
      </c>
      <c r="S1823" s="586">
        <f t="shared" si="252"/>
        <v>1.0186340659856796E-10</v>
      </c>
      <c r="T1823" s="600"/>
      <c r="U1823" s="589"/>
      <c r="V1823" s="589"/>
      <c r="W1823" s="600"/>
      <c r="X1823" s="601"/>
      <c r="Y1823" s="600">
        <f t="shared" si="248"/>
        <v>1129339.1100000001</v>
      </c>
      <c r="Z1823" s="601"/>
    </row>
    <row r="1824" spans="1:26" s="75" customFormat="1" hidden="1">
      <c r="A1824" s="714">
        <f t="shared" si="250"/>
        <v>324</v>
      </c>
      <c r="B1824" s="592" t="s">
        <v>1694</v>
      </c>
      <c r="C1824" s="593" t="s">
        <v>217</v>
      </c>
      <c r="D1824" s="594">
        <v>16144</v>
      </c>
      <c r="E1824" s="594">
        <v>3510</v>
      </c>
      <c r="F1824" s="594" t="s">
        <v>233</v>
      </c>
      <c r="G1824" s="594">
        <v>537.79999999999995</v>
      </c>
      <c r="H1824" s="594">
        <v>9</v>
      </c>
      <c r="I1824" s="594">
        <v>2</v>
      </c>
      <c r="J1824" s="594">
        <v>72</v>
      </c>
      <c r="K1824" s="590" t="s">
        <v>224</v>
      </c>
      <c r="L1824" s="584">
        <f t="shared" si="251"/>
        <v>1621099.22</v>
      </c>
      <c r="M1824" s="607">
        <v>1572900</v>
      </c>
      <c r="N1824" s="675">
        <v>32117</v>
      </c>
      <c r="O1824" s="887"/>
      <c r="P1824" s="597"/>
      <c r="Q1824" s="597">
        <v>16082.22</v>
      </c>
      <c r="R1824" s="599">
        <f>M1824/J1824</f>
        <v>21845.833333333332</v>
      </c>
      <c r="S1824" s="586">
        <f t="shared" si="252"/>
        <v>-2.7284841053187847E-11</v>
      </c>
      <c r="T1824" s="600"/>
      <c r="U1824" s="589"/>
      <c r="V1824" s="589"/>
      <c r="W1824" s="600"/>
      <c r="X1824" s="601"/>
      <c r="Y1824" s="600">
        <f t="shared" si="248"/>
        <v>1621099.22</v>
      </c>
      <c r="Z1824" s="601"/>
    </row>
    <row r="1825" spans="1:26" s="75" customFormat="1" hidden="1">
      <c r="A1825" s="714">
        <f t="shared" si="250"/>
        <v>325</v>
      </c>
      <c r="B1825" s="592" t="s">
        <v>1695</v>
      </c>
      <c r="C1825" s="593" t="s">
        <v>229</v>
      </c>
      <c r="D1825" s="594">
        <v>2292</v>
      </c>
      <c r="E1825" s="594">
        <v>780</v>
      </c>
      <c r="F1825" s="594" t="s">
        <v>222</v>
      </c>
      <c r="G1825" s="594">
        <v>498.3</v>
      </c>
      <c r="H1825" s="594">
        <v>2</v>
      </c>
      <c r="I1825" s="594">
        <v>2</v>
      </c>
      <c r="J1825" s="594">
        <v>9</v>
      </c>
      <c r="K1825" s="590" t="s">
        <v>398</v>
      </c>
      <c r="L1825" s="584">
        <f t="shared" si="251"/>
        <v>1125322.1100000001</v>
      </c>
      <c r="M1825" s="596">
        <v>1096260</v>
      </c>
      <c r="N1825" s="675"/>
      <c r="O1825" s="631">
        <v>17895</v>
      </c>
      <c r="P1825" s="597"/>
      <c r="Q1825" s="597">
        <v>11167.11</v>
      </c>
      <c r="R1825" s="599">
        <f>M1825/G1825</f>
        <v>2200</v>
      </c>
      <c r="S1825" s="586">
        <f t="shared" si="252"/>
        <v>1.0186340659856796E-10</v>
      </c>
      <c r="T1825" s="600"/>
      <c r="U1825" s="589"/>
      <c r="V1825" s="589"/>
      <c r="W1825" s="600"/>
      <c r="X1825" s="601"/>
      <c r="Y1825" s="600">
        <f t="shared" si="248"/>
        <v>1125322.1100000001</v>
      </c>
      <c r="Z1825" s="601"/>
    </row>
    <row r="1826" spans="1:26" s="75" customFormat="1" ht="37.5" hidden="1">
      <c r="A1826" s="714">
        <f t="shared" si="250"/>
        <v>326</v>
      </c>
      <c r="B1826" s="592" t="s">
        <v>1696</v>
      </c>
      <c r="C1826" s="593" t="s">
        <v>271</v>
      </c>
      <c r="D1826" s="594">
        <v>7974</v>
      </c>
      <c r="E1826" s="594">
        <v>1351.64</v>
      </c>
      <c r="F1826" s="594" t="s">
        <v>233</v>
      </c>
      <c r="G1826" s="594">
        <v>505</v>
      </c>
      <c r="H1826" s="594">
        <v>5</v>
      </c>
      <c r="I1826" s="594">
        <v>1</v>
      </c>
      <c r="J1826" s="594">
        <v>20</v>
      </c>
      <c r="K1826" s="590" t="s">
        <v>30</v>
      </c>
      <c r="L1826" s="584">
        <f t="shared" si="251"/>
        <v>586162.4</v>
      </c>
      <c r="M1826" s="596">
        <v>540000</v>
      </c>
      <c r="N1826" s="675"/>
      <c r="O1826" s="631">
        <v>24829</v>
      </c>
      <c r="P1826" s="597"/>
      <c r="Q1826" s="597">
        <v>21333.4</v>
      </c>
      <c r="R1826" s="599">
        <f>M1826/J1826</f>
        <v>27000</v>
      </c>
      <c r="S1826" s="586">
        <f t="shared" si="252"/>
        <v>0</v>
      </c>
      <c r="T1826" s="600"/>
      <c r="U1826" s="589"/>
      <c r="V1826" s="589"/>
      <c r="W1826" s="600"/>
      <c r="X1826" s="601"/>
      <c r="Y1826" s="600">
        <f t="shared" si="248"/>
        <v>586162.4</v>
      </c>
      <c r="Z1826" s="601"/>
    </row>
    <row r="1827" spans="1:26" s="75" customFormat="1" hidden="1">
      <c r="A1827" s="714">
        <f t="shared" si="250"/>
        <v>327</v>
      </c>
      <c r="B1827" s="592" t="s">
        <v>1697</v>
      </c>
      <c r="C1827" s="593" t="s">
        <v>217</v>
      </c>
      <c r="D1827" s="594">
        <v>17093</v>
      </c>
      <c r="E1827" s="594">
        <v>2727</v>
      </c>
      <c r="F1827" s="594" t="s">
        <v>233</v>
      </c>
      <c r="G1827" s="594">
        <v>675</v>
      </c>
      <c r="H1827" s="594">
        <v>9</v>
      </c>
      <c r="I1827" s="594">
        <v>2</v>
      </c>
      <c r="J1827" s="594">
        <v>72</v>
      </c>
      <c r="K1827" s="590" t="s">
        <v>224</v>
      </c>
      <c r="L1827" s="584">
        <f t="shared" si="251"/>
        <v>1623957.55</v>
      </c>
      <c r="M1827" s="607">
        <v>1572900</v>
      </c>
      <c r="N1827" s="675">
        <v>32451</v>
      </c>
      <c r="O1827" s="887"/>
      <c r="P1827" s="597"/>
      <c r="Q1827" s="597">
        <v>18606.55</v>
      </c>
      <c r="R1827" s="599">
        <f>M1827/J1827</f>
        <v>21845.833333333332</v>
      </c>
      <c r="S1827" s="586">
        <f t="shared" si="252"/>
        <v>4.7293724492192268E-11</v>
      </c>
      <c r="T1827" s="600"/>
      <c r="U1827" s="589"/>
      <c r="V1827" s="589"/>
      <c r="W1827" s="600"/>
      <c r="X1827" s="601"/>
      <c r="Y1827" s="600">
        <f t="shared" si="248"/>
        <v>1623957.55</v>
      </c>
      <c r="Z1827" s="601"/>
    </row>
    <row r="1828" spans="1:26" s="75" customFormat="1" hidden="1">
      <c r="A1828" s="714">
        <f t="shared" si="250"/>
        <v>328</v>
      </c>
      <c r="B1828" s="592" t="s">
        <v>1698</v>
      </c>
      <c r="C1828" s="593" t="s">
        <v>217</v>
      </c>
      <c r="D1828" s="594">
        <v>30879</v>
      </c>
      <c r="E1828" s="594">
        <v>5103</v>
      </c>
      <c r="F1828" s="594" t="s">
        <v>233</v>
      </c>
      <c r="G1828" s="594">
        <v>1322</v>
      </c>
      <c r="H1828" s="594">
        <v>9</v>
      </c>
      <c r="I1828" s="594">
        <v>4</v>
      </c>
      <c r="J1828" s="594">
        <v>144</v>
      </c>
      <c r="K1828" s="590" t="s">
        <v>377</v>
      </c>
      <c r="L1828" s="584">
        <f t="shared" si="251"/>
        <v>2823341</v>
      </c>
      <c r="M1828" s="596">
        <v>2776200</v>
      </c>
      <c r="N1828" s="675"/>
      <c r="O1828" s="631">
        <v>27241</v>
      </c>
      <c r="P1828" s="597"/>
      <c r="Q1828" s="597">
        <v>19900</v>
      </c>
      <c r="R1828" s="599">
        <f>M1828/G1828</f>
        <v>2100</v>
      </c>
      <c r="S1828" s="586">
        <f t="shared" si="252"/>
        <v>0</v>
      </c>
      <c r="T1828" s="600"/>
      <c r="U1828" s="589"/>
      <c r="V1828" s="589"/>
      <c r="W1828" s="600"/>
      <c r="X1828" s="601"/>
      <c r="Y1828" s="600">
        <f t="shared" si="248"/>
        <v>2823341</v>
      </c>
      <c r="Z1828" s="601"/>
    </row>
    <row r="1829" spans="1:26" s="75" customFormat="1" hidden="1">
      <c r="A1829" s="714">
        <f t="shared" si="250"/>
        <v>329</v>
      </c>
      <c r="B1829" s="592" t="s">
        <v>1699</v>
      </c>
      <c r="C1829" s="593" t="s">
        <v>217</v>
      </c>
      <c r="D1829" s="594">
        <v>15880</v>
      </c>
      <c r="E1829" s="594">
        <v>2552</v>
      </c>
      <c r="F1829" s="594" t="s">
        <v>233</v>
      </c>
      <c r="G1829" s="594">
        <v>692</v>
      </c>
      <c r="H1829" s="594">
        <v>9</v>
      </c>
      <c r="I1829" s="594">
        <v>2</v>
      </c>
      <c r="J1829" s="594">
        <v>72</v>
      </c>
      <c r="K1829" s="590" t="s">
        <v>224</v>
      </c>
      <c r="L1829" s="584">
        <f t="shared" si="251"/>
        <v>1621791.42</v>
      </c>
      <c r="M1829" s="607">
        <v>1572900</v>
      </c>
      <c r="N1829" s="675">
        <v>32024</v>
      </c>
      <c r="O1829" s="887"/>
      <c r="P1829" s="597"/>
      <c r="Q1829" s="597">
        <v>16867.419999999998</v>
      </c>
      <c r="R1829" s="599">
        <f>M1829/G1829</f>
        <v>2272.976878612717</v>
      </c>
      <c r="S1829" s="586">
        <f t="shared" si="252"/>
        <v>-7.2759576141834259E-11</v>
      </c>
      <c r="T1829" s="600"/>
      <c r="U1829" s="589"/>
      <c r="V1829" s="589"/>
      <c r="W1829" s="600"/>
      <c r="X1829" s="601"/>
      <c r="Y1829" s="600">
        <f t="shared" si="248"/>
        <v>1621791.42</v>
      </c>
      <c r="Z1829" s="601"/>
    </row>
    <row r="1830" spans="1:26" s="75" customFormat="1" ht="56.25" hidden="1">
      <c r="A1830" s="714">
        <f t="shared" si="250"/>
        <v>330</v>
      </c>
      <c r="B1830" s="592" t="s">
        <v>1703</v>
      </c>
      <c r="C1830" s="593" t="s">
        <v>271</v>
      </c>
      <c r="D1830" s="594">
        <v>16361</v>
      </c>
      <c r="E1830" s="594">
        <v>3379</v>
      </c>
      <c r="F1830" s="594" t="s">
        <v>222</v>
      </c>
      <c r="G1830" s="594">
        <v>1487.3</v>
      </c>
      <c r="H1830" s="594">
        <v>5</v>
      </c>
      <c r="I1830" s="594">
        <v>5</v>
      </c>
      <c r="J1830" s="594">
        <v>100</v>
      </c>
      <c r="K1830" s="590" t="s">
        <v>3878</v>
      </c>
      <c r="L1830" s="584">
        <f t="shared" si="251"/>
        <v>10196442</v>
      </c>
      <c r="M1830" s="596">
        <v>10137000</v>
      </c>
      <c r="N1830" s="675">
        <v>29742</v>
      </c>
      <c r="O1830" s="887"/>
      <c r="P1830" s="597"/>
      <c r="Q1830" s="597">
        <v>29700</v>
      </c>
      <c r="R1830" s="599">
        <f>M1830/E1830</f>
        <v>3000</v>
      </c>
      <c r="S1830" s="586">
        <f t="shared" si="252"/>
        <v>0</v>
      </c>
      <c r="T1830" s="600"/>
      <c r="U1830" s="589"/>
      <c r="V1830" s="589"/>
      <c r="W1830" s="600"/>
      <c r="X1830" s="601"/>
      <c r="Y1830" s="600">
        <f t="shared" si="248"/>
        <v>10196442</v>
      </c>
      <c r="Z1830" s="601"/>
    </row>
    <row r="1831" spans="1:26" s="75" customFormat="1" hidden="1">
      <c r="A1831" s="714">
        <f t="shared" si="250"/>
        <v>331</v>
      </c>
      <c r="B1831" s="592" t="s">
        <v>1704</v>
      </c>
      <c r="C1831" s="593" t="s">
        <v>271</v>
      </c>
      <c r="D1831" s="594">
        <v>18762</v>
      </c>
      <c r="E1831" s="594">
        <v>3460</v>
      </c>
      <c r="F1831" s="594" t="s">
        <v>233</v>
      </c>
      <c r="G1831" s="594">
        <v>613</v>
      </c>
      <c r="H1831" s="594">
        <v>12</v>
      </c>
      <c r="I1831" s="594">
        <v>1</v>
      </c>
      <c r="J1831" s="594">
        <v>83</v>
      </c>
      <c r="K1831" s="590" t="s">
        <v>33</v>
      </c>
      <c r="L1831" s="584">
        <f t="shared" si="251"/>
        <v>1333421</v>
      </c>
      <c r="M1831" s="596">
        <v>1287300</v>
      </c>
      <c r="N1831" s="675"/>
      <c r="O1831" s="631">
        <v>26221</v>
      </c>
      <c r="P1831" s="597"/>
      <c r="Q1831" s="597">
        <v>19900</v>
      </c>
      <c r="R1831" s="599">
        <f>M1831/G1831</f>
        <v>2100</v>
      </c>
      <c r="S1831" s="586">
        <f t="shared" si="252"/>
        <v>0</v>
      </c>
      <c r="T1831" s="600"/>
      <c r="U1831" s="589"/>
      <c r="V1831" s="589"/>
      <c r="W1831" s="600"/>
      <c r="X1831" s="601"/>
      <c r="Y1831" s="600">
        <f t="shared" si="248"/>
        <v>1333421</v>
      </c>
      <c r="Z1831" s="601"/>
    </row>
    <row r="1832" spans="1:26" s="75" customFormat="1" hidden="1">
      <c r="A1832" s="714">
        <f t="shared" si="250"/>
        <v>332</v>
      </c>
      <c r="B1832" s="592" t="s">
        <v>1705</v>
      </c>
      <c r="C1832" s="593" t="s">
        <v>217</v>
      </c>
      <c r="D1832" s="594">
        <v>15865</v>
      </c>
      <c r="E1832" s="594">
        <v>3400</v>
      </c>
      <c r="F1832" s="594" t="s">
        <v>233</v>
      </c>
      <c r="G1832" s="594">
        <v>685</v>
      </c>
      <c r="H1832" s="594">
        <v>9</v>
      </c>
      <c r="I1832" s="594">
        <v>2</v>
      </c>
      <c r="J1832" s="594">
        <v>72</v>
      </c>
      <c r="K1832" s="590" t="s">
        <v>33</v>
      </c>
      <c r="L1832" s="584">
        <f t="shared" si="251"/>
        <v>1483811</v>
      </c>
      <c r="M1832" s="596">
        <v>1438500</v>
      </c>
      <c r="N1832" s="675"/>
      <c r="O1832" s="631">
        <v>25411</v>
      </c>
      <c r="P1832" s="597"/>
      <c r="Q1832" s="597">
        <v>19900</v>
      </c>
      <c r="R1832" s="599">
        <f>M1832/G1832</f>
        <v>2100</v>
      </c>
      <c r="S1832" s="586">
        <f t="shared" si="252"/>
        <v>0</v>
      </c>
      <c r="T1832" s="600"/>
      <c r="U1832" s="589"/>
      <c r="V1832" s="589"/>
      <c r="W1832" s="600"/>
      <c r="X1832" s="601"/>
      <c r="Y1832" s="600">
        <f t="shared" si="248"/>
        <v>1483811</v>
      </c>
      <c r="Z1832" s="601"/>
    </row>
    <row r="1833" spans="1:26" s="75" customFormat="1" hidden="1">
      <c r="A1833" s="714">
        <f t="shared" si="250"/>
        <v>333</v>
      </c>
      <c r="B1833" s="592" t="s">
        <v>1706</v>
      </c>
      <c r="C1833" s="593" t="s">
        <v>271</v>
      </c>
      <c r="D1833" s="594">
        <v>11439</v>
      </c>
      <c r="E1833" s="594">
        <v>1300</v>
      </c>
      <c r="F1833" s="594" t="s">
        <v>233</v>
      </c>
      <c r="G1833" s="594">
        <v>416</v>
      </c>
      <c r="H1833" s="594">
        <v>9</v>
      </c>
      <c r="I1833" s="594">
        <v>1</v>
      </c>
      <c r="J1833" s="594">
        <v>51</v>
      </c>
      <c r="K1833" s="590" t="s">
        <v>224</v>
      </c>
      <c r="L1833" s="584">
        <f t="shared" si="251"/>
        <v>1197386.52</v>
      </c>
      <c r="M1833" s="607">
        <v>1152900</v>
      </c>
      <c r="N1833" s="675">
        <v>32634</v>
      </c>
      <c r="O1833" s="887"/>
      <c r="P1833" s="597"/>
      <c r="Q1833" s="597">
        <v>11852.52</v>
      </c>
      <c r="R1833" s="599">
        <f>M1833/J1833</f>
        <v>22605.882352941175</v>
      </c>
      <c r="S1833" s="586">
        <f t="shared" si="252"/>
        <v>1.8189894035458565E-11</v>
      </c>
      <c r="T1833" s="600"/>
      <c r="U1833" s="589"/>
      <c r="V1833" s="589"/>
      <c r="W1833" s="600"/>
      <c r="X1833" s="601"/>
      <c r="Y1833" s="600">
        <f t="shared" si="248"/>
        <v>1197386.52</v>
      </c>
      <c r="Z1833" s="601"/>
    </row>
    <row r="1834" spans="1:26" s="75" customFormat="1" hidden="1">
      <c r="A1834" s="714">
        <f t="shared" si="250"/>
        <v>334</v>
      </c>
      <c r="B1834" s="592" t="s">
        <v>1707</v>
      </c>
      <c r="C1834" s="593" t="s">
        <v>271</v>
      </c>
      <c r="D1834" s="594">
        <v>9741</v>
      </c>
      <c r="E1834" s="594">
        <v>3249</v>
      </c>
      <c r="F1834" s="594" t="s">
        <v>233</v>
      </c>
      <c r="G1834" s="594">
        <v>319</v>
      </c>
      <c r="H1834" s="594">
        <v>9</v>
      </c>
      <c r="I1834" s="594">
        <v>1</v>
      </c>
      <c r="J1834" s="594">
        <v>54</v>
      </c>
      <c r="K1834" s="590" t="s">
        <v>38</v>
      </c>
      <c r="L1834" s="584">
        <f>M1834+N1834+O1834+P1834+Q1834+M1835+N1835+O1835+Q1835</f>
        <v>8317932.8600000003</v>
      </c>
      <c r="M1834" s="596">
        <v>7000000</v>
      </c>
      <c r="N1834" s="675">
        <v>29860</v>
      </c>
      <c r="O1834" s="887">
        <v>19907</v>
      </c>
      <c r="P1834" s="597"/>
      <c r="Q1834" s="597">
        <v>21270.86</v>
      </c>
      <c r="R1834" s="599">
        <f>M1834/E1834</f>
        <v>2154.5090797168359</v>
      </c>
      <c r="S1834" s="586">
        <f t="shared" si="252"/>
        <v>1246895.0000000002</v>
      </c>
      <c r="T1834" s="600"/>
      <c r="U1834" s="589"/>
      <c r="V1834" s="589"/>
      <c r="W1834" s="600"/>
      <c r="X1834" s="601"/>
      <c r="Y1834" s="600">
        <f t="shared" si="248"/>
        <v>7071037.8600000003</v>
      </c>
      <c r="Z1834" s="601"/>
    </row>
    <row r="1835" spans="1:26" s="75" customFormat="1" hidden="1">
      <c r="A1835" s="714"/>
      <c r="B1835" s="592"/>
      <c r="C1835" s="593"/>
      <c r="D1835" s="594"/>
      <c r="E1835" s="594"/>
      <c r="F1835" s="594"/>
      <c r="G1835" s="594"/>
      <c r="H1835" s="594"/>
      <c r="I1835" s="594"/>
      <c r="J1835" s="594"/>
      <c r="K1835" s="590" t="s">
        <v>224</v>
      </c>
      <c r="L1835" s="584"/>
      <c r="M1835" s="596">
        <v>1188000</v>
      </c>
      <c r="N1835" s="675">
        <v>39807</v>
      </c>
      <c r="O1835" s="887"/>
      <c r="P1835" s="597"/>
      <c r="Q1835" s="597">
        <v>19088</v>
      </c>
      <c r="R1835" s="599"/>
      <c r="S1835" s="586"/>
      <c r="T1835" s="600"/>
      <c r="U1835" s="589"/>
      <c r="V1835" s="589"/>
      <c r="W1835" s="600"/>
      <c r="X1835" s="601"/>
      <c r="Y1835" s="600">
        <f t="shared" si="248"/>
        <v>1246895</v>
      </c>
      <c r="Z1835" s="601"/>
    </row>
    <row r="1836" spans="1:26" s="75" customFormat="1" ht="37.5" hidden="1">
      <c r="A1836" s="714">
        <f>A1834+1</f>
        <v>335</v>
      </c>
      <c r="B1836" s="592" t="s">
        <v>1708</v>
      </c>
      <c r="C1836" s="593" t="s">
        <v>271</v>
      </c>
      <c r="D1836" s="594">
        <v>19418</v>
      </c>
      <c r="E1836" s="594">
        <v>2550</v>
      </c>
      <c r="F1836" s="594" t="s">
        <v>222</v>
      </c>
      <c r="G1836" s="594">
        <v>1803</v>
      </c>
      <c r="H1836" s="594">
        <v>5</v>
      </c>
      <c r="I1836" s="594">
        <v>6</v>
      </c>
      <c r="J1836" s="594">
        <v>106</v>
      </c>
      <c r="K1836" s="590" t="s">
        <v>30</v>
      </c>
      <c r="L1836" s="584">
        <f t="shared" ref="L1836:L1843" si="253">M1836+N1836+O1836+P1836+Q1836</f>
        <v>2918223</v>
      </c>
      <c r="M1836" s="596">
        <v>2862000</v>
      </c>
      <c r="N1836" s="675"/>
      <c r="O1836" s="631">
        <v>16423</v>
      </c>
      <c r="P1836" s="597"/>
      <c r="Q1836" s="597">
        <v>39800</v>
      </c>
      <c r="R1836" s="599">
        <f>M1836/J1836</f>
        <v>27000</v>
      </c>
      <c r="S1836" s="586">
        <f t="shared" ref="S1836:S1867" si="254">L1836-M1836-N1836-O1836-P1836-Q1836</f>
        <v>0</v>
      </c>
      <c r="T1836" s="600"/>
      <c r="U1836" s="589"/>
      <c r="V1836" s="589"/>
      <c r="W1836" s="600"/>
      <c r="X1836" s="601"/>
      <c r="Y1836" s="600">
        <f t="shared" si="248"/>
        <v>2918223</v>
      </c>
      <c r="Z1836" s="601"/>
    </row>
    <row r="1837" spans="1:26" s="75" customFormat="1" hidden="1">
      <c r="A1837" s="714">
        <f t="shared" si="250"/>
        <v>336</v>
      </c>
      <c r="B1837" s="592" t="s">
        <v>1709</v>
      </c>
      <c r="C1837" s="593" t="s">
        <v>217</v>
      </c>
      <c r="D1837" s="594">
        <v>21439</v>
      </c>
      <c r="E1837" s="594">
        <v>4155</v>
      </c>
      <c r="F1837" s="594" t="s">
        <v>222</v>
      </c>
      <c r="G1837" s="594">
        <v>1977</v>
      </c>
      <c r="H1837" s="594">
        <v>5</v>
      </c>
      <c r="I1837" s="594">
        <v>7</v>
      </c>
      <c r="J1837" s="594">
        <v>139</v>
      </c>
      <c r="K1837" s="590" t="s">
        <v>224</v>
      </c>
      <c r="L1837" s="584">
        <f t="shared" si="253"/>
        <v>2422819</v>
      </c>
      <c r="M1837" s="607">
        <v>2356900</v>
      </c>
      <c r="N1837" s="675">
        <v>46119</v>
      </c>
      <c r="O1837" s="887"/>
      <c r="P1837" s="597"/>
      <c r="Q1837" s="597">
        <v>19800</v>
      </c>
      <c r="R1837" s="599">
        <f>M1837/J1837</f>
        <v>16956.115107913669</v>
      </c>
      <c r="S1837" s="586">
        <f t="shared" si="254"/>
        <v>0</v>
      </c>
      <c r="T1837" s="600"/>
      <c r="U1837" s="589"/>
      <c r="V1837" s="589"/>
      <c r="W1837" s="600"/>
      <c r="X1837" s="601"/>
      <c r="Y1837" s="600">
        <f t="shared" si="248"/>
        <v>2422819</v>
      </c>
      <c r="Z1837" s="601"/>
    </row>
    <row r="1838" spans="1:26" s="75" customFormat="1" ht="37.5" hidden="1">
      <c r="A1838" s="714">
        <f t="shared" si="250"/>
        <v>337</v>
      </c>
      <c r="B1838" s="592" t="s">
        <v>1710</v>
      </c>
      <c r="C1838" s="593" t="s">
        <v>271</v>
      </c>
      <c r="D1838" s="594">
        <v>57000</v>
      </c>
      <c r="E1838" s="594">
        <v>18097.5</v>
      </c>
      <c r="F1838" s="594" t="s">
        <v>233</v>
      </c>
      <c r="G1838" s="594">
        <v>2552</v>
      </c>
      <c r="H1838" s="594">
        <v>13</v>
      </c>
      <c r="I1838" s="594">
        <v>4</v>
      </c>
      <c r="J1838" s="594">
        <v>208</v>
      </c>
      <c r="K1838" s="590" t="s">
        <v>30</v>
      </c>
      <c r="L1838" s="584">
        <f t="shared" si="253"/>
        <v>6722513</v>
      </c>
      <c r="M1838" s="596">
        <v>6656000</v>
      </c>
      <c r="N1838" s="675"/>
      <c r="O1838" s="631">
        <v>26713</v>
      </c>
      <c r="P1838" s="597"/>
      <c r="Q1838" s="597">
        <v>39800</v>
      </c>
      <c r="R1838" s="599">
        <f>M1838/J1838</f>
        <v>32000</v>
      </c>
      <c r="S1838" s="586">
        <f t="shared" si="254"/>
        <v>0</v>
      </c>
      <c r="T1838" s="600"/>
      <c r="U1838" s="589"/>
      <c r="V1838" s="589"/>
      <c r="W1838" s="600"/>
      <c r="X1838" s="601"/>
      <c r="Y1838" s="600">
        <f t="shared" si="248"/>
        <v>6722513</v>
      </c>
      <c r="Z1838" s="601"/>
    </row>
    <row r="1839" spans="1:26" s="75" customFormat="1" hidden="1">
      <c r="A1839" s="714">
        <f t="shared" si="250"/>
        <v>338</v>
      </c>
      <c r="B1839" s="592" t="s">
        <v>1711</v>
      </c>
      <c r="C1839" s="593" t="s">
        <v>271</v>
      </c>
      <c r="D1839" s="594">
        <v>46280</v>
      </c>
      <c r="E1839" s="594">
        <v>4214</v>
      </c>
      <c r="F1839" s="594" t="s">
        <v>233</v>
      </c>
      <c r="G1839" s="594">
        <v>1549</v>
      </c>
      <c r="H1839" s="594">
        <v>10</v>
      </c>
      <c r="I1839" s="594">
        <v>2</v>
      </c>
      <c r="J1839" s="594">
        <v>172</v>
      </c>
      <c r="K1839" s="590" t="s">
        <v>33</v>
      </c>
      <c r="L1839" s="584">
        <f t="shared" si="253"/>
        <v>3301290</v>
      </c>
      <c r="M1839" s="596">
        <v>3252900</v>
      </c>
      <c r="N1839" s="675"/>
      <c r="O1839" s="631">
        <v>28490</v>
      </c>
      <c r="P1839" s="597"/>
      <c r="Q1839" s="597">
        <v>19900</v>
      </c>
      <c r="R1839" s="599">
        <f>M1839/G1839</f>
        <v>2100</v>
      </c>
      <c r="S1839" s="586">
        <f t="shared" si="254"/>
        <v>0</v>
      </c>
      <c r="T1839" s="600"/>
      <c r="U1839" s="589"/>
      <c r="V1839" s="589"/>
      <c r="W1839" s="600"/>
      <c r="X1839" s="601"/>
      <c r="Y1839" s="600">
        <f t="shared" si="248"/>
        <v>3301290</v>
      </c>
      <c r="Z1839" s="601"/>
    </row>
    <row r="1840" spans="1:26" s="75" customFormat="1" hidden="1">
      <c r="A1840" s="714">
        <f t="shared" si="250"/>
        <v>339</v>
      </c>
      <c r="B1840" s="592" t="s">
        <v>1712</v>
      </c>
      <c r="C1840" s="593" t="s">
        <v>271</v>
      </c>
      <c r="D1840" s="594">
        <v>23969</v>
      </c>
      <c r="E1840" s="594">
        <v>3720</v>
      </c>
      <c r="F1840" s="594" t="s">
        <v>233</v>
      </c>
      <c r="G1840" s="594">
        <v>870</v>
      </c>
      <c r="H1840" s="594">
        <v>10</v>
      </c>
      <c r="I1840" s="594">
        <v>2</v>
      </c>
      <c r="J1840" s="594">
        <v>83</v>
      </c>
      <c r="K1840" s="590" t="s">
        <v>33</v>
      </c>
      <c r="L1840" s="584">
        <f t="shared" si="253"/>
        <v>1873471</v>
      </c>
      <c r="M1840" s="596">
        <v>1827000</v>
      </c>
      <c r="N1840" s="675"/>
      <c r="O1840" s="631">
        <v>26571</v>
      </c>
      <c r="P1840" s="597"/>
      <c r="Q1840" s="597">
        <v>19900</v>
      </c>
      <c r="R1840" s="599">
        <f>M1840/G1840</f>
        <v>2100</v>
      </c>
      <c r="S1840" s="586">
        <f t="shared" si="254"/>
        <v>0</v>
      </c>
      <c r="T1840" s="600"/>
      <c r="U1840" s="589"/>
      <c r="V1840" s="589"/>
      <c r="W1840" s="600"/>
      <c r="X1840" s="601"/>
      <c r="Y1840" s="600">
        <f t="shared" si="248"/>
        <v>1873471</v>
      </c>
      <c r="Z1840" s="601"/>
    </row>
    <row r="1841" spans="1:26" s="75" customFormat="1" hidden="1">
      <c r="A1841" s="714">
        <f t="shared" si="250"/>
        <v>340</v>
      </c>
      <c r="B1841" s="592" t="s">
        <v>1713</v>
      </c>
      <c r="C1841" s="593" t="s">
        <v>217</v>
      </c>
      <c r="D1841" s="594">
        <v>15762</v>
      </c>
      <c r="E1841" s="594">
        <v>2650</v>
      </c>
      <c r="F1841" s="594" t="s">
        <v>233</v>
      </c>
      <c r="G1841" s="594">
        <v>685</v>
      </c>
      <c r="H1841" s="594">
        <v>9</v>
      </c>
      <c r="I1841" s="594">
        <v>2</v>
      </c>
      <c r="J1841" s="594">
        <v>70</v>
      </c>
      <c r="K1841" s="590" t="s">
        <v>33</v>
      </c>
      <c r="L1841" s="584">
        <f t="shared" si="253"/>
        <v>1483783</v>
      </c>
      <c r="M1841" s="596">
        <v>1438500</v>
      </c>
      <c r="N1841" s="675"/>
      <c r="O1841" s="631">
        <v>25383</v>
      </c>
      <c r="P1841" s="597"/>
      <c r="Q1841" s="597">
        <v>19900</v>
      </c>
      <c r="R1841" s="599">
        <f>M1841/G1841</f>
        <v>2100</v>
      </c>
      <c r="S1841" s="586">
        <f t="shared" si="254"/>
        <v>0</v>
      </c>
      <c r="T1841" s="600"/>
      <c r="U1841" s="589"/>
      <c r="V1841" s="589"/>
      <c r="W1841" s="600"/>
      <c r="X1841" s="601"/>
      <c r="Y1841" s="600">
        <f t="shared" si="248"/>
        <v>1483783</v>
      </c>
      <c r="Z1841" s="601"/>
    </row>
    <row r="1842" spans="1:26" s="75" customFormat="1" hidden="1">
      <c r="A1842" s="714">
        <f t="shared" si="250"/>
        <v>341</v>
      </c>
      <c r="B1842" s="592" t="s">
        <v>1714</v>
      </c>
      <c r="C1842" s="593" t="s">
        <v>271</v>
      </c>
      <c r="D1842" s="594">
        <v>70562</v>
      </c>
      <c r="E1842" s="594">
        <v>3463</v>
      </c>
      <c r="F1842" s="594" t="s">
        <v>233</v>
      </c>
      <c r="G1842" s="594">
        <v>1470</v>
      </c>
      <c r="H1842" s="594">
        <v>16</v>
      </c>
      <c r="I1842" s="594">
        <v>2</v>
      </c>
      <c r="J1842" s="594">
        <v>174</v>
      </c>
      <c r="K1842" s="590" t="s">
        <v>238</v>
      </c>
      <c r="L1842" s="584">
        <f t="shared" si="253"/>
        <v>4774510</v>
      </c>
      <c r="M1842" s="596">
        <v>4698000</v>
      </c>
      <c r="N1842" s="675">
        <v>36710</v>
      </c>
      <c r="O1842" s="887"/>
      <c r="P1842" s="597"/>
      <c r="Q1842" s="597">
        <v>39800</v>
      </c>
      <c r="R1842" s="599">
        <f>M1842/J1842</f>
        <v>27000</v>
      </c>
      <c r="S1842" s="586">
        <f t="shared" si="254"/>
        <v>0</v>
      </c>
      <c r="T1842" s="600"/>
      <c r="U1842" s="589"/>
      <c r="V1842" s="589"/>
      <c r="W1842" s="600"/>
      <c r="X1842" s="601"/>
      <c r="Y1842" s="600">
        <f t="shared" si="248"/>
        <v>4774510</v>
      </c>
      <c r="Z1842" s="601"/>
    </row>
    <row r="1843" spans="1:26" s="75" customFormat="1" hidden="1">
      <c r="A1843" s="714">
        <f t="shared" si="250"/>
        <v>342</v>
      </c>
      <c r="B1843" s="592" t="s">
        <v>1715</v>
      </c>
      <c r="C1843" s="593" t="s">
        <v>271</v>
      </c>
      <c r="D1843" s="594">
        <v>21101</v>
      </c>
      <c r="E1843" s="594">
        <v>3171.6</v>
      </c>
      <c r="F1843" s="594" t="s">
        <v>233</v>
      </c>
      <c r="G1843" s="594">
        <v>814</v>
      </c>
      <c r="H1843" s="594">
        <v>9</v>
      </c>
      <c r="I1843" s="594">
        <v>1</v>
      </c>
      <c r="J1843" s="594">
        <v>40</v>
      </c>
      <c r="K1843" s="590" t="s">
        <v>224</v>
      </c>
      <c r="L1843" s="584">
        <f t="shared" si="253"/>
        <v>986563</v>
      </c>
      <c r="M1843" s="607">
        <v>932900</v>
      </c>
      <c r="N1843" s="675">
        <v>33863</v>
      </c>
      <c r="O1843" s="887"/>
      <c r="P1843" s="597"/>
      <c r="Q1843" s="597">
        <v>19800</v>
      </c>
      <c r="R1843" s="599">
        <f>M1843/J1843</f>
        <v>23322.5</v>
      </c>
      <c r="S1843" s="586">
        <f t="shared" si="254"/>
        <v>0</v>
      </c>
      <c r="T1843" s="600"/>
      <c r="U1843" s="589"/>
      <c r="V1843" s="589"/>
      <c r="W1843" s="600"/>
      <c r="X1843" s="601"/>
      <c r="Y1843" s="600">
        <f t="shared" si="248"/>
        <v>986563</v>
      </c>
      <c r="Z1843" s="601"/>
    </row>
    <row r="1844" spans="1:26" s="75" customFormat="1" hidden="1">
      <c r="A1844" s="616">
        <f>A1843+1</f>
        <v>343</v>
      </c>
      <c r="B1844" s="592" t="s">
        <v>1716</v>
      </c>
      <c r="C1844" s="593" t="s">
        <v>271</v>
      </c>
      <c r="D1844" s="594">
        <v>25083</v>
      </c>
      <c r="E1844" s="594">
        <v>4056</v>
      </c>
      <c r="F1844" s="594" t="s">
        <v>233</v>
      </c>
      <c r="G1844" s="594">
        <v>1991</v>
      </c>
      <c r="H1844" s="594">
        <v>12</v>
      </c>
      <c r="I1844" s="594">
        <v>1</v>
      </c>
      <c r="J1844" s="594">
        <v>77</v>
      </c>
      <c r="K1844" s="590" t="s">
        <v>33</v>
      </c>
      <c r="L1844" s="1348">
        <f>M1844+N1844+O1844+P1844+Q1844+M1845+N1845+O1845+P1845+Q1845</f>
        <v>5957114</v>
      </c>
      <c r="M1844" s="596">
        <v>4181100</v>
      </c>
      <c r="N1844" s="675"/>
      <c r="O1844" s="631">
        <v>27989</v>
      </c>
      <c r="P1844" s="597"/>
      <c r="Q1844" s="597">
        <v>19900</v>
      </c>
      <c r="R1844" s="599">
        <f>M1844/G1844</f>
        <v>2100</v>
      </c>
      <c r="S1844" s="586">
        <f t="shared" si="254"/>
        <v>1728125</v>
      </c>
      <c r="T1844" s="600"/>
      <c r="U1844" s="589"/>
      <c r="V1844" s="589"/>
      <c r="W1844" s="600"/>
      <c r="X1844" s="601"/>
      <c r="Y1844" s="600">
        <f t="shared" si="248"/>
        <v>4228989</v>
      </c>
      <c r="Z1844" s="601"/>
    </row>
    <row r="1845" spans="1:26" s="75" customFormat="1" hidden="1">
      <c r="A1845" s="616"/>
      <c r="B1845" s="592"/>
      <c r="C1845" s="593"/>
      <c r="D1845" s="594"/>
      <c r="E1845" s="594"/>
      <c r="F1845" s="594"/>
      <c r="G1845" s="594"/>
      <c r="H1845" s="594"/>
      <c r="I1845" s="594"/>
      <c r="J1845" s="594"/>
      <c r="K1845" s="590" t="s">
        <v>224</v>
      </c>
      <c r="L1845" s="1348"/>
      <c r="M1845" s="607">
        <v>1672900</v>
      </c>
      <c r="N1845" s="675">
        <v>35425</v>
      </c>
      <c r="O1845" s="887"/>
      <c r="P1845" s="597"/>
      <c r="Q1845" s="597">
        <v>19800</v>
      </c>
      <c r="R1845" s="599">
        <f>M1845/J1844</f>
        <v>21725.974025974025</v>
      </c>
      <c r="S1845" s="586">
        <f t="shared" si="254"/>
        <v>-1728125</v>
      </c>
      <c r="T1845" s="600"/>
      <c r="U1845" s="601"/>
      <c r="V1845" s="589"/>
      <c r="W1845" s="600"/>
      <c r="X1845" s="601"/>
      <c r="Y1845" s="600">
        <f t="shared" ref="Y1845:Y1908" si="255">M1845+N1845+O1845+P1845+Q1845</f>
        <v>1728125</v>
      </c>
      <c r="Z1845" s="601"/>
    </row>
    <row r="1846" spans="1:26" s="75" customFormat="1" hidden="1">
      <c r="A1846" s="714">
        <f>A1844+1</f>
        <v>344</v>
      </c>
      <c r="B1846" s="592" t="s">
        <v>1717</v>
      </c>
      <c r="C1846" s="593" t="s">
        <v>271</v>
      </c>
      <c r="D1846" s="594">
        <v>14123</v>
      </c>
      <c r="E1846" s="594">
        <v>2390</v>
      </c>
      <c r="F1846" s="594" t="s">
        <v>222</v>
      </c>
      <c r="G1846" s="594">
        <v>1148</v>
      </c>
      <c r="H1846" s="594">
        <v>5</v>
      </c>
      <c r="I1846" s="594">
        <v>4</v>
      </c>
      <c r="J1846" s="594">
        <v>80</v>
      </c>
      <c r="K1846" s="590" t="s">
        <v>33</v>
      </c>
      <c r="L1846" s="584">
        <f>M1846+N1846+O1846+P1846+Q1846</f>
        <v>4079262</v>
      </c>
      <c r="M1846" s="596">
        <v>4018000</v>
      </c>
      <c r="N1846" s="675"/>
      <c r="O1846" s="631">
        <v>21462</v>
      </c>
      <c r="P1846" s="597"/>
      <c r="Q1846" s="597">
        <v>39800</v>
      </c>
      <c r="R1846" s="599">
        <f>M1846/G1846</f>
        <v>3500</v>
      </c>
      <c r="S1846" s="586">
        <f t="shared" si="254"/>
        <v>0</v>
      </c>
      <c r="T1846" s="600"/>
      <c r="U1846" s="589"/>
      <c r="V1846" s="589"/>
      <c r="W1846" s="600"/>
      <c r="X1846" s="601"/>
      <c r="Y1846" s="600">
        <f t="shared" si="255"/>
        <v>4079262</v>
      </c>
      <c r="Z1846" s="601"/>
    </row>
    <row r="1847" spans="1:26" s="75" customFormat="1" hidden="1">
      <c r="A1847" s="714">
        <f t="shared" si="250"/>
        <v>345</v>
      </c>
      <c r="B1847" s="592" t="s">
        <v>1718</v>
      </c>
      <c r="C1847" s="593" t="s">
        <v>271</v>
      </c>
      <c r="D1847" s="594">
        <v>6438</v>
      </c>
      <c r="E1847" s="594">
        <v>1859.2</v>
      </c>
      <c r="F1847" s="594" t="s">
        <v>222</v>
      </c>
      <c r="G1847" s="594">
        <v>876</v>
      </c>
      <c r="H1847" s="594">
        <v>5</v>
      </c>
      <c r="I1847" s="594">
        <v>2</v>
      </c>
      <c r="J1847" s="594">
        <v>37</v>
      </c>
      <c r="K1847" s="590" t="s">
        <v>33</v>
      </c>
      <c r="L1847" s="584">
        <f>M1847+N1847+O1847+P1847+Q1847</f>
        <v>3111796.05</v>
      </c>
      <c r="M1847" s="596">
        <v>3066000</v>
      </c>
      <c r="N1847" s="675"/>
      <c r="O1847" s="631">
        <v>25947</v>
      </c>
      <c r="P1847" s="597"/>
      <c r="Q1847" s="597">
        <v>19849.05</v>
      </c>
      <c r="R1847" s="599">
        <f>M1847/G1847</f>
        <v>3500</v>
      </c>
      <c r="S1847" s="586">
        <f t="shared" si="254"/>
        <v>-1.8553691916167736E-10</v>
      </c>
      <c r="T1847" s="600"/>
      <c r="U1847" s="589"/>
      <c r="V1847" s="589"/>
      <c r="W1847" s="600"/>
      <c r="X1847" s="601"/>
      <c r="Y1847" s="600">
        <f t="shared" si="255"/>
        <v>3111796.05</v>
      </c>
      <c r="Z1847" s="601"/>
    </row>
    <row r="1848" spans="1:26" s="75" customFormat="1" hidden="1">
      <c r="A1848" s="714">
        <f t="shared" si="250"/>
        <v>346</v>
      </c>
      <c r="B1848" s="592" t="s">
        <v>1719</v>
      </c>
      <c r="C1848" s="593" t="s">
        <v>271</v>
      </c>
      <c r="D1848" s="594">
        <v>14556</v>
      </c>
      <c r="E1848" s="594">
        <v>2450</v>
      </c>
      <c r="F1848" s="594" t="s">
        <v>222</v>
      </c>
      <c r="G1848" s="594">
        <v>1162</v>
      </c>
      <c r="H1848" s="594">
        <v>5</v>
      </c>
      <c r="I1848" s="594">
        <v>4</v>
      </c>
      <c r="J1848" s="594">
        <v>64</v>
      </c>
      <c r="K1848" s="590" t="s">
        <v>224</v>
      </c>
      <c r="L1848" s="584">
        <f>M1848+N1848+O1848+P1848+Q1848</f>
        <v>1217232.52</v>
      </c>
      <c r="M1848" s="607">
        <v>1156900</v>
      </c>
      <c r="N1848" s="675">
        <v>42827</v>
      </c>
      <c r="O1848" s="887"/>
      <c r="P1848" s="597"/>
      <c r="Q1848" s="597">
        <v>17505.52</v>
      </c>
      <c r="R1848" s="599">
        <f>M1848/J1848</f>
        <v>18076.5625</v>
      </c>
      <c r="S1848" s="586">
        <f t="shared" si="254"/>
        <v>0</v>
      </c>
      <c r="T1848" s="600"/>
      <c r="U1848" s="589"/>
      <c r="V1848" s="589"/>
      <c r="W1848" s="600"/>
      <c r="X1848" s="601"/>
      <c r="Y1848" s="600">
        <f t="shared" si="255"/>
        <v>1217232.52</v>
      </c>
      <c r="Z1848" s="601"/>
    </row>
    <row r="1849" spans="1:26" s="75" customFormat="1" hidden="1">
      <c r="A1849" s="616">
        <f>A1848+1</f>
        <v>347</v>
      </c>
      <c r="B1849" s="592" t="s">
        <v>1720</v>
      </c>
      <c r="C1849" s="593" t="s">
        <v>271</v>
      </c>
      <c r="D1849" s="594">
        <v>28373</v>
      </c>
      <c r="E1849" s="594">
        <v>4470</v>
      </c>
      <c r="F1849" s="594" t="s">
        <v>233</v>
      </c>
      <c r="G1849" s="594">
        <v>2205.6999999999998</v>
      </c>
      <c r="H1849" s="594">
        <v>9</v>
      </c>
      <c r="I1849" s="594">
        <v>8</v>
      </c>
      <c r="J1849" s="594">
        <v>76</v>
      </c>
      <c r="K1849" s="590" t="s">
        <v>33</v>
      </c>
      <c r="L1849" s="1348">
        <f>M1849+N1849+O1849+P1849+Q1849+M1850+N1850+O1850+P1850+Q1850</f>
        <v>7171949</v>
      </c>
      <c r="M1849" s="596">
        <v>4631970</v>
      </c>
      <c r="N1849" s="675"/>
      <c r="O1849" s="631">
        <v>26597</v>
      </c>
      <c r="P1849" s="597"/>
      <c r="Q1849" s="597">
        <v>19900</v>
      </c>
      <c r="R1849" s="599">
        <f>M1849/G1849</f>
        <v>2100</v>
      </c>
      <c r="S1849" s="586">
        <f t="shared" si="254"/>
        <v>2493482</v>
      </c>
      <c r="T1849" s="600"/>
      <c r="U1849" s="589"/>
      <c r="V1849" s="589"/>
      <c r="W1849" s="600"/>
      <c r="X1849" s="601"/>
      <c r="Y1849" s="600">
        <f t="shared" si="255"/>
        <v>4678467</v>
      </c>
      <c r="Z1849" s="601"/>
    </row>
    <row r="1850" spans="1:26" s="75" customFormat="1" ht="37.5" hidden="1">
      <c r="A1850" s="616"/>
      <c r="B1850" s="592"/>
      <c r="C1850" s="593"/>
      <c r="D1850" s="594"/>
      <c r="E1850" s="594"/>
      <c r="F1850" s="594"/>
      <c r="G1850" s="594"/>
      <c r="H1850" s="594"/>
      <c r="I1850" s="594"/>
      <c r="J1850" s="594"/>
      <c r="K1850" s="590" t="s">
        <v>30</v>
      </c>
      <c r="L1850" s="1348"/>
      <c r="M1850" s="596">
        <v>2432000</v>
      </c>
      <c r="N1850" s="675"/>
      <c r="O1850" s="631">
        <v>21682</v>
      </c>
      <c r="P1850" s="597"/>
      <c r="Q1850" s="597">
        <v>39800</v>
      </c>
      <c r="R1850" s="599">
        <f>M1850/J1849</f>
        <v>32000</v>
      </c>
      <c r="S1850" s="586">
        <f t="shared" si="254"/>
        <v>-2493482</v>
      </c>
      <c r="T1850" s="600"/>
      <c r="U1850" s="601"/>
      <c r="V1850" s="589"/>
      <c r="W1850" s="600"/>
      <c r="X1850" s="601"/>
      <c r="Y1850" s="600">
        <f t="shared" si="255"/>
        <v>2493482</v>
      </c>
      <c r="Z1850" s="601"/>
    </row>
    <row r="1851" spans="1:26" s="75" customFormat="1" hidden="1">
      <c r="A1851" s="714">
        <f>A1849+1</f>
        <v>348</v>
      </c>
      <c r="B1851" s="592" t="s">
        <v>1721</v>
      </c>
      <c r="C1851" s="593" t="s">
        <v>229</v>
      </c>
      <c r="D1851" s="594">
        <v>2421</v>
      </c>
      <c r="E1851" s="594">
        <v>780</v>
      </c>
      <c r="F1851" s="594" t="s">
        <v>222</v>
      </c>
      <c r="G1851" s="594">
        <v>487</v>
      </c>
      <c r="H1851" s="594">
        <v>2</v>
      </c>
      <c r="I1851" s="594">
        <v>2</v>
      </c>
      <c r="J1851" s="594">
        <v>12</v>
      </c>
      <c r="K1851" s="590" t="s">
        <v>398</v>
      </c>
      <c r="L1851" s="584">
        <f t="shared" ref="L1851:L1859" si="256">M1851+N1851+O1851+P1851+Q1851</f>
        <v>1101294.6299999999</v>
      </c>
      <c r="M1851" s="596">
        <v>1071400</v>
      </c>
      <c r="N1851" s="675"/>
      <c r="O1851" s="631">
        <v>18099</v>
      </c>
      <c r="P1851" s="597"/>
      <c r="Q1851" s="597">
        <v>11795.63</v>
      </c>
      <c r="R1851" s="599">
        <f>M1851/G1851</f>
        <v>2200</v>
      </c>
      <c r="S1851" s="586">
        <f t="shared" si="254"/>
        <v>-1.1095835361629725E-10</v>
      </c>
      <c r="T1851" s="600"/>
      <c r="U1851" s="589"/>
      <c r="V1851" s="589"/>
      <c r="W1851" s="600"/>
      <c r="X1851" s="601"/>
      <c r="Y1851" s="600">
        <f t="shared" si="255"/>
        <v>1101294.6299999999</v>
      </c>
      <c r="Z1851" s="601"/>
    </row>
    <row r="1852" spans="1:26" s="75" customFormat="1" hidden="1">
      <c r="A1852" s="714">
        <f t="shared" si="250"/>
        <v>349</v>
      </c>
      <c r="B1852" s="592" t="s">
        <v>1722</v>
      </c>
      <c r="C1852" s="593" t="s">
        <v>271</v>
      </c>
      <c r="D1852" s="594">
        <v>3179</v>
      </c>
      <c r="E1852" s="594">
        <v>821</v>
      </c>
      <c r="F1852" s="594" t="s">
        <v>233</v>
      </c>
      <c r="G1852" s="594">
        <v>242</v>
      </c>
      <c r="H1852" s="594">
        <v>5</v>
      </c>
      <c r="I1852" s="594">
        <v>1</v>
      </c>
      <c r="J1852" s="594">
        <v>14</v>
      </c>
      <c r="K1852" s="590" t="s">
        <v>33</v>
      </c>
      <c r="L1852" s="584">
        <f t="shared" si="256"/>
        <v>542331.19999999995</v>
      </c>
      <c r="M1852" s="596">
        <v>508200</v>
      </c>
      <c r="N1852" s="675"/>
      <c r="O1852" s="631">
        <v>24330</v>
      </c>
      <c r="P1852" s="597"/>
      <c r="Q1852" s="597">
        <v>9801.2000000000007</v>
      </c>
      <c r="R1852" s="599">
        <f>M1852/G1852</f>
        <v>2100</v>
      </c>
      <c r="S1852" s="586">
        <f t="shared" si="254"/>
        <v>-4.7293724492192268E-11</v>
      </c>
      <c r="T1852" s="600"/>
      <c r="U1852" s="589"/>
      <c r="V1852" s="589"/>
      <c r="W1852" s="600"/>
      <c r="X1852" s="601"/>
      <c r="Y1852" s="600">
        <f t="shared" si="255"/>
        <v>542331.19999999995</v>
      </c>
      <c r="Z1852" s="601"/>
    </row>
    <row r="1853" spans="1:26" s="75" customFormat="1" hidden="1">
      <c r="A1853" s="714">
        <f t="shared" si="250"/>
        <v>350</v>
      </c>
      <c r="B1853" s="592" t="s">
        <v>1723</v>
      </c>
      <c r="C1853" s="593" t="s">
        <v>271</v>
      </c>
      <c r="D1853" s="594">
        <v>3221</v>
      </c>
      <c r="E1853" s="594">
        <v>829</v>
      </c>
      <c r="F1853" s="594" t="s">
        <v>233</v>
      </c>
      <c r="G1853" s="594">
        <v>249</v>
      </c>
      <c r="H1853" s="594">
        <v>5</v>
      </c>
      <c r="I1853" s="594">
        <v>1</v>
      </c>
      <c r="J1853" s="594">
        <v>14</v>
      </c>
      <c r="K1853" s="590" t="s">
        <v>33</v>
      </c>
      <c r="L1853" s="584">
        <f t="shared" si="256"/>
        <v>557180.69999999995</v>
      </c>
      <c r="M1853" s="596">
        <v>522900</v>
      </c>
      <c r="N1853" s="675"/>
      <c r="O1853" s="631">
        <v>24350</v>
      </c>
      <c r="P1853" s="597"/>
      <c r="Q1853" s="597">
        <v>9930.7000000000007</v>
      </c>
      <c r="R1853" s="599">
        <f>M1853/G1853</f>
        <v>2100</v>
      </c>
      <c r="S1853" s="586">
        <f t="shared" si="254"/>
        <v>-4.7293724492192268E-11</v>
      </c>
      <c r="T1853" s="600"/>
      <c r="U1853" s="589"/>
      <c r="V1853" s="589"/>
      <c r="W1853" s="600"/>
      <c r="X1853" s="601"/>
      <c r="Y1853" s="600">
        <f t="shared" si="255"/>
        <v>557180.69999999995</v>
      </c>
      <c r="Z1853" s="601"/>
    </row>
    <row r="1854" spans="1:26" s="75" customFormat="1" hidden="1">
      <c r="A1854" s="714">
        <f t="shared" si="250"/>
        <v>351</v>
      </c>
      <c r="B1854" s="592" t="s">
        <v>1724</v>
      </c>
      <c r="C1854" s="593" t="s">
        <v>217</v>
      </c>
      <c r="D1854" s="594">
        <v>9800</v>
      </c>
      <c r="E1854" s="594">
        <v>2688</v>
      </c>
      <c r="F1854" s="594" t="s">
        <v>233</v>
      </c>
      <c r="G1854" s="594">
        <v>450</v>
      </c>
      <c r="H1854" s="594">
        <v>9</v>
      </c>
      <c r="I1854" s="594">
        <v>1</v>
      </c>
      <c r="J1854" s="594">
        <v>32</v>
      </c>
      <c r="K1854" s="590" t="s">
        <v>33</v>
      </c>
      <c r="L1854" s="584">
        <f t="shared" si="256"/>
        <v>986712.65</v>
      </c>
      <c r="M1854" s="596">
        <v>945000</v>
      </c>
      <c r="N1854" s="675"/>
      <c r="O1854" s="631">
        <v>24664</v>
      </c>
      <c r="P1854" s="597"/>
      <c r="Q1854" s="597">
        <v>17048.650000000001</v>
      </c>
      <c r="R1854" s="599">
        <f>M1854/G1854</f>
        <v>2100</v>
      </c>
      <c r="S1854" s="586">
        <f t="shared" si="254"/>
        <v>0</v>
      </c>
      <c r="T1854" s="600"/>
      <c r="U1854" s="589"/>
      <c r="V1854" s="589"/>
      <c r="W1854" s="600"/>
      <c r="X1854" s="601"/>
      <c r="Y1854" s="600">
        <f t="shared" si="255"/>
        <v>986712.65</v>
      </c>
      <c r="Z1854" s="601"/>
    </row>
    <row r="1855" spans="1:26" s="75" customFormat="1" hidden="1">
      <c r="A1855" s="714">
        <f t="shared" ref="A1855:A1916" si="257">A1854+1</f>
        <v>352</v>
      </c>
      <c r="B1855" s="592" t="s">
        <v>1725</v>
      </c>
      <c r="C1855" s="593" t="s">
        <v>217</v>
      </c>
      <c r="D1855" s="594">
        <v>15759</v>
      </c>
      <c r="E1855" s="594">
        <v>3008</v>
      </c>
      <c r="F1855" s="594" t="s">
        <v>233</v>
      </c>
      <c r="G1855" s="594">
        <v>623</v>
      </c>
      <c r="H1855" s="594">
        <v>9</v>
      </c>
      <c r="I1855" s="594">
        <v>2</v>
      </c>
      <c r="J1855" s="594">
        <v>71</v>
      </c>
      <c r="K1855" s="590" t="s">
        <v>224</v>
      </c>
      <c r="L1855" s="584">
        <f t="shared" si="256"/>
        <v>1602658.83</v>
      </c>
      <c r="M1855" s="607">
        <v>1552900</v>
      </c>
      <c r="N1855" s="675">
        <v>34265</v>
      </c>
      <c r="O1855" s="887"/>
      <c r="P1855" s="597"/>
      <c r="Q1855" s="597">
        <v>15493.83</v>
      </c>
      <c r="R1855" s="599">
        <f>M1855/J1855</f>
        <v>21871.830985915494</v>
      </c>
      <c r="S1855" s="586">
        <f t="shared" si="254"/>
        <v>7.4578565545380116E-11</v>
      </c>
      <c r="T1855" s="600"/>
      <c r="U1855" s="589"/>
      <c r="V1855" s="589"/>
      <c r="W1855" s="600"/>
      <c r="X1855" s="601"/>
      <c r="Y1855" s="600">
        <f t="shared" si="255"/>
        <v>1602658.83</v>
      </c>
      <c r="Z1855" s="601"/>
    </row>
    <row r="1856" spans="1:26" s="75" customFormat="1" hidden="1">
      <c r="A1856" s="714">
        <f t="shared" si="257"/>
        <v>353</v>
      </c>
      <c r="B1856" s="592" t="s">
        <v>1726</v>
      </c>
      <c r="C1856" s="593" t="s">
        <v>217</v>
      </c>
      <c r="D1856" s="594">
        <v>41590</v>
      </c>
      <c r="E1856" s="594">
        <v>7006</v>
      </c>
      <c r="F1856" s="594" t="s">
        <v>233</v>
      </c>
      <c r="G1856" s="594">
        <v>1618</v>
      </c>
      <c r="H1856" s="594">
        <v>9</v>
      </c>
      <c r="I1856" s="594">
        <v>4</v>
      </c>
      <c r="J1856" s="594">
        <v>216</v>
      </c>
      <c r="K1856" s="590" t="s">
        <v>224</v>
      </c>
      <c r="L1856" s="584">
        <f t="shared" si="256"/>
        <v>4516718</v>
      </c>
      <c r="M1856" s="607">
        <v>4452900</v>
      </c>
      <c r="N1856" s="675">
        <v>44018</v>
      </c>
      <c r="O1856" s="887"/>
      <c r="P1856" s="597"/>
      <c r="Q1856" s="597">
        <v>19800</v>
      </c>
      <c r="R1856" s="599">
        <f>M1856/J1856</f>
        <v>20615.277777777777</v>
      </c>
      <c r="S1856" s="586">
        <f t="shared" si="254"/>
        <v>0</v>
      </c>
      <c r="T1856" s="600"/>
      <c r="U1856" s="589"/>
      <c r="V1856" s="589"/>
      <c r="W1856" s="600"/>
      <c r="X1856" s="601"/>
      <c r="Y1856" s="600">
        <f t="shared" si="255"/>
        <v>4516718</v>
      </c>
      <c r="Z1856" s="601"/>
    </row>
    <row r="1857" spans="1:26" s="75" customFormat="1" ht="37.5" hidden="1">
      <c r="A1857" s="714">
        <f t="shared" si="257"/>
        <v>354</v>
      </c>
      <c r="B1857" s="592" t="s">
        <v>1727</v>
      </c>
      <c r="C1857" s="593" t="s">
        <v>271</v>
      </c>
      <c r="D1857" s="594">
        <v>12351</v>
      </c>
      <c r="E1857" s="594">
        <v>2397</v>
      </c>
      <c r="F1857" s="594" t="s">
        <v>230</v>
      </c>
      <c r="G1857" s="594">
        <v>968</v>
      </c>
      <c r="H1857" s="594">
        <v>5</v>
      </c>
      <c r="I1857" s="594">
        <v>4</v>
      </c>
      <c r="J1857" s="594">
        <v>80</v>
      </c>
      <c r="K1857" s="590" t="s">
        <v>30</v>
      </c>
      <c r="L1857" s="584">
        <f t="shared" si="256"/>
        <v>2202007.4</v>
      </c>
      <c r="M1857" s="596">
        <v>2160000</v>
      </c>
      <c r="N1857" s="675"/>
      <c r="O1857" s="631">
        <v>14645</v>
      </c>
      <c r="P1857" s="597"/>
      <c r="Q1857" s="597">
        <v>27362.400000000001</v>
      </c>
      <c r="R1857" s="599">
        <f>M1857/J1857</f>
        <v>27000</v>
      </c>
      <c r="S1857" s="586">
        <f t="shared" si="254"/>
        <v>-9.4587448984384537E-11</v>
      </c>
      <c r="T1857" s="600"/>
      <c r="U1857" s="589"/>
      <c r="V1857" s="589"/>
      <c r="W1857" s="600"/>
      <c r="X1857" s="601"/>
      <c r="Y1857" s="600">
        <f t="shared" si="255"/>
        <v>2202007.4</v>
      </c>
      <c r="Z1857" s="601"/>
    </row>
    <row r="1858" spans="1:26" s="75" customFormat="1" ht="37.5" hidden="1">
      <c r="A1858" s="714">
        <f t="shared" si="257"/>
        <v>355</v>
      </c>
      <c r="B1858" s="592" t="s">
        <v>1728</v>
      </c>
      <c r="C1858" s="593" t="s">
        <v>271</v>
      </c>
      <c r="D1858" s="594">
        <v>7373</v>
      </c>
      <c r="E1858" s="594">
        <v>1250</v>
      </c>
      <c r="F1858" s="594" t="s">
        <v>222</v>
      </c>
      <c r="G1858" s="594">
        <v>585</v>
      </c>
      <c r="H1858" s="594">
        <v>5</v>
      </c>
      <c r="I1858" s="594">
        <v>2</v>
      </c>
      <c r="J1858" s="594">
        <v>40</v>
      </c>
      <c r="K1858" s="590" t="s">
        <v>30</v>
      </c>
      <c r="L1858" s="584">
        <f t="shared" si="256"/>
        <v>1116064.3999999999</v>
      </c>
      <c r="M1858" s="596">
        <v>1080000</v>
      </c>
      <c r="N1858" s="675"/>
      <c r="O1858" s="631">
        <v>14731</v>
      </c>
      <c r="P1858" s="597"/>
      <c r="Q1858" s="597">
        <v>21333.4</v>
      </c>
      <c r="R1858" s="599">
        <f>M1858/J1858</f>
        <v>27000</v>
      </c>
      <c r="S1858" s="586">
        <f t="shared" si="254"/>
        <v>-9.4587448984384537E-11</v>
      </c>
      <c r="T1858" s="600"/>
      <c r="U1858" s="589"/>
      <c r="V1858" s="589"/>
      <c r="W1858" s="600"/>
      <c r="X1858" s="601"/>
      <c r="Y1858" s="600">
        <f t="shared" si="255"/>
        <v>1116064.3999999999</v>
      </c>
      <c r="Z1858" s="601"/>
    </row>
    <row r="1859" spans="1:26" s="75" customFormat="1" hidden="1">
      <c r="A1859" s="714">
        <f t="shared" si="257"/>
        <v>356</v>
      </c>
      <c r="B1859" s="592" t="s">
        <v>1729</v>
      </c>
      <c r="C1859" s="593" t="s">
        <v>271</v>
      </c>
      <c r="D1859" s="594">
        <v>12375</v>
      </c>
      <c r="E1859" s="594">
        <v>2350</v>
      </c>
      <c r="F1859" s="594" t="s">
        <v>222</v>
      </c>
      <c r="G1859" s="594">
        <v>1134</v>
      </c>
      <c r="H1859" s="594">
        <v>5</v>
      </c>
      <c r="I1859" s="594">
        <v>4</v>
      </c>
      <c r="J1859" s="594">
        <v>80</v>
      </c>
      <c r="K1859" s="590" t="s">
        <v>33</v>
      </c>
      <c r="L1859" s="584">
        <f t="shared" si="256"/>
        <v>4028641.45</v>
      </c>
      <c r="M1859" s="596">
        <v>3969000</v>
      </c>
      <c r="N1859" s="675"/>
      <c r="O1859" s="631">
        <v>21488</v>
      </c>
      <c r="P1859" s="597"/>
      <c r="Q1859" s="597">
        <v>38153.449999999997</v>
      </c>
      <c r="R1859" s="599">
        <f>M1859/G1859</f>
        <v>3500</v>
      </c>
      <c r="S1859" s="586">
        <f t="shared" si="254"/>
        <v>1.8917489796876907E-10</v>
      </c>
      <c r="T1859" s="600"/>
      <c r="U1859" s="589"/>
      <c r="V1859" s="589"/>
      <c r="W1859" s="600"/>
      <c r="X1859" s="601"/>
      <c r="Y1859" s="600">
        <f t="shared" si="255"/>
        <v>4028641.45</v>
      </c>
      <c r="Z1859" s="601"/>
    </row>
    <row r="1860" spans="1:26" s="75" customFormat="1" hidden="1">
      <c r="A1860" s="714">
        <f t="shared" si="257"/>
        <v>357</v>
      </c>
      <c r="B1860" s="592" t="s">
        <v>1730</v>
      </c>
      <c r="C1860" s="593" t="s">
        <v>217</v>
      </c>
      <c r="D1860" s="594">
        <v>26460</v>
      </c>
      <c r="E1860" s="593">
        <v>3750</v>
      </c>
      <c r="F1860" s="593" t="s">
        <v>233</v>
      </c>
      <c r="G1860" s="593">
        <v>2064</v>
      </c>
      <c r="H1860" s="593">
        <v>5</v>
      </c>
      <c r="I1860" s="593">
        <v>8</v>
      </c>
      <c r="J1860" s="593">
        <v>140</v>
      </c>
      <c r="K1860" s="590" t="s">
        <v>224</v>
      </c>
      <c r="L1860" s="584">
        <f>SUBTOTAL(9,M1860:Q1860)</f>
        <v>2441220</v>
      </c>
      <c r="M1860" s="623">
        <v>2372900</v>
      </c>
      <c r="N1860" s="575">
        <v>48520</v>
      </c>
      <c r="O1860" s="631"/>
      <c r="P1860" s="586"/>
      <c r="Q1860" s="586">
        <v>19800</v>
      </c>
      <c r="R1860" s="582">
        <f>M1860/J1860</f>
        <v>16949.285714285714</v>
      </c>
      <c r="S1860" s="586">
        <f t="shared" si="254"/>
        <v>0</v>
      </c>
      <c r="T1860" s="600"/>
      <c r="U1860" s="589"/>
      <c r="V1860" s="589"/>
      <c r="W1860" s="600"/>
      <c r="X1860" s="601"/>
      <c r="Y1860" s="600">
        <f t="shared" si="255"/>
        <v>2441220</v>
      </c>
      <c r="Z1860" s="601"/>
    </row>
    <row r="1861" spans="1:26" s="75" customFormat="1" hidden="1">
      <c r="A1861" s="714">
        <f t="shared" si="257"/>
        <v>358</v>
      </c>
      <c r="B1861" s="592" t="s">
        <v>1731</v>
      </c>
      <c r="C1861" s="593" t="s">
        <v>271</v>
      </c>
      <c r="D1861" s="594">
        <v>9839</v>
      </c>
      <c r="E1861" s="594">
        <v>1856</v>
      </c>
      <c r="F1861" s="594" t="s">
        <v>222</v>
      </c>
      <c r="G1861" s="594">
        <v>890</v>
      </c>
      <c r="H1861" s="594">
        <v>5</v>
      </c>
      <c r="I1861" s="594">
        <v>3</v>
      </c>
      <c r="J1861" s="594">
        <v>60</v>
      </c>
      <c r="K1861" s="590" t="s">
        <v>224</v>
      </c>
      <c r="L1861" s="584">
        <f t="shared" ref="L1861:L1898" si="258">M1861+N1861+O1861+P1861+Q1861</f>
        <v>1143527</v>
      </c>
      <c r="M1861" s="607">
        <v>1092900</v>
      </c>
      <c r="N1861" s="675">
        <v>30827</v>
      </c>
      <c r="O1861" s="887"/>
      <c r="P1861" s="597"/>
      <c r="Q1861" s="597">
        <v>19800</v>
      </c>
      <c r="R1861" s="599">
        <f>M1861/J1861</f>
        <v>18215</v>
      </c>
      <c r="S1861" s="586">
        <f t="shared" si="254"/>
        <v>0</v>
      </c>
      <c r="T1861" s="600"/>
      <c r="U1861" s="589"/>
      <c r="V1861" s="589"/>
      <c r="W1861" s="600"/>
      <c r="X1861" s="601"/>
      <c r="Y1861" s="600">
        <f t="shared" si="255"/>
        <v>1143527</v>
      </c>
      <c r="Z1861" s="601"/>
    </row>
    <row r="1862" spans="1:26" s="75" customFormat="1" hidden="1">
      <c r="A1862" s="714">
        <f t="shared" si="257"/>
        <v>359</v>
      </c>
      <c r="B1862" s="592" t="s">
        <v>1732</v>
      </c>
      <c r="C1862" s="593" t="s">
        <v>271</v>
      </c>
      <c r="D1862" s="594">
        <v>8802</v>
      </c>
      <c r="E1862" s="594">
        <v>1320</v>
      </c>
      <c r="F1862" s="594" t="s">
        <v>230</v>
      </c>
      <c r="G1862" s="594">
        <v>982.7</v>
      </c>
      <c r="H1862" s="594">
        <v>3</v>
      </c>
      <c r="I1862" s="594">
        <v>4</v>
      </c>
      <c r="J1862" s="594">
        <v>24</v>
      </c>
      <c r="K1862" s="590" t="s">
        <v>33</v>
      </c>
      <c r="L1862" s="584">
        <f t="shared" si="258"/>
        <v>2797824.5</v>
      </c>
      <c r="M1862" s="596">
        <v>2751560</v>
      </c>
      <c r="N1862" s="675"/>
      <c r="O1862" s="631">
        <v>19127</v>
      </c>
      <c r="P1862" s="597"/>
      <c r="Q1862" s="597">
        <v>27137.5</v>
      </c>
      <c r="R1862" s="599">
        <f>M1862/G1862</f>
        <v>2800</v>
      </c>
      <c r="S1862" s="586">
        <f t="shared" si="254"/>
        <v>0</v>
      </c>
      <c r="T1862" s="600"/>
      <c r="U1862" s="589"/>
      <c r="V1862" s="589"/>
      <c r="W1862" s="600"/>
      <c r="X1862" s="601"/>
      <c r="Y1862" s="600">
        <f t="shared" si="255"/>
        <v>2797824.5</v>
      </c>
      <c r="Z1862" s="601"/>
    </row>
    <row r="1863" spans="1:26" s="75" customFormat="1" hidden="1">
      <c r="A1863" s="714">
        <f t="shared" si="257"/>
        <v>360</v>
      </c>
      <c r="B1863" s="592" t="s">
        <v>1733</v>
      </c>
      <c r="C1863" s="593" t="s">
        <v>271</v>
      </c>
      <c r="D1863" s="594">
        <v>8826</v>
      </c>
      <c r="E1863" s="594">
        <v>1320</v>
      </c>
      <c r="F1863" s="594" t="s">
        <v>222</v>
      </c>
      <c r="G1863" s="594">
        <v>982.8</v>
      </c>
      <c r="H1863" s="594">
        <v>3</v>
      </c>
      <c r="I1863" s="594">
        <v>4</v>
      </c>
      <c r="J1863" s="594">
        <v>24</v>
      </c>
      <c r="K1863" s="590" t="s">
        <v>33</v>
      </c>
      <c r="L1863" s="584">
        <f t="shared" si="258"/>
        <v>2798198.5</v>
      </c>
      <c r="M1863" s="596">
        <v>2751840</v>
      </c>
      <c r="N1863" s="675"/>
      <c r="O1863" s="631">
        <v>19147</v>
      </c>
      <c r="P1863" s="597"/>
      <c r="Q1863" s="597">
        <v>27211.5</v>
      </c>
      <c r="R1863" s="599">
        <f>M1863/G1863</f>
        <v>2800</v>
      </c>
      <c r="S1863" s="586">
        <f t="shared" si="254"/>
        <v>0</v>
      </c>
      <c r="T1863" s="600"/>
      <c r="U1863" s="589"/>
      <c r="V1863" s="589"/>
      <c r="W1863" s="600"/>
      <c r="X1863" s="601"/>
      <c r="Y1863" s="600">
        <f t="shared" si="255"/>
        <v>2798198.5</v>
      </c>
      <c r="Z1863" s="601"/>
    </row>
    <row r="1864" spans="1:26" s="75" customFormat="1" ht="37.5" hidden="1">
      <c r="A1864" s="714">
        <f t="shared" si="257"/>
        <v>361</v>
      </c>
      <c r="B1864" s="592" t="s">
        <v>1734</v>
      </c>
      <c r="C1864" s="593" t="s">
        <v>271</v>
      </c>
      <c r="D1864" s="594">
        <v>4070</v>
      </c>
      <c r="E1864" s="594">
        <v>558</v>
      </c>
      <c r="F1864" s="594" t="s">
        <v>230</v>
      </c>
      <c r="G1864" s="594">
        <v>635.9</v>
      </c>
      <c r="H1864" s="594">
        <v>2</v>
      </c>
      <c r="I1864" s="594">
        <v>2</v>
      </c>
      <c r="J1864" s="594">
        <v>17</v>
      </c>
      <c r="K1864" s="590" t="s">
        <v>30</v>
      </c>
      <c r="L1864" s="584">
        <f t="shared" si="258"/>
        <v>779991.47</v>
      </c>
      <c r="M1864" s="596">
        <v>758200</v>
      </c>
      <c r="N1864" s="597"/>
      <c r="O1864" s="587">
        <v>10661</v>
      </c>
      <c r="P1864" s="597"/>
      <c r="Q1864" s="597">
        <v>11130.47</v>
      </c>
      <c r="R1864" s="599">
        <f t="shared" ref="R1864:R1870" si="259">M1864/J1864</f>
        <v>44600</v>
      </c>
      <c r="S1864" s="586">
        <f t="shared" si="254"/>
        <v>-2.7284841053187847E-11</v>
      </c>
      <c r="T1864" s="600"/>
      <c r="U1864" s="589"/>
      <c r="V1864" s="589"/>
      <c r="W1864" s="600"/>
      <c r="X1864" s="601"/>
      <c r="Y1864" s="600">
        <f t="shared" si="255"/>
        <v>779991.47</v>
      </c>
      <c r="Z1864" s="601"/>
    </row>
    <row r="1865" spans="1:26" s="75" customFormat="1" ht="37.5" hidden="1">
      <c r="A1865" s="714">
        <f t="shared" si="257"/>
        <v>362</v>
      </c>
      <c r="B1865" s="592" t="s">
        <v>1735</v>
      </c>
      <c r="C1865" s="593" t="s">
        <v>217</v>
      </c>
      <c r="D1865" s="594">
        <v>16937</v>
      </c>
      <c r="E1865" s="594">
        <v>3067</v>
      </c>
      <c r="F1865" s="594" t="s">
        <v>233</v>
      </c>
      <c r="G1865" s="594">
        <v>683</v>
      </c>
      <c r="H1865" s="594">
        <v>12</v>
      </c>
      <c r="I1865" s="594">
        <v>2</v>
      </c>
      <c r="J1865" s="594">
        <v>72</v>
      </c>
      <c r="K1865" s="590" t="s">
        <v>30</v>
      </c>
      <c r="L1865" s="584">
        <f t="shared" si="258"/>
        <v>2358860.9500000002</v>
      </c>
      <c r="M1865" s="596">
        <v>2304000</v>
      </c>
      <c r="N1865" s="675"/>
      <c r="O1865" s="631">
        <v>20542</v>
      </c>
      <c r="P1865" s="597"/>
      <c r="Q1865" s="597">
        <v>34318.949999999997</v>
      </c>
      <c r="R1865" s="599">
        <f t="shared" si="259"/>
        <v>32000</v>
      </c>
      <c r="S1865" s="586">
        <f t="shared" si="254"/>
        <v>1.8917489796876907E-10</v>
      </c>
      <c r="T1865" s="600"/>
      <c r="U1865" s="589"/>
      <c r="V1865" s="589"/>
      <c r="W1865" s="600"/>
      <c r="X1865" s="601"/>
      <c r="Y1865" s="600">
        <f t="shared" si="255"/>
        <v>2358860.9500000002</v>
      </c>
      <c r="Z1865" s="601"/>
    </row>
    <row r="1866" spans="1:26" s="75" customFormat="1" ht="37.5" hidden="1">
      <c r="A1866" s="714">
        <f t="shared" si="257"/>
        <v>363</v>
      </c>
      <c r="B1866" s="592" t="s">
        <v>1736</v>
      </c>
      <c r="C1866" s="593" t="s">
        <v>217</v>
      </c>
      <c r="D1866" s="594">
        <v>13405</v>
      </c>
      <c r="E1866" s="594">
        <v>2554</v>
      </c>
      <c r="F1866" s="594" t="s">
        <v>233</v>
      </c>
      <c r="G1866" s="594">
        <v>350</v>
      </c>
      <c r="H1866" s="594">
        <v>12</v>
      </c>
      <c r="I1866" s="594">
        <v>1</v>
      </c>
      <c r="J1866" s="594">
        <v>60</v>
      </c>
      <c r="K1866" s="590" t="s">
        <v>30</v>
      </c>
      <c r="L1866" s="584">
        <f t="shared" si="258"/>
        <v>1975077.95</v>
      </c>
      <c r="M1866" s="596">
        <v>1920000</v>
      </c>
      <c r="N1866" s="675"/>
      <c r="O1866" s="631">
        <v>20759</v>
      </c>
      <c r="P1866" s="597"/>
      <c r="Q1866" s="597">
        <v>34318.949999999997</v>
      </c>
      <c r="R1866" s="599">
        <f t="shared" si="259"/>
        <v>32000</v>
      </c>
      <c r="S1866" s="586">
        <f t="shared" si="254"/>
        <v>0</v>
      </c>
      <c r="T1866" s="600"/>
      <c r="U1866" s="589"/>
      <c r="V1866" s="589"/>
      <c r="W1866" s="600"/>
      <c r="X1866" s="601"/>
      <c r="Y1866" s="600">
        <f t="shared" si="255"/>
        <v>1975077.95</v>
      </c>
      <c r="Z1866" s="601"/>
    </row>
    <row r="1867" spans="1:26" s="75" customFormat="1" hidden="1">
      <c r="A1867" s="714">
        <f t="shared" si="257"/>
        <v>364</v>
      </c>
      <c r="B1867" s="592" t="s">
        <v>1737</v>
      </c>
      <c r="C1867" s="593" t="s">
        <v>217</v>
      </c>
      <c r="D1867" s="594">
        <v>46332</v>
      </c>
      <c r="E1867" s="594">
        <v>7495</v>
      </c>
      <c r="F1867" s="594" t="s">
        <v>233</v>
      </c>
      <c r="G1867" s="594">
        <v>1778</v>
      </c>
      <c r="H1867" s="594">
        <v>9</v>
      </c>
      <c r="I1867" s="594">
        <v>6</v>
      </c>
      <c r="J1867" s="594">
        <v>216</v>
      </c>
      <c r="K1867" s="590" t="s">
        <v>224</v>
      </c>
      <c r="L1867" s="584">
        <f t="shared" si="258"/>
        <v>4512400</v>
      </c>
      <c r="M1867" s="607">
        <v>4452900</v>
      </c>
      <c r="N1867" s="675">
        <v>39700</v>
      </c>
      <c r="O1867" s="887"/>
      <c r="P1867" s="597"/>
      <c r="Q1867" s="597">
        <v>19800</v>
      </c>
      <c r="R1867" s="599">
        <f t="shared" si="259"/>
        <v>20615.277777777777</v>
      </c>
      <c r="S1867" s="586">
        <f t="shared" si="254"/>
        <v>0</v>
      </c>
      <c r="T1867" s="600"/>
      <c r="U1867" s="589"/>
      <c r="V1867" s="589"/>
      <c r="W1867" s="600"/>
      <c r="X1867" s="601"/>
      <c r="Y1867" s="600">
        <f t="shared" si="255"/>
        <v>4512400</v>
      </c>
      <c r="Z1867" s="601"/>
    </row>
    <row r="1868" spans="1:26" s="75" customFormat="1" ht="37.5" hidden="1">
      <c r="A1868" s="714">
        <f t="shared" si="257"/>
        <v>365</v>
      </c>
      <c r="B1868" s="592" t="s">
        <v>1738</v>
      </c>
      <c r="C1868" s="593" t="s">
        <v>217</v>
      </c>
      <c r="D1868" s="594">
        <v>25131</v>
      </c>
      <c r="E1868" s="594">
        <v>4577</v>
      </c>
      <c r="F1868" s="594" t="s">
        <v>233</v>
      </c>
      <c r="G1868" s="594">
        <v>1030</v>
      </c>
      <c r="H1868" s="594">
        <v>10</v>
      </c>
      <c r="I1868" s="594">
        <v>3</v>
      </c>
      <c r="J1868" s="594">
        <v>120</v>
      </c>
      <c r="K1868" s="590" t="s">
        <v>30</v>
      </c>
      <c r="L1868" s="584">
        <f t="shared" si="258"/>
        <v>3900802</v>
      </c>
      <c r="M1868" s="596">
        <v>3840000</v>
      </c>
      <c r="N1868" s="675"/>
      <c r="O1868" s="631">
        <v>21002</v>
      </c>
      <c r="P1868" s="597"/>
      <c r="Q1868" s="597">
        <v>39800</v>
      </c>
      <c r="R1868" s="599">
        <f t="shared" si="259"/>
        <v>32000</v>
      </c>
      <c r="S1868" s="586">
        <f t="shared" ref="S1868:S1899" si="260">L1868-M1868-N1868-O1868-P1868-Q1868</f>
        <v>0</v>
      </c>
      <c r="T1868" s="600"/>
      <c r="U1868" s="589"/>
      <c r="V1868" s="589"/>
      <c r="W1868" s="600"/>
      <c r="X1868" s="601"/>
      <c r="Y1868" s="600">
        <f t="shared" si="255"/>
        <v>3900802</v>
      </c>
      <c r="Z1868" s="601"/>
    </row>
    <row r="1869" spans="1:26" s="75" customFormat="1" ht="37.5" hidden="1">
      <c r="A1869" s="714">
        <f t="shared" si="257"/>
        <v>366</v>
      </c>
      <c r="B1869" s="592" t="s">
        <v>1739</v>
      </c>
      <c r="C1869" s="593" t="s">
        <v>271</v>
      </c>
      <c r="D1869" s="594">
        <v>1815</v>
      </c>
      <c r="E1869" s="594">
        <v>420</v>
      </c>
      <c r="F1869" s="594" t="s">
        <v>230</v>
      </c>
      <c r="G1869" s="594">
        <v>245</v>
      </c>
      <c r="H1869" s="594">
        <v>2</v>
      </c>
      <c r="I1869" s="594">
        <v>1</v>
      </c>
      <c r="J1869" s="594">
        <v>8</v>
      </c>
      <c r="K1869" s="590" t="s">
        <v>30</v>
      </c>
      <c r="L1869" s="584">
        <f t="shared" si="258"/>
        <v>336523.62</v>
      </c>
      <c r="M1869" s="607">
        <v>317000</v>
      </c>
      <c r="N1869" s="597"/>
      <c r="O1869" s="631">
        <v>10712</v>
      </c>
      <c r="P1869" s="597"/>
      <c r="Q1869" s="597">
        <v>8811.6200000000008</v>
      </c>
      <c r="R1869" s="599">
        <f t="shared" si="259"/>
        <v>39625</v>
      </c>
      <c r="S1869" s="586">
        <f t="shared" si="260"/>
        <v>0</v>
      </c>
      <c r="T1869" s="600"/>
      <c r="U1869" s="589"/>
      <c r="V1869" s="589"/>
      <c r="W1869" s="600"/>
      <c r="X1869" s="601"/>
      <c r="Y1869" s="600">
        <f t="shared" si="255"/>
        <v>336523.62</v>
      </c>
      <c r="Z1869" s="601"/>
    </row>
    <row r="1870" spans="1:26" s="75" customFormat="1" ht="37.5" hidden="1">
      <c r="A1870" s="714">
        <f t="shared" si="257"/>
        <v>367</v>
      </c>
      <c r="B1870" s="592" t="s">
        <v>1740</v>
      </c>
      <c r="C1870" s="593" t="s">
        <v>271</v>
      </c>
      <c r="D1870" s="594">
        <v>1200</v>
      </c>
      <c r="E1870" s="594">
        <v>390</v>
      </c>
      <c r="F1870" s="594" t="s">
        <v>230</v>
      </c>
      <c r="G1870" s="594">
        <v>180.6</v>
      </c>
      <c r="H1870" s="594">
        <v>2</v>
      </c>
      <c r="I1870" s="594">
        <v>1</v>
      </c>
      <c r="J1870" s="594">
        <v>8</v>
      </c>
      <c r="K1870" s="590" t="s">
        <v>30</v>
      </c>
      <c r="L1870" s="584">
        <f t="shared" si="258"/>
        <v>298008.62</v>
      </c>
      <c r="M1870" s="607">
        <v>278500</v>
      </c>
      <c r="N1870" s="597"/>
      <c r="O1870" s="631">
        <v>10697</v>
      </c>
      <c r="P1870" s="597"/>
      <c r="Q1870" s="597">
        <v>8811.6200000000008</v>
      </c>
      <c r="R1870" s="599">
        <f t="shared" si="259"/>
        <v>34812.5</v>
      </c>
      <c r="S1870" s="586">
        <f t="shared" si="260"/>
        <v>0</v>
      </c>
      <c r="T1870" s="600"/>
      <c r="U1870" s="589"/>
      <c r="V1870" s="589"/>
      <c r="W1870" s="600"/>
      <c r="X1870" s="601"/>
      <c r="Y1870" s="600">
        <f t="shared" si="255"/>
        <v>298008.62</v>
      </c>
      <c r="Z1870" s="601"/>
    </row>
    <row r="1871" spans="1:26" s="75" customFormat="1" hidden="1">
      <c r="A1871" s="714">
        <f t="shared" si="257"/>
        <v>368</v>
      </c>
      <c r="B1871" s="592" t="s">
        <v>1741</v>
      </c>
      <c r="C1871" s="593" t="s">
        <v>217</v>
      </c>
      <c r="D1871" s="594">
        <v>27010</v>
      </c>
      <c r="E1871" s="594">
        <v>5400</v>
      </c>
      <c r="F1871" s="594" t="s">
        <v>233</v>
      </c>
      <c r="G1871" s="594">
        <v>1112.5</v>
      </c>
      <c r="H1871" s="594">
        <v>10</v>
      </c>
      <c r="I1871" s="594">
        <v>3</v>
      </c>
      <c r="J1871" s="594">
        <v>120</v>
      </c>
      <c r="K1871" s="590" t="s">
        <v>33</v>
      </c>
      <c r="L1871" s="584">
        <f t="shared" si="258"/>
        <v>2383537</v>
      </c>
      <c r="M1871" s="596">
        <v>2336250</v>
      </c>
      <c r="N1871" s="675"/>
      <c r="O1871" s="631">
        <v>27387</v>
      </c>
      <c r="P1871" s="597"/>
      <c r="Q1871" s="597">
        <v>19900</v>
      </c>
      <c r="R1871" s="599">
        <f>M1871/G1871</f>
        <v>2100</v>
      </c>
      <c r="S1871" s="586">
        <f t="shared" si="260"/>
        <v>0</v>
      </c>
      <c r="T1871" s="600"/>
      <c r="U1871" s="589"/>
      <c r="V1871" s="589"/>
      <c r="W1871" s="600"/>
      <c r="X1871" s="601"/>
      <c r="Y1871" s="600">
        <f t="shared" si="255"/>
        <v>2383537</v>
      </c>
      <c r="Z1871" s="601"/>
    </row>
    <row r="1872" spans="1:26" s="75" customFormat="1" ht="37.5" hidden="1">
      <c r="A1872" s="714">
        <f t="shared" si="257"/>
        <v>369</v>
      </c>
      <c r="B1872" s="592" t="s">
        <v>1742</v>
      </c>
      <c r="C1872" s="593" t="s">
        <v>217</v>
      </c>
      <c r="D1872" s="594">
        <v>12035</v>
      </c>
      <c r="E1872" s="594">
        <v>2353.6799999999998</v>
      </c>
      <c r="F1872" s="594" t="s">
        <v>233</v>
      </c>
      <c r="G1872" s="594">
        <v>527</v>
      </c>
      <c r="H1872" s="594">
        <v>9</v>
      </c>
      <c r="I1872" s="594">
        <v>1</v>
      </c>
      <c r="J1872" s="594">
        <v>72</v>
      </c>
      <c r="K1872" s="590" t="s">
        <v>30</v>
      </c>
      <c r="L1872" s="584">
        <f t="shared" si="258"/>
        <v>2349617.4</v>
      </c>
      <c r="M1872" s="596">
        <v>2304000</v>
      </c>
      <c r="N1872" s="675"/>
      <c r="O1872" s="631">
        <v>18255</v>
      </c>
      <c r="P1872" s="597"/>
      <c r="Q1872" s="597">
        <v>27362.400000000001</v>
      </c>
      <c r="R1872" s="599">
        <f>M1872/J1872</f>
        <v>32000</v>
      </c>
      <c r="S1872" s="586">
        <f t="shared" si="260"/>
        <v>-9.4587448984384537E-11</v>
      </c>
      <c r="T1872" s="600"/>
      <c r="U1872" s="589"/>
      <c r="V1872" s="589"/>
      <c r="W1872" s="600"/>
      <c r="X1872" s="601"/>
      <c r="Y1872" s="600">
        <f t="shared" si="255"/>
        <v>2349617.4</v>
      </c>
      <c r="Z1872" s="601"/>
    </row>
    <row r="1873" spans="1:26" s="75" customFormat="1" ht="37.5" hidden="1">
      <c r="A1873" s="714">
        <f t="shared" si="257"/>
        <v>370</v>
      </c>
      <c r="B1873" s="592" t="s">
        <v>1743</v>
      </c>
      <c r="C1873" s="593" t="s">
        <v>217</v>
      </c>
      <c r="D1873" s="594">
        <v>7582</v>
      </c>
      <c r="E1873" s="594">
        <v>1893.23</v>
      </c>
      <c r="F1873" s="594" t="s">
        <v>233</v>
      </c>
      <c r="G1873" s="594">
        <v>297.3</v>
      </c>
      <c r="H1873" s="594">
        <v>9</v>
      </c>
      <c r="I1873" s="594">
        <v>1</v>
      </c>
      <c r="J1873" s="594">
        <v>36</v>
      </c>
      <c r="K1873" s="590" t="s">
        <v>30</v>
      </c>
      <c r="L1873" s="584">
        <f t="shared" si="258"/>
        <v>1192386.3999999999</v>
      </c>
      <c r="M1873" s="596">
        <v>1152000</v>
      </c>
      <c r="N1873" s="675"/>
      <c r="O1873" s="631">
        <v>19053</v>
      </c>
      <c r="P1873" s="597"/>
      <c r="Q1873" s="597">
        <v>21333.4</v>
      </c>
      <c r="R1873" s="599">
        <f>M1873/J1873</f>
        <v>32000</v>
      </c>
      <c r="S1873" s="586">
        <f t="shared" si="260"/>
        <v>-9.4587448984384537E-11</v>
      </c>
      <c r="T1873" s="600"/>
      <c r="U1873" s="589"/>
      <c r="V1873" s="589"/>
      <c r="W1873" s="600"/>
      <c r="X1873" s="601"/>
      <c r="Y1873" s="600">
        <f t="shared" si="255"/>
        <v>1192386.3999999999</v>
      </c>
      <c r="Z1873" s="601"/>
    </row>
    <row r="1874" spans="1:26" s="75" customFormat="1" ht="37.5" hidden="1">
      <c r="A1874" s="714">
        <f t="shared" si="257"/>
        <v>371</v>
      </c>
      <c r="B1874" s="592" t="s">
        <v>1744</v>
      </c>
      <c r="C1874" s="593" t="s">
        <v>217</v>
      </c>
      <c r="D1874" s="594">
        <v>23686</v>
      </c>
      <c r="E1874" s="594">
        <v>4032</v>
      </c>
      <c r="F1874" s="594" t="s">
        <v>233</v>
      </c>
      <c r="G1874" s="594">
        <v>1051.8</v>
      </c>
      <c r="H1874" s="594">
        <v>9</v>
      </c>
      <c r="I1874" s="594">
        <v>3</v>
      </c>
      <c r="J1874" s="594">
        <v>108</v>
      </c>
      <c r="K1874" s="590" t="s">
        <v>30</v>
      </c>
      <c r="L1874" s="584">
        <f t="shared" si="258"/>
        <v>3516499</v>
      </c>
      <c r="M1874" s="596">
        <v>3456000</v>
      </c>
      <c r="N1874" s="675"/>
      <c r="O1874" s="631">
        <v>20699</v>
      </c>
      <c r="P1874" s="597"/>
      <c r="Q1874" s="597">
        <v>39800</v>
      </c>
      <c r="R1874" s="599">
        <f>M1874/J1874</f>
        <v>32000</v>
      </c>
      <c r="S1874" s="586">
        <f t="shared" si="260"/>
        <v>0</v>
      </c>
      <c r="T1874" s="600"/>
      <c r="U1874" s="589"/>
      <c r="V1874" s="589"/>
      <c r="W1874" s="600"/>
      <c r="X1874" s="601"/>
      <c r="Y1874" s="600">
        <f t="shared" si="255"/>
        <v>3516499</v>
      </c>
      <c r="Z1874" s="601"/>
    </row>
    <row r="1875" spans="1:26" s="75" customFormat="1" ht="37.5" hidden="1">
      <c r="A1875" s="714">
        <f t="shared" si="257"/>
        <v>372</v>
      </c>
      <c r="B1875" s="592" t="s">
        <v>1745</v>
      </c>
      <c r="C1875" s="593" t="s">
        <v>217</v>
      </c>
      <c r="D1875" s="594">
        <v>15967</v>
      </c>
      <c r="E1875" s="594">
        <v>2746.3</v>
      </c>
      <c r="F1875" s="594" t="s">
        <v>233</v>
      </c>
      <c r="G1875" s="594">
        <v>694.2</v>
      </c>
      <c r="H1875" s="594">
        <v>9</v>
      </c>
      <c r="I1875" s="594">
        <v>2</v>
      </c>
      <c r="J1875" s="594">
        <v>71</v>
      </c>
      <c r="K1875" s="590" t="s">
        <v>30</v>
      </c>
      <c r="L1875" s="584">
        <f t="shared" si="258"/>
        <v>2325398.94</v>
      </c>
      <c r="M1875" s="596">
        <v>2272000</v>
      </c>
      <c r="N1875" s="675"/>
      <c r="O1875" s="631">
        <v>19080</v>
      </c>
      <c r="P1875" s="597"/>
      <c r="Q1875" s="597">
        <v>34318.94</v>
      </c>
      <c r="R1875" s="599">
        <f>M1875/J1875</f>
        <v>32000</v>
      </c>
      <c r="S1875" s="586">
        <f t="shared" si="260"/>
        <v>-5.8207660913467407E-11</v>
      </c>
      <c r="T1875" s="600"/>
      <c r="U1875" s="589"/>
      <c r="V1875" s="589"/>
      <c r="W1875" s="600"/>
      <c r="X1875" s="601"/>
      <c r="Y1875" s="600">
        <f t="shared" si="255"/>
        <v>2325398.94</v>
      </c>
      <c r="Z1875" s="601"/>
    </row>
    <row r="1876" spans="1:26" s="75" customFormat="1" hidden="1">
      <c r="A1876" s="714">
        <f t="shared" si="257"/>
        <v>373</v>
      </c>
      <c r="B1876" s="592" t="s">
        <v>1746</v>
      </c>
      <c r="C1876" s="593" t="s">
        <v>217</v>
      </c>
      <c r="D1876" s="594">
        <v>43845</v>
      </c>
      <c r="E1876" s="594">
        <v>7040</v>
      </c>
      <c r="F1876" s="594" t="s">
        <v>233</v>
      </c>
      <c r="G1876" s="594">
        <v>1719</v>
      </c>
      <c r="H1876" s="594">
        <v>9</v>
      </c>
      <c r="I1876" s="594">
        <v>4</v>
      </c>
      <c r="J1876" s="594">
        <v>215</v>
      </c>
      <c r="K1876" s="590" t="s">
        <v>224</v>
      </c>
      <c r="L1876" s="584">
        <f t="shared" si="258"/>
        <v>4497569</v>
      </c>
      <c r="M1876" s="607">
        <v>4432900</v>
      </c>
      <c r="N1876" s="675">
        <v>44869</v>
      </c>
      <c r="O1876" s="887"/>
      <c r="P1876" s="597"/>
      <c r="Q1876" s="597">
        <v>19800</v>
      </c>
      <c r="R1876" s="599">
        <f>M1876/J1876</f>
        <v>20618.139534883721</v>
      </c>
      <c r="S1876" s="586">
        <f t="shared" si="260"/>
        <v>0</v>
      </c>
      <c r="T1876" s="600"/>
      <c r="U1876" s="589"/>
      <c r="V1876" s="589"/>
      <c r="W1876" s="600"/>
      <c r="X1876" s="601"/>
      <c r="Y1876" s="600">
        <f t="shared" si="255"/>
        <v>4497569</v>
      </c>
      <c r="Z1876" s="601"/>
    </row>
    <row r="1877" spans="1:26" s="75" customFormat="1" hidden="1">
      <c r="A1877" s="714">
        <f t="shared" si="257"/>
        <v>374</v>
      </c>
      <c r="B1877" s="592" t="s">
        <v>1747</v>
      </c>
      <c r="C1877" s="593" t="s">
        <v>217</v>
      </c>
      <c r="D1877" s="594">
        <v>16080</v>
      </c>
      <c r="E1877" s="594">
        <v>1608</v>
      </c>
      <c r="F1877" s="594" t="s">
        <v>233</v>
      </c>
      <c r="G1877" s="594">
        <v>683</v>
      </c>
      <c r="H1877" s="594">
        <v>9</v>
      </c>
      <c r="I1877" s="594">
        <v>2</v>
      </c>
      <c r="J1877" s="594">
        <v>72</v>
      </c>
      <c r="K1877" s="590" t="s">
        <v>33</v>
      </c>
      <c r="L1877" s="584">
        <f t="shared" si="258"/>
        <v>1481441</v>
      </c>
      <c r="M1877" s="596">
        <v>1434300</v>
      </c>
      <c r="N1877" s="675"/>
      <c r="O1877" s="631">
        <v>27241</v>
      </c>
      <c r="P1877" s="597"/>
      <c r="Q1877" s="597">
        <v>19900</v>
      </c>
      <c r="R1877" s="599">
        <f>M1877/G1877</f>
        <v>2100</v>
      </c>
      <c r="S1877" s="586">
        <f t="shared" si="260"/>
        <v>0</v>
      </c>
      <c r="T1877" s="600"/>
      <c r="U1877" s="589"/>
      <c r="V1877" s="589"/>
      <c r="W1877" s="600"/>
      <c r="X1877" s="601"/>
      <c r="Y1877" s="600">
        <f t="shared" si="255"/>
        <v>1481441</v>
      </c>
      <c r="Z1877" s="601"/>
    </row>
    <row r="1878" spans="1:26" s="75" customFormat="1" hidden="1">
      <c r="A1878" s="714">
        <f t="shared" si="257"/>
        <v>375</v>
      </c>
      <c r="B1878" s="592" t="s">
        <v>1749</v>
      </c>
      <c r="C1878" s="593" t="s">
        <v>217</v>
      </c>
      <c r="D1878" s="594">
        <v>12495</v>
      </c>
      <c r="E1878" s="594">
        <v>2250</v>
      </c>
      <c r="F1878" s="594" t="s">
        <v>233</v>
      </c>
      <c r="G1878" s="594">
        <v>532</v>
      </c>
      <c r="H1878" s="594">
        <v>9</v>
      </c>
      <c r="I1878" s="594">
        <v>1</v>
      </c>
      <c r="J1878" s="594">
        <v>72</v>
      </c>
      <c r="K1878" s="590" t="s">
        <v>224</v>
      </c>
      <c r="L1878" s="584">
        <f t="shared" si="258"/>
        <v>1619934.76</v>
      </c>
      <c r="M1878" s="607">
        <v>1572900</v>
      </c>
      <c r="N1878" s="675">
        <v>33033</v>
      </c>
      <c r="O1878" s="887"/>
      <c r="P1878" s="597"/>
      <c r="Q1878" s="597">
        <v>14001.76</v>
      </c>
      <c r="R1878" s="599">
        <f>M1878/J1878</f>
        <v>21845.833333333332</v>
      </c>
      <c r="S1878" s="586">
        <f t="shared" si="260"/>
        <v>0</v>
      </c>
      <c r="T1878" s="600"/>
      <c r="U1878" s="589"/>
      <c r="V1878" s="589"/>
      <c r="W1878" s="600"/>
      <c r="X1878" s="601"/>
      <c r="Y1878" s="600">
        <f t="shared" si="255"/>
        <v>1619934.76</v>
      </c>
      <c r="Z1878" s="601"/>
    </row>
    <row r="1879" spans="1:26" s="75" customFormat="1" hidden="1">
      <c r="A1879" s="714">
        <f t="shared" si="257"/>
        <v>376</v>
      </c>
      <c r="B1879" s="592" t="s">
        <v>1750</v>
      </c>
      <c r="C1879" s="593" t="s">
        <v>217</v>
      </c>
      <c r="D1879" s="594">
        <v>7393</v>
      </c>
      <c r="E1879" s="594">
        <v>982</v>
      </c>
      <c r="F1879" s="594" t="s">
        <v>233</v>
      </c>
      <c r="G1879" s="594">
        <v>340</v>
      </c>
      <c r="H1879" s="594">
        <v>9</v>
      </c>
      <c r="I1879" s="594">
        <v>1</v>
      </c>
      <c r="J1879" s="594">
        <v>36</v>
      </c>
      <c r="K1879" s="590" t="s">
        <v>33</v>
      </c>
      <c r="L1879" s="584">
        <f t="shared" si="258"/>
        <v>750295.29</v>
      </c>
      <c r="M1879" s="596">
        <v>714000</v>
      </c>
      <c r="N1879" s="675"/>
      <c r="O1879" s="631">
        <v>23434</v>
      </c>
      <c r="P1879" s="597"/>
      <c r="Q1879" s="597">
        <v>12861.29</v>
      </c>
      <c r="R1879" s="599">
        <f>M1879/G1879</f>
        <v>2100</v>
      </c>
      <c r="S1879" s="586">
        <f t="shared" si="260"/>
        <v>3.637978807091713E-11</v>
      </c>
      <c r="T1879" s="600"/>
      <c r="U1879" s="589"/>
      <c r="V1879" s="589"/>
      <c r="W1879" s="600"/>
      <c r="X1879" s="601"/>
      <c r="Y1879" s="600">
        <f t="shared" si="255"/>
        <v>750295.29</v>
      </c>
      <c r="Z1879" s="601"/>
    </row>
    <row r="1880" spans="1:26" s="75" customFormat="1" hidden="1">
      <c r="A1880" s="714">
        <f t="shared" si="257"/>
        <v>377</v>
      </c>
      <c r="B1880" s="592" t="s">
        <v>1751</v>
      </c>
      <c r="C1880" s="593" t="s">
        <v>217</v>
      </c>
      <c r="D1880" s="594">
        <v>16399</v>
      </c>
      <c r="E1880" s="594">
        <v>1633</v>
      </c>
      <c r="F1880" s="594" t="s">
        <v>233</v>
      </c>
      <c r="G1880" s="594">
        <v>689</v>
      </c>
      <c r="H1880" s="594">
        <v>9</v>
      </c>
      <c r="I1880" s="594">
        <v>2</v>
      </c>
      <c r="J1880" s="594">
        <v>72</v>
      </c>
      <c r="K1880" s="590" t="s">
        <v>33</v>
      </c>
      <c r="L1880" s="584">
        <f t="shared" si="258"/>
        <v>1490316</v>
      </c>
      <c r="M1880" s="596">
        <v>1446900</v>
      </c>
      <c r="N1880" s="675"/>
      <c r="O1880" s="631">
        <v>23516</v>
      </c>
      <c r="P1880" s="597"/>
      <c r="Q1880" s="597">
        <v>19900</v>
      </c>
      <c r="R1880" s="599">
        <f>M1880/G1880</f>
        <v>2100</v>
      </c>
      <c r="S1880" s="586">
        <f t="shared" si="260"/>
        <v>0</v>
      </c>
      <c r="T1880" s="600"/>
      <c r="U1880" s="589"/>
      <c r="V1880" s="589"/>
      <c r="W1880" s="600"/>
      <c r="X1880" s="601"/>
      <c r="Y1880" s="600">
        <f t="shared" si="255"/>
        <v>1490316</v>
      </c>
      <c r="Z1880" s="601"/>
    </row>
    <row r="1881" spans="1:26" s="75" customFormat="1" hidden="1">
      <c r="A1881" s="714">
        <f t="shared" si="257"/>
        <v>378</v>
      </c>
      <c r="B1881" s="592" t="s">
        <v>1748</v>
      </c>
      <c r="C1881" s="593" t="s">
        <v>217</v>
      </c>
      <c r="D1881" s="594">
        <v>7743</v>
      </c>
      <c r="E1881" s="594">
        <v>1210</v>
      </c>
      <c r="F1881" s="594" t="s">
        <v>233</v>
      </c>
      <c r="G1881" s="594">
        <v>331.4</v>
      </c>
      <c r="H1881" s="594">
        <v>9</v>
      </c>
      <c r="I1881" s="594">
        <v>1</v>
      </c>
      <c r="J1881" s="594">
        <v>36</v>
      </c>
      <c r="K1881" s="590" t="s">
        <v>33</v>
      </c>
      <c r="L1881" s="584">
        <f t="shared" si="258"/>
        <v>730699.17</v>
      </c>
      <c r="M1881" s="596">
        <v>695940</v>
      </c>
      <c r="N1881" s="675"/>
      <c r="O1881" s="631">
        <v>21289</v>
      </c>
      <c r="P1881" s="597"/>
      <c r="Q1881" s="597">
        <v>13470.17</v>
      </c>
      <c r="R1881" s="599">
        <f>M1881/G1881</f>
        <v>2100</v>
      </c>
      <c r="S1881" s="586">
        <f t="shared" si="260"/>
        <v>4.1836756281554699E-11</v>
      </c>
      <c r="T1881" s="600"/>
      <c r="U1881" s="589"/>
      <c r="V1881" s="589"/>
      <c r="W1881" s="600"/>
      <c r="X1881" s="601"/>
      <c r="Y1881" s="600">
        <f t="shared" si="255"/>
        <v>730699.17</v>
      </c>
      <c r="Z1881" s="601"/>
    </row>
    <row r="1882" spans="1:26" s="75" customFormat="1" ht="37.5" hidden="1">
      <c r="A1882" s="714">
        <f t="shared" si="257"/>
        <v>379</v>
      </c>
      <c r="B1882" s="592" t="s">
        <v>1752</v>
      </c>
      <c r="C1882" s="593" t="s">
        <v>271</v>
      </c>
      <c r="D1882" s="594">
        <v>20763</v>
      </c>
      <c r="E1882" s="594">
        <v>1188</v>
      </c>
      <c r="F1882" s="594" t="s">
        <v>233</v>
      </c>
      <c r="G1882" s="594">
        <v>694</v>
      </c>
      <c r="H1882" s="594">
        <v>12</v>
      </c>
      <c r="I1882" s="594">
        <v>1</v>
      </c>
      <c r="J1882" s="594">
        <v>106</v>
      </c>
      <c r="K1882" s="590" t="s">
        <v>30</v>
      </c>
      <c r="L1882" s="584">
        <f t="shared" si="258"/>
        <v>3453232</v>
      </c>
      <c r="M1882" s="596">
        <v>3392000</v>
      </c>
      <c r="N1882" s="675"/>
      <c r="O1882" s="631">
        <v>21432</v>
      </c>
      <c r="P1882" s="597"/>
      <c r="Q1882" s="597">
        <v>39800</v>
      </c>
      <c r="R1882" s="599">
        <f>M1882/J1882</f>
        <v>32000</v>
      </c>
      <c r="S1882" s="586">
        <f t="shared" si="260"/>
        <v>0</v>
      </c>
      <c r="T1882" s="600"/>
      <c r="U1882" s="589"/>
      <c r="V1882" s="589"/>
      <c r="W1882" s="600"/>
      <c r="X1882" s="601"/>
      <c r="Y1882" s="600">
        <f t="shared" si="255"/>
        <v>3453232</v>
      </c>
      <c r="Z1882" s="601"/>
    </row>
    <row r="1883" spans="1:26" s="75" customFormat="1" hidden="1">
      <c r="A1883" s="714">
        <f t="shared" si="257"/>
        <v>380</v>
      </c>
      <c r="B1883" s="592" t="s">
        <v>1753</v>
      </c>
      <c r="C1883" s="593" t="s">
        <v>217</v>
      </c>
      <c r="D1883" s="594">
        <v>15840</v>
      </c>
      <c r="E1883" s="594">
        <v>1312</v>
      </c>
      <c r="F1883" s="594" t="s">
        <v>233</v>
      </c>
      <c r="G1883" s="594">
        <v>677</v>
      </c>
      <c r="H1883" s="594">
        <v>9</v>
      </c>
      <c r="I1883" s="594">
        <v>2</v>
      </c>
      <c r="J1883" s="594">
        <v>72</v>
      </c>
      <c r="K1883" s="590" t="s">
        <v>33</v>
      </c>
      <c r="L1883" s="584">
        <f t="shared" si="258"/>
        <v>1464972</v>
      </c>
      <c r="M1883" s="596">
        <v>1421700</v>
      </c>
      <c r="N1883" s="675"/>
      <c r="O1883" s="631">
        <v>23372</v>
      </c>
      <c r="P1883" s="597"/>
      <c r="Q1883" s="597">
        <v>19900</v>
      </c>
      <c r="R1883" s="599">
        <f t="shared" ref="R1883:R1894" si="261">M1883/G1883</f>
        <v>2100</v>
      </c>
      <c r="S1883" s="586">
        <f t="shared" si="260"/>
        <v>0</v>
      </c>
      <c r="T1883" s="600"/>
      <c r="U1883" s="589"/>
      <c r="V1883" s="589"/>
      <c r="W1883" s="600"/>
      <c r="X1883" s="601"/>
      <c r="Y1883" s="600">
        <f t="shared" si="255"/>
        <v>1464972</v>
      </c>
      <c r="Z1883" s="601"/>
    </row>
    <row r="1884" spans="1:26" s="75" customFormat="1" hidden="1">
      <c r="A1884" s="714">
        <f t="shared" si="257"/>
        <v>381</v>
      </c>
      <c r="B1884" s="592" t="s">
        <v>1754</v>
      </c>
      <c r="C1884" s="593" t="s">
        <v>217</v>
      </c>
      <c r="D1884" s="594">
        <v>12543</v>
      </c>
      <c r="E1884" s="594">
        <v>2455.5</v>
      </c>
      <c r="F1884" s="594" t="s">
        <v>222</v>
      </c>
      <c r="G1884" s="594">
        <v>1294</v>
      </c>
      <c r="H1884" s="594">
        <v>5</v>
      </c>
      <c r="I1884" s="594">
        <v>5</v>
      </c>
      <c r="J1884" s="594">
        <v>100</v>
      </c>
      <c r="K1884" s="590" t="s">
        <v>33</v>
      </c>
      <c r="L1884" s="584">
        <f t="shared" si="258"/>
        <v>4589221.41</v>
      </c>
      <c r="M1884" s="596">
        <v>4529000</v>
      </c>
      <c r="N1884" s="675"/>
      <c r="O1884" s="631">
        <v>21550</v>
      </c>
      <c r="P1884" s="597"/>
      <c r="Q1884" s="597">
        <v>38671.410000000003</v>
      </c>
      <c r="R1884" s="599">
        <f t="shared" si="261"/>
        <v>3500</v>
      </c>
      <c r="S1884" s="586">
        <f t="shared" si="260"/>
        <v>1.4551915228366852E-10</v>
      </c>
      <c r="T1884" s="600"/>
      <c r="U1884" s="589"/>
      <c r="V1884" s="589"/>
      <c r="W1884" s="600"/>
      <c r="X1884" s="601"/>
      <c r="Y1884" s="600">
        <f t="shared" si="255"/>
        <v>4589221.41</v>
      </c>
      <c r="Z1884" s="601"/>
    </row>
    <row r="1885" spans="1:26" s="75" customFormat="1" hidden="1">
      <c r="A1885" s="714">
        <f t="shared" si="257"/>
        <v>382</v>
      </c>
      <c r="B1885" s="592" t="s">
        <v>1755</v>
      </c>
      <c r="C1885" s="593" t="s">
        <v>217</v>
      </c>
      <c r="D1885" s="594">
        <v>12482</v>
      </c>
      <c r="E1885" s="594">
        <v>2414</v>
      </c>
      <c r="F1885" s="594" t="s">
        <v>222</v>
      </c>
      <c r="G1885" s="594">
        <v>2280.5</v>
      </c>
      <c r="H1885" s="594">
        <v>5</v>
      </c>
      <c r="I1885" s="594">
        <v>4</v>
      </c>
      <c r="J1885" s="594">
        <v>80</v>
      </c>
      <c r="K1885" s="590" t="s">
        <v>33</v>
      </c>
      <c r="L1885" s="584">
        <f t="shared" si="258"/>
        <v>8041760.3499999996</v>
      </c>
      <c r="M1885" s="596">
        <v>7981750</v>
      </c>
      <c r="N1885" s="675"/>
      <c r="O1885" s="631">
        <v>21527</v>
      </c>
      <c r="P1885" s="597"/>
      <c r="Q1885" s="597">
        <v>38483.35</v>
      </c>
      <c r="R1885" s="599">
        <f t="shared" si="261"/>
        <v>3500</v>
      </c>
      <c r="S1885" s="586">
        <f t="shared" si="260"/>
        <v>-3.7107383832335472E-10</v>
      </c>
      <c r="T1885" s="600"/>
      <c r="U1885" s="589"/>
      <c r="V1885" s="589"/>
      <c r="W1885" s="600"/>
      <c r="X1885" s="601"/>
      <c r="Y1885" s="600">
        <f t="shared" si="255"/>
        <v>8041760.3499999996</v>
      </c>
      <c r="Z1885" s="601"/>
    </row>
    <row r="1886" spans="1:26" s="75" customFormat="1" hidden="1">
      <c r="A1886" s="714">
        <f t="shared" si="257"/>
        <v>383</v>
      </c>
      <c r="B1886" s="592" t="s">
        <v>1756</v>
      </c>
      <c r="C1886" s="593" t="s">
        <v>217</v>
      </c>
      <c r="D1886" s="594">
        <v>9993</v>
      </c>
      <c r="E1886" s="594">
        <v>2000.2</v>
      </c>
      <c r="F1886" s="594" t="s">
        <v>222</v>
      </c>
      <c r="G1886" s="594">
        <v>763.3</v>
      </c>
      <c r="H1886" s="594">
        <v>5</v>
      </c>
      <c r="I1886" s="594">
        <v>4</v>
      </c>
      <c r="J1886" s="594">
        <v>60</v>
      </c>
      <c r="K1886" s="590" t="s">
        <v>33</v>
      </c>
      <c r="L1886" s="584">
        <f t="shared" si="258"/>
        <v>2723592.49</v>
      </c>
      <c r="M1886" s="596">
        <v>2671550</v>
      </c>
      <c r="N1886" s="675"/>
      <c r="O1886" s="631">
        <v>21233</v>
      </c>
      <c r="P1886" s="597"/>
      <c r="Q1886" s="597">
        <v>30809.49</v>
      </c>
      <c r="R1886" s="599">
        <f t="shared" si="261"/>
        <v>3500</v>
      </c>
      <c r="S1886" s="586">
        <f t="shared" si="260"/>
        <v>2.2191670723259449E-10</v>
      </c>
      <c r="T1886" s="600"/>
      <c r="U1886" s="589"/>
      <c r="V1886" s="589"/>
      <c r="W1886" s="600"/>
      <c r="X1886" s="601"/>
      <c r="Y1886" s="600">
        <f t="shared" si="255"/>
        <v>2723592.49</v>
      </c>
      <c r="Z1886" s="601"/>
    </row>
    <row r="1887" spans="1:26" s="75" customFormat="1" hidden="1">
      <c r="A1887" s="714">
        <f t="shared" si="257"/>
        <v>384</v>
      </c>
      <c r="B1887" s="592" t="s">
        <v>1757</v>
      </c>
      <c r="C1887" s="593" t="s">
        <v>292</v>
      </c>
      <c r="D1887" s="594">
        <v>1666</v>
      </c>
      <c r="E1887" s="594">
        <v>337</v>
      </c>
      <c r="F1887" s="594" t="s">
        <v>222</v>
      </c>
      <c r="G1887" s="594">
        <v>350</v>
      </c>
      <c r="H1887" s="594">
        <v>2</v>
      </c>
      <c r="I1887" s="594">
        <v>1</v>
      </c>
      <c r="J1887" s="594">
        <v>8</v>
      </c>
      <c r="K1887" s="590" t="s">
        <v>33</v>
      </c>
      <c r="L1887" s="584">
        <f t="shared" si="258"/>
        <v>794026.12</v>
      </c>
      <c r="M1887" s="596">
        <v>770000</v>
      </c>
      <c r="N1887" s="675"/>
      <c r="O1887" s="631">
        <v>15909</v>
      </c>
      <c r="P1887" s="597"/>
      <c r="Q1887" s="597">
        <v>8117.12</v>
      </c>
      <c r="R1887" s="599">
        <f t="shared" si="261"/>
        <v>2200</v>
      </c>
      <c r="S1887" s="586">
        <f t="shared" si="260"/>
        <v>0</v>
      </c>
      <c r="T1887" s="600"/>
      <c r="U1887" s="589"/>
      <c r="V1887" s="589"/>
      <c r="W1887" s="600"/>
      <c r="X1887" s="601"/>
      <c r="Y1887" s="600">
        <f t="shared" si="255"/>
        <v>794026.12</v>
      </c>
      <c r="Z1887" s="601"/>
    </row>
    <row r="1888" spans="1:26" s="75" customFormat="1" hidden="1">
      <c r="A1888" s="714">
        <f t="shared" si="257"/>
        <v>385</v>
      </c>
      <c r="B1888" s="592" t="s">
        <v>1758</v>
      </c>
      <c r="C1888" s="593" t="s">
        <v>229</v>
      </c>
      <c r="D1888" s="594">
        <v>1564</v>
      </c>
      <c r="E1888" s="594">
        <v>480</v>
      </c>
      <c r="F1888" s="594" t="s">
        <v>371</v>
      </c>
      <c r="G1888" s="594">
        <v>324</v>
      </c>
      <c r="H1888" s="594">
        <v>2</v>
      </c>
      <c r="I1888" s="594">
        <v>1</v>
      </c>
      <c r="J1888" s="594">
        <v>8</v>
      </c>
      <c r="K1888" s="590" t="s">
        <v>398</v>
      </c>
      <c r="L1888" s="584">
        <f t="shared" si="258"/>
        <v>738146.14</v>
      </c>
      <c r="M1888" s="596">
        <v>712800</v>
      </c>
      <c r="N1888" s="675"/>
      <c r="O1888" s="631">
        <v>17726</v>
      </c>
      <c r="P1888" s="597"/>
      <c r="Q1888" s="597">
        <v>7620.14</v>
      </c>
      <c r="R1888" s="599">
        <f t="shared" si="261"/>
        <v>2200</v>
      </c>
      <c r="S1888" s="586">
        <f t="shared" si="260"/>
        <v>1.3642420526593924E-11</v>
      </c>
      <c r="T1888" s="600"/>
      <c r="U1888" s="589"/>
      <c r="V1888" s="589"/>
      <c r="W1888" s="600"/>
      <c r="X1888" s="601"/>
      <c r="Y1888" s="600">
        <f t="shared" si="255"/>
        <v>738146.14</v>
      </c>
      <c r="Z1888" s="601"/>
    </row>
    <row r="1889" spans="1:26" s="75" customFormat="1" hidden="1">
      <c r="A1889" s="714">
        <f t="shared" si="257"/>
        <v>386</v>
      </c>
      <c r="B1889" s="592" t="s">
        <v>1759</v>
      </c>
      <c r="C1889" s="593" t="s">
        <v>229</v>
      </c>
      <c r="D1889" s="594">
        <v>1564</v>
      </c>
      <c r="E1889" s="594">
        <v>480</v>
      </c>
      <c r="F1889" s="594" t="s">
        <v>371</v>
      </c>
      <c r="G1889" s="594">
        <v>324</v>
      </c>
      <c r="H1889" s="594">
        <v>2</v>
      </c>
      <c r="I1889" s="594">
        <v>1</v>
      </c>
      <c r="J1889" s="594">
        <v>8</v>
      </c>
      <c r="K1889" s="590" t="s">
        <v>398</v>
      </c>
      <c r="L1889" s="584">
        <f t="shared" si="258"/>
        <v>737949.14</v>
      </c>
      <c r="M1889" s="596">
        <v>712800</v>
      </c>
      <c r="N1889" s="675"/>
      <c r="O1889" s="631">
        <v>17529</v>
      </c>
      <c r="P1889" s="597"/>
      <c r="Q1889" s="597">
        <v>7620.14</v>
      </c>
      <c r="R1889" s="599">
        <f t="shared" si="261"/>
        <v>2200</v>
      </c>
      <c r="S1889" s="586">
        <f t="shared" si="260"/>
        <v>1.3642420526593924E-11</v>
      </c>
      <c r="T1889" s="600"/>
      <c r="U1889" s="589"/>
      <c r="V1889" s="589"/>
      <c r="W1889" s="600"/>
      <c r="X1889" s="601"/>
      <c r="Y1889" s="600">
        <f t="shared" si="255"/>
        <v>737949.14</v>
      </c>
      <c r="Z1889" s="601"/>
    </row>
    <row r="1890" spans="1:26" s="75" customFormat="1" hidden="1">
      <c r="A1890" s="714">
        <f t="shared" si="257"/>
        <v>387</v>
      </c>
      <c r="B1890" s="592" t="s">
        <v>1760</v>
      </c>
      <c r="C1890" s="593" t="s">
        <v>229</v>
      </c>
      <c r="D1890" s="594">
        <v>1550</v>
      </c>
      <c r="E1890" s="594">
        <v>480</v>
      </c>
      <c r="F1890" s="594" t="s">
        <v>371</v>
      </c>
      <c r="G1890" s="594">
        <v>324</v>
      </c>
      <c r="H1890" s="594">
        <v>2</v>
      </c>
      <c r="I1890" s="594">
        <v>1</v>
      </c>
      <c r="J1890" s="594">
        <v>8</v>
      </c>
      <c r="K1890" s="590" t="s">
        <v>398</v>
      </c>
      <c r="L1890" s="584">
        <f t="shared" si="258"/>
        <v>738250.94</v>
      </c>
      <c r="M1890" s="596">
        <v>712800</v>
      </c>
      <c r="N1890" s="675"/>
      <c r="O1890" s="631">
        <v>17899</v>
      </c>
      <c r="P1890" s="597"/>
      <c r="Q1890" s="597">
        <v>7551.94</v>
      </c>
      <c r="R1890" s="599">
        <f t="shared" si="261"/>
        <v>2200</v>
      </c>
      <c r="S1890" s="586">
        <f t="shared" si="260"/>
        <v>-5.5479176808148623E-11</v>
      </c>
      <c r="T1890" s="600"/>
      <c r="U1890" s="589"/>
      <c r="V1890" s="589"/>
      <c r="W1890" s="600"/>
      <c r="X1890" s="601"/>
      <c r="Y1890" s="600">
        <f t="shared" si="255"/>
        <v>738250.94</v>
      </c>
      <c r="Z1890" s="601"/>
    </row>
    <row r="1891" spans="1:26" s="75" customFormat="1" hidden="1">
      <c r="A1891" s="714">
        <f t="shared" si="257"/>
        <v>388</v>
      </c>
      <c r="B1891" s="592" t="s">
        <v>1761</v>
      </c>
      <c r="C1891" s="593" t="s">
        <v>229</v>
      </c>
      <c r="D1891" s="594">
        <v>3097</v>
      </c>
      <c r="E1891" s="594">
        <v>780</v>
      </c>
      <c r="F1891" s="594" t="s">
        <v>371</v>
      </c>
      <c r="G1891" s="594">
        <v>423.2</v>
      </c>
      <c r="H1891" s="594">
        <v>2</v>
      </c>
      <c r="I1891" s="594">
        <v>2</v>
      </c>
      <c r="J1891" s="594">
        <v>12</v>
      </c>
      <c r="K1891" s="590" t="s">
        <v>398</v>
      </c>
      <c r="L1891" s="584">
        <f t="shared" si="258"/>
        <v>964172.25</v>
      </c>
      <c r="M1891" s="596">
        <v>931040</v>
      </c>
      <c r="N1891" s="675"/>
      <c r="O1891" s="631">
        <v>18043</v>
      </c>
      <c r="P1891" s="597"/>
      <c r="Q1891" s="597">
        <v>15089.25</v>
      </c>
      <c r="R1891" s="599">
        <f t="shared" si="261"/>
        <v>2200</v>
      </c>
      <c r="S1891" s="586">
        <f t="shared" si="260"/>
        <v>0</v>
      </c>
      <c r="T1891" s="600"/>
      <c r="U1891" s="589"/>
      <c r="V1891" s="589"/>
      <c r="W1891" s="600"/>
      <c r="X1891" s="601"/>
      <c r="Y1891" s="600">
        <f t="shared" si="255"/>
        <v>964172.25</v>
      </c>
      <c r="Z1891" s="601"/>
    </row>
    <row r="1892" spans="1:26" s="75" customFormat="1" hidden="1">
      <c r="A1892" s="714">
        <f t="shared" si="257"/>
        <v>389</v>
      </c>
      <c r="B1892" s="592" t="s">
        <v>1762</v>
      </c>
      <c r="C1892" s="593" t="s">
        <v>271</v>
      </c>
      <c r="D1892" s="594">
        <v>6505</v>
      </c>
      <c r="E1892" s="594">
        <v>1396</v>
      </c>
      <c r="F1892" s="594" t="s">
        <v>222</v>
      </c>
      <c r="G1892" s="594">
        <v>1148</v>
      </c>
      <c r="H1892" s="594">
        <v>5</v>
      </c>
      <c r="I1892" s="594">
        <v>2</v>
      </c>
      <c r="J1892" s="594">
        <v>38</v>
      </c>
      <c r="K1892" s="590" t="s">
        <v>33</v>
      </c>
      <c r="L1892" s="584">
        <f t="shared" si="258"/>
        <v>4062996.62</v>
      </c>
      <c r="M1892" s="596">
        <v>4018000</v>
      </c>
      <c r="N1892" s="675"/>
      <c r="O1892" s="631">
        <v>24941</v>
      </c>
      <c r="P1892" s="597"/>
      <c r="Q1892" s="597">
        <v>20055.62</v>
      </c>
      <c r="R1892" s="599">
        <f t="shared" si="261"/>
        <v>3500</v>
      </c>
      <c r="S1892" s="586">
        <f t="shared" si="260"/>
        <v>1.127773430198431E-10</v>
      </c>
      <c r="T1892" s="600"/>
      <c r="U1892" s="589"/>
      <c r="V1892" s="589"/>
      <c r="W1892" s="600"/>
      <c r="X1892" s="601"/>
      <c r="Y1892" s="600">
        <f t="shared" si="255"/>
        <v>4062996.62</v>
      </c>
      <c r="Z1892" s="601"/>
    </row>
    <row r="1893" spans="1:26" s="75" customFormat="1" ht="37.5" hidden="1">
      <c r="A1893" s="714">
        <f t="shared" si="257"/>
        <v>390</v>
      </c>
      <c r="B1893" s="592" t="s">
        <v>1763</v>
      </c>
      <c r="C1893" s="593" t="s">
        <v>217</v>
      </c>
      <c r="D1893" s="594">
        <v>15960</v>
      </c>
      <c r="E1893" s="594">
        <v>3339</v>
      </c>
      <c r="F1893" s="594" t="s">
        <v>233</v>
      </c>
      <c r="G1893" s="594">
        <v>662.8</v>
      </c>
      <c r="H1893" s="594">
        <v>9</v>
      </c>
      <c r="I1893" s="594">
        <v>2</v>
      </c>
      <c r="J1893" s="594">
        <v>72</v>
      </c>
      <c r="K1893" s="590" t="s">
        <v>30</v>
      </c>
      <c r="L1893" s="584">
        <f t="shared" si="258"/>
        <v>1537826</v>
      </c>
      <c r="M1893" s="596">
        <v>1440000</v>
      </c>
      <c r="N1893" s="675"/>
      <c r="O1893" s="586">
        <f>23403+20032</f>
        <v>43435</v>
      </c>
      <c r="P1893" s="597"/>
      <c r="Q1893" s="597">
        <f>19900+34491</f>
        <v>54391</v>
      </c>
      <c r="R1893" s="599">
        <f t="shared" si="261"/>
        <v>2172.6010863005431</v>
      </c>
      <c r="S1893" s="586">
        <f t="shared" si="260"/>
        <v>0</v>
      </c>
      <c r="T1893" s="600"/>
      <c r="U1893" s="589"/>
      <c r="V1893" s="589"/>
      <c r="W1893" s="600"/>
      <c r="X1893" s="601"/>
      <c r="Y1893" s="600">
        <f t="shared" si="255"/>
        <v>1537826</v>
      </c>
      <c r="Z1893" s="601"/>
    </row>
    <row r="1894" spans="1:26" s="75" customFormat="1" hidden="1">
      <c r="A1894" s="714">
        <f t="shared" si="257"/>
        <v>391</v>
      </c>
      <c r="B1894" s="592" t="s">
        <v>1765</v>
      </c>
      <c r="C1894" s="593" t="s">
        <v>217</v>
      </c>
      <c r="D1894" s="594">
        <v>12683</v>
      </c>
      <c r="E1894" s="594">
        <v>2592</v>
      </c>
      <c r="F1894" s="594" t="s">
        <v>233</v>
      </c>
      <c r="G1894" s="594">
        <v>411</v>
      </c>
      <c r="H1894" s="594">
        <v>12</v>
      </c>
      <c r="I1894" s="594">
        <v>1</v>
      </c>
      <c r="J1894" s="594">
        <v>48</v>
      </c>
      <c r="K1894" s="590" t="s">
        <v>33</v>
      </c>
      <c r="L1894" s="584">
        <f t="shared" si="258"/>
        <v>907521</v>
      </c>
      <c r="M1894" s="596">
        <v>863100</v>
      </c>
      <c r="N1894" s="675"/>
      <c r="O1894" s="631">
        <v>24521</v>
      </c>
      <c r="P1894" s="597"/>
      <c r="Q1894" s="597">
        <v>19900</v>
      </c>
      <c r="R1894" s="599">
        <f t="shared" si="261"/>
        <v>2100</v>
      </c>
      <c r="S1894" s="586">
        <f t="shared" si="260"/>
        <v>0</v>
      </c>
      <c r="T1894" s="600"/>
      <c r="U1894" s="589"/>
      <c r="V1894" s="589"/>
      <c r="W1894" s="600"/>
      <c r="X1894" s="601"/>
      <c r="Y1894" s="600">
        <f t="shared" si="255"/>
        <v>907521</v>
      </c>
      <c r="Z1894" s="601"/>
    </row>
    <row r="1895" spans="1:26" s="75" customFormat="1" ht="37.5" hidden="1">
      <c r="A1895" s="714">
        <f t="shared" si="257"/>
        <v>392</v>
      </c>
      <c r="B1895" s="592" t="s">
        <v>1766</v>
      </c>
      <c r="C1895" s="593" t="s">
        <v>217</v>
      </c>
      <c r="D1895" s="594">
        <v>12707</v>
      </c>
      <c r="E1895" s="594">
        <v>2592</v>
      </c>
      <c r="F1895" s="594" t="s">
        <v>233</v>
      </c>
      <c r="G1895" s="594">
        <v>414</v>
      </c>
      <c r="H1895" s="594">
        <v>12</v>
      </c>
      <c r="I1895" s="594">
        <v>1</v>
      </c>
      <c r="J1895" s="594">
        <v>47</v>
      </c>
      <c r="K1895" s="590" t="s">
        <v>30</v>
      </c>
      <c r="L1895" s="584">
        <f t="shared" si="258"/>
        <v>1551950.4</v>
      </c>
      <c r="M1895" s="596">
        <v>1504000</v>
      </c>
      <c r="N1895" s="675"/>
      <c r="O1895" s="587">
        <v>20588</v>
      </c>
      <c r="P1895" s="597"/>
      <c r="Q1895" s="597">
        <v>27362.400000000001</v>
      </c>
      <c r="R1895" s="599">
        <f>M1895/J1895</f>
        <v>32000</v>
      </c>
      <c r="S1895" s="586">
        <f t="shared" si="260"/>
        <v>-9.4587448984384537E-11</v>
      </c>
      <c r="T1895" s="600"/>
      <c r="U1895" s="589"/>
      <c r="V1895" s="589"/>
      <c r="W1895" s="600"/>
      <c r="X1895" s="601"/>
      <c r="Y1895" s="600">
        <f t="shared" si="255"/>
        <v>1551950.4</v>
      </c>
      <c r="Z1895" s="601"/>
    </row>
    <row r="1896" spans="1:26" s="75" customFormat="1" ht="37.5" hidden="1">
      <c r="A1896" s="714">
        <f t="shared" si="257"/>
        <v>393</v>
      </c>
      <c r="B1896" s="592" t="s">
        <v>1767</v>
      </c>
      <c r="C1896" s="593" t="s">
        <v>217</v>
      </c>
      <c r="D1896" s="594">
        <v>31734</v>
      </c>
      <c r="E1896" s="594">
        <v>6089</v>
      </c>
      <c r="F1896" s="594" t="s">
        <v>233</v>
      </c>
      <c r="G1896" s="594">
        <v>1427.8</v>
      </c>
      <c r="H1896" s="594">
        <v>9</v>
      </c>
      <c r="I1896" s="594">
        <v>4</v>
      </c>
      <c r="J1896" s="594">
        <v>144</v>
      </c>
      <c r="K1896" s="590" t="s">
        <v>30</v>
      </c>
      <c r="L1896" s="584">
        <f t="shared" si="258"/>
        <v>4667948</v>
      </c>
      <c r="M1896" s="596">
        <v>4608000</v>
      </c>
      <c r="N1896" s="675"/>
      <c r="O1896" s="587">
        <v>20148</v>
      </c>
      <c r="P1896" s="597"/>
      <c r="Q1896" s="597">
        <v>39800</v>
      </c>
      <c r="R1896" s="599">
        <f>M1896/J1896</f>
        <v>32000</v>
      </c>
      <c r="S1896" s="586">
        <f t="shared" si="260"/>
        <v>0</v>
      </c>
      <c r="T1896" s="600"/>
      <c r="U1896" s="589"/>
      <c r="V1896" s="589"/>
      <c r="W1896" s="600"/>
      <c r="X1896" s="601"/>
      <c r="Y1896" s="600">
        <f t="shared" si="255"/>
        <v>4667948</v>
      </c>
      <c r="Z1896" s="601"/>
    </row>
    <row r="1897" spans="1:26" s="75" customFormat="1" ht="37.5" hidden="1">
      <c r="A1897" s="714">
        <f t="shared" si="257"/>
        <v>394</v>
      </c>
      <c r="B1897" s="592" t="s">
        <v>1768</v>
      </c>
      <c r="C1897" s="593" t="s">
        <v>217</v>
      </c>
      <c r="D1897" s="594">
        <v>16958</v>
      </c>
      <c r="E1897" s="594">
        <v>3339</v>
      </c>
      <c r="F1897" s="594" t="s">
        <v>233</v>
      </c>
      <c r="G1897" s="594">
        <v>713.9</v>
      </c>
      <c r="H1897" s="594">
        <v>9</v>
      </c>
      <c r="I1897" s="594">
        <v>2</v>
      </c>
      <c r="J1897" s="594">
        <v>72</v>
      </c>
      <c r="K1897" s="590" t="s">
        <v>30</v>
      </c>
      <c r="L1897" s="584">
        <f t="shared" si="258"/>
        <v>2355677.94</v>
      </c>
      <c r="M1897" s="596">
        <v>2304000</v>
      </c>
      <c r="N1897" s="675"/>
      <c r="O1897" s="587">
        <v>17359</v>
      </c>
      <c r="P1897" s="597"/>
      <c r="Q1897" s="597">
        <v>34318.94</v>
      </c>
      <c r="R1897" s="599">
        <f>M1897/J1897</f>
        <v>32000</v>
      </c>
      <c r="S1897" s="586">
        <f t="shared" si="260"/>
        <v>-5.8207660913467407E-11</v>
      </c>
      <c r="T1897" s="600"/>
      <c r="U1897" s="589"/>
      <c r="V1897" s="589"/>
      <c r="W1897" s="600"/>
      <c r="X1897" s="601"/>
      <c r="Y1897" s="600">
        <f t="shared" si="255"/>
        <v>2355677.94</v>
      </c>
      <c r="Z1897" s="601"/>
    </row>
    <row r="1898" spans="1:26" s="75" customFormat="1" hidden="1">
      <c r="A1898" s="714">
        <f t="shared" si="257"/>
        <v>395</v>
      </c>
      <c r="B1898" s="592" t="s">
        <v>1769</v>
      </c>
      <c r="C1898" s="593" t="s">
        <v>271</v>
      </c>
      <c r="D1898" s="594">
        <v>11890</v>
      </c>
      <c r="E1898" s="594">
        <v>2245</v>
      </c>
      <c r="F1898" s="594" t="s">
        <v>222</v>
      </c>
      <c r="G1898" s="594">
        <v>1020</v>
      </c>
      <c r="H1898" s="594">
        <v>4</v>
      </c>
      <c r="I1898" s="594">
        <v>4</v>
      </c>
      <c r="J1898" s="594">
        <v>62</v>
      </c>
      <c r="K1898" s="590" t="s">
        <v>224</v>
      </c>
      <c r="L1898" s="584">
        <f t="shared" si="258"/>
        <v>1164688.1499999999</v>
      </c>
      <c r="M1898" s="607">
        <v>1124900</v>
      </c>
      <c r="N1898" s="675">
        <v>27318</v>
      </c>
      <c r="O1898" s="887"/>
      <c r="P1898" s="597"/>
      <c r="Q1898" s="597">
        <v>12470.15</v>
      </c>
      <c r="R1898" s="599">
        <f>M1898/J1898</f>
        <v>18143.548387096773</v>
      </c>
      <c r="S1898" s="586">
        <f t="shared" si="260"/>
        <v>-9.276845958083868E-11</v>
      </c>
      <c r="T1898" s="600"/>
      <c r="U1898" s="589"/>
      <c r="V1898" s="589"/>
      <c r="W1898" s="600"/>
      <c r="X1898" s="601"/>
      <c r="Y1898" s="600">
        <f t="shared" si="255"/>
        <v>1164688.1499999999</v>
      </c>
      <c r="Z1898" s="601"/>
    </row>
    <row r="1899" spans="1:26" s="75" customFormat="1" hidden="1">
      <c r="A1899" s="616">
        <f>A1898+1</f>
        <v>396</v>
      </c>
      <c r="B1899" s="592" t="s">
        <v>1770</v>
      </c>
      <c r="C1899" s="593" t="s">
        <v>271</v>
      </c>
      <c r="D1899" s="594">
        <v>8665</v>
      </c>
      <c r="E1899" s="594">
        <v>1411</v>
      </c>
      <c r="F1899" s="594" t="s">
        <v>222</v>
      </c>
      <c r="G1899" s="594">
        <v>668</v>
      </c>
      <c r="H1899" s="594">
        <v>5</v>
      </c>
      <c r="I1899" s="594">
        <v>2</v>
      </c>
      <c r="J1899" s="594">
        <v>39</v>
      </c>
      <c r="K1899" s="590" t="s">
        <v>33</v>
      </c>
      <c r="L1899" s="1348">
        <f>M1899+N1899+O1899+P1899+Q1899+M1900+N1900+O1900+P1900+Q1900</f>
        <v>5936846.1200000001</v>
      </c>
      <c r="M1899" s="596">
        <v>2338000</v>
      </c>
      <c r="N1899" s="675"/>
      <c r="O1899" s="631">
        <v>25971</v>
      </c>
      <c r="P1899" s="597"/>
      <c r="Q1899" s="597">
        <v>26715.119999999999</v>
      </c>
      <c r="R1899" s="599">
        <f>M1899/G1899</f>
        <v>3500</v>
      </c>
      <c r="S1899" s="586">
        <f t="shared" si="260"/>
        <v>3546160</v>
      </c>
      <c r="T1899" s="600"/>
      <c r="U1899" s="589"/>
      <c r="V1899" s="589"/>
      <c r="W1899" s="600"/>
      <c r="X1899" s="601"/>
      <c r="Y1899" s="600">
        <f t="shared" si="255"/>
        <v>2390686.12</v>
      </c>
      <c r="Z1899" s="601"/>
    </row>
    <row r="1900" spans="1:26" s="75" customFormat="1" hidden="1">
      <c r="A1900" s="616"/>
      <c r="B1900" s="592"/>
      <c r="C1900" s="593"/>
      <c r="D1900" s="594"/>
      <c r="E1900" s="594"/>
      <c r="F1900" s="594"/>
      <c r="G1900" s="594"/>
      <c r="H1900" s="594"/>
      <c r="I1900" s="594"/>
      <c r="J1900" s="594"/>
      <c r="K1900" s="590" t="s">
        <v>38</v>
      </c>
      <c r="L1900" s="1348"/>
      <c r="M1900" s="596">
        <v>3500000</v>
      </c>
      <c r="N1900" s="675"/>
      <c r="O1900" s="631">
        <v>16460</v>
      </c>
      <c r="P1900" s="597"/>
      <c r="Q1900" s="597">
        <v>29700</v>
      </c>
      <c r="R1900" s="599">
        <f>M1900/E1899</f>
        <v>2480.5102763997165</v>
      </c>
      <c r="S1900" s="586">
        <f t="shared" ref="S1900:S1931" si="262">L1900-M1900-N1900-O1900-P1900-Q1900</f>
        <v>-3546160</v>
      </c>
      <c r="T1900" s="600"/>
      <c r="U1900" s="601"/>
      <c r="V1900" s="589"/>
      <c r="W1900" s="600"/>
      <c r="X1900" s="601"/>
      <c r="Y1900" s="600">
        <f t="shared" si="255"/>
        <v>3546160</v>
      </c>
      <c r="Z1900" s="601"/>
    </row>
    <row r="1901" spans="1:26" s="75" customFormat="1" hidden="1">
      <c r="A1901" s="714">
        <f>A1899+1</f>
        <v>397</v>
      </c>
      <c r="B1901" s="592" t="s">
        <v>1772</v>
      </c>
      <c r="C1901" s="593" t="s">
        <v>395</v>
      </c>
      <c r="D1901" s="594">
        <v>2967</v>
      </c>
      <c r="E1901" s="594">
        <v>286</v>
      </c>
      <c r="F1901" s="594" t="s">
        <v>222</v>
      </c>
      <c r="G1901" s="594">
        <v>623</v>
      </c>
      <c r="H1901" s="594">
        <v>2</v>
      </c>
      <c r="I1901" s="594">
        <v>2</v>
      </c>
      <c r="J1901" s="594">
        <v>12</v>
      </c>
      <c r="K1901" s="590" t="s">
        <v>33</v>
      </c>
      <c r="L1901" s="584">
        <f>M1901+N1901+O1901+P1901+Q1901</f>
        <v>1402904.87</v>
      </c>
      <c r="M1901" s="596">
        <v>1370600</v>
      </c>
      <c r="N1901" s="675"/>
      <c r="O1901" s="631">
        <v>17849</v>
      </c>
      <c r="P1901" s="597"/>
      <c r="Q1901" s="597">
        <v>14455.87</v>
      </c>
      <c r="R1901" s="599">
        <f>M1901/G1901</f>
        <v>2200</v>
      </c>
      <c r="S1901" s="586">
        <f t="shared" si="262"/>
        <v>1.1095835361629725E-10</v>
      </c>
      <c r="T1901" s="600"/>
      <c r="U1901" s="589"/>
      <c r="V1901" s="589"/>
      <c r="W1901" s="600"/>
      <c r="X1901" s="601"/>
      <c r="Y1901" s="600">
        <f t="shared" si="255"/>
        <v>1402904.87</v>
      </c>
      <c r="Z1901" s="601"/>
    </row>
    <row r="1902" spans="1:26" s="75" customFormat="1" hidden="1">
      <c r="A1902" s="616">
        <f>A1901+1</f>
        <v>398</v>
      </c>
      <c r="B1902" s="592" t="s">
        <v>1812</v>
      </c>
      <c r="C1902" s="593" t="s">
        <v>271</v>
      </c>
      <c r="D1902" s="594">
        <v>22847</v>
      </c>
      <c r="E1902" s="594">
        <v>2328.5</v>
      </c>
      <c r="F1902" s="594" t="s">
        <v>233</v>
      </c>
      <c r="G1902" s="594">
        <v>788</v>
      </c>
      <c r="H1902" s="594">
        <v>9</v>
      </c>
      <c r="I1902" s="594">
        <v>1</v>
      </c>
      <c r="J1902" s="594">
        <v>112</v>
      </c>
      <c r="K1902" s="590" t="s">
        <v>397</v>
      </c>
      <c r="L1902" s="1348">
        <f>M1902+N1902+O1902+P1902+Q1902+M1903+N1903+O1903+P1903+Q1903</f>
        <v>9494820</v>
      </c>
      <c r="M1902" s="596">
        <v>5800000</v>
      </c>
      <c r="N1902" s="675"/>
      <c r="O1902" s="631">
        <v>20797</v>
      </c>
      <c r="P1902" s="597"/>
      <c r="Q1902" s="597">
        <v>29700</v>
      </c>
      <c r="R1902" s="599">
        <f>M1902/E1902</f>
        <v>2490.8739531887481</v>
      </c>
      <c r="S1902" s="586">
        <f t="shared" si="262"/>
        <v>3644323</v>
      </c>
      <c r="T1902" s="600"/>
      <c r="U1902" s="589"/>
      <c r="V1902" s="589"/>
      <c r="W1902" s="600"/>
      <c r="X1902" s="601"/>
      <c r="Y1902" s="600">
        <f t="shared" si="255"/>
        <v>5850497</v>
      </c>
      <c r="Z1902" s="601"/>
    </row>
    <row r="1903" spans="1:26" s="75" customFormat="1" ht="37.5" hidden="1">
      <c r="A1903" s="616"/>
      <c r="B1903" s="592"/>
      <c r="C1903" s="593"/>
      <c r="D1903" s="594"/>
      <c r="E1903" s="594"/>
      <c r="F1903" s="594"/>
      <c r="G1903" s="594"/>
      <c r="H1903" s="594"/>
      <c r="I1903" s="594"/>
      <c r="J1903" s="594"/>
      <c r="K1903" s="590" t="s">
        <v>30</v>
      </c>
      <c r="L1903" s="1348"/>
      <c r="M1903" s="596">
        <v>3584000</v>
      </c>
      <c r="N1903" s="675"/>
      <c r="O1903" s="631">
        <v>20523</v>
      </c>
      <c r="P1903" s="597"/>
      <c r="Q1903" s="597">
        <v>39800</v>
      </c>
      <c r="R1903" s="599">
        <f>M1903/J1902</f>
        <v>32000</v>
      </c>
      <c r="S1903" s="586">
        <f t="shared" si="262"/>
        <v>-3644323</v>
      </c>
      <c r="T1903" s="600"/>
      <c r="U1903" s="601"/>
      <c r="V1903" s="589"/>
      <c r="W1903" s="600"/>
      <c r="X1903" s="601"/>
      <c r="Y1903" s="600">
        <f t="shared" si="255"/>
        <v>3644323</v>
      </c>
      <c r="Z1903" s="601"/>
    </row>
    <row r="1904" spans="1:26" hidden="1">
      <c r="A1904" s="714">
        <f>A1902+1</f>
        <v>399</v>
      </c>
      <c r="B1904" s="592" t="s">
        <v>1813</v>
      </c>
      <c r="C1904" s="593" t="s">
        <v>271</v>
      </c>
      <c r="D1904" s="594">
        <v>21531</v>
      </c>
      <c r="E1904" s="594">
        <v>1469.4</v>
      </c>
      <c r="F1904" s="594" t="s">
        <v>233</v>
      </c>
      <c r="G1904" s="594">
        <v>822</v>
      </c>
      <c r="H1904" s="594">
        <v>9</v>
      </c>
      <c r="I1904" s="594">
        <v>1</v>
      </c>
      <c r="J1904" s="594">
        <v>108</v>
      </c>
      <c r="K1904" s="590" t="s">
        <v>224</v>
      </c>
      <c r="L1904" s="584">
        <f>M1904+N1904+O1904+P1904+Q1904</f>
        <v>2347214.98</v>
      </c>
      <c r="M1904" s="607">
        <v>2292900</v>
      </c>
      <c r="N1904" s="675">
        <v>36444</v>
      </c>
      <c r="O1904" s="887"/>
      <c r="P1904" s="597"/>
      <c r="Q1904" s="597">
        <v>17870.98</v>
      </c>
      <c r="R1904" s="599">
        <f>M1904/J1904</f>
        <v>21230.555555555555</v>
      </c>
      <c r="S1904" s="586">
        <f t="shared" si="262"/>
        <v>0</v>
      </c>
      <c r="T1904" s="588"/>
      <c r="U1904" s="589"/>
      <c r="V1904" s="589"/>
      <c r="W1904" s="600"/>
      <c r="Y1904" s="600">
        <f t="shared" si="255"/>
        <v>2347214.98</v>
      </c>
    </row>
    <row r="1905" spans="1:26" s="75" customFormat="1" ht="37.5" hidden="1">
      <c r="A1905" s="714">
        <f>A1904+1</f>
        <v>400</v>
      </c>
      <c r="B1905" s="592" t="s">
        <v>1814</v>
      </c>
      <c r="C1905" s="593" t="s">
        <v>217</v>
      </c>
      <c r="D1905" s="594">
        <v>11995</v>
      </c>
      <c r="E1905" s="594">
        <v>3457.1</v>
      </c>
      <c r="F1905" s="594" t="s">
        <v>233</v>
      </c>
      <c r="G1905" s="594">
        <v>518</v>
      </c>
      <c r="H1905" s="594">
        <v>9</v>
      </c>
      <c r="I1905" s="594">
        <v>1</v>
      </c>
      <c r="J1905" s="594">
        <v>72</v>
      </c>
      <c r="K1905" s="590" t="s">
        <v>30</v>
      </c>
      <c r="L1905" s="584">
        <f>M1905+N1905+O1905+P1905+Q1905</f>
        <v>2350521.4</v>
      </c>
      <c r="M1905" s="596">
        <v>2304000</v>
      </c>
      <c r="N1905" s="675"/>
      <c r="O1905" s="631">
        <v>19159</v>
      </c>
      <c r="P1905" s="597"/>
      <c r="Q1905" s="597">
        <v>27362.400000000001</v>
      </c>
      <c r="R1905" s="599">
        <f>M1905/J1905</f>
        <v>32000</v>
      </c>
      <c r="S1905" s="586">
        <f t="shared" si="262"/>
        <v>-9.4587448984384537E-11</v>
      </c>
      <c r="T1905" s="600"/>
      <c r="U1905" s="589"/>
      <c r="V1905" s="589"/>
      <c r="W1905" s="600"/>
      <c r="X1905" s="601"/>
      <c r="Y1905" s="600">
        <f t="shared" si="255"/>
        <v>2350521.4</v>
      </c>
      <c r="Z1905" s="601"/>
    </row>
    <row r="1906" spans="1:26" hidden="1">
      <c r="A1906" s="714">
        <f t="shared" ref="A1906:A1913" si="263">A1905+1</f>
        <v>401</v>
      </c>
      <c r="B1906" s="592" t="s">
        <v>1815</v>
      </c>
      <c r="C1906" s="593" t="s">
        <v>217</v>
      </c>
      <c r="D1906" s="594">
        <v>28472</v>
      </c>
      <c r="E1906" s="594">
        <v>5399.2</v>
      </c>
      <c r="F1906" s="594" t="s">
        <v>233</v>
      </c>
      <c r="G1906" s="594">
        <v>1362</v>
      </c>
      <c r="H1906" s="594">
        <v>9</v>
      </c>
      <c r="I1906" s="594">
        <v>4</v>
      </c>
      <c r="J1906" s="594">
        <v>144</v>
      </c>
      <c r="K1906" s="590" t="s">
        <v>224</v>
      </c>
      <c r="L1906" s="584">
        <f>M1906+N1906+O1906+P1906+Q1906</f>
        <v>3069161</v>
      </c>
      <c r="M1906" s="607">
        <v>3012900</v>
      </c>
      <c r="N1906" s="675">
        <v>36461</v>
      </c>
      <c r="O1906" s="887"/>
      <c r="P1906" s="597"/>
      <c r="Q1906" s="597">
        <v>19800</v>
      </c>
      <c r="R1906" s="599">
        <f>M1906/J1906</f>
        <v>20922.916666666668</v>
      </c>
      <c r="S1906" s="586">
        <f t="shared" si="262"/>
        <v>0</v>
      </c>
      <c r="T1906" s="588"/>
      <c r="U1906" s="589"/>
      <c r="V1906" s="589"/>
      <c r="W1906" s="600"/>
      <c r="Y1906" s="600">
        <f t="shared" si="255"/>
        <v>3069161</v>
      </c>
    </row>
    <row r="1907" spans="1:26" s="75" customFormat="1" hidden="1">
      <c r="A1907" s="714">
        <f t="shared" si="263"/>
        <v>402</v>
      </c>
      <c r="B1907" s="581" t="s">
        <v>799</v>
      </c>
      <c r="C1907" s="700" t="s">
        <v>217</v>
      </c>
      <c r="D1907" s="582">
        <v>16400</v>
      </c>
      <c r="E1907" s="646">
        <v>3048</v>
      </c>
      <c r="F1907" s="604" t="s">
        <v>233</v>
      </c>
      <c r="G1907" s="582">
        <v>685</v>
      </c>
      <c r="H1907" s="582">
        <v>9</v>
      </c>
      <c r="I1907" s="582">
        <v>2</v>
      </c>
      <c r="J1907" s="582">
        <v>72</v>
      </c>
      <c r="K1907" s="606" t="s">
        <v>33</v>
      </c>
      <c r="L1907" s="595">
        <f>SUM(M1907:Q1907)</f>
        <v>1483961</v>
      </c>
      <c r="M1907" s="627">
        <v>1438500</v>
      </c>
      <c r="N1907" s="630"/>
      <c r="O1907" s="631">
        <v>25561</v>
      </c>
      <c r="P1907" s="586"/>
      <c r="Q1907" s="586">
        <v>19900</v>
      </c>
      <c r="R1907" s="582">
        <f>M1907/G1907</f>
        <v>2100</v>
      </c>
      <c r="S1907" s="586">
        <f t="shared" si="262"/>
        <v>0</v>
      </c>
      <c r="T1907" s="600"/>
      <c r="U1907" s="589"/>
      <c r="V1907" s="589"/>
      <c r="W1907" s="600"/>
      <c r="X1907" s="601"/>
      <c r="Y1907" s="600">
        <f t="shared" si="255"/>
        <v>1483961</v>
      </c>
      <c r="Z1907" s="601"/>
    </row>
    <row r="1908" spans="1:26" s="75" customFormat="1" hidden="1">
      <c r="A1908" s="714">
        <f t="shared" si="263"/>
        <v>403</v>
      </c>
      <c r="B1908" s="592" t="s">
        <v>1773</v>
      </c>
      <c r="C1908" s="593" t="s">
        <v>271</v>
      </c>
      <c r="D1908" s="594">
        <v>2050</v>
      </c>
      <c r="E1908" s="594">
        <v>468</v>
      </c>
      <c r="F1908" s="594" t="s">
        <v>222</v>
      </c>
      <c r="G1908" s="594">
        <v>400</v>
      </c>
      <c r="H1908" s="594">
        <v>2</v>
      </c>
      <c r="I1908" s="594">
        <v>2</v>
      </c>
      <c r="J1908" s="594">
        <v>12</v>
      </c>
      <c r="K1908" s="590" t="s">
        <v>33</v>
      </c>
      <c r="L1908" s="584">
        <f t="shared" ref="L1908:L1916" si="264">M1908+N1908+O1908+P1908+Q1908</f>
        <v>1147499.05</v>
      </c>
      <c r="M1908" s="596">
        <v>1120000</v>
      </c>
      <c r="N1908" s="675"/>
      <c r="O1908" s="631">
        <v>17511</v>
      </c>
      <c r="P1908" s="597"/>
      <c r="Q1908" s="597">
        <v>9988.0499999999993</v>
      </c>
      <c r="R1908" s="599">
        <f>M1908/G1908</f>
        <v>2800</v>
      </c>
      <c r="S1908" s="586">
        <f t="shared" si="262"/>
        <v>4.7293724492192268E-11</v>
      </c>
      <c r="T1908" s="600"/>
      <c r="U1908" s="589"/>
      <c r="V1908" s="589"/>
      <c r="W1908" s="600"/>
      <c r="X1908" s="601"/>
      <c r="Y1908" s="600">
        <f t="shared" si="255"/>
        <v>1147499.05</v>
      </c>
      <c r="Z1908" s="601"/>
    </row>
    <row r="1909" spans="1:26" s="75" customFormat="1" hidden="1">
      <c r="A1909" s="714">
        <f t="shared" si="263"/>
        <v>404</v>
      </c>
      <c r="B1909" s="592" t="s">
        <v>1774</v>
      </c>
      <c r="C1909" s="593" t="s">
        <v>217</v>
      </c>
      <c r="D1909" s="594">
        <v>15975</v>
      </c>
      <c r="E1909" s="594">
        <v>3210</v>
      </c>
      <c r="F1909" s="594" t="s">
        <v>233</v>
      </c>
      <c r="G1909" s="594">
        <v>682.7</v>
      </c>
      <c r="H1909" s="594">
        <v>9</v>
      </c>
      <c r="I1909" s="594">
        <v>2</v>
      </c>
      <c r="J1909" s="594">
        <v>72</v>
      </c>
      <c r="K1909" s="590" t="s">
        <v>33</v>
      </c>
      <c r="L1909" s="584">
        <f t="shared" si="264"/>
        <v>1479012</v>
      </c>
      <c r="M1909" s="596">
        <v>1433670</v>
      </c>
      <c r="N1909" s="675"/>
      <c r="O1909" s="631">
        <v>25442</v>
      </c>
      <c r="P1909" s="597"/>
      <c r="Q1909" s="597">
        <v>19900</v>
      </c>
      <c r="R1909" s="599">
        <f>M1909/G1909</f>
        <v>2100</v>
      </c>
      <c r="S1909" s="586">
        <f t="shared" si="262"/>
        <v>0</v>
      </c>
      <c r="T1909" s="600"/>
      <c r="U1909" s="589"/>
      <c r="V1909" s="589"/>
      <c r="W1909" s="600"/>
      <c r="X1909" s="601"/>
      <c r="Y1909" s="600">
        <f t="shared" ref="Y1909:Y1961" si="265">M1909+N1909+O1909+P1909+Q1909</f>
        <v>1479012</v>
      </c>
      <c r="Z1909" s="601"/>
    </row>
    <row r="1910" spans="1:26" s="75" customFormat="1" hidden="1">
      <c r="A1910" s="714">
        <f t="shared" si="263"/>
        <v>405</v>
      </c>
      <c r="B1910" s="592" t="s">
        <v>1775</v>
      </c>
      <c r="C1910" s="593" t="s">
        <v>217</v>
      </c>
      <c r="D1910" s="594">
        <v>43383</v>
      </c>
      <c r="E1910" s="594">
        <v>4012</v>
      </c>
      <c r="F1910" s="594" t="s">
        <v>233</v>
      </c>
      <c r="G1910" s="594">
        <v>1879</v>
      </c>
      <c r="H1910" s="594">
        <v>9</v>
      </c>
      <c r="I1910" s="594">
        <v>4</v>
      </c>
      <c r="J1910" s="594">
        <v>216</v>
      </c>
      <c r="K1910" s="632" t="s">
        <v>33</v>
      </c>
      <c r="L1910" s="966">
        <f t="shared" si="264"/>
        <v>3279526</v>
      </c>
      <c r="M1910" s="607">
        <v>3200000</v>
      </c>
      <c r="N1910" s="675">
        <v>35689</v>
      </c>
      <c r="O1910" s="675">
        <v>23837</v>
      </c>
      <c r="P1910" s="675"/>
      <c r="Q1910" s="675">
        <v>20000</v>
      </c>
      <c r="R1910" s="599">
        <f>M1910/J1910</f>
        <v>14814.814814814816</v>
      </c>
      <c r="S1910" s="586">
        <f t="shared" si="262"/>
        <v>0</v>
      </c>
      <c r="T1910" s="600"/>
      <c r="U1910" s="589"/>
      <c r="V1910" s="589"/>
      <c r="W1910" s="600"/>
      <c r="X1910" s="601"/>
      <c r="Y1910" s="600">
        <f t="shared" si="265"/>
        <v>3279526</v>
      </c>
      <c r="Z1910" s="601"/>
    </row>
    <row r="1911" spans="1:26" s="75" customFormat="1" hidden="1">
      <c r="A1911" s="714">
        <f t="shared" si="263"/>
        <v>406</v>
      </c>
      <c r="B1911" s="592" t="s">
        <v>1776</v>
      </c>
      <c r="C1911" s="593" t="s">
        <v>217</v>
      </c>
      <c r="D1911" s="594">
        <v>26265</v>
      </c>
      <c r="E1911" s="594">
        <v>4342</v>
      </c>
      <c r="F1911" s="594" t="s">
        <v>233</v>
      </c>
      <c r="G1911" s="594">
        <v>718</v>
      </c>
      <c r="H1911" s="594">
        <v>12</v>
      </c>
      <c r="I1911" s="594">
        <v>2</v>
      </c>
      <c r="J1911" s="594">
        <v>89</v>
      </c>
      <c r="K1911" s="590" t="s">
        <v>224</v>
      </c>
      <c r="L1911" s="584">
        <f t="shared" si="264"/>
        <v>1968559</v>
      </c>
      <c r="M1911" s="607">
        <v>1912900</v>
      </c>
      <c r="N1911" s="675">
        <v>35859</v>
      </c>
      <c r="O1911" s="887"/>
      <c r="P1911" s="597"/>
      <c r="Q1911" s="597">
        <v>19800</v>
      </c>
      <c r="R1911" s="599">
        <f>M1911/J1911</f>
        <v>21493.258426966291</v>
      </c>
      <c r="S1911" s="586">
        <f t="shared" si="262"/>
        <v>0</v>
      </c>
      <c r="T1911" s="600"/>
      <c r="U1911" s="589"/>
      <c r="V1911" s="589"/>
      <c r="W1911" s="600"/>
      <c r="X1911" s="601"/>
      <c r="Y1911" s="600">
        <f t="shared" si="265"/>
        <v>1968559</v>
      </c>
      <c r="Z1911" s="601"/>
    </row>
    <row r="1912" spans="1:26" s="75" customFormat="1" hidden="1">
      <c r="A1912" s="714">
        <f t="shared" si="263"/>
        <v>407</v>
      </c>
      <c r="B1912" s="592" t="s">
        <v>1777</v>
      </c>
      <c r="C1912" s="593" t="s">
        <v>271</v>
      </c>
      <c r="D1912" s="594">
        <v>10704</v>
      </c>
      <c r="E1912" s="594">
        <v>1350</v>
      </c>
      <c r="F1912" s="594" t="s">
        <v>233</v>
      </c>
      <c r="G1912" s="594">
        <v>441.9</v>
      </c>
      <c r="H1912" s="594">
        <v>9</v>
      </c>
      <c r="I1912" s="594">
        <v>1</v>
      </c>
      <c r="J1912" s="594">
        <v>28</v>
      </c>
      <c r="K1912" s="590" t="s">
        <v>33</v>
      </c>
      <c r="L1912" s="584">
        <f t="shared" si="264"/>
        <v>968662.3</v>
      </c>
      <c r="M1912" s="596">
        <v>927990</v>
      </c>
      <c r="N1912" s="675"/>
      <c r="O1912" s="631">
        <v>22051</v>
      </c>
      <c r="P1912" s="597"/>
      <c r="Q1912" s="597">
        <v>18621.3</v>
      </c>
      <c r="R1912" s="599">
        <f>M1912/G1912</f>
        <v>2100</v>
      </c>
      <c r="S1912" s="586">
        <f t="shared" si="262"/>
        <v>4.7293724492192268E-11</v>
      </c>
      <c r="T1912" s="600"/>
      <c r="U1912" s="589"/>
      <c r="V1912" s="589"/>
      <c r="W1912" s="600"/>
      <c r="X1912" s="601"/>
      <c r="Y1912" s="600">
        <f t="shared" si="265"/>
        <v>968662.3</v>
      </c>
      <c r="Z1912" s="601"/>
    </row>
    <row r="1913" spans="1:26" s="75" customFormat="1" hidden="1">
      <c r="A1913" s="714">
        <f t="shared" si="263"/>
        <v>408</v>
      </c>
      <c r="B1913" s="592" t="s">
        <v>1782</v>
      </c>
      <c r="C1913" s="593"/>
      <c r="D1913" s="594">
        <v>6488</v>
      </c>
      <c r="E1913" s="594">
        <v>1002</v>
      </c>
      <c r="F1913" s="594" t="s">
        <v>222</v>
      </c>
      <c r="G1913" s="594">
        <v>1203</v>
      </c>
      <c r="H1913" s="594">
        <v>2</v>
      </c>
      <c r="I1913" s="594">
        <v>3</v>
      </c>
      <c r="J1913" s="594">
        <v>18</v>
      </c>
      <c r="K1913" s="590" t="s">
        <v>33</v>
      </c>
      <c r="L1913" s="584">
        <f t="shared" si="264"/>
        <v>3417913.94</v>
      </c>
      <c r="M1913" s="596">
        <v>3368400</v>
      </c>
      <c r="N1913" s="675"/>
      <c r="O1913" s="631">
        <v>17903</v>
      </c>
      <c r="P1913" s="597"/>
      <c r="Q1913" s="597">
        <v>31610.94</v>
      </c>
      <c r="R1913" s="599">
        <f>M1913/G1913</f>
        <v>2800</v>
      </c>
      <c r="S1913" s="586">
        <f t="shared" si="262"/>
        <v>-5.4569682106375694E-11</v>
      </c>
      <c r="T1913" s="600"/>
      <c r="U1913" s="589"/>
      <c r="V1913" s="589"/>
      <c r="W1913" s="600"/>
      <c r="X1913" s="601"/>
      <c r="Y1913" s="600">
        <f t="shared" si="265"/>
        <v>3417913.94</v>
      </c>
      <c r="Z1913" s="601"/>
    </row>
    <row r="1914" spans="1:26" s="75" customFormat="1" hidden="1">
      <c r="A1914" s="714">
        <f t="shared" si="257"/>
        <v>409</v>
      </c>
      <c r="B1914" s="592" t="s">
        <v>1783</v>
      </c>
      <c r="C1914" s="593" t="s">
        <v>271</v>
      </c>
      <c r="D1914" s="594">
        <v>2536</v>
      </c>
      <c r="E1914" s="594">
        <v>546</v>
      </c>
      <c r="F1914" s="594" t="s">
        <v>222</v>
      </c>
      <c r="G1914" s="594">
        <v>571</v>
      </c>
      <c r="H1914" s="594">
        <v>2</v>
      </c>
      <c r="I1914" s="594">
        <v>2</v>
      </c>
      <c r="J1914" s="594">
        <v>16</v>
      </c>
      <c r="K1914" s="590" t="s">
        <v>33</v>
      </c>
      <c r="L1914" s="584">
        <f t="shared" si="264"/>
        <v>1628361.95</v>
      </c>
      <c r="M1914" s="596">
        <v>1598800</v>
      </c>
      <c r="N1914" s="675"/>
      <c r="O1914" s="631">
        <v>17206</v>
      </c>
      <c r="P1914" s="597"/>
      <c r="Q1914" s="597">
        <v>12355.95</v>
      </c>
      <c r="R1914" s="599">
        <f>M1914/G1914</f>
        <v>2800</v>
      </c>
      <c r="S1914" s="586">
        <f t="shared" si="262"/>
        <v>-4.7293724492192268E-11</v>
      </c>
      <c r="T1914" s="600"/>
      <c r="U1914" s="589"/>
      <c r="V1914" s="589"/>
      <c r="W1914" s="600"/>
      <c r="X1914" s="601"/>
      <c r="Y1914" s="600">
        <f t="shared" si="265"/>
        <v>1628361.95</v>
      </c>
      <c r="Z1914" s="601"/>
    </row>
    <row r="1915" spans="1:26" s="75" customFormat="1" hidden="1">
      <c r="A1915" s="714">
        <f t="shared" si="257"/>
        <v>410</v>
      </c>
      <c r="B1915" s="592" t="s">
        <v>1784</v>
      </c>
      <c r="C1915" s="593" t="s">
        <v>271</v>
      </c>
      <c r="D1915" s="594">
        <v>2916</v>
      </c>
      <c r="E1915" s="594">
        <v>676</v>
      </c>
      <c r="F1915" s="594" t="s">
        <v>222</v>
      </c>
      <c r="G1915" s="594">
        <v>480</v>
      </c>
      <c r="H1915" s="594">
        <v>2</v>
      </c>
      <c r="I1915" s="594">
        <v>2</v>
      </c>
      <c r="J1915" s="594">
        <v>8</v>
      </c>
      <c r="K1915" s="590" t="s">
        <v>33</v>
      </c>
      <c r="L1915" s="584">
        <f t="shared" si="264"/>
        <v>1375551</v>
      </c>
      <c r="M1915" s="596">
        <v>1344000</v>
      </c>
      <c r="N1915" s="675"/>
      <c r="O1915" s="631">
        <v>17329</v>
      </c>
      <c r="P1915" s="597"/>
      <c r="Q1915" s="597">
        <v>14222</v>
      </c>
      <c r="R1915" s="599">
        <f>M1915/G1915</f>
        <v>2800</v>
      </c>
      <c r="S1915" s="586">
        <f t="shared" si="262"/>
        <v>0</v>
      </c>
      <c r="T1915" s="600"/>
      <c r="U1915" s="589"/>
      <c r="V1915" s="589"/>
      <c r="W1915" s="600"/>
      <c r="X1915" s="601"/>
      <c r="Y1915" s="600">
        <f t="shared" si="265"/>
        <v>1375551</v>
      </c>
      <c r="Z1915" s="601"/>
    </row>
    <row r="1916" spans="1:26" s="75" customFormat="1" ht="37.5" hidden="1">
      <c r="A1916" s="714">
        <f t="shared" si="257"/>
        <v>411</v>
      </c>
      <c r="B1916" s="592" t="s">
        <v>1785</v>
      </c>
      <c r="C1916" s="593" t="s">
        <v>271</v>
      </c>
      <c r="D1916" s="594">
        <v>10160</v>
      </c>
      <c r="E1916" s="594">
        <v>1809</v>
      </c>
      <c r="F1916" s="594" t="s">
        <v>222</v>
      </c>
      <c r="G1916" s="594">
        <v>900</v>
      </c>
      <c r="H1916" s="594">
        <v>5</v>
      </c>
      <c r="I1916" s="594">
        <v>3</v>
      </c>
      <c r="J1916" s="594">
        <v>60</v>
      </c>
      <c r="K1916" s="590" t="s">
        <v>30</v>
      </c>
      <c r="L1916" s="584">
        <f t="shared" si="264"/>
        <v>1661455.4</v>
      </c>
      <c r="M1916" s="596">
        <v>1620000</v>
      </c>
      <c r="N1916" s="675"/>
      <c r="O1916" s="631">
        <v>14093</v>
      </c>
      <c r="P1916" s="597"/>
      <c r="Q1916" s="597">
        <v>27362.400000000001</v>
      </c>
      <c r="R1916" s="599">
        <f>M1916/J1916</f>
        <v>27000</v>
      </c>
      <c r="S1916" s="586">
        <f t="shared" si="262"/>
        <v>-9.4587448984384537E-11</v>
      </c>
      <c r="T1916" s="600"/>
      <c r="U1916" s="589"/>
      <c r="V1916" s="589"/>
      <c r="W1916" s="600"/>
      <c r="X1916" s="601"/>
      <c r="Y1916" s="600">
        <f t="shared" si="265"/>
        <v>1661455.4</v>
      </c>
      <c r="Z1916" s="601"/>
    </row>
    <row r="1917" spans="1:26" s="75" customFormat="1" hidden="1">
      <c r="A1917" s="616">
        <f>A1916+1</f>
        <v>412</v>
      </c>
      <c r="B1917" s="592" t="s">
        <v>1786</v>
      </c>
      <c r="C1917" s="593" t="s">
        <v>271</v>
      </c>
      <c r="D1917" s="594">
        <v>35914</v>
      </c>
      <c r="E1917" s="594">
        <v>3888</v>
      </c>
      <c r="F1917" s="594" t="s">
        <v>233</v>
      </c>
      <c r="G1917" s="594">
        <v>1535</v>
      </c>
      <c r="H1917" s="594">
        <v>9</v>
      </c>
      <c r="I1917" s="594">
        <v>3</v>
      </c>
      <c r="J1917" s="594">
        <v>144</v>
      </c>
      <c r="K1917" s="590" t="s">
        <v>224</v>
      </c>
      <c r="L1917" s="1348">
        <f>M1917+N1917+O1917+P1917+Q1917+M1918+N1918+O1918+P1918+Q1918</f>
        <v>7738891</v>
      </c>
      <c r="M1917" s="607">
        <v>3012900</v>
      </c>
      <c r="N1917" s="675">
        <v>36291</v>
      </c>
      <c r="O1917" s="887"/>
      <c r="P1917" s="597"/>
      <c r="Q1917" s="597">
        <v>19800</v>
      </c>
      <c r="R1917" s="599">
        <f>M1917/J1917</f>
        <v>20922.916666666668</v>
      </c>
      <c r="S1917" s="586">
        <f t="shared" si="262"/>
        <v>4669900</v>
      </c>
      <c r="T1917" s="600"/>
      <c r="U1917" s="589"/>
      <c r="V1917" s="589"/>
      <c r="W1917" s="600"/>
      <c r="X1917" s="601"/>
      <c r="Y1917" s="600">
        <f t="shared" si="265"/>
        <v>3068991</v>
      </c>
      <c r="Z1917" s="601"/>
    </row>
    <row r="1918" spans="1:26" s="75" customFormat="1" ht="37.5" hidden="1">
      <c r="A1918" s="616"/>
      <c r="B1918" s="592"/>
      <c r="C1918" s="593"/>
      <c r="D1918" s="594"/>
      <c r="E1918" s="594"/>
      <c r="F1918" s="594"/>
      <c r="G1918" s="594"/>
      <c r="H1918" s="594"/>
      <c r="I1918" s="594"/>
      <c r="J1918" s="594"/>
      <c r="K1918" s="590" t="s">
        <v>30</v>
      </c>
      <c r="L1918" s="1348"/>
      <c r="M1918" s="596">
        <v>4608000</v>
      </c>
      <c r="N1918" s="675"/>
      <c r="O1918" s="631">
        <v>22100</v>
      </c>
      <c r="P1918" s="597"/>
      <c r="Q1918" s="597">
        <v>39800</v>
      </c>
      <c r="R1918" s="599">
        <f>M1918/J1917</f>
        <v>32000</v>
      </c>
      <c r="S1918" s="586">
        <f t="shared" si="262"/>
        <v>-4669900</v>
      </c>
      <c r="T1918" s="600"/>
      <c r="U1918" s="601"/>
      <c r="V1918" s="589"/>
      <c r="W1918" s="600"/>
      <c r="X1918" s="601"/>
      <c r="Y1918" s="600">
        <f t="shared" si="265"/>
        <v>4669900</v>
      </c>
      <c r="Z1918" s="601"/>
    </row>
    <row r="1919" spans="1:26" s="75" customFormat="1" hidden="1">
      <c r="A1919" s="714">
        <f>A1917+1</f>
        <v>413</v>
      </c>
      <c r="B1919" s="592" t="s">
        <v>1788</v>
      </c>
      <c r="C1919" s="593" t="s">
        <v>292</v>
      </c>
      <c r="D1919" s="594">
        <v>1762</v>
      </c>
      <c r="E1919" s="594">
        <v>510</v>
      </c>
      <c r="F1919" s="594" t="s">
        <v>222</v>
      </c>
      <c r="G1919" s="594">
        <v>352</v>
      </c>
      <c r="H1919" s="594">
        <v>2</v>
      </c>
      <c r="I1919" s="594">
        <v>1</v>
      </c>
      <c r="J1919" s="594">
        <v>8</v>
      </c>
      <c r="K1919" s="590" t="s">
        <v>33</v>
      </c>
      <c r="L1919" s="584">
        <f t="shared" ref="L1919:L1924" si="266">M1919+N1919+O1919+P1919+Q1919</f>
        <v>800039.84</v>
      </c>
      <c r="M1919" s="596">
        <v>774400</v>
      </c>
      <c r="N1919" s="675"/>
      <c r="O1919" s="631">
        <v>17055</v>
      </c>
      <c r="P1919" s="597"/>
      <c r="Q1919" s="597">
        <v>8584.84</v>
      </c>
      <c r="R1919" s="599">
        <f>M1919/G1919</f>
        <v>2200</v>
      </c>
      <c r="S1919" s="586">
        <f t="shared" si="262"/>
        <v>-3.2741809263825417E-11</v>
      </c>
      <c r="T1919" s="600"/>
      <c r="U1919" s="589"/>
      <c r="V1919" s="589"/>
      <c r="W1919" s="600"/>
      <c r="X1919" s="601"/>
      <c r="Y1919" s="600">
        <f t="shared" si="265"/>
        <v>800039.84</v>
      </c>
      <c r="Z1919" s="601"/>
    </row>
    <row r="1920" spans="1:26" s="75" customFormat="1" hidden="1">
      <c r="A1920" s="714">
        <f t="shared" ref="A1920:A1941" si="267">A1919+1</f>
        <v>414</v>
      </c>
      <c r="B1920" s="592" t="s">
        <v>1789</v>
      </c>
      <c r="C1920" s="593" t="s">
        <v>396</v>
      </c>
      <c r="D1920" s="594">
        <v>4030</v>
      </c>
      <c r="E1920" s="594">
        <v>2200</v>
      </c>
      <c r="F1920" s="594" t="s">
        <v>222</v>
      </c>
      <c r="G1920" s="594">
        <v>733</v>
      </c>
      <c r="H1920" s="594">
        <v>2</v>
      </c>
      <c r="I1920" s="594">
        <v>2</v>
      </c>
      <c r="J1920" s="594">
        <v>18</v>
      </c>
      <c r="K1920" s="590" t="s">
        <v>33</v>
      </c>
      <c r="L1920" s="584">
        <f t="shared" si="266"/>
        <v>1649726.03</v>
      </c>
      <c r="M1920" s="596">
        <v>1612600</v>
      </c>
      <c r="N1920" s="675"/>
      <c r="O1920" s="631">
        <v>17491</v>
      </c>
      <c r="P1920" s="597"/>
      <c r="Q1920" s="597">
        <v>19635.03</v>
      </c>
      <c r="R1920" s="599">
        <f>M1920/G1920</f>
        <v>2200</v>
      </c>
      <c r="S1920" s="586">
        <f t="shared" si="262"/>
        <v>2.9103830456733704E-11</v>
      </c>
      <c r="T1920" s="600"/>
      <c r="U1920" s="589"/>
      <c r="V1920" s="589"/>
      <c r="W1920" s="600"/>
      <c r="X1920" s="601"/>
      <c r="Y1920" s="600">
        <f t="shared" si="265"/>
        <v>1649726.03</v>
      </c>
      <c r="Z1920" s="601"/>
    </row>
    <row r="1921" spans="1:26" s="75" customFormat="1" hidden="1">
      <c r="A1921" s="714">
        <f t="shared" si="267"/>
        <v>415</v>
      </c>
      <c r="B1921" s="592" t="s">
        <v>1790</v>
      </c>
      <c r="C1921" s="593" t="s">
        <v>396</v>
      </c>
      <c r="D1921" s="594">
        <v>3710</v>
      </c>
      <c r="E1921" s="594">
        <v>750</v>
      </c>
      <c r="F1921" s="594" t="s">
        <v>222</v>
      </c>
      <c r="G1921" s="594">
        <v>816</v>
      </c>
      <c r="H1921" s="594">
        <v>2</v>
      </c>
      <c r="I1921" s="594">
        <v>3</v>
      </c>
      <c r="J1921" s="594">
        <v>16</v>
      </c>
      <c r="K1921" s="590" t="s">
        <v>33</v>
      </c>
      <c r="L1921" s="584">
        <f t="shared" si="266"/>
        <v>1830810.93</v>
      </c>
      <c r="M1921" s="596">
        <v>1795200</v>
      </c>
      <c r="N1921" s="675"/>
      <c r="O1921" s="631">
        <v>17535</v>
      </c>
      <c r="P1921" s="597"/>
      <c r="Q1921" s="597">
        <v>18075.93</v>
      </c>
      <c r="R1921" s="599">
        <f>M1921/G1921</f>
        <v>2200</v>
      </c>
      <c r="S1921" s="586">
        <f t="shared" si="262"/>
        <v>-6.5483618527650833E-11</v>
      </c>
      <c r="T1921" s="600"/>
      <c r="U1921" s="589"/>
      <c r="V1921" s="589"/>
      <c r="W1921" s="600"/>
      <c r="X1921" s="601"/>
      <c r="Y1921" s="600">
        <f t="shared" si="265"/>
        <v>1830810.93</v>
      </c>
      <c r="Z1921" s="601"/>
    </row>
    <row r="1922" spans="1:26" s="75" customFormat="1" hidden="1">
      <c r="A1922" s="714">
        <f t="shared" si="267"/>
        <v>416</v>
      </c>
      <c r="B1922" s="592" t="s">
        <v>1792</v>
      </c>
      <c r="C1922" s="593" t="s">
        <v>217</v>
      </c>
      <c r="D1922" s="594">
        <v>10930</v>
      </c>
      <c r="E1922" s="594">
        <v>1300</v>
      </c>
      <c r="F1922" s="594" t="s">
        <v>222</v>
      </c>
      <c r="G1922" s="594">
        <v>836</v>
      </c>
      <c r="H1922" s="594">
        <v>5</v>
      </c>
      <c r="I1922" s="594">
        <v>3</v>
      </c>
      <c r="J1922" s="594">
        <v>60</v>
      </c>
      <c r="K1922" s="590" t="s">
        <v>33</v>
      </c>
      <c r="L1922" s="584">
        <f t="shared" si="266"/>
        <v>2981287.36</v>
      </c>
      <c r="M1922" s="596">
        <v>2926000</v>
      </c>
      <c r="N1922" s="675"/>
      <c r="O1922" s="631">
        <v>21589</v>
      </c>
      <c r="P1922" s="597"/>
      <c r="Q1922" s="597">
        <v>33698.36</v>
      </c>
      <c r="R1922" s="599">
        <f>M1922/G1922</f>
        <v>3500</v>
      </c>
      <c r="S1922" s="586">
        <f t="shared" si="262"/>
        <v>-1.3096723705530167E-10</v>
      </c>
      <c r="T1922" s="600"/>
      <c r="U1922" s="589"/>
      <c r="V1922" s="589"/>
      <c r="W1922" s="600"/>
      <c r="X1922" s="601"/>
      <c r="Y1922" s="600">
        <f t="shared" si="265"/>
        <v>2981287.36</v>
      </c>
      <c r="Z1922" s="601"/>
    </row>
    <row r="1923" spans="1:26" s="75" customFormat="1" hidden="1">
      <c r="A1923" s="714">
        <f t="shared" si="267"/>
        <v>417</v>
      </c>
      <c r="B1923" s="592" t="s">
        <v>1793</v>
      </c>
      <c r="C1923" s="593" t="s">
        <v>217</v>
      </c>
      <c r="D1923" s="594">
        <v>14041</v>
      </c>
      <c r="E1923" s="594">
        <v>2770</v>
      </c>
      <c r="F1923" s="594" t="s">
        <v>222</v>
      </c>
      <c r="G1923" s="594">
        <v>1112</v>
      </c>
      <c r="H1923" s="594">
        <v>5</v>
      </c>
      <c r="I1923" s="594">
        <v>5</v>
      </c>
      <c r="J1923" s="594">
        <v>100</v>
      </c>
      <c r="K1923" s="590" t="s">
        <v>380</v>
      </c>
      <c r="L1923" s="584">
        <f t="shared" si="266"/>
        <v>8369840</v>
      </c>
      <c r="M1923" s="596">
        <v>8310000</v>
      </c>
      <c r="N1923" s="675">
        <v>30140</v>
      </c>
      <c r="O1923" s="887"/>
      <c r="P1923" s="597"/>
      <c r="Q1923" s="597">
        <v>29700</v>
      </c>
      <c r="R1923" s="599">
        <f>M1923/E1923</f>
        <v>3000</v>
      </c>
      <c r="S1923" s="586">
        <f t="shared" si="262"/>
        <v>0</v>
      </c>
      <c r="T1923" s="600"/>
      <c r="U1923" s="589"/>
      <c r="V1923" s="589"/>
      <c r="W1923" s="600"/>
      <c r="X1923" s="601"/>
      <c r="Y1923" s="600">
        <f t="shared" si="265"/>
        <v>8369840</v>
      </c>
      <c r="Z1923" s="601"/>
    </row>
    <row r="1924" spans="1:26" s="75" customFormat="1" hidden="1">
      <c r="A1924" s="714">
        <f t="shared" si="267"/>
        <v>418</v>
      </c>
      <c r="B1924" s="592" t="s">
        <v>1795</v>
      </c>
      <c r="C1924" s="593" t="s">
        <v>396</v>
      </c>
      <c r="D1924" s="594">
        <v>3705</v>
      </c>
      <c r="E1924" s="594">
        <v>890</v>
      </c>
      <c r="F1924" s="594" t="s">
        <v>222</v>
      </c>
      <c r="G1924" s="594">
        <v>736</v>
      </c>
      <c r="H1924" s="594">
        <v>2</v>
      </c>
      <c r="I1924" s="594">
        <v>4</v>
      </c>
      <c r="J1924" s="594">
        <v>16</v>
      </c>
      <c r="K1924" s="590" t="s">
        <v>33</v>
      </c>
      <c r="L1924" s="584">
        <f t="shared" si="266"/>
        <v>1656201.56</v>
      </c>
      <c r="M1924" s="596">
        <v>1619200</v>
      </c>
      <c r="N1924" s="675"/>
      <c r="O1924" s="631">
        <v>18950</v>
      </c>
      <c r="P1924" s="597"/>
      <c r="Q1924" s="597">
        <v>18051.560000000001</v>
      </c>
      <c r="R1924" s="599">
        <f>M1924/G1924</f>
        <v>2200</v>
      </c>
      <c r="S1924" s="586">
        <f t="shared" si="262"/>
        <v>5.4569682106375694E-11</v>
      </c>
      <c r="T1924" s="600"/>
      <c r="U1924" s="589"/>
      <c r="V1924" s="589"/>
      <c r="W1924" s="600"/>
      <c r="X1924" s="601"/>
      <c r="Y1924" s="600">
        <f t="shared" si="265"/>
        <v>1656201.56</v>
      </c>
      <c r="Z1924" s="601"/>
    </row>
    <row r="1925" spans="1:26" s="75" customFormat="1" hidden="1">
      <c r="A1925" s="714">
        <f t="shared" si="267"/>
        <v>419</v>
      </c>
      <c r="B1925" s="592" t="s">
        <v>1796</v>
      </c>
      <c r="C1925" s="593" t="s">
        <v>217</v>
      </c>
      <c r="D1925" s="594">
        <v>13262</v>
      </c>
      <c r="E1925" s="594">
        <v>2760</v>
      </c>
      <c r="F1925" s="594" t="s">
        <v>222</v>
      </c>
      <c r="G1925" s="594">
        <v>1231</v>
      </c>
      <c r="H1925" s="594">
        <v>5</v>
      </c>
      <c r="I1925" s="594">
        <v>4</v>
      </c>
      <c r="J1925" s="594">
        <v>64</v>
      </c>
      <c r="K1925" s="590" t="s">
        <v>224</v>
      </c>
      <c r="L1925" s="1348">
        <f>M1925+N1925+O1925+P1925+Q1925+M1926+N1926+O1926+P1926+Q1926</f>
        <v>4970532.1500000004</v>
      </c>
      <c r="M1925" s="607">
        <v>1156900</v>
      </c>
      <c r="N1925" s="675">
        <v>42209</v>
      </c>
      <c r="O1925" s="887"/>
      <c r="P1925" s="597"/>
      <c r="Q1925" s="597">
        <v>16808.150000000001</v>
      </c>
      <c r="R1925" s="599">
        <f>M1925/J1925</f>
        <v>18076.5625</v>
      </c>
      <c r="S1925" s="586">
        <f t="shared" si="262"/>
        <v>3754615.0000000005</v>
      </c>
      <c r="T1925" s="600"/>
      <c r="U1925" s="589"/>
      <c r="V1925" s="589"/>
      <c r="W1925" s="600"/>
      <c r="X1925" s="601"/>
      <c r="Y1925" s="600">
        <f t="shared" si="265"/>
        <v>1215917.1499999999</v>
      </c>
      <c r="Z1925" s="601"/>
    </row>
    <row r="1926" spans="1:26" s="75" customFormat="1" hidden="1">
      <c r="A1926" s="616"/>
      <c r="B1926" s="592"/>
      <c r="C1926" s="593"/>
      <c r="D1926" s="594"/>
      <c r="E1926" s="594"/>
      <c r="F1926" s="594"/>
      <c r="G1926" s="594"/>
      <c r="H1926" s="594">
        <v>64</v>
      </c>
      <c r="I1926" s="594"/>
      <c r="J1926" s="594"/>
      <c r="K1926" s="590" t="s">
        <v>33</v>
      </c>
      <c r="L1926" s="1348"/>
      <c r="M1926" s="607">
        <v>3693000</v>
      </c>
      <c r="N1926" s="675"/>
      <c r="O1926" s="631">
        <v>21815</v>
      </c>
      <c r="P1926" s="597"/>
      <c r="Q1926" s="597">
        <v>39800</v>
      </c>
      <c r="R1926" s="599">
        <f>M1926/G1925</f>
        <v>3000</v>
      </c>
      <c r="S1926" s="586">
        <f t="shared" si="262"/>
        <v>-3754615</v>
      </c>
      <c r="T1926" s="600"/>
      <c r="U1926" s="601"/>
      <c r="V1926" s="589"/>
      <c r="W1926" s="600"/>
      <c r="X1926" s="601"/>
      <c r="Y1926" s="600">
        <f t="shared" si="265"/>
        <v>3754615</v>
      </c>
      <c r="Z1926" s="601"/>
    </row>
    <row r="1927" spans="1:26" s="75" customFormat="1" hidden="1">
      <c r="A1927" s="714">
        <f>A1925+1</f>
        <v>420</v>
      </c>
      <c r="B1927" s="592" t="s">
        <v>1797</v>
      </c>
      <c r="C1927" s="593" t="s">
        <v>271</v>
      </c>
      <c r="D1927" s="594">
        <v>30318</v>
      </c>
      <c r="E1927" s="594">
        <v>4752</v>
      </c>
      <c r="F1927" s="594" t="s">
        <v>233</v>
      </c>
      <c r="G1927" s="594">
        <v>1300</v>
      </c>
      <c r="H1927" s="594">
        <v>9</v>
      </c>
      <c r="I1927" s="594">
        <v>3</v>
      </c>
      <c r="J1927" s="594">
        <v>87</v>
      </c>
      <c r="K1927" s="590" t="s">
        <v>33</v>
      </c>
      <c r="L1927" s="584">
        <f t="shared" ref="L1927:L1940" si="268">M1927+N1927+O1927+P1927+Q1927</f>
        <v>2776997</v>
      </c>
      <c r="M1927" s="596">
        <v>2730000</v>
      </c>
      <c r="N1927" s="675"/>
      <c r="O1927" s="631">
        <v>27097</v>
      </c>
      <c r="P1927" s="597"/>
      <c r="Q1927" s="597">
        <v>19900</v>
      </c>
      <c r="R1927" s="599">
        <f>M1927/G1927</f>
        <v>2100</v>
      </c>
      <c r="S1927" s="586">
        <f t="shared" si="262"/>
        <v>0</v>
      </c>
      <c r="T1927" s="600"/>
      <c r="U1927" s="589"/>
      <c r="V1927" s="589"/>
      <c r="W1927" s="600"/>
      <c r="X1927" s="601"/>
      <c r="Y1927" s="600">
        <f t="shared" si="265"/>
        <v>2776997</v>
      </c>
      <c r="Z1927" s="601"/>
    </row>
    <row r="1928" spans="1:26" s="75" customFormat="1" hidden="1">
      <c r="A1928" s="714">
        <f t="shared" si="267"/>
        <v>421</v>
      </c>
      <c r="B1928" s="592" t="s">
        <v>1798</v>
      </c>
      <c r="C1928" s="593" t="s">
        <v>271</v>
      </c>
      <c r="D1928" s="594">
        <v>12478</v>
      </c>
      <c r="E1928" s="594">
        <v>1416</v>
      </c>
      <c r="F1928" s="594" t="s">
        <v>222</v>
      </c>
      <c r="G1928" s="594">
        <v>1140</v>
      </c>
      <c r="H1928" s="594">
        <v>5</v>
      </c>
      <c r="I1928" s="594">
        <v>4</v>
      </c>
      <c r="J1928" s="594">
        <v>80</v>
      </c>
      <c r="K1928" s="590" t="s">
        <v>33</v>
      </c>
      <c r="L1928" s="584">
        <f t="shared" si="268"/>
        <v>3258259.01</v>
      </c>
      <c r="M1928" s="596">
        <v>3192000</v>
      </c>
      <c r="N1928" s="675"/>
      <c r="O1928" s="631">
        <v>27788</v>
      </c>
      <c r="P1928" s="597"/>
      <c r="Q1928" s="597">
        <v>38471.01</v>
      </c>
      <c r="R1928" s="599">
        <f>M1928/G1928</f>
        <v>2800</v>
      </c>
      <c r="S1928" s="586">
        <f t="shared" si="262"/>
        <v>-2.255546860396862E-10</v>
      </c>
      <c r="T1928" s="600"/>
      <c r="U1928" s="589"/>
      <c r="V1928" s="589"/>
      <c r="W1928" s="600"/>
      <c r="X1928" s="601"/>
      <c r="Y1928" s="600">
        <f t="shared" si="265"/>
        <v>3258259.01</v>
      </c>
      <c r="Z1928" s="601"/>
    </row>
    <row r="1929" spans="1:26" s="75" customFormat="1" hidden="1">
      <c r="A1929" s="714">
        <f t="shared" si="267"/>
        <v>422</v>
      </c>
      <c r="B1929" s="592" t="s">
        <v>1799</v>
      </c>
      <c r="C1929" s="593" t="s">
        <v>217</v>
      </c>
      <c r="D1929" s="594">
        <v>31421</v>
      </c>
      <c r="E1929" s="594">
        <v>2602</v>
      </c>
      <c r="F1929" s="594" t="s">
        <v>233</v>
      </c>
      <c r="G1929" s="594">
        <v>1162</v>
      </c>
      <c r="H1929" s="594">
        <v>9</v>
      </c>
      <c r="I1929" s="594">
        <v>4</v>
      </c>
      <c r="J1929" s="594">
        <v>144</v>
      </c>
      <c r="K1929" s="590" t="s">
        <v>33</v>
      </c>
      <c r="L1929" s="584">
        <f t="shared" si="268"/>
        <v>2486290</v>
      </c>
      <c r="M1929" s="596">
        <v>2440200</v>
      </c>
      <c r="N1929" s="675"/>
      <c r="O1929" s="631">
        <v>26190</v>
      </c>
      <c r="P1929" s="597"/>
      <c r="Q1929" s="597">
        <v>19900</v>
      </c>
      <c r="R1929" s="599">
        <f>M1929/G1929</f>
        <v>2100</v>
      </c>
      <c r="S1929" s="586">
        <f t="shared" si="262"/>
        <v>0</v>
      </c>
      <c r="T1929" s="600"/>
      <c r="U1929" s="589"/>
      <c r="V1929" s="589"/>
      <c r="W1929" s="600"/>
      <c r="X1929" s="601"/>
      <c r="Y1929" s="600">
        <f t="shared" si="265"/>
        <v>2486290</v>
      </c>
      <c r="Z1929" s="601"/>
    </row>
    <row r="1930" spans="1:26" hidden="1">
      <c r="A1930" s="714">
        <f t="shared" si="267"/>
        <v>423</v>
      </c>
      <c r="B1930" s="592" t="s">
        <v>1800</v>
      </c>
      <c r="C1930" s="593" t="s">
        <v>217</v>
      </c>
      <c r="D1930" s="594">
        <v>14614</v>
      </c>
      <c r="E1930" s="594">
        <v>2560</v>
      </c>
      <c r="F1930" s="594" t="s">
        <v>222</v>
      </c>
      <c r="G1930" s="594">
        <v>1152</v>
      </c>
      <c r="H1930" s="594">
        <v>5</v>
      </c>
      <c r="I1930" s="594">
        <v>4</v>
      </c>
      <c r="J1930" s="594">
        <v>80</v>
      </c>
      <c r="K1930" s="590" t="s">
        <v>224</v>
      </c>
      <c r="L1930" s="584">
        <f t="shared" si="268"/>
        <v>2180761.4500000002</v>
      </c>
      <c r="M1930" s="607">
        <v>2133000</v>
      </c>
      <c r="N1930" s="675">
        <v>31950</v>
      </c>
      <c r="O1930" s="887"/>
      <c r="P1930" s="597"/>
      <c r="Q1930" s="597">
        <v>15811.45</v>
      </c>
      <c r="R1930" s="599">
        <f>M1930/J1930</f>
        <v>26662.5</v>
      </c>
      <c r="S1930" s="586">
        <f t="shared" si="262"/>
        <v>1.8553691916167736E-10</v>
      </c>
      <c r="T1930" s="588"/>
      <c r="U1930" s="589"/>
      <c r="V1930" s="589"/>
      <c r="W1930" s="600"/>
      <c r="Y1930" s="600">
        <f t="shared" si="265"/>
        <v>2180761.4500000002</v>
      </c>
    </row>
    <row r="1931" spans="1:26" hidden="1">
      <c r="A1931" s="714">
        <f t="shared" si="267"/>
        <v>424</v>
      </c>
      <c r="B1931" s="592" t="s">
        <v>1801</v>
      </c>
      <c r="C1931" s="593" t="s">
        <v>217</v>
      </c>
      <c r="D1931" s="594">
        <v>18119</v>
      </c>
      <c r="E1931" s="594">
        <v>3506</v>
      </c>
      <c r="F1931" s="594" t="s">
        <v>222</v>
      </c>
      <c r="G1931" s="594">
        <v>1760</v>
      </c>
      <c r="H1931" s="594">
        <v>5</v>
      </c>
      <c r="I1931" s="594">
        <v>6</v>
      </c>
      <c r="J1931" s="594">
        <v>120</v>
      </c>
      <c r="K1931" s="590" t="s">
        <v>33</v>
      </c>
      <c r="L1931" s="584">
        <f t="shared" si="268"/>
        <v>6221977</v>
      </c>
      <c r="M1931" s="596">
        <v>6160000</v>
      </c>
      <c r="N1931" s="675"/>
      <c r="O1931" s="631">
        <v>22177</v>
      </c>
      <c r="P1931" s="597"/>
      <c r="Q1931" s="597">
        <v>39800</v>
      </c>
      <c r="R1931" s="599">
        <f>M1931/G1931</f>
        <v>3500</v>
      </c>
      <c r="S1931" s="586">
        <f t="shared" si="262"/>
        <v>0</v>
      </c>
      <c r="T1931" s="588"/>
      <c r="U1931" s="589"/>
      <c r="V1931" s="589"/>
      <c r="W1931" s="600"/>
      <c r="Y1931" s="600">
        <f t="shared" si="265"/>
        <v>6221977</v>
      </c>
    </row>
    <row r="1932" spans="1:26" hidden="1">
      <c r="A1932" s="714">
        <f t="shared" si="267"/>
        <v>425</v>
      </c>
      <c r="B1932" s="592" t="s">
        <v>1802</v>
      </c>
      <c r="C1932" s="593" t="s">
        <v>217</v>
      </c>
      <c r="D1932" s="594">
        <v>12418</v>
      </c>
      <c r="E1932" s="594">
        <v>2532</v>
      </c>
      <c r="F1932" s="594" t="s">
        <v>222</v>
      </c>
      <c r="G1932" s="594">
        <v>1137</v>
      </c>
      <c r="H1932" s="594">
        <v>5</v>
      </c>
      <c r="I1932" s="594">
        <v>4</v>
      </c>
      <c r="J1932" s="594">
        <v>80</v>
      </c>
      <c r="K1932" s="590" t="s">
        <v>33</v>
      </c>
      <c r="L1932" s="584">
        <f t="shared" si="268"/>
        <v>4039290.02</v>
      </c>
      <c r="M1932" s="596">
        <v>3979500</v>
      </c>
      <c r="N1932" s="675"/>
      <c r="O1932" s="631">
        <v>21504</v>
      </c>
      <c r="P1932" s="597"/>
      <c r="Q1932" s="597">
        <v>38286.019999999997</v>
      </c>
      <c r="R1932" s="599">
        <f>M1932/G1932</f>
        <v>3500</v>
      </c>
      <c r="S1932" s="586">
        <f t="shared" ref="S1932:S1963" si="269">L1932-M1932-N1932-O1932-P1932-Q1932</f>
        <v>0</v>
      </c>
      <c r="T1932" s="588"/>
      <c r="U1932" s="589"/>
      <c r="V1932" s="589"/>
      <c r="W1932" s="600"/>
      <c r="Y1932" s="600">
        <f t="shared" si="265"/>
        <v>4039290.02</v>
      </c>
    </row>
    <row r="1933" spans="1:26" hidden="1">
      <c r="A1933" s="714">
        <f t="shared" si="267"/>
        <v>426</v>
      </c>
      <c r="B1933" s="592" t="s">
        <v>1803</v>
      </c>
      <c r="C1933" s="593" t="s">
        <v>271</v>
      </c>
      <c r="D1933" s="594">
        <v>17863</v>
      </c>
      <c r="E1933" s="594">
        <v>2783</v>
      </c>
      <c r="F1933" s="594" t="s">
        <v>233</v>
      </c>
      <c r="G1933" s="594">
        <v>1823</v>
      </c>
      <c r="H1933" s="594">
        <v>9</v>
      </c>
      <c r="I1933" s="594">
        <v>1</v>
      </c>
      <c r="J1933" s="594">
        <v>39</v>
      </c>
      <c r="K1933" s="590" t="s">
        <v>33</v>
      </c>
      <c r="L1933" s="584">
        <f t="shared" si="268"/>
        <v>3207420</v>
      </c>
      <c r="M1933" s="596">
        <v>3161550</v>
      </c>
      <c r="N1933" s="675"/>
      <c r="O1933" s="631">
        <v>25970</v>
      </c>
      <c r="P1933" s="597"/>
      <c r="Q1933" s="597">
        <v>19900</v>
      </c>
      <c r="R1933" s="599">
        <f>M1933/G1933</f>
        <v>1734.2567196928139</v>
      </c>
      <c r="S1933" s="586">
        <f t="shared" si="269"/>
        <v>0</v>
      </c>
      <c r="T1933" s="588"/>
      <c r="U1933" s="589"/>
      <c r="V1933" s="589"/>
      <c r="W1933" s="600"/>
      <c r="Y1933" s="600">
        <f t="shared" si="265"/>
        <v>3207420</v>
      </c>
    </row>
    <row r="1934" spans="1:26" hidden="1">
      <c r="A1934" s="714">
        <f t="shared" si="267"/>
        <v>427</v>
      </c>
      <c r="B1934" s="592" t="s">
        <v>1804</v>
      </c>
      <c r="C1934" s="593" t="s">
        <v>271</v>
      </c>
      <c r="D1934" s="594">
        <v>17673</v>
      </c>
      <c r="E1934" s="594">
        <v>3310</v>
      </c>
      <c r="F1934" s="594" t="s">
        <v>233</v>
      </c>
      <c r="G1934" s="594">
        <v>1408</v>
      </c>
      <c r="H1934" s="594">
        <v>5</v>
      </c>
      <c r="I1934" s="594">
        <v>6</v>
      </c>
      <c r="J1934" s="594">
        <v>79</v>
      </c>
      <c r="K1934" s="590" t="s">
        <v>33</v>
      </c>
      <c r="L1934" s="584">
        <f t="shared" si="268"/>
        <v>4267443</v>
      </c>
      <c r="M1934" s="607">
        <v>4224000</v>
      </c>
      <c r="N1934" s="675"/>
      <c r="O1934" s="631">
        <v>23443</v>
      </c>
      <c r="P1934" s="675"/>
      <c r="Q1934" s="675">
        <v>20000</v>
      </c>
      <c r="R1934" s="599">
        <f>M1934/J1934</f>
        <v>53468.354430379746</v>
      </c>
      <c r="S1934" s="586">
        <f t="shared" si="269"/>
        <v>0</v>
      </c>
      <c r="T1934" s="588"/>
      <c r="U1934" s="589"/>
      <c r="V1934" s="589"/>
      <c r="W1934" s="600"/>
      <c r="Y1934" s="600">
        <f t="shared" si="265"/>
        <v>4267443</v>
      </c>
    </row>
    <row r="1935" spans="1:26" s="75" customFormat="1" ht="37.5" hidden="1">
      <c r="A1935" s="714">
        <f t="shared" si="267"/>
        <v>428</v>
      </c>
      <c r="B1935" s="592" t="s">
        <v>1805</v>
      </c>
      <c r="C1935" s="593" t="s">
        <v>217</v>
      </c>
      <c r="D1935" s="594">
        <v>16340</v>
      </c>
      <c r="E1935" s="594">
        <v>3026</v>
      </c>
      <c r="F1935" s="594" t="s">
        <v>233</v>
      </c>
      <c r="G1935" s="594">
        <v>713</v>
      </c>
      <c r="H1935" s="594">
        <v>9</v>
      </c>
      <c r="I1935" s="594">
        <v>2</v>
      </c>
      <c r="J1935" s="594">
        <v>72</v>
      </c>
      <c r="K1935" s="590" t="s">
        <v>30</v>
      </c>
      <c r="L1935" s="584">
        <f t="shared" si="268"/>
        <v>2358434.94</v>
      </c>
      <c r="M1935" s="596">
        <v>2304000</v>
      </c>
      <c r="N1935" s="675"/>
      <c r="O1935" s="631">
        <v>20116</v>
      </c>
      <c r="P1935" s="597"/>
      <c r="Q1935" s="597">
        <v>34318.94</v>
      </c>
      <c r="R1935" s="599">
        <f>M1935/J1935</f>
        <v>32000</v>
      </c>
      <c r="S1935" s="586">
        <f t="shared" si="269"/>
        <v>-5.8207660913467407E-11</v>
      </c>
      <c r="T1935" s="600"/>
      <c r="U1935" s="589"/>
      <c r="V1935" s="589"/>
      <c r="W1935" s="600"/>
      <c r="X1935" s="601"/>
      <c r="Y1935" s="600">
        <f t="shared" si="265"/>
        <v>2358434.94</v>
      </c>
      <c r="Z1935" s="601"/>
    </row>
    <row r="1936" spans="1:26" hidden="1">
      <c r="A1936" s="714">
        <f t="shared" si="267"/>
        <v>429</v>
      </c>
      <c r="B1936" s="592" t="s">
        <v>1806</v>
      </c>
      <c r="C1936" s="593" t="s">
        <v>271</v>
      </c>
      <c r="D1936" s="594">
        <v>12178</v>
      </c>
      <c r="E1936" s="594">
        <v>1923</v>
      </c>
      <c r="F1936" s="594" t="s">
        <v>222</v>
      </c>
      <c r="G1936" s="594">
        <v>915</v>
      </c>
      <c r="H1936" s="594">
        <v>5</v>
      </c>
      <c r="I1936" s="594">
        <v>3</v>
      </c>
      <c r="J1936" s="594">
        <v>60</v>
      </c>
      <c r="K1936" s="590" t="s">
        <v>33</v>
      </c>
      <c r="L1936" s="584">
        <f t="shared" si="268"/>
        <v>3262759.08</v>
      </c>
      <c r="M1936" s="596">
        <v>3202500</v>
      </c>
      <c r="N1936" s="675"/>
      <c r="O1936" s="631">
        <v>22713</v>
      </c>
      <c r="P1936" s="597"/>
      <c r="Q1936" s="597">
        <v>37546.080000000002</v>
      </c>
      <c r="R1936" s="599">
        <f>M1936/G1936</f>
        <v>3500</v>
      </c>
      <c r="S1936" s="586">
        <f t="shared" si="269"/>
        <v>7.2759576141834259E-11</v>
      </c>
      <c r="T1936" s="588"/>
      <c r="U1936" s="589"/>
      <c r="V1936" s="589"/>
      <c r="W1936" s="600"/>
      <c r="Y1936" s="600">
        <f t="shared" si="265"/>
        <v>3262759.08</v>
      </c>
    </row>
    <row r="1937" spans="1:30" hidden="1">
      <c r="A1937" s="714">
        <f t="shared" si="267"/>
        <v>430</v>
      </c>
      <c r="B1937" s="592" t="s">
        <v>1808</v>
      </c>
      <c r="C1937" s="593" t="s">
        <v>271</v>
      </c>
      <c r="D1937" s="594">
        <v>31647</v>
      </c>
      <c r="E1937" s="594">
        <v>4980</v>
      </c>
      <c r="F1937" s="594" t="s">
        <v>233</v>
      </c>
      <c r="G1937" s="594">
        <v>677</v>
      </c>
      <c r="H1937" s="594">
        <v>16</v>
      </c>
      <c r="I1937" s="594">
        <v>1</v>
      </c>
      <c r="J1937" s="594">
        <v>86</v>
      </c>
      <c r="K1937" s="590" t="s">
        <v>224</v>
      </c>
      <c r="L1937" s="584">
        <f t="shared" si="268"/>
        <v>1910373</v>
      </c>
      <c r="M1937" s="607">
        <v>1852900</v>
      </c>
      <c r="N1937" s="675">
        <v>37673</v>
      </c>
      <c r="O1937" s="887"/>
      <c r="P1937" s="597"/>
      <c r="Q1937" s="597">
        <v>19800</v>
      </c>
      <c r="R1937" s="599">
        <f>M1937/J1937</f>
        <v>21545.348837209302</v>
      </c>
      <c r="S1937" s="586">
        <f t="shared" si="269"/>
        <v>0</v>
      </c>
      <c r="T1937" s="588"/>
      <c r="U1937" s="589"/>
      <c r="V1937" s="589"/>
      <c r="W1937" s="600"/>
      <c r="Y1937" s="600">
        <f t="shared" si="265"/>
        <v>1910373</v>
      </c>
    </row>
    <row r="1938" spans="1:30" ht="37.5" hidden="1">
      <c r="A1938" s="714">
        <f t="shared" si="267"/>
        <v>431</v>
      </c>
      <c r="B1938" s="592" t="s">
        <v>1809</v>
      </c>
      <c r="C1938" s="593" t="s">
        <v>282</v>
      </c>
      <c r="D1938" s="594">
        <v>76168</v>
      </c>
      <c r="E1938" s="594">
        <v>19855.89</v>
      </c>
      <c r="F1938" s="594" t="s">
        <v>233</v>
      </c>
      <c r="G1938" s="594">
        <v>3369</v>
      </c>
      <c r="H1938" s="594">
        <v>9</v>
      </c>
      <c r="I1938" s="594">
        <v>7</v>
      </c>
      <c r="J1938" s="594">
        <v>207</v>
      </c>
      <c r="K1938" s="590" t="s">
        <v>3815</v>
      </c>
      <c r="L1938" s="584">
        <f t="shared" si="268"/>
        <v>33832654</v>
      </c>
      <c r="M1938" s="596">
        <v>33755013</v>
      </c>
      <c r="N1938" s="675">
        <v>47941</v>
      </c>
      <c r="O1938" s="887"/>
      <c r="P1938" s="597"/>
      <c r="Q1938" s="597">
        <v>29700</v>
      </c>
      <c r="R1938" s="599">
        <f>M1938/E1938</f>
        <v>1700</v>
      </c>
      <c r="S1938" s="586">
        <f t="shared" si="269"/>
        <v>0</v>
      </c>
      <c r="T1938" s="588"/>
      <c r="U1938" s="589"/>
      <c r="V1938" s="589"/>
      <c r="W1938" s="600"/>
      <c r="Y1938" s="600">
        <f t="shared" si="265"/>
        <v>33832654</v>
      </c>
    </row>
    <row r="1939" spans="1:30" s="75" customFormat="1" ht="37.5" hidden="1">
      <c r="A1939" s="714">
        <f t="shared" si="267"/>
        <v>432</v>
      </c>
      <c r="B1939" s="592" t="s">
        <v>1810</v>
      </c>
      <c r="C1939" s="593" t="s">
        <v>217</v>
      </c>
      <c r="D1939" s="582">
        <v>22829</v>
      </c>
      <c r="E1939" s="582">
        <v>1768.48</v>
      </c>
      <c r="F1939" s="582" t="s">
        <v>233</v>
      </c>
      <c r="G1939" s="582">
        <v>734</v>
      </c>
      <c r="H1939" s="582">
        <v>12</v>
      </c>
      <c r="I1939" s="582">
        <v>2</v>
      </c>
      <c r="J1939" s="582">
        <v>96</v>
      </c>
      <c r="K1939" s="610" t="s">
        <v>30</v>
      </c>
      <c r="L1939" s="584">
        <f t="shared" si="268"/>
        <v>3047383</v>
      </c>
      <c r="M1939" s="596">
        <v>2985671</v>
      </c>
      <c r="N1939" s="675"/>
      <c r="O1939" s="887">
        <v>21912</v>
      </c>
      <c r="P1939" s="594"/>
      <c r="Q1939" s="597">
        <v>39800</v>
      </c>
      <c r="R1939" s="599">
        <f>M1939/J1939</f>
        <v>31100.739583333332</v>
      </c>
      <c r="S1939" s="586">
        <f t="shared" si="269"/>
        <v>0</v>
      </c>
      <c r="T1939" s="605"/>
      <c r="U1939" s="589"/>
      <c r="V1939" s="589"/>
      <c r="W1939" s="600"/>
      <c r="X1939" s="601"/>
      <c r="Y1939" s="600">
        <f t="shared" si="265"/>
        <v>3047383</v>
      </c>
      <c r="Z1939" s="601"/>
    </row>
    <row r="1940" spans="1:30" s="517" customFormat="1" hidden="1">
      <c r="A1940" s="714">
        <f t="shared" si="267"/>
        <v>433</v>
      </c>
      <c r="B1940" s="592" t="s">
        <v>1811</v>
      </c>
      <c r="C1940" s="593" t="s">
        <v>217</v>
      </c>
      <c r="D1940" s="594">
        <v>21460</v>
      </c>
      <c r="E1940" s="594">
        <v>3293.66</v>
      </c>
      <c r="F1940" s="594" t="s">
        <v>233</v>
      </c>
      <c r="G1940" s="594">
        <v>929</v>
      </c>
      <c r="H1940" s="594">
        <v>9</v>
      </c>
      <c r="I1940" s="594">
        <v>2</v>
      </c>
      <c r="J1940" s="594">
        <v>108</v>
      </c>
      <c r="K1940" s="590" t="s">
        <v>33</v>
      </c>
      <c r="L1940" s="584">
        <f t="shared" si="268"/>
        <v>1997776</v>
      </c>
      <c r="M1940" s="596">
        <v>1950900</v>
      </c>
      <c r="N1940" s="675"/>
      <c r="O1940" s="631">
        <v>26976</v>
      </c>
      <c r="P1940" s="597"/>
      <c r="Q1940" s="597">
        <v>19900</v>
      </c>
      <c r="R1940" s="599">
        <f>M1940/G1940</f>
        <v>2100</v>
      </c>
      <c r="S1940" s="586">
        <f t="shared" si="269"/>
        <v>0</v>
      </c>
      <c r="T1940" s="605"/>
      <c r="U1940" s="589"/>
      <c r="V1940" s="589"/>
      <c r="W1940" s="600"/>
      <c r="X1940" s="589"/>
      <c r="Y1940" s="600">
        <f t="shared" si="265"/>
        <v>1997776</v>
      </c>
      <c r="Z1940" s="648"/>
      <c r="AA1940" s="36"/>
      <c r="AB1940" s="14"/>
      <c r="AC1940" s="246"/>
      <c r="AD1940" s="72"/>
    </row>
    <row r="1941" spans="1:30" hidden="1">
      <c r="A1941" s="714">
        <f t="shared" si="267"/>
        <v>434</v>
      </c>
      <c r="B1941" s="592" t="s">
        <v>3791</v>
      </c>
      <c r="C1941" s="593" t="s">
        <v>271</v>
      </c>
      <c r="D1941" s="594">
        <v>13302</v>
      </c>
      <c r="E1941" s="594">
        <v>2330.9</v>
      </c>
      <c r="F1941" s="594" t="s">
        <v>222</v>
      </c>
      <c r="G1941" s="594">
        <v>975</v>
      </c>
      <c r="H1941" s="594">
        <v>5</v>
      </c>
      <c r="I1941" s="594">
        <v>4</v>
      </c>
      <c r="J1941" s="594">
        <v>73</v>
      </c>
      <c r="K1941" s="588" t="s">
        <v>33</v>
      </c>
      <c r="L1941" s="1348">
        <f>M1941+N1941+O1941+P1941+Q1941+M1942+N1942+O1942+P1942+Q1942</f>
        <v>10432510</v>
      </c>
      <c r="M1941" s="596">
        <v>3412500</v>
      </c>
      <c r="N1941" s="675"/>
      <c r="O1941" s="887">
        <v>28180</v>
      </c>
      <c r="P1941" s="597"/>
      <c r="Q1941" s="597">
        <v>40000</v>
      </c>
      <c r="R1941" s="599">
        <f>M1941/G1941</f>
        <v>3500</v>
      </c>
      <c r="S1941" s="586">
        <f t="shared" si="269"/>
        <v>6951830</v>
      </c>
      <c r="T1941" s="588"/>
      <c r="U1941" s="589"/>
      <c r="V1941" s="589"/>
      <c r="W1941" s="600"/>
      <c r="Y1941" s="600">
        <f t="shared" si="265"/>
        <v>3480680</v>
      </c>
    </row>
    <row r="1942" spans="1:30" hidden="1">
      <c r="A1942" s="714"/>
      <c r="B1942" s="592"/>
      <c r="C1942" s="593"/>
      <c r="D1942" s="594"/>
      <c r="E1942" s="594"/>
      <c r="F1942" s="594"/>
      <c r="G1942" s="594"/>
      <c r="H1942" s="594"/>
      <c r="I1942" s="594"/>
      <c r="J1942" s="594"/>
      <c r="K1942" s="588" t="s">
        <v>38</v>
      </c>
      <c r="L1942" s="1348"/>
      <c r="M1942" s="596">
        <v>6900000</v>
      </c>
      <c r="N1942" s="675"/>
      <c r="O1942" s="887">
        <v>21830</v>
      </c>
      <c r="P1942" s="597"/>
      <c r="Q1942" s="597">
        <v>30000</v>
      </c>
      <c r="R1942" s="599">
        <f>M1942/E1941</f>
        <v>2960.2299540949848</v>
      </c>
      <c r="S1942" s="586">
        <f t="shared" si="269"/>
        <v>-6951830</v>
      </c>
      <c r="T1942" s="588"/>
      <c r="U1942" s="560"/>
      <c r="V1942" s="589"/>
      <c r="W1942" s="600"/>
      <c r="Y1942" s="600">
        <f t="shared" si="265"/>
        <v>6951830</v>
      </c>
    </row>
    <row r="1943" spans="1:30" s="75" customFormat="1" hidden="1">
      <c r="A1943" s="582">
        <f>A1941+1</f>
        <v>435</v>
      </c>
      <c r="B1943" s="592" t="s">
        <v>1474</v>
      </c>
      <c r="C1943" s="593" t="s">
        <v>271</v>
      </c>
      <c r="D1943" s="594">
        <v>12714</v>
      </c>
      <c r="E1943" s="594">
        <v>2608</v>
      </c>
      <c r="F1943" s="594" t="s">
        <v>222</v>
      </c>
      <c r="G1943" s="594">
        <v>1158</v>
      </c>
      <c r="H1943" s="594">
        <v>5</v>
      </c>
      <c r="I1943" s="594">
        <v>4</v>
      </c>
      <c r="J1943" s="594">
        <v>69</v>
      </c>
      <c r="K1943" s="590" t="s">
        <v>33</v>
      </c>
      <c r="L1943" s="1399">
        <f>M1943+N1943+O1943+P1943+Q1943+M1944+N1944+O1944+Q1944</f>
        <v>10965424.620000001</v>
      </c>
      <c r="M1943" s="596">
        <v>4053000</v>
      </c>
      <c r="N1943" s="675"/>
      <c r="O1943" s="631">
        <v>21613</v>
      </c>
      <c r="P1943" s="597"/>
      <c r="Q1943" s="597">
        <v>39198.620000000003</v>
      </c>
      <c r="R1943" s="582">
        <f>M1943/G1943</f>
        <v>3500</v>
      </c>
      <c r="S1943" s="586">
        <f t="shared" si="269"/>
        <v>6851613.0000000009</v>
      </c>
      <c r="T1943" s="600"/>
      <c r="U1943" s="709"/>
      <c r="V1943" s="589"/>
      <c r="W1943" s="600"/>
      <c r="X1943" s="601"/>
      <c r="Y1943" s="600">
        <f t="shared" si="265"/>
        <v>4113811.62</v>
      </c>
      <c r="Z1943" s="601"/>
    </row>
    <row r="1944" spans="1:30" s="75" customFormat="1" hidden="1">
      <c r="A1944" s="582"/>
      <c r="B1944" s="592"/>
      <c r="C1944" s="593"/>
      <c r="D1944" s="594"/>
      <c r="E1944" s="594"/>
      <c r="F1944" s="594"/>
      <c r="G1944" s="594"/>
      <c r="H1944" s="594"/>
      <c r="I1944" s="594"/>
      <c r="J1944" s="594"/>
      <c r="K1944" s="632" t="s">
        <v>38</v>
      </c>
      <c r="L1944" s="1399"/>
      <c r="M1944" s="607">
        <v>6800000</v>
      </c>
      <c r="N1944" s="675"/>
      <c r="O1944" s="631">
        <v>21613</v>
      </c>
      <c r="P1944" s="597"/>
      <c r="Q1944" s="597">
        <v>30000</v>
      </c>
      <c r="R1944" s="599">
        <f>M1944/E1943</f>
        <v>2607.3619631901843</v>
      </c>
      <c r="S1944" s="586">
        <f t="shared" si="269"/>
        <v>-6851613</v>
      </c>
      <c r="T1944" s="600"/>
      <c r="U1944" s="709"/>
      <c r="V1944" s="589"/>
      <c r="W1944" s="600"/>
      <c r="X1944" s="601"/>
      <c r="Y1944" s="600">
        <f t="shared" si="265"/>
        <v>6851613</v>
      </c>
      <c r="Z1944" s="601"/>
    </row>
    <row r="1945" spans="1:30" s="75" customFormat="1" hidden="1">
      <c r="A1945" s="582">
        <f>A1943+1</f>
        <v>436</v>
      </c>
      <c r="B1945" s="592" t="s">
        <v>1476</v>
      </c>
      <c r="C1945" s="593" t="s">
        <v>271</v>
      </c>
      <c r="D1945" s="594">
        <v>16663</v>
      </c>
      <c r="E1945" s="594">
        <v>2160</v>
      </c>
      <c r="F1945" s="594" t="s">
        <v>222</v>
      </c>
      <c r="G1945" s="594">
        <v>1147</v>
      </c>
      <c r="H1945" s="594">
        <v>5</v>
      </c>
      <c r="I1945" s="594">
        <v>4</v>
      </c>
      <c r="J1945" s="594">
        <v>64</v>
      </c>
      <c r="K1945" s="590" t="s">
        <v>38</v>
      </c>
      <c r="L1945" s="584">
        <f>M1945+N1945+O1945+P1945+Q1945</f>
        <v>6847178</v>
      </c>
      <c r="M1945" s="607">
        <v>6800000</v>
      </c>
      <c r="N1945" s="675"/>
      <c r="O1945" s="631">
        <v>17478</v>
      </c>
      <c r="P1945" s="597"/>
      <c r="Q1945" s="597">
        <v>29700</v>
      </c>
      <c r="R1945" s="599">
        <f>M1945/E1945</f>
        <v>3148.1481481481483</v>
      </c>
      <c r="S1945" s="586">
        <f t="shared" si="269"/>
        <v>0</v>
      </c>
      <c r="T1945" s="600"/>
      <c r="U1945" s="709"/>
      <c r="V1945" s="589"/>
      <c r="W1945" s="600"/>
      <c r="X1945" s="601"/>
      <c r="Y1945" s="600">
        <f t="shared" si="265"/>
        <v>6847178</v>
      </c>
      <c r="Z1945" s="601"/>
    </row>
    <row r="1946" spans="1:30" s="75" customFormat="1" hidden="1">
      <c r="A1946" s="714">
        <f>A1945+1</f>
        <v>437</v>
      </c>
      <c r="B1946" s="592" t="s">
        <v>1477</v>
      </c>
      <c r="C1946" s="593" t="s">
        <v>271</v>
      </c>
      <c r="D1946" s="594">
        <v>13168</v>
      </c>
      <c r="E1946" s="594">
        <v>2160</v>
      </c>
      <c r="F1946" s="594" t="s">
        <v>222</v>
      </c>
      <c r="G1946" s="594">
        <v>1143</v>
      </c>
      <c r="H1946" s="594">
        <v>5</v>
      </c>
      <c r="I1946" s="594">
        <v>4</v>
      </c>
      <c r="J1946" s="594">
        <v>68</v>
      </c>
      <c r="K1946" s="590" t="s">
        <v>38</v>
      </c>
      <c r="L1946" s="1399">
        <f>M1946+N1946+O1946+P1946+Q1946+M1947+N1947+O1947+Q1947</f>
        <v>10571917</v>
      </c>
      <c r="M1946" s="607">
        <v>6800000</v>
      </c>
      <c r="N1946" s="675"/>
      <c r="O1946" s="631">
        <v>16500</v>
      </c>
      <c r="P1946" s="597"/>
      <c r="Q1946" s="597">
        <v>29700</v>
      </c>
      <c r="R1946" s="599">
        <f>M1946/E1946</f>
        <v>3148.1481481481483</v>
      </c>
      <c r="S1946" s="586">
        <f t="shared" si="269"/>
        <v>3725717</v>
      </c>
      <c r="T1946" s="600"/>
      <c r="U1946" s="709"/>
      <c r="V1946" s="589"/>
      <c r="W1946" s="600"/>
      <c r="X1946" s="601"/>
      <c r="Y1946" s="600">
        <f t="shared" si="265"/>
        <v>6846200</v>
      </c>
      <c r="Z1946" s="601"/>
    </row>
    <row r="1947" spans="1:30" hidden="1">
      <c r="A1947" s="714"/>
      <c r="B1947" s="592"/>
      <c r="C1947" s="593"/>
      <c r="D1947" s="594"/>
      <c r="E1947" s="594"/>
      <c r="F1947" s="594"/>
      <c r="G1947" s="594"/>
      <c r="H1947" s="594">
        <v>68</v>
      </c>
      <c r="I1947" s="594"/>
      <c r="J1947" s="594"/>
      <c r="K1947" s="588" t="s">
        <v>33</v>
      </c>
      <c r="L1947" s="1399"/>
      <c r="M1947" s="596">
        <v>3657600</v>
      </c>
      <c r="N1947" s="675"/>
      <c r="O1947" s="887">
        <v>28117</v>
      </c>
      <c r="P1947" s="597"/>
      <c r="Q1947" s="597">
        <v>40000</v>
      </c>
      <c r="R1947" s="599"/>
      <c r="S1947" s="586">
        <f t="shared" si="269"/>
        <v>-3725717</v>
      </c>
      <c r="T1947" s="588"/>
      <c r="U1947" s="560"/>
      <c r="V1947" s="589"/>
      <c r="W1947" s="600"/>
      <c r="Y1947" s="600">
        <f t="shared" si="265"/>
        <v>3725717</v>
      </c>
    </row>
    <row r="1948" spans="1:30" hidden="1">
      <c r="A1948" s="582">
        <f>A1946+1</f>
        <v>438</v>
      </c>
      <c r="B1948" s="592" t="s">
        <v>3790</v>
      </c>
      <c r="C1948" s="593" t="s">
        <v>217</v>
      </c>
      <c r="D1948" s="594">
        <v>9246</v>
      </c>
      <c r="E1948" s="594">
        <v>1902</v>
      </c>
      <c r="F1948" s="594" t="s">
        <v>222</v>
      </c>
      <c r="G1948" s="594">
        <v>837</v>
      </c>
      <c r="H1948" s="594">
        <v>5</v>
      </c>
      <c r="I1948" s="594">
        <v>3</v>
      </c>
      <c r="J1948" s="594">
        <v>60</v>
      </c>
      <c r="K1948" s="588" t="s">
        <v>33</v>
      </c>
      <c r="L1948" s="1348">
        <f>M1948+N1948+O1948+P1948+Q1948+M1949+N1949+O1949+P1949+Q1949</f>
        <v>3866237</v>
      </c>
      <c r="M1948" s="596">
        <v>2678400</v>
      </c>
      <c r="N1948" s="675"/>
      <c r="O1948" s="887">
        <v>26248</v>
      </c>
      <c r="P1948" s="597"/>
      <c r="Q1948" s="597">
        <v>28650</v>
      </c>
      <c r="R1948" s="599">
        <f>M1948/G1948</f>
        <v>3200</v>
      </c>
      <c r="S1948" s="586">
        <f t="shared" si="269"/>
        <v>1132939</v>
      </c>
      <c r="T1948" s="588"/>
      <c r="U1948" s="589"/>
      <c r="V1948" s="589"/>
      <c r="W1948" s="600"/>
      <c r="Y1948" s="600">
        <f t="shared" si="265"/>
        <v>2733298</v>
      </c>
    </row>
    <row r="1949" spans="1:30" hidden="1">
      <c r="A1949" s="714"/>
      <c r="B1949" s="592"/>
      <c r="C1949" s="593"/>
      <c r="D1949" s="594"/>
      <c r="E1949" s="594"/>
      <c r="F1949" s="594"/>
      <c r="G1949" s="594"/>
      <c r="H1949" s="594"/>
      <c r="I1949" s="594"/>
      <c r="J1949" s="594"/>
      <c r="K1949" s="588" t="s">
        <v>224</v>
      </c>
      <c r="L1949" s="1348"/>
      <c r="M1949" s="607">
        <v>1092900</v>
      </c>
      <c r="N1949" s="675">
        <v>30499</v>
      </c>
      <c r="O1949" s="887"/>
      <c r="P1949" s="597"/>
      <c r="Q1949" s="597">
        <v>9540</v>
      </c>
      <c r="R1949" s="599">
        <v>16000</v>
      </c>
      <c r="S1949" s="586">
        <f t="shared" si="269"/>
        <v>-1132939</v>
      </c>
      <c r="T1949" s="588"/>
      <c r="U1949" s="560"/>
      <c r="V1949" s="589"/>
      <c r="W1949" s="600"/>
      <c r="Y1949" s="600">
        <f t="shared" si="265"/>
        <v>1132939</v>
      </c>
    </row>
    <row r="1950" spans="1:30" ht="37.5" hidden="1">
      <c r="A1950" s="714">
        <f>A1948+1</f>
        <v>439</v>
      </c>
      <c r="B1950" s="592" t="s">
        <v>2398</v>
      </c>
      <c r="C1950" s="593" t="s">
        <v>271</v>
      </c>
      <c r="D1950" s="650">
        <v>11859</v>
      </c>
      <c r="E1950" s="594">
        <v>2200</v>
      </c>
      <c r="F1950" s="594" t="s">
        <v>222</v>
      </c>
      <c r="G1950" s="594">
        <v>1101</v>
      </c>
      <c r="H1950" s="594">
        <v>5</v>
      </c>
      <c r="I1950" s="594">
        <v>3</v>
      </c>
      <c r="J1950" s="594">
        <v>63</v>
      </c>
      <c r="K1950" s="588" t="s">
        <v>30</v>
      </c>
      <c r="L1950" s="584">
        <f>M1950+N1950+O1950+P1950+Q1950</f>
        <v>1617505</v>
      </c>
      <c r="M1950" s="596">
        <v>1575000</v>
      </c>
      <c r="N1950" s="675"/>
      <c r="O1950" s="887">
        <v>15005</v>
      </c>
      <c r="P1950" s="597"/>
      <c r="Q1950" s="597">
        <v>27500</v>
      </c>
      <c r="R1950" s="599">
        <f>M1950/J1950</f>
        <v>25000</v>
      </c>
      <c r="S1950" s="586">
        <f t="shared" si="269"/>
        <v>0</v>
      </c>
      <c r="T1950" s="588"/>
      <c r="U1950" s="589"/>
      <c r="V1950" s="589"/>
      <c r="W1950" s="600"/>
      <c r="Y1950" s="600">
        <f t="shared" si="265"/>
        <v>1617505</v>
      </c>
    </row>
    <row r="1951" spans="1:30" hidden="1">
      <c r="A1951" s="714">
        <f>A1950+1</f>
        <v>440</v>
      </c>
      <c r="B1951" s="592" t="s">
        <v>3793</v>
      </c>
      <c r="C1951" s="593" t="s">
        <v>271</v>
      </c>
      <c r="D1951" s="594">
        <v>12619</v>
      </c>
      <c r="E1951" s="594">
        <v>2750</v>
      </c>
      <c r="F1951" s="594" t="s">
        <v>230</v>
      </c>
      <c r="G1951" s="594">
        <v>1173.3</v>
      </c>
      <c r="H1951" s="594">
        <v>4</v>
      </c>
      <c r="I1951" s="594">
        <v>3</v>
      </c>
      <c r="J1951" s="594">
        <v>36</v>
      </c>
      <c r="K1951" s="588" t="s">
        <v>238</v>
      </c>
      <c r="L1951" s="584">
        <f>M1951+N1951+O1951+P1951+Q1951</f>
        <v>1018916</v>
      </c>
      <c r="M1951" s="585">
        <v>972000</v>
      </c>
      <c r="N1951" s="575">
        <v>28272</v>
      </c>
      <c r="O1951" s="711"/>
      <c r="P1951" s="586"/>
      <c r="Q1951" s="597">
        <v>18644</v>
      </c>
      <c r="R1951" s="599">
        <f>M1951/J1951</f>
        <v>27000</v>
      </c>
      <c r="S1951" s="586">
        <f t="shared" si="269"/>
        <v>0</v>
      </c>
      <c r="T1951" s="588"/>
      <c r="U1951" s="589"/>
      <c r="V1951" s="589"/>
      <c r="W1951" s="600"/>
      <c r="Y1951" s="600">
        <f t="shared" si="265"/>
        <v>1018916</v>
      </c>
    </row>
    <row r="1952" spans="1:30" hidden="1">
      <c r="A1952" s="714">
        <f>A1951+1</f>
        <v>441</v>
      </c>
      <c r="B1952" s="1346" t="s">
        <v>3824</v>
      </c>
      <c r="C1952" s="593"/>
      <c r="D1952" s="594"/>
      <c r="E1952" s="594">
        <v>2704</v>
      </c>
      <c r="F1952" s="594" t="s">
        <v>222</v>
      </c>
      <c r="G1952" s="594">
        <v>1141</v>
      </c>
      <c r="H1952" s="594"/>
      <c r="I1952" s="594"/>
      <c r="J1952" s="594">
        <v>80</v>
      </c>
      <c r="K1952" s="590" t="s">
        <v>33</v>
      </c>
      <c r="L1952" s="562">
        <f>M1952+M1953+N1953+N1952+O1952+O1953+P1953+P1952+Q1952+Q1953</f>
        <v>12073593</v>
      </c>
      <c r="M1952" s="596">
        <v>3651200</v>
      </c>
      <c r="N1952" s="675"/>
      <c r="O1952" s="631">
        <v>29919</v>
      </c>
      <c r="P1952" s="597"/>
      <c r="Q1952" s="597">
        <v>40000</v>
      </c>
      <c r="R1952" s="582">
        <f>M1952/G1952</f>
        <v>3200</v>
      </c>
      <c r="S1952" s="586">
        <f t="shared" si="269"/>
        <v>8352474</v>
      </c>
      <c r="T1952" s="588"/>
      <c r="U1952" s="589"/>
      <c r="V1952" s="589"/>
      <c r="W1952" s="600"/>
      <c r="Y1952" s="600">
        <f t="shared" si="265"/>
        <v>3721119</v>
      </c>
    </row>
    <row r="1953" spans="1:25" ht="37.5" hidden="1">
      <c r="A1953" s="714"/>
      <c r="B1953" s="1346"/>
      <c r="C1953" s="593"/>
      <c r="D1953" s="594"/>
      <c r="E1953" s="594"/>
      <c r="F1953" s="594"/>
      <c r="G1953" s="594"/>
      <c r="H1953" s="594"/>
      <c r="I1953" s="594"/>
      <c r="J1953" s="555"/>
      <c r="K1953" s="590" t="s">
        <v>3815</v>
      </c>
      <c r="M1953" s="596">
        <v>8300000</v>
      </c>
      <c r="N1953" s="675">
        <v>22474</v>
      </c>
      <c r="O1953" s="631"/>
      <c r="P1953" s="597"/>
      <c r="Q1953" s="597">
        <v>30000</v>
      </c>
      <c r="R1953" s="599">
        <f>M1953/E1952</f>
        <v>3069.5266272189351</v>
      </c>
      <c r="S1953" s="586">
        <f t="shared" si="269"/>
        <v>-8352474</v>
      </c>
      <c r="T1953" s="588"/>
      <c r="U1953" s="560"/>
      <c r="V1953" s="589"/>
      <c r="W1953" s="600"/>
      <c r="Y1953" s="600">
        <f t="shared" si="265"/>
        <v>8352474</v>
      </c>
    </row>
    <row r="1954" spans="1:25" ht="37.5" hidden="1">
      <c r="A1954" s="714">
        <f>A1952+1</f>
        <v>442</v>
      </c>
      <c r="B1954" s="592" t="s">
        <v>3374</v>
      </c>
      <c r="C1954" s="593" t="s">
        <v>3814</v>
      </c>
      <c r="D1954" s="594">
        <v>3734</v>
      </c>
      <c r="E1954" s="594">
        <v>890</v>
      </c>
      <c r="F1954" s="594" t="s">
        <v>222</v>
      </c>
      <c r="G1954" s="594">
        <v>725</v>
      </c>
      <c r="H1954" s="594">
        <v>2</v>
      </c>
      <c r="I1954" s="594">
        <v>4</v>
      </c>
      <c r="J1954" s="594">
        <v>16</v>
      </c>
      <c r="K1954" s="588" t="s">
        <v>30</v>
      </c>
      <c r="L1954" s="584">
        <f t="shared" ref="L1954:L1969" si="270">M1954+N1954+O1954+P1954+Q1954</f>
        <v>418119</v>
      </c>
      <c r="M1954" s="596">
        <v>400000</v>
      </c>
      <c r="N1954" s="675"/>
      <c r="O1954" s="887">
        <v>11594</v>
      </c>
      <c r="P1954" s="597"/>
      <c r="Q1954" s="597">
        <v>6525</v>
      </c>
      <c r="R1954" s="599">
        <f>M1954/J1954</f>
        <v>25000</v>
      </c>
      <c r="S1954" s="586">
        <f t="shared" si="269"/>
        <v>0</v>
      </c>
      <c r="T1954" s="588"/>
      <c r="U1954" s="589"/>
      <c r="V1954" s="589"/>
      <c r="W1954" s="600"/>
      <c r="Y1954" s="600">
        <f t="shared" si="265"/>
        <v>418119</v>
      </c>
    </row>
    <row r="1955" spans="1:25" ht="37.5" hidden="1">
      <c r="A1955" s="714">
        <f>A1954+1</f>
        <v>443</v>
      </c>
      <c r="B1955" s="592" t="s">
        <v>3375</v>
      </c>
      <c r="C1955" s="593" t="s">
        <v>3814</v>
      </c>
      <c r="D1955" s="594">
        <v>3901</v>
      </c>
      <c r="E1955" s="594">
        <v>890</v>
      </c>
      <c r="F1955" s="594" t="s">
        <v>222</v>
      </c>
      <c r="G1955" s="594">
        <v>724</v>
      </c>
      <c r="H1955" s="594">
        <v>2</v>
      </c>
      <c r="I1955" s="594">
        <v>4</v>
      </c>
      <c r="J1955" s="594">
        <v>16</v>
      </c>
      <c r="K1955" s="588" t="s">
        <v>30</v>
      </c>
      <c r="L1955" s="584">
        <f t="shared" si="270"/>
        <v>417800</v>
      </c>
      <c r="M1955" s="596">
        <v>400000</v>
      </c>
      <c r="N1955" s="675"/>
      <c r="O1955" s="887">
        <v>11275</v>
      </c>
      <c r="P1955" s="597"/>
      <c r="Q1955" s="597">
        <v>6525</v>
      </c>
      <c r="R1955" s="599">
        <f>M1955/J1955</f>
        <v>25000</v>
      </c>
      <c r="S1955" s="586">
        <f t="shared" si="269"/>
        <v>0</v>
      </c>
      <c r="T1955" s="588"/>
      <c r="U1955" s="589"/>
      <c r="V1955" s="589"/>
      <c r="W1955" s="600"/>
      <c r="Y1955" s="600">
        <f t="shared" si="265"/>
        <v>417800</v>
      </c>
    </row>
    <row r="1956" spans="1:25" ht="37.5" hidden="1">
      <c r="A1956" s="714">
        <f t="shared" ref="A1956:A1971" si="271">A1955+1</f>
        <v>444</v>
      </c>
      <c r="B1956" s="592" t="s">
        <v>3376</v>
      </c>
      <c r="C1956" s="593" t="s">
        <v>3814</v>
      </c>
      <c r="D1956" s="594">
        <v>3872</v>
      </c>
      <c r="E1956" s="594">
        <v>890</v>
      </c>
      <c r="F1956" s="594" t="s">
        <v>222</v>
      </c>
      <c r="G1956" s="594">
        <v>719</v>
      </c>
      <c r="H1956" s="594">
        <v>2</v>
      </c>
      <c r="I1956" s="594">
        <v>4</v>
      </c>
      <c r="J1956" s="594">
        <v>16</v>
      </c>
      <c r="K1956" s="588" t="s">
        <v>30</v>
      </c>
      <c r="L1956" s="584">
        <f t="shared" si="270"/>
        <v>417774</v>
      </c>
      <c r="M1956" s="596">
        <v>400000</v>
      </c>
      <c r="N1956" s="675"/>
      <c r="O1956" s="887">
        <v>11249</v>
      </c>
      <c r="P1956" s="597"/>
      <c r="Q1956" s="597">
        <v>6525</v>
      </c>
      <c r="R1956" s="599">
        <f>M1956/J1956</f>
        <v>25000</v>
      </c>
      <c r="S1956" s="586">
        <f t="shared" si="269"/>
        <v>0</v>
      </c>
      <c r="T1956" s="588"/>
      <c r="U1956" s="589"/>
      <c r="V1956" s="589"/>
      <c r="W1956" s="600"/>
      <c r="Y1956" s="600">
        <f t="shared" si="265"/>
        <v>417774</v>
      </c>
    </row>
    <row r="1957" spans="1:25" ht="37.5" hidden="1">
      <c r="A1957" s="714">
        <f t="shared" si="271"/>
        <v>445</v>
      </c>
      <c r="B1957" s="592" t="s">
        <v>3807</v>
      </c>
      <c r="C1957" s="593" t="s">
        <v>3814</v>
      </c>
      <c r="D1957" s="594">
        <v>2387</v>
      </c>
      <c r="E1957" s="594">
        <v>620</v>
      </c>
      <c r="F1957" s="594" t="s">
        <v>222</v>
      </c>
      <c r="G1957" s="594">
        <v>485</v>
      </c>
      <c r="H1957" s="594">
        <v>2</v>
      </c>
      <c r="I1957" s="594">
        <v>2</v>
      </c>
      <c r="J1957" s="594">
        <v>16</v>
      </c>
      <c r="K1957" s="588" t="s">
        <v>30</v>
      </c>
      <c r="L1957" s="584">
        <f t="shared" si="270"/>
        <v>417803</v>
      </c>
      <c r="M1957" s="596">
        <v>400000</v>
      </c>
      <c r="N1957" s="675"/>
      <c r="O1957" s="887">
        <v>11278</v>
      </c>
      <c r="P1957" s="597"/>
      <c r="Q1957" s="597">
        <v>6525</v>
      </c>
      <c r="R1957" s="599">
        <f>M1957/J1957</f>
        <v>25000</v>
      </c>
      <c r="S1957" s="586">
        <f t="shared" si="269"/>
        <v>0</v>
      </c>
      <c r="T1957" s="588"/>
      <c r="U1957" s="589"/>
      <c r="V1957" s="589"/>
      <c r="W1957" s="600"/>
      <c r="Y1957" s="600">
        <f t="shared" si="265"/>
        <v>417803</v>
      </c>
    </row>
    <row r="1958" spans="1:25" ht="37.5" hidden="1">
      <c r="A1958" s="714">
        <f t="shared" si="271"/>
        <v>446</v>
      </c>
      <c r="B1958" s="592" t="s">
        <v>617</v>
      </c>
      <c r="C1958" s="593" t="s">
        <v>271</v>
      </c>
      <c r="D1958" s="594">
        <v>36525</v>
      </c>
      <c r="E1958" s="594">
        <v>4955</v>
      </c>
      <c r="F1958" s="594" t="s">
        <v>233</v>
      </c>
      <c r="G1958" s="594">
        <v>1818.1</v>
      </c>
      <c r="H1958" s="594">
        <v>10</v>
      </c>
      <c r="I1958" s="594">
        <v>1</v>
      </c>
      <c r="J1958" s="594">
        <v>34</v>
      </c>
      <c r="K1958" s="588" t="s">
        <v>30</v>
      </c>
      <c r="L1958" s="584">
        <f t="shared" si="270"/>
        <v>1150222</v>
      </c>
      <c r="M1958" s="596">
        <v>1088000</v>
      </c>
      <c r="N1958" s="675"/>
      <c r="O1958" s="631">
        <v>22222</v>
      </c>
      <c r="P1958" s="597"/>
      <c r="Q1958" s="597">
        <v>40000</v>
      </c>
      <c r="R1958" s="599">
        <f>M1958/J1958</f>
        <v>32000</v>
      </c>
      <c r="S1958" s="586">
        <f t="shared" si="269"/>
        <v>0</v>
      </c>
      <c r="T1958" s="588"/>
      <c r="U1958" s="589"/>
      <c r="V1958" s="589"/>
      <c r="W1958" s="600"/>
      <c r="Y1958" s="600">
        <f t="shared" si="265"/>
        <v>1150222</v>
      </c>
    </row>
    <row r="1959" spans="1:25" hidden="1">
      <c r="A1959" s="714">
        <f t="shared" si="271"/>
        <v>447</v>
      </c>
      <c r="B1959" s="592" t="s">
        <v>4078</v>
      </c>
      <c r="C1959" s="593" t="s">
        <v>271</v>
      </c>
      <c r="D1959" s="594">
        <v>15337</v>
      </c>
      <c r="E1959" s="594">
        <v>2445</v>
      </c>
      <c r="F1959" s="594" t="s">
        <v>233</v>
      </c>
      <c r="G1959" s="594">
        <v>1030</v>
      </c>
      <c r="H1959" s="594">
        <v>5</v>
      </c>
      <c r="I1959" s="594">
        <v>4</v>
      </c>
      <c r="J1959" s="594">
        <v>68</v>
      </c>
      <c r="K1959" s="588" t="s">
        <v>33</v>
      </c>
      <c r="L1959" s="584">
        <f t="shared" si="270"/>
        <v>2210936</v>
      </c>
      <c r="M1959" s="596">
        <v>2163000</v>
      </c>
      <c r="N1959" s="675"/>
      <c r="O1959" s="887">
        <v>27936</v>
      </c>
      <c r="P1959" s="597"/>
      <c r="Q1959" s="597">
        <v>20000</v>
      </c>
      <c r="R1959" s="599">
        <f>M1959/G1959</f>
        <v>2100</v>
      </c>
      <c r="S1959" s="586">
        <f t="shared" si="269"/>
        <v>0</v>
      </c>
      <c r="T1959" s="588"/>
      <c r="U1959" s="589"/>
      <c r="V1959" s="589"/>
      <c r="W1959" s="600"/>
      <c r="Y1959" s="600">
        <f t="shared" si="265"/>
        <v>2210936</v>
      </c>
    </row>
    <row r="1960" spans="1:25" ht="37.5" hidden="1">
      <c r="A1960" s="714">
        <f t="shared" si="271"/>
        <v>448</v>
      </c>
      <c r="B1960" s="592" t="s">
        <v>3391</v>
      </c>
      <c r="C1960" s="593" t="s">
        <v>3814</v>
      </c>
      <c r="D1960" s="594">
        <v>4127</v>
      </c>
      <c r="E1960" s="594">
        <v>840</v>
      </c>
      <c r="F1960" s="594" t="s">
        <v>222</v>
      </c>
      <c r="G1960" s="594">
        <v>559</v>
      </c>
      <c r="H1960" s="594">
        <v>2</v>
      </c>
      <c r="I1960" s="594">
        <v>2</v>
      </c>
      <c r="J1960" s="594">
        <v>18</v>
      </c>
      <c r="K1960" s="588" t="s">
        <v>30</v>
      </c>
      <c r="L1960" s="584">
        <f t="shared" si="270"/>
        <v>474188</v>
      </c>
      <c r="M1960" s="596">
        <v>450000</v>
      </c>
      <c r="N1960" s="675"/>
      <c r="O1960" s="887">
        <v>13002</v>
      </c>
      <c r="P1960" s="597"/>
      <c r="Q1960" s="597">
        <v>11186</v>
      </c>
      <c r="R1960" s="599">
        <f>M1960/J1960</f>
        <v>25000</v>
      </c>
      <c r="S1960" s="586">
        <f t="shared" si="269"/>
        <v>0</v>
      </c>
      <c r="T1960" s="588"/>
      <c r="U1960" s="589"/>
      <c r="V1960" s="589"/>
      <c r="W1960" s="600"/>
      <c r="Y1960" s="600">
        <f t="shared" si="265"/>
        <v>474188</v>
      </c>
    </row>
    <row r="1961" spans="1:25" ht="37.5" hidden="1">
      <c r="A1961" s="714">
        <f t="shared" si="271"/>
        <v>449</v>
      </c>
      <c r="B1961" s="592" t="s">
        <v>3392</v>
      </c>
      <c r="C1961" s="593" t="s">
        <v>3814</v>
      </c>
      <c r="D1961" s="594">
        <v>4951</v>
      </c>
      <c r="E1961" s="594">
        <v>1002</v>
      </c>
      <c r="F1961" s="594" t="s">
        <v>222</v>
      </c>
      <c r="G1961" s="594">
        <v>864</v>
      </c>
      <c r="H1961" s="594">
        <v>2</v>
      </c>
      <c r="I1961" s="594">
        <v>2</v>
      </c>
      <c r="J1961" s="594">
        <v>18</v>
      </c>
      <c r="K1961" s="588" t="s">
        <v>30</v>
      </c>
      <c r="L1961" s="584">
        <f t="shared" si="270"/>
        <v>475004</v>
      </c>
      <c r="M1961" s="596">
        <v>450000</v>
      </c>
      <c r="N1961" s="675"/>
      <c r="O1961" s="887">
        <v>13818</v>
      </c>
      <c r="P1961" s="597"/>
      <c r="Q1961" s="597">
        <v>11186</v>
      </c>
      <c r="R1961" s="599">
        <f>M1961/J1961</f>
        <v>25000</v>
      </c>
      <c r="S1961" s="586">
        <f t="shared" si="269"/>
        <v>0</v>
      </c>
      <c r="T1961" s="588"/>
      <c r="U1961" s="589"/>
      <c r="V1961" s="589"/>
      <c r="W1961" s="600"/>
      <c r="Y1961" s="600">
        <f t="shared" si="265"/>
        <v>475004</v>
      </c>
    </row>
    <row r="1962" spans="1:25" ht="37.5" hidden="1">
      <c r="A1962" s="714">
        <f t="shared" si="271"/>
        <v>450</v>
      </c>
      <c r="B1962" s="592" t="s">
        <v>3393</v>
      </c>
      <c r="C1962" s="593" t="s">
        <v>3814</v>
      </c>
      <c r="D1962" s="594">
        <v>4490</v>
      </c>
      <c r="E1962" s="594">
        <v>877</v>
      </c>
      <c r="F1962" s="594" t="s">
        <v>222</v>
      </c>
      <c r="G1962" s="594">
        <v>465</v>
      </c>
      <c r="H1962" s="594">
        <v>2</v>
      </c>
      <c r="I1962" s="594">
        <v>2</v>
      </c>
      <c r="J1962" s="594">
        <v>18</v>
      </c>
      <c r="K1962" s="588" t="s">
        <v>30</v>
      </c>
      <c r="L1962" s="584">
        <f t="shared" si="270"/>
        <v>474547</v>
      </c>
      <c r="M1962" s="596">
        <v>450000</v>
      </c>
      <c r="N1962" s="675"/>
      <c r="O1962" s="887">
        <v>13361</v>
      </c>
      <c r="P1962" s="597"/>
      <c r="Q1962" s="597">
        <v>11186</v>
      </c>
      <c r="R1962" s="599">
        <f>M1962/J1962</f>
        <v>25000</v>
      </c>
      <c r="S1962" s="586">
        <f t="shared" si="269"/>
        <v>0</v>
      </c>
      <c r="T1962" s="588"/>
      <c r="U1962" s="589"/>
      <c r="V1962" s="589"/>
      <c r="W1962" s="600"/>
      <c r="Y1962" s="600">
        <f>M1962+N1962+O1962+P1962+Q1962</f>
        <v>474547</v>
      </c>
    </row>
    <row r="1963" spans="1:25" hidden="1">
      <c r="A1963" s="714">
        <f t="shared" si="271"/>
        <v>451</v>
      </c>
      <c r="B1963" s="592" t="s">
        <v>3816</v>
      </c>
      <c r="C1963" s="593" t="s">
        <v>271</v>
      </c>
      <c r="D1963" s="594">
        <v>16902</v>
      </c>
      <c r="E1963" s="594">
        <v>2400</v>
      </c>
      <c r="F1963" s="594" t="s">
        <v>233</v>
      </c>
      <c r="G1963" s="594">
        <v>1029</v>
      </c>
      <c r="H1963" s="594">
        <v>5</v>
      </c>
      <c r="I1963" s="594">
        <v>4</v>
      </c>
      <c r="J1963" s="594">
        <v>48</v>
      </c>
      <c r="K1963" s="590" t="s">
        <v>33</v>
      </c>
      <c r="L1963" s="562">
        <f t="shared" si="270"/>
        <v>2209550</v>
      </c>
      <c r="M1963" s="596">
        <v>2160900</v>
      </c>
      <c r="N1963" s="675"/>
      <c r="O1963" s="631">
        <v>28650</v>
      </c>
      <c r="P1963" s="597"/>
      <c r="Q1963" s="597">
        <v>20000</v>
      </c>
      <c r="R1963" s="582">
        <f>M1963/G1963</f>
        <v>2100</v>
      </c>
      <c r="S1963" s="586">
        <f t="shared" si="269"/>
        <v>0</v>
      </c>
      <c r="T1963" s="588"/>
      <c r="U1963" s="589"/>
      <c r="V1963" s="589"/>
      <c r="W1963" s="600"/>
      <c r="Y1963" s="600">
        <f t="shared" ref="Y1963:Y2026" si="272">M1963+N1963+O1963+P1963+Q1963</f>
        <v>2209550</v>
      </c>
    </row>
    <row r="1964" spans="1:25" ht="37.5" hidden="1">
      <c r="A1964" s="714">
        <f t="shared" si="271"/>
        <v>452</v>
      </c>
      <c r="B1964" s="592" t="s">
        <v>3404</v>
      </c>
      <c r="C1964" s="593" t="s">
        <v>3814</v>
      </c>
      <c r="D1964" s="594">
        <v>2540</v>
      </c>
      <c r="E1964" s="594">
        <v>485</v>
      </c>
      <c r="F1964" s="594" t="s">
        <v>222</v>
      </c>
      <c r="G1964" s="594">
        <v>505</v>
      </c>
      <c r="H1964" s="594">
        <v>2</v>
      </c>
      <c r="I1964" s="594">
        <v>2</v>
      </c>
      <c r="J1964" s="594">
        <v>17</v>
      </c>
      <c r="K1964" s="588" t="s">
        <v>30</v>
      </c>
      <c r="L1964" s="584">
        <f t="shared" si="270"/>
        <v>442955</v>
      </c>
      <c r="M1964" s="596">
        <v>425000</v>
      </c>
      <c r="N1964" s="675"/>
      <c r="O1964" s="887">
        <v>11430</v>
      </c>
      <c r="P1964" s="597"/>
      <c r="Q1964" s="597">
        <v>6525</v>
      </c>
      <c r="R1964" s="599">
        <f>M1964/J1964</f>
        <v>25000</v>
      </c>
      <c r="S1964" s="586">
        <f t="shared" ref="S1964:S1995" si="273">L1964-M1964-N1964-O1964-P1964-Q1964</f>
        <v>0</v>
      </c>
      <c r="T1964" s="588"/>
      <c r="U1964" s="589"/>
      <c r="V1964" s="589"/>
      <c r="W1964" s="600"/>
      <c r="Y1964" s="600">
        <f t="shared" si="272"/>
        <v>442955</v>
      </c>
    </row>
    <row r="1965" spans="1:25" hidden="1">
      <c r="A1965" s="714">
        <f t="shared" si="271"/>
        <v>453</v>
      </c>
      <c r="B1965" s="592" t="s">
        <v>4314</v>
      </c>
      <c r="C1965" s="593" t="s">
        <v>217</v>
      </c>
      <c r="D1965" s="594">
        <v>9278</v>
      </c>
      <c r="E1965" s="594">
        <v>1400</v>
      </c>
      <c r="F1965" s="594" t="s">
        <v>222</v>
      </c>
      <c r="G1965" s="594">
        <v>839</v>
      </c>
      <c r="H1965" s="594">
        <v>5</v>
      </c>
      <c r="I1965" s="594">
        <v>3</v>
      </c>
      <c r="J1965" s="594">
        <v>60</v>
      </c>
      <c r="K1965" s="588" t="s">
        <v>224</v>
      </c>
      <c r="L1965" s="584">
        <f t="shared" si="270"/>
        <v>1362182</v>
      </c>
      <c r="M1965" s="607">
        <v>1320000</v>
      </c>
      <c r="N1965" s="675">
        <v>30517</v>
      </c>
      <c r="O1965" s="887"/>
      <c r="P1965" s="597"/>
      <c r="Q1965" s="597">
        <v>11665</v>
      </c>
      <c r="R1965" s="599">
        <f>M1965/J1965</f>
        <v>22000</v>
      </c>
      <c r="S1965" s="586">
        <f t="shared" si="273"/>
        <v>0</v>
      </c>
      <c r="T1965" s="588"/>
      <c r="U1965" s="589"/>
      <c r="V1965" s="589"/>
      <c r="W1965" s="600"/>
      <c r="Y1965" s="600">
        <f t="shared" si="272"/>
        <v>1362182</v>
      </c>
    </row>
    <row r="1966" spans="1:25" hidden="1">
      <c r="A1966" s="714">
        <f t="shared" si="271"/>
        <v>454</v>
      </c>
      <c r="B1966" s="1011" t="s">
        <v>3792</v>
      </c>
      <c r="C1966" s="593" t="s">
        <v>3718</v>
      </c>
      <c r="D1966" s="618">
        <v>2835</v>
      </c>
      <c r="E1966" s="619">
        <v>600</v>
      </c>
      <c r="F1966" s="594" t="s">
        <v>230</v>
      </c>
      <c r="G1966" s="619">
        <v>985.4</v>
      </c>
      <c r="H1966" s="561">
        <v>1</v>
      </c>
      <c r="I1966" s="561">
        <v>1</v>
      </c>
      <c r="J1966" s="650">
        <v>13</v>
      </c>
      <c r="K1966" s="588" t="s">
        <v>284</v>
      </c>
      <c r="L1966" s="584">
        <f t="shared" si="270"/>
        <v>1845699</v>
      </c>
      <c r="M1966" s="596">
        <v>1800000</v>
      </c>
      <c r="N1966" s="575">
        <v>24832</v>
      </c>
      <c r="O1966" s="887"/>
      <c r="P1966" s="597"/>
      <c r="Q1966" s="597">
        <v>20867</v>
      </c>
      <c r="R1966" s="599">
        <f>M1966/E1966</f>
        <v>3000</v>
      </c>
      <c r="S1966" s="586">
        <f t="shared" si="273"/>
        <v>0</v>
      </c>
      <c r="T1966" s="588"/>
      <c r="U1966" s="589"/>
      <c r="V1966" s="589"/>
      <c r="W1966" s="600"/>
      <c r="Y1966" s="600">
        <f t="shared" si="272"/>
        <v>1845699</v>
      </c>
    </row>
    <row r="1967" spans="1:25" ht="37.5" hidden="1">
      <c r="A1967" s="714">
        <f t="shared" si="271"/>
        <v>455</v>
      </c>
      <c r="B1967" s="592" t="s">
        <v>3409</v>
      </c>
      <c r="C1967" s="593" t="s">
        <v>3814</v>
      </c>
      <c r="D1967" s="594">
        <v>4283</v>
      </c>
      <c r="E1967" s="594">
        <v>760</v>
      </c>
      <c r="F1967" s="594" t="s">
        <v>222</v>
      </c>
      <c r="G1967" s="594">
        <v>804</v>
      </c>
      <c r="H1967" s="594">
        <v>2</v>
      </c>
      <c r="I1967" s="594">
        <v>2</v>
      </c>
      <c r="J1967" s="594">
        <v>18</v>
      </c>
      <c r="K1967" s="588" t="s">
        <v>30</v>
      </c>
      <c r="L1967" s="584">
        <f t="shared" si="270"/>
        <v>474342</v>
      </c>
      <c r="M1967" s="596">
        <v>450000</v>
      </c>
      <c r="N1967" s="675"/>
      <c r="O1967" s="887">
        <v>13156</v>
      </c>
      <c r="P1967" s="597"/>
      <c r="Q1967" s="597">
        <v>11186</v>
      </c>
      <c r="R1967" s="599">
        <f>M1967/J1967</f>
        <v>25000</v>
      </c>
      <c r="S1967" s="586">
        <f t="shared" si="273"/>
        <v>0</v>
      </c>
      <c r="T1967" s="588"/>
      <c r="U1967" s="589"/>
      <c r="V1967" s="589"/>
      <c r="W1967" s="600"/>
      <c r="Y1967" s="600">
        <f t="shared" si="272"/>
        <v>474342</v>
      </c>
    </row>
    <row r="1968" spans="1:25" ht="37.5" hidden="1">
      <c r="A1968" s="714">
        <f t="shared" si="271"/>
        <v>456</v>
      </c>
      <c r="B1968" s="592" t="s">
        <v>3411</v>
      </c>
      <c r="C1968" s="593" t="s">
        <v>3814</v>
      </c>
      <c r="D1968" s="594">
        <v>3780</v>
      </c>
      <c r="E1968" s="594">
        <v>890</v>
      </c>
      <c r="F1968" s="594" t="s">
        <v>222</v>
      </c>
      <c r="G1968" s="594">
        <v>735</v>
      </c>
      <c r="H1968" s="594">
        <v>2</v>
      </c>
      <c r="I1968" s="594">
        <v>4</v>
      </c>
      <c r="J1968" s="594">
        <v>16</v>
      </c>
      <c r="K1968" s="588" t="s">
        <v>30</v>
      </c>
      <c r="L1968" s="584">
        <f t="shared" si="270"/>
        <v>419183</v>
      </c>
      <c r="M1968" s="596">
        <v>400000</v>
      </c>
      <c r="N1968" s="675"/>
      <c r="O1968" s="887">
        <v>12658</v>
      </c>
      <c r="P1968" s="597"/>
      <c r="Q1968" s="597">
        <v>6525</v>
      </c>
      <c r="R1968" s="599">
        <f>M1968/J1968</f>
        <v>25000</v>
      </c>
      <c r="S1968" s="586">
        <f t="shared" si="273"/>
        <v>0</v>
      </c>
      <c r="T1968" s="588"/>
      <c r="U1968" s="589"/>
      <c r="V1968" s="589"/>
      <c r="W1968" s="600"/>
      <c r="Y1968" s="600">
        <f t="shared" si="272"/>
        <v>419183</v>
      </c>
    </row>
    <row r="1969" spans="1:26" hidden="1">
      <c r="A1969" s="714">
        <f t="shared" si="271"/>
        <v>457</v>
      </c>
      <c r="B1969" s="674" t="s">
        <v>3794</v>
      </c>
      <c r="C1969" s="593" t="s">
        <v>217</v>
      </c>
      <c r="D1969" s="582">
        <v>18231</v>
      </c>
      <c r="E1969" s="582">
        <v>3562</v>
      </c>
      <c r="F1969" s="594" t="s">
        <v>222</v>
      </c>
      <c r="G1969" s="582">
        <v>1877</v>
      </c>
      <c r="H1969" s="582">
        <v>5</v>
      </c>
      <c r="I1969" s="582">
        <v>6</v>
      </c>
      <c r="J1969" s="582">
        <v>120</v>
      </c>
      <c r="K1969" s="588" t="s">
        <v>33</v>
      </c>
      <c r="L1969" s="584">
        <f t="shared" si="270"/>
        <v>6074385</v>
      </c>
      <c r="M1969" s="585">
        <v>6006400</v>
      </c>
      <c r="N1969" s="630"/>
      <c r="O1969" s="887">
        <v>27985</v>
      </c>
      <c r="P1969" s="586"/>
      <c r="Q1969" s="597">
        <v>40000</v>
      </c>
      <c r="R1969" s="599">
        <f>M1969/G1969</f>
        <v>3200</v>
      </c>
      <c r="S1969" s="586">
        <f t="shared" si="273"/>
        <v>0</v>
      </c>
      <c r="T1969" s="588"/>
      <c r="U1969" s="589"/>
      <c r="V1969" s="589"/>
      <c r="W1969" s="600"/>
      <c r="Y1969" s="600">
        <f t="shared" si="272"/>
        <v>6074385</v>
      </c>
    </row>
    <row r="1970" spans="1:26" hidden="1">
      <c r="A1970" s="714">
        <f t="shared" si="271"/>
        <v>458</v>
      </c>
      <c r="B1970" s="592" t="s">
        <v>3379</v>
      </c>
      <c r="C1970" s="593" t="s">
        <v>292</v>
      </c>
      <c r="D1970" s="594">
        <v>4076</v>
      </c>
      <c r="E1970" s="594">
        <v>800</v>
      </c>
      <c r="F1970" s="594" t="s">
        <v>251</v>
      </c>
      <c r="G1970" s="594">
        <v>883</v>
      </c>
      <c r="H1970" s="594">
        <v>2</v>
      </c>
      <c r="I1970" s="594">
        <v>3</v>
      </c>
      <c r="J1970" s="594">
        <v>24</v>
      </c>
      <c r="K1970" s="590" t="s">
        <v>33</v>
      </c>
      <c r="L1970" s="585">
        <f>M1970+N1970+O1970+Q1970</f>
        <v>2273804</v>
      </c>
      <c r="M1970" s="596">
        <v>2257200</v>
      </c>
      <c r="N1970" s="597"/>
      <c r="O1970" s="598">
        <v>2438</v>
      </c>
      <c r="P1970" s="594"/>
      <c r="Q1970" s="597">
        <v>14166</v>
      </c>
      <c r="R1970" s="599">
        <f>M1970/G1970</f>
        <v>2556.2853907134768</v>
      </c>
      <c r="S1970" s="586">
        <f t="shared" si="273"/>
        <v>0</v>
      </c>
      <c r="T1970" s="589"/>
      <c r="U1970" s="560"/>
      <c r="V1970" s="589"/>
      <c r="W1970" s="600"/>
      <c r="Y1970" s="600">
        <f t="shared" si="272"/>
        <v>2273804</v>
      </c>
    </row>
    <row r="1971" spans="1:26" s="114" customFormat="1" hidden="1">
      <c r="A1971" s="714">
        <f t="shared" si="271"/>
        <v>459</v>
      </c>
      <c r="B1971" s="1012" t="s">
        <v>2597</v>
      </c>
      <c r="C1971" s="948" t="s">
        <v>271</v>
      </c>
      <c r="D1971" s="968">
        <v>16717</v>
      </c>
      <c r="E1971" s="947">
        <v>3280</v>
      </c>
      <c r="F1971" s="959" t="s">
        <v>222</v>
      </c>
      <c r="G1971" s="968">
        <v>1339.7</v>
      </c>
      <c r="H1971" s="1013">
        <v>5</v>
      </c>
      <c r="I1971" s="1013">
        <v>5</v>
      </c>
      <c r="J1971" s="1013">
        <v>91</v>
      </c>
      <c r="K1971" s="632" t="s">
        <v>224</v>
      </c>
      <c r="L1971" s="1014">
        <f t="shared" ref="L1971:L1978" si="274">M1971+N1971+O1971+P1971+Q1971</f>
        <v>1782228</v>
      </c>
      <c r="M1971" s="1015">
        <v>1729000</v>
      </c>
      <c r="N1971" s="661">
        <v>33849</v>
      </c>
      <c r="O1971" s="711"/>
      <c r="P1971" s="630"/>
      <c r="Q1971" s="675">
        <v>19379</v>
      </c>
      <c r="R1971" s="957">
        <f t="shared" ref="R1971:R1976" si="275">M1971/J1971</f>
        <v>19000</v>
      </c>
      <c r="S1971" s="586">
        <f t="shared" si="273"/>
        <v>0</v>
      </c>
      <c r="T1971" s="754"/>
      <c r="U1971" s="1016"/>
      <c r="V1971" s="589"/>
      <c r="W1971" s="600"/>
      <c r="X1971" s="1016"/>
      <c r="Y1971" s="600">
        <f t="shared" si="272"/>
        <v>1782228</v>
      </c>
      <c r="Z1971" s="1016"/>
    </row>
    <row r="1972" spans="1:26" s="114" customFormat="1" hidden="1">
      <c r="A1972" s="1017">
        <f t="shared" ref="A1972:A1979" si="276">A1971+1</f>
        <v>460</v>
      </c>
      <c r="B1972" s="1012" t="s">
        <v>3754</v>
      </c>
      <c r="C1972" s="948" t="s">
        <v>271</v>
      </c>
      <c r="D1972" s="968">
        <v>29534</v>
      </c>
      <c r="E1972" s="947">
        <v>4780</v>
      </c>
      <c r="F1972" s="959" t="s">
        <v>233</v>
      </c>
      <c r="G1972" s="968">
        <v>678</v>
      </c>
      <c r="H1972" s="1013">
        <v>14</v>
      </c>
      <c r="I1972" s="1013">
        <v>1</v>
      </c>
      <c r="J1972" s="1013">
        <v>75</v>
      </c>
      <c r="K1972" s="632" t="s">
        <v>224</v>
      </c>
      <c r="L1972" s="1014">
        <f t="shared" si="274"/>
        <v>2181932</v>
      </c>
      <c r="M1972" s="1015">
        <v>2125500</v>
      </c>
      <c r="N1972" s="661">
        <v>36432</v>
      </c>
      <c r="O1972" s="711"/>
      <c r="P1972" s="630"/>
      <c r="Q1972" s="675">
        <v>20000</v>
      </c>
      <c r="R1972" s="957">
        <f t="shared" si="275"/>
        <v>28340</v>
      </c>
      <c r="S1972" s="586">
        <f t="shared" si="273"/>
        <v>0</v>
      </c>
      <c r="T1972" s="754"/>
      <c r="U1972" s="1016"/>
      <c r="V1972" s="589"/>
      <c r="W1972" s="600"/>
      <c r="X1972" s="1016"/>
      <c r="Y1972" s="600">
        <f t="shared" si="272"/>
        <v>2181932</v>
      </c>
      <c r="Z1972" s="1016"/>
    </row>
    <row r="1973" spans="1:26" s="114" customFormat="1" hidden="1">
      <c r="A1973" s="1017">
        <f t="shared" si="276"/>
        <v>461</v>
      </c>
      <c r="B1973" s="1012" t="s">
        <v>3756</v>
      </c>
      <c r="C1973" s="948" t="s">
        <v>217</v>
      </c>
      <c r="D1973" s="968">
        <v>63446</v>
      </c>
      <c r="E1973" s="947">
        <v>9922.5</v>
      </c>
      <c r="F1973" s="959" t="s">
        <v>233</v>
      </c>
      <c r="G1973" s="968">
        <v>2726.6</v>
      </c>
      <c r="H1973" s="1013">
        <v>9</v>
      </c>
      <c r="I1973" s="1013">
        <v>7</v>
      </c>
      <c r="J1973" s="1013">
        <v>223</v>
      </c>
      <c r="K1973" s="632" t="s">
        <v>224</v>
      </c>
      <c r="L1973" s="1014">
        <f t="shared" si="274"/>
        <v>4970751</v>
      </c>
      <c r="M1973" s="1015">
        <v>4906000</v>
      </c>
      <c r="N1973" s="661">
        <v>44951</v>
      </c>
      <c r="O1973" s="711"/>
      <c r="P1973" s="630"/>
      <c r="Q1973" s="675">
        <v>19800</v>
      </c>
      <c r="R1973" s="957">
        <f t="shared" si="275"/>
        <v>22000</v>
      </c>
      <c r="S1973" s="586">
        <f t="shared" si="273"/>
        <v>0</v>
      </c>
      <c r="T1973" s="754"/>
      <c r="U1973" s="1016"/>
      <c r="V1973" s="589"/>
      <c r="W1973" s="600"/>
      <c r="X1973" s="1016"/>
      <c r="Y1973" s="600">
        <f t="shared" si="272"/>
        <v>4970751</v>
      </c>
      <c r="Z1973" s="1016"/>
    </row>
    <row r="1974" spans="1:26" s="114" customFormat="1" hidden="1">
      <c r="A1974" s="1017">
        <f t="shared" si="276"/>
        <v>462</v>
      </c>
      <c r="B1974" s="1018" t="s">
        <v>3846</v>
      </c>
      <c r="C1974" s="948" t="s">
        <v>271</v>
      </c>
      <c r="D1974" s="947">
        <v>12352</v>
      </c>
      <c r="E1974" s="947">
        <v>1029</v>
      </c>
      <c r="F1974" s="947" t="s">
        <v>222</v>
      </c>
      <c r="G1974" s="947">
        <v>1141</v>
      </c>
      <c r="H1974" s="947">
        <v>5</v>
      </c>
      <c r="I1974" s="947">
        <v>4</v>
      </c>
      <c r="J1974" s="947">
        <v>80</v>
      </c>
      <c r="K1974" s="1019" t="s">
        <v>224</v>
      </c>
      <c r="L1974" s="1014">
        <f t="shared" si="274"/>
        <v>1324492</v>
      </c>
      <c r="M1974" s="1020">
        <v>1280000</v>
      </c>
      <c r="N1974" s="675">
        <v>32219</v>
      </c>
      <c r="O1974" s="887"/>
      <c r="P1974" s="675"/>
      <c r="Q1974" s="675">
        <v>12273</v>
      </c>
      <c r="R1974" s="957">
        <f t="shared" si="275"/>
        <v>16000</v>
      </c>
      <c r="S1974" s="586">
        <f t="shared" si="273"/>
        <v>0</v>
      </c>
      <c r="T1974" s="754"/>
      <c r="U1974" s="1016"/>
      <c r="V1974" s="589"/>
      <c r="W1974" s="600"/>
      <c r="X1974" s="1016"/>
      <c r="Y1974" s="600">
        <f t="shared" si="272"/>
        <v>1324492</v>
      </c>
      <c r="Z1974" s="1016"/>
    </row>
    <row r="1975" spans="1:26" s="114" customFormat="1" ht="37.5" hidden="1">
      <c r="A1975" s="1017">
        <f t="shared" si="276"/>
        <v>463</v>
      </c>
      <c r="B1975" s="1018" t="s">
        <v>3870</v>
      </c>
      <c r="C1975" s="948" t="s">
        <v>271</v>
      </c>
      <c r="D1975" s="947">
        <f>40190+27889+15472+14533</f>
        <v>98084</v>
      </c>
      <c r="E1975" s="947">
        <f>1288*4</f>
        <v>5152</v>
      </c>
      <c r="F1975" s="947" t="s">
        <v>233</v>
      </c>
      <c r="G1975" s="947">
        <f>1288*4</f>
        <v>5152</v>
      </c>
      <c r="H1975" s="947">
        <v>13</v>
      </c>
      <c r="I1975" s="947">
        <f>2+2+1+1</f>
        <v>6</v>
      </c>
      <c r="J1975" s="947">
        <v>254</v>
      </c>
      <c r="K1975" s="1019" t="s">
        <v>30</v>
      </c>
      <c r="L1975" s="1014">
        <f t="shared" si="274"/>
        <v>8199110</v>
      </c>
      <c r="M1975" s="1020">
        <v>8128000</v>
      </c>
      <c r="N1975" s="675"/>
      <c r="O1975" s="887">
        <v>31110</v>
      </c>
      <c r="P1975" s="675"/>
      <c r="Q1975" s="675">
        <v>40000</v>
      </c>
      <c r="R1975" s="957">
        <f t="shared" si="275"/>
        <v>32000</v>
      </c>
      <c r="S1975" s="586">
        <f t="shared" si="273"/>
        <v>0</v>
      </c>
      <c r="T1975" s="754"/>
      <c r="U1975" s="1016"/>
      <c r="V1975" s="589"/>
      <c r="W1975" s="600"/>
      <c r="X1975" s="1016"/>
      <c r="Y1975" s="600">
        <f t="shared" si="272"/>
        <v>8199110</v>
      </c>
      <c r="Z1975" s="1016"/>
    </row>
    <row r="1976" spans="1:26" s="114" customFormat="1" hidden="1">
      <c r="A1976" s="1017">
        <f t="shared" si="276"/>
        <v>464</v>
      </c>
      <c r="B1976" s="1018" t="s">
        <v>3357</v>
      </c>
      <c r="C1976" s="948" t="s">
        <v>271</v>
      </c>
      <c r="D1976" s="957">
        <v>102151</v>
      </c>
      <c r="E1976" s="996">
        <v>16819</v>
      </c>
      <c r="F1976" s="959" t="s">
        <v>233</v>
      </c>
      <c r="G1976" s="996">
        <v>3855</v>
      </c>
      <c r="H1976" s="996">
        <v>9</v>
      </c>
      <c r="I1976" s="957">
        <v>11</v>
      </c>
      <c r="J1976" s="957">
        <v>366</v>
      </c>
      <c r="K1976" s="629" t="s">
        <v>224</v>
      </c>
      <c r="L1976" s="1014">
        <f t="shared" si="274"/>
        <v>8574843</v>
      </c>
      <c r="M1976" s="1021">
        <v>8500000</v>
      </c>
      <c r="N1976" s="952">
        <v>54843</v>
      </c>
      <c r="O1976" s="631"/>
      <c r="P1976" s="630"/>
      <c r="Q1976" s="675">
        <v>20000</v>
      </c>
      <c r="R1976" s="957">
        <f t="shared" si="275"/>
        <v>23224.043715846994</v>
      </c>
      <c r="S1976" s="586">
        <f t="shared" si="273"/>
        <v>0</v>
      </c>
      <c r="T1976" s="754"/>
      <c r="U1976" s="1016"/>
      <c r="V1976" s="589"/>
      <c r="W1976" s="600"/>
      <c r="X1976" s="1016"/>
      <c r="Y1976" s="600">
        <f t="shared" si="272"/>
        <v>8574843</v>
      </c>
      <c r="Z1976" s="1016"/>
    </row>
    <row r="1977" spans="1:26" s="114" customFormat="1" ht="37.5" hidden="1">
      <c r="A1977" s="1017">
        <f t="shared" si="276"/>
        <v>465</v>
      </c>
      <c r="B1977" s="1018" t="s">
        <v>1481</v>
      </c>
      <c r="C1977" s="948" t="s">
        <v>217</v>
      </c>
      <c r="D1977" s="947">
        <v>12947</v>
      </c>
      <c r="E1977" s="947">
        <v>2202</v>
      </c>
      <c r="F1977" s="947" t="s">
        <v>233</v>
      </c>
      <c r="G1977" s="947">
        <v>1137</v>
      </c>
      <c r="H1977" s="947">
        <v>5</v>
      </c>
      <c r="I1977" s="947">
        <v>4</v>
      </c>
      <c r="J1977" s="947">
        <v>77</v>
      </c>
      <c r="K1977" s="1019" t="s">
        <v>284</v>
      </c>
      <c r="L1977" s="1014">
        <f t="shared" si="274"/>
        <v>7059589</v>
      </c>
      <c r="M1977" s="1020">
        <v>7000000</v>
      </c>
      <c r="N1977" s="675">
        <v>29589</v>
      </c>
      <c r="O1977" s="887"/>
      <c r="P1977" s="675"/>
      <c r="Q1977" s="675">
        <v>30000</v>
      </c>
      <c r="R1977" s="964">
        <f>M1977/E1977</f>
        <v>3178.928247048138</v>
      </c>
      <c r="S1977" s="586">
        <f t="shared" si="273"/>
        <v>0</v>
      </c>
      <c r="T1977" s="754"/>
      <c r="U1977" s="1016"/>
      <c r="V1977" s="589"/>
      <c r="W1977" s="600"/>
      <c r="X1977" s="1016"/>
      <c r="Y1977" s="600">
        <f t="shared" si="272"/>
        <v>7059589</v>
      </c>
      <c r="Z1977" s="1016"/>
    </row>
    <row r="1978" spans="1:26" s="114" customFormat="1" hidden="1">
      <c r="A1978" s="1017">
        <f t="shared" si="276"/>
        <v>466</v>
      </c>
      <c r="B1978" s="1018" t="s">
        <v>2439</v>
      </c>
      <c r="C1978" s="948" t="s">
        <v>217</v>
      </c>
      <c r="D1978" s="1022">
        <v>12446</v>
      </c>
      <c r="E1978" s="947">
        <v>3030</v>
      </c>
      <c r="F1978" s="947" t="s">
        <v>222</v>
      </c>
      <c r="G1978" s="947">
        <v>1140</v>
      </c>
      <c r="H1978" s="947">
        <v>5</v>
      </c>
      <c r="I1978" s="947">
        <v>4</v>
      </c>
      <c r="J1978" s="947">
        <v>80</v>
      </c>
      <c r="K1978" s="632" t="s">
        <v>33</v>
      </c>
      <c r="L1978" s="1014">
        <f t="shared" si="274"/>
        <v>3258337</v>
      </c>
      <c r="M1978" s="1020">
        <v>3192000</v>
      </c>
      <c r="N1978" s="675"/>
      <c r="O1978" s="887">
        <v>27772</v>
      </c>
      <c r="P1978" s="675"/>
      <c r="Q1978" s="675">
        <v>38565</v>
      </c>
      <c r="R1978" s="571">
        <f>M1978/G1978</f>
        <v>2800</v>
      </c>
      <c r="S1978" s="586">
        <f t="shared" si="273"/>
        <v>0</v>
      </c>
      <c r="T1978" s="754"/>
      <c r="U1978" s="1016"/>
      <c r="V1978" s="589"/>
      <c r="W1978" s="600"/>
      <c r="X1978" s="1016"/>
      <c r="Y1978" s="600">
        <f t="shared" si="272"/>
        <v>3258337</v>
      </c>
      <c r="Z1978" s="1016"/>
    </row>
    <row r="1979" spans="1:26" s="114" customFormat="1" ht="37.5" hidden="1">
      <c r="A1979" s="1402">
        <f t="shared" si="276"/>
        <v>467</v>
      </c>
      <c r="B1979" s="1018" t="s">
        <v>3989</v>
      </c>
      <c r="C1979" s="1016" t="s">
        <v>221</v>
      </c>
      <c r="D1979" s="948">
        <v>7105.1</v>
      </c>
      <c r="E1979" s="947">
        <v>4726</v>
      </c>
      <c r="F1979" s="947" t="s">
        <v>222</v>
      </c>
      <c r="G1979" s="947">
        <v>460</v>
      </c>
      <c r="H1979" s="947">
        <v>8</v>
      </c>
      <c r="I1979" s="947">
        <v>5</v>
      </c>
      <c r="J1979" s="947">
        <v>56</v>
      </c>
      <c r="K1979" s="1016" t="s">
        <v>3990</v>
      </c>
      <c r="L1979" s="1014">
        <f>M1979+N1979+O1979+P1979+Q1979+Q1980+P1980+O1980+N1980+M1980</f>
        <v>3935345</v>
      </c>
      <c r="M1979" s="1020">
        <v>1840000</v>
      </c>
      <c r="N1979" s="675">
        <v>30805</v>
      </c>
      <c r="O1979" s="887"/>
      <c r="P1979" s="947"/>
      <c r="Q1979" s="675">
        <v>12423</v>
      </c>
      <c r="R1979" s="964">
        <f>M1979/G1979</f>
        <v>4000</v>
      </c>
      <c r="S1979" s="586">
        <f t="shared" si="273"/>
        <v>2052117</v>
      </c>
      <c r="T1979" s="754"/>
      <c r="U1979" s="1016"/>
      <c r="V1979" s="589"/>
      <c r="W1979" s="600"/>
      <c r="X1979" s="1016"/>
      <c r="Y1979" s="600">
        <f t="shared" si="272"/>
        <v>1883228</v>
      </c>
      <c r="Z1979" s="1016"/>
    </row>
    <row r="1980" spans="1:26" s="114" customFormat="1" ht="37.5" hidden="1">
      <c r="A1980" s="1402"/>
      <c r="B1980" s="1018"/>
      <c r="C1980" s="948"/>
      <c r="D1980" s="947"/>
      <c r="E1980" s="947"/>
      <c r="F1980" s="947"/>
      <c r="G1980" s="947"/>
      <c r="H1980" s="947"/>
      <c r="I1980" s="947"/>
      <c r="J1980" s="947"/>
      <c r="K1980" s="632" t="s">
        <v>3991</v>
      </c>
      <c r="L1980" s="1014"/>
      <c r="M1980" s="1020">
        <v>2000000</v>
      </c>
      <c r="N1980" s="675">
        <v>36445</v>
      </c>
      <c r="O1980" s="887"/>
      <c r="P1980" s="947"/>
      <c r="Q1980" s="675">
        <v>15672</v>
      </c>
      <c r="R1980" s="964">
        <f>M1980/E1979</f>
        <v>423.19085907744392</v>
      </c>
      <c r="S1980" s="586">
        <f t="shared" si="273"/>
        <v>-2052117</v>
      </c>
      <c r="T1980" s="754"/>
      <c r="U1980" s="1016"/>
      <c r="V1980" s="589"/>
      <c r="W1980" s="600"/>
      <c r="X1980" s="1016"/>
      <c r="Y1980" s="600">
        <f t="shared" si="272"/>
        <v>2052117</v>
      </c>
      <c r="Z1980" s="1016"/>
    </row>
    <row r="1981" spans="1:26" s="114" customFormat="1" ht="37.5" hidden="1">
      <c r="A1981" s="1402">
        <f>A1979+1</f>
        <v>468</v>
      </c>
      <c r="B1981" s="1018" t="s">
        <v>3992</v>
      </c>
      <c r="C1981" s="948" t="s">
        <v>221</v>
      </c>
      <c r="D1981" s="947">
        <v>6640</v>
      </c>
      <c r="E1981" s="947">
        <v>4844</v>
      </c>
      <c r="F1981" s="947" t="s">
        <v>222</v>
      </c>
      <c r="G1981" s="947">
        <v>460</v>
      </c>
      <c r="H1981" s="947">
        <v>8</v>
      </c>
      <c r="I1981" s="947">
        <v>5</v>
      </c>
      <c r="J1981" s="947">
        <v>52</v>
      </c>
      <c r="K1981" s="632" t="s">
        <v>3990</v>
      </c>
      <c r="L1981" s="1014">
        <f>M1981+M1982+N1982+N1981+O1981+O1982+P1982+P1981+Q1981+Q1982</f>
        <v>3933458</v>
      </c>
      <c r="M1981" s="1020">
        <v>1840000</v>
      </c>
      <c r="N1981" s="675">
        <v>30758</v>
      </c>
      <c r="O1981" s="887"/>
      <c r="P1981" s="947"/>
      <c r="Q1981" s="675">
        <v>11609</v>
      </c>
      <c r="R1981" s="964">
        <f>M1981/G1981</f>
        <v>4000</v>
      </c>
      <c r="S1981" s="586">
        <f t="shared" si="273"/>
        <v>2051091</v>
      </c>
      <c r="T1981" s="754"/>
      <c r="U1981" s="1016"/>
      <c r="V1981" s="589"/>
      <c r="W1981" s="600"/>
      <c r="X1981" s="1016"/>
      <c r="Y1981" s="600">
        <f t="shared" si="272"/>
        <v>1882367</v>
      </c>
      <c r="Z1981" s="1016"/>
    </row>
    <row r="1982" spans="1:26" s="114" customFormat="1" ht="37.5" hidden="1">
      <c r="A1982" s="1402"/>
      <c r="B1982" s="1018"/>
      <c r="C1982" s="948"/>
      <c r="D1982" s="947"/>
      <c r="E1982" s="947"/>
      <c r="F1982" s="947"/>
      <c r="G1982" s="947"/>
      <c r="H1982" s="947"/>
      <c r="I1982" s="947"/>
      <c r="J1982" s="947"/>
      <c r="K1982" s="632" t="s">
        <v>3991</v>
      </c>
      <c r="L1982" s="1014"/>
      <c r="M1982" s="1020">
        <v>2000000</v>
      </c>
      <c r="N1982" s="675">
        <v>36445</v>
      </c>
      <c r="O1982" s="887"/>
      <c r="P1982" s="947"/>
      <c r="Q1982" s="675">
        <v>14646</v>
      </c>
      <c r="R1982" s="964">
        <f>M1982/E1981</f>
        <v>412.8819157720892</v>
      </c>
      <c r="S1982" s="586">
        <f t="shared" si="273"/>
        <v>-2051091</v>
      </c>
      <c r="T1982" s="754"/>
      <c r="U1982" s="1016"/>
      <c r="V1982" s="589"/>
      <c r="W1982" s="600"/>
      <c r="X1982" s="1016"/>
      <c r="Y1982" s="600">
        <f t="shared" si="272"/>
        <v>2051091</v>
      </c>
      <c r="Z1982" s="1016"/>
    </row>
    <row r="1983" spans="1:26" s="114" customFormat="1" hidden="1">
      <c r="A1983" s="1402">
        <f>A1981+1</f>
        <v>469</v>
      </c>
      <c r="B1983" s="1023" t="s">
        <v>3993</v>
      </c>
      <c r="C1983" s="948" t="s">
        <v>217</v>
      </c>
      <c r="D1983" s="957">
        <v>12332</v>
      </c>
      <c r="E1983" s="957">
        <v>3440</v>
      </c>
      <c r="F1983" s="947" t="s">
        <v>222</v>
      </c>
      <c r="G1983" s="957">
        <v>1154</v>
      </c>
      <c r="H1983" s="957">
        <v>5</v>
      </c>
      <c r="I1983" s="957">
        <v>4</v>
      </c>
      <c r="J1983" s="957">
        <v>80</v>
      </c>
      <c r="K1983" s="1019" t="s">
        <v>33</v>
      </c>
      <c r="L1983" s="1014">
        <f>M1983+M1984+N1984+N1983+O1983+O1984+P1984+P1983+Q1983+Q1984</f>
        <v>10611764</v>
      </c>
      <c r="M1983" s="1020">
        <v>3692800</v>
      </c>
      <c r="N1983" s="675"/>
      <c r="O1983" s="887">
        <v>21472</v>
      </c>
      <c r="P1983" s="947"/>
      <c r="Q1983" s="675">
        <v>38212</v>
      </c>
      <c r="R1983" s="964">
        <f>M1983/G1983</f>
        <v>3200</v>
      </c>
      <c r="S1983" s="586">
        <f t="shared" si="273"/>
        <v>6859280</v>
      </c>
      <c r="T1983" s="754"/>
      <c r="U1983" s="1016"/>
      <c r="V1983" s="589"/>
      <c r="W1983" s="600"/>
      <c r="X1983" s="1016"/>
      <c r="Y1983" s="600">
        <f t="shared" si="272"/>
        <v>3752484</v>
      </c>
      <c r="Z1983" s="1016"/>
    </row>
    <row r="1984" spans="1:26" s="114" customFormat="1" ht="37.5" hidden="1">
      <c r="A1984" s="1402"/>
      <c r="B1984" s="1023"/>
      <c r="C1984" s="948"/>
      <c r="D1984" s="957"/>
      <c r="E1984" s="957"/>
      <c r="F1984" s="947"/>
      <c r="G1984" s="957"/>
      <c r="H1984" s="957"/>
      <c r="I1984" s="957"/>
      <c r="J1984" s="957"/>
      <c r="K1984" s="1019" t="s">
        <v>284</v>
      </c>
      <c r="L1984" s="1014"/>
      <c r="M1984" s="1020">
        <v>6800000</v>
      </c>
      <c r="N1984" s="675">
        <v>29280</v>
      </c>
      <c r="O1984" s="887"/>
      <c r="P1984" s="947"/>
      <c r="Q1984" s="675">
        <v>30000</v>
      </c>
      <c r="R1984" s="964">
        <f>M1984/E1983</f>
        <v>1976.7441860465117</v>
      </c>
      <c r="S1984" s="586">
        <f t="shared" si="273"/>
        <v>-6859280</v>
      </c>
      <c r="T1984" s="754"/>
      <c r="U1984" s="1016"/>
      <c r="V1984" s="589"/>
      <c r="W1984" s="600"/>
      <c r="X1984" s="1016"/>
      <c r="Y1984" s="600">
        <f t="shared" si="272"/>
        <v>6859280</v>
      </c>
      <c r="Z1984" s="1016"/>
    </row>
    <row r="1985" spans="1:26" s="114" customFormat="1" hidden="1">
      <c r="A1985" s="1402">
        <f>A1983+1</f>
        <v>470</v>
      </c>
      <c r="B1985" s="1012" t="s">
        <v>3753</v>
      </c>
      <c r="C1985" s="948" t="s">
        <v>271</v>
      </c>
      <c r="D1985" s="968">
        <v>17824</v>
      </c>
      <c r="E1985" s="947">
        <v>4368</v>
      </c>
      <c r="F1985" s="959" t="s">
        <v>233</v>
      </c>
      <c r="G1985" s="968">
        <v>1057</v>
      </c>
      <c r="H1985" s="1013">
        <v>5</v>
      </c>
      <c r="I1985" s="1013">
        <v>1</v>
      </c>
      <c r="J1985" s="1013">
        <v>187</v>
      </c>
      <c r="K1985" s="632" t="s">
        <v>33</v>
      </c>
      <c r="L1985" s="1020">
        <f>M1985+N1985+O1985+Q1985+N1986+O1986+Q1986+M1986</f>
        <v>6965690</v>
      </c>
      <c r="M1985" s="1015">
        <v>2378250</v>
      </c>
      <c r="N1985" s="661"/>
      <c r="O1985" s="711">
        <v>22787</v>
      </c>
      <c r="P1985" s="630"/>
      <c r="Q1985" s="675">
        <v>20000</v>
      </c>
      <c r="R1985" s="957">
        <f>M1985/G1985</f>
        <v>2250</v>
      </c>
      <c r="S1985" s="586">
        <f t="shared" si="273"/>
        <v>4544653</v>
      </c>
      <c r="T1985" s="754"/>
      <c r="U1985" s="1016"/>
      <c r="V1985" s="589"/>
      <c r="W1985" s="600"/>
      <c r="X1985" s="1016"/>
      <c r="Y1985" s="600">
        <f t="shared" si="272"/>
        <v>2421037</v>
      </c>
      <c r="Z1985" s="1016"/>
    </row>
    <row r="1986" spans="1:26" s="114" customFormat="1" hidden="1">
      <c r="A1986" s="1402"/>
      <c r="B1986" s="1012"/>
      <c r="C1986" s="948"/>
      <c r="D1986" s="968"/>
      <c r="E1986" s="947"/>
      <c r="F1986" s="959"/>
      <c r="G1986" s="968"/>
      <c r="H1986" s="1013"/>
      <c r="I1986" s="1013"/>
      <c r="J1986" s="1013"/>
      <c r="K1986" s="632" t="s">
        <v>224</v>
      </c>
      <c r="L1986" s="1020"/>
      <c r="M1986" s="1015">
        <v>4500000</v>
      </c>
      <c r="N1986" s="661">
        <v>33647</v>
      </c>
      <c r="O1986" s="711"/>
      <c r="P1986" s="630"/>
      <c r="Q1986" s="675">
        <v>11006</v>
      </c>
      <c r="R1986" s="957">
        <f>N1986/J1985</f>
        <v>179.93048128342247</v>
      </c>
      <c r="S1986" s="586">
        <f t="shared" si="273"/>
        <v>-4544653</v>
      </c>
      <c r="T1986" s="754"/>
      <c r="U1986" s="1016"/>
      <c r="V1986" s="589"/>
      <c r="W1986" s="600"/>
      <c r="X1986" s="1016"/>
      <c r="Y1986" s="600">
        <f t="shared" si="272"/>
        <v>4544653</v>
      </c>
      <c r="Z1986" s="1016"/>
    </row>
    <row r="1987" spans="1:26" s="114" customFormat="1" hidden="1">
      <c r="A1987" s="1017">
        <f>A1985+1</f>
        <v>471</v>
      </c>
      <c r="B1987" s="1018" t="s">
        <v>3994</v>
      </c>
      <c r="C1987" s="948" t="s">
        <v>217</v>
      </c>
      <c r="D1987" s="947">
        <v>12477</v>
      </c>
      <c r="E1987" s="947">
        <v>2160</v>
      </c>
      <c r="F1987" s="947" t="s">
        <v>222</v>
      </c>
      <c r="G1987" s="947">
        <v>1119</v>
      </c>
      <c r="H1987" s="947">
        <v>5</v>
      </c>
      <c r="I1987" s="947">
        <v>4</v>
      </c>
      <c r="J1987" s="947">
        <v>78</v>
      </c>
      <c r="K1987" s="632" t="s">
        <v>33</v>
      </c>
      <c r="L1987" s="1014">
        <f>M1987+N1987+O1987+P1987+Q1987</f>
        <v>3642291</v>
      </c>
      <c r="M1987" s="1020">
        <v>3580800</v>
      </c>
      <c r="N1987" s="675"/>
      <c r="O1987" s="887">
        <v>22830</v>
      </c>
      <c r="P1987" s="947"/>
      <c r="Q1987" s="675">
        <v>38661</v>
      </c>
      <c r="R1987" s="964">
        <f>M1987/G1987</f>
        <v>3200</v>
      </c>
      <c r="S1987" s="586">
        <f t="shared" si="273"/>
        <v>0</v>
      </c>
      <c r="T1987" s="754"/>
      <c r="U1987" s="1016"/>
      <c r="V1987" s="589"/>
      <c r="W1987" s="600"/>
      <c r="X1987" s="1016"/>
      <c r="Y1987" s="600">
        <f t="shared" si="272"/>
        <v>3642291</v>
      </c>
      <c r="Z1987" s="1016"/>
    </row>
    <row r="1988" spans="1:26" s="114" customFormat="1" hidden="1">
      <c r="A1988" s="1017">
        <f>A1987+1</f>
        <v>472</v>
      </c>
      <c r="B1988" s="1018" t="s">
        <v>3995</v>
      </c>
      <c r="C1988" s="948" t="s">
        <v>271</v>
      </c>
      <c r="D1988" s="947">
        <v>6034.5</v>
      </c>
      <c r="E1988" s="947">
        <v>3240</v>
      </c>
      <c r="F1988" s="947" t="s">
        <v>222</v>
      </c>
      <c r="G1988" s="947">
        <v>1434</v>
      </c>
      <c r="H1988" s="947">
        <v>4</v>
      </c>
      <c r="I1988" s="947">
        <v>5</v>
      </c>
      <c r="J1988" s="947">
        <v>43</v>
      </c>
      <c r="K1988" s="632" t="s">
        <v>33</v>
      </c>
      <c r="L1988" s="1014">
        <f>M1988+N1988+O1988+P1988+Q1988</f>
        <v>4627316</v>
      </c>
      <c r="M1988" s="1014">
        <v>4588800</v>
      </c>
      <c r="N1988" s="675"/>
      <c r="O1988" s="887">
        <v>19817</v>
      </c>
      <c r="P1988" s="675"/>
      <c r="Q1988" s="1024">
        <v>18699</v>
      </c>
      <c r="R1988" s="964">
        <f>M1988/G1988</f>
        <v>3200</v>
      </c>
      <c r="S1988" s="586">
        <f t="shared" si="273"/>
        <v>0</v>
      </c>
      <c r="T1988" s="754"/>
      <c r="U1988" s="1016"/>
      <c r="V1988" s="589"/>
      <c r="W1988" s="600"/>
      <c r="X1988" s="1016"/>
      <c r="Y1988" s="600">
        <f t="shared" si="272"/>
        <v>4627316</v>
      </c>
      <c r="Z1988" s="1016"/>
    </row>
    <row r="1989" spans="1:26" s="114" customFormat="1" hidden="1">
      <c r="A1989" s="1402">
        <f>A1988+1</f>
        <v>473</v>
      </c>
      <c r="B1989" s="1018" t="s">
        <v>2391</v>
      </c>
      <c r="C1989" s="971" t="s">
        <v>271</v>
      </c>
      <c r="D1989" s="957">
        <v>26510</v>
      </c>
      <c r="E1989" s="996">
        <v>3620</v>
      </c>
      <c r="F1989" s="959" t="s">
        <v>222</v>
      </c>
      <c r="G1989" s="996">
        <v>2100</v>
      </c>
      <c r="H1989" s="996">
        <v>5</v>
      </c>
      <c r="I1989" s="957">
        <v>6</v>
      </c>
      <c r="J1989" s="957">
        <v>65</v>
      </c>
      <c r="K1989" s="1019" t="s">
        <v>38</v>
      </c>
      <c r="L1989" s="1020">
        <f>M1989+N1989+O1989+Q1989+N1990+O1990+Q1990+M1990</f>
        <v>16836938</v>
      </c>
      <c r="M1989" s="1020">
        <v>10000000</v>
      </c>
      <c r="N1989" s="675"/>
      <c r="O1989" s="887">
        <v>23469</v>
      </c>
      <c r="P1989" s="675"/>
      <c r="Q1989" s="675">
        <v>30000</v>
      </c>
      <c r="R1989" s="964">
        <f>M1989/E1989</f>
        <v>2762.4309392265195</v>
      </c>
      <c r="S1989" s="586">
        <f t="shared" si="273"/>
        <v>6783469</v>
      </c>
      <c r="T1989" s="754"/>
      <c r="U1989" s="1016"/>
      <c r="V1989" s="589"/>
      <c r="W1989" s="600"/>
      <c r="X1989" s="1016"/>
      <c r="Y1989" s="600">
        <f t="shared" si="272"/>
        <v>10053469</v>
      </c>
      <c r="Z1989" s="1016"/>
    </row>
    <row r="1990" spans="1:26" s="114" customFormat="1" hidden="1">
      <c r="A1990" s="1402"/>
      <c r="B1990" s="1018"/>
      <c r="C1990" s="948"/>
      <c r="D1990" s="1025"/>
      <c r="E1990" s="996"/>
      <c r="F1990" s="959"/>
      <c r="G1990" s="996"/>
      <c r="H1990" s="957">
        <v>65</v>
      </c>
      <c r="I1990" s="1022"/>
      <c r="J1990" s="1022"/>
      <c r="K1990" s="1019" t="s">
        <v>33</v>
      </c>
      <c r="L1990" s="1020"/>
      <c r="M1990" s="1020">
        <v>6720000</v>
      </c>
      <c r="N1990" s="630"/>
      <c r="O1990" s="887">
        <v>23469</v>
      </c>
      <c r="P1990" s="630"/>
      <c r="Q1990" s="675">
        <v>40000</v>
      </c>
      <c r="R1990" s="571">
        <v>3200</v>
      </c>
      <c r="S1990" s="586">
        <f t="shared" si="273"/>
        <v>-6783469</v>
      </c>
      <c r="T1990" s="754"/>
      <c r="U1990" s="1016"/>
      <c r="V1990" s="589"/>
      <c r="W1990" s="600"/>
      <c r="X1990" s="1016"/>
      <c r="Y1990" s="600">
        <f t="shared" si="272"/>
        <v>6783469</v>
      </c>
      <c r="Z1990" s="1016"/>
    </row>
    <row r="1991" spans="1:26" s="114" customFormat="1" ht="37.5" hidden="1">
      <c r="A1991" s="1017">
        <f>A1989+1</f>
        <v>474</v>
      </c>
      <c r="B1991" s="1018" t="s">
        <v>4075</v>
      </c>
      <c r="C1991" s="948" t="s">
        <v>271</v>
      </c>
      <c r="D1991" s="947">
        <v>33725</v>
      </c>
      <c r="E1991" s="947">
        <v>4680</v>
      </c>
      <c r="F1991" s="947" t="s">
        <v>233</v>
      </c>
      <c r="G1991" s="947">
        <v>2480</v>
      </c>
      <c r="H1991" s="947">
        <v>5</v>
      </c>
      <c r="I1991" s="947">
        <v>8</v>
      </c>
      <c r="J1991" s="947">
        <v>112</v>
      </c>
      <c r="K1991" s="632" t="s">
        <v>3996</v>
      </c>
      <c r="L1991" s="1014">
        <f>M1991+N1991+O1991+P1991+Q1991</f>
        <v>7494753</v>
      </c>
      <c r="M1991" s="1020">
        <f>G1991*3000</f>
        <v>7440000</v>
      </c>
      <c r="N1991" s="675">
        <v>34753</v>
      </c>
      <c r="O1991" s="631"/>
      <c r="P1991" s="675"/>
      <c r="Q1991" s="675">
        <v>20000</v>
      </c>
      <c r="R1991" s="964">
        <f>M1991/G1991</f>
        <v>3000</v>
      </c>
      <c r="S1991" s="586">
        <f t="shared" si="273"/>
        <v>0</v>
      </c>
      <c r="T1991" s="754"/>
      <c r="U1991" s="1016"/>
      <c r="V1991" s="589"/>
      <c r="W1991" s="600"/>
      <c r="X1991" s="1016"/>
      <c r="Y1991" s="600">
        <f t="shared" si="272"/>
        <v>7494753</v>
      </c>
      <c r="Z1991" s="1016"/>
    </row>
    <row r="1992" spans="1:26" s="114" customFormat="1" hidden="1">
      <c r="A1992" s="1402">
        <f>A1991+1</f>
        <v>475</v>
      </c>
      <c r="B1992" s="1018" t="s">
        <v>2418</v>
      </c>
      <c r="C1992" s="948" t="s">
        <v>271</v>
      </c>
      <c r="D1992" s="947">
        <v>12184</v>
      </c>
      <c r="E1992" s="947">
        <v>1545</v>
      </c>
      <c r="F1992" s="947" t="s">
        <v>222</v>
      </c>
      <c r="G1992" s="947">
        <v>1003</v>
      </c>
      <c r="H1992" s="947">
        <v>5</v>
      </c>
      <c r="I1992" s="947">
        <v>2</v>
      </c>
      <c r="J1992" s="947">
        <v>105</v>
      </c>
      <c r="K1992" s="632" t="s">
        <v>33</v>
      </c>
      <c r="L1992" s="1020">
        <f>M1992+N1992+O1992+P1992+Q1992+Q1993+P1993+O1993+N1993+M1993</f>
        <v>6186495</v>
      </c>
      <c r="M1992" s="1020">
        <v>3300100</v>
      </c>
      <c r="N1992" s="675"/>
      <c r="O1992" s="887">
        <v>20768</v>
      </c>
      <c r="P1992" s="675"/>
      <c r="Q1992" s="675">
        <v>37753</v>
      </c>
      <c r="R1992" s="964">
        <f>M1992/G1992</f>
        <v>3290.2293120638087</v>
      </c>
      <c r="S1992" s="586">
        <f t="shared" si="273"/>
        <v>2827874</v>
      </c>
      <c r="T1992" s="754"/>
      <c r="U1992" s="1016"/>
      <c r="V1992" s="589"/>
      <c r="W1992" s="600"/>
      <c r="X1992" s="1016"/>
      <c r="Y1992" s="600">
        <f t="shared" si="272"/>
        <v>3358621</v>
      </c>
      <c r="Z1992" s="1016"/>
    </row>
    <row r="1993" spans="1:26" s="114" customFormat="1" hidden="1">
      <c r="A1993" s="1402"/>
      <c r="B1993" s="1018"/>
      <c r="C1993" s="948"/>
      <c r="D1993" s="947"/>
      <c r="E1993" s="947"/>
      <c r="F1993" s="947"/>
      <c r="G1993" s="947"/>
      <c r="H1993" s="947"/>
      <c r="I1993" s="947"/>
      <c r="J1993" s="947"/>
      <c r="K1993" s="632" t="s">
        <v>38</v>
      </c>
      <c r="L1993" s="1020"/>
      <c r="M1993" s="1020">
        <v>2781000</v>
      </c>
      <c r="N1993" s="675"/>
      <c r="O1993" s="887">
        <v>16874</v>
      </c>
      <c r="P1993" s="675"/>
      <c r="Q1993" s="675">
        <v>30000</v>
      </c>
      <c r="R1993" s="964">
        <f>M1993/E1992</f>
        <v>1800</v>
      </c>
      <c r="S1993" s="586">
        <f t="shared" si="273"/>
        <v>-2827874</v>
      </c>
      <c r="T1993" s="754"/>
      <c r="U1993" s="1016"/>
      <c r="V1993" s="589"/>
      <c r="W1993" s="600"/>
      <c r="X1993" s="1016"/>
      <c r="Y1993" s="600">
        <f t="shared" si="272"/>
        <v>2827874</v>
      </c>
      <c r="Z1993" s="1016"/>
    </row>
    <row r="1994" spans="1:26" s="114" customFormat="1" hidden="1">
      <c r="A1994" s="976">
        <f>A1992+1</f>
        <v>476</v>
      </c>
      <c r="B1994" s="1026" t="s">
        <v>3408</v>
      </c>
      <c r="C1994" s="971" t="s">
        <v>217</v>
      </c>
      <c r="D1994" s="957">
        <v>11900</v>
      </c>
      <c r="E1994" s="957">
        <v>2311</v>
      </c>
      <c r="F1994" s="959" t="s">
        <v>222</v>
      </c>
      <c r="G1994" s="957">
        <v>1140</v>
      </c>
      <c r="H1994" s="957">
        <v>5</v>
      </c>
      <c r="I1994" s="957">
        <v>4</v>
      </c>
      <c r="J1994" s="957">
        <v>80</v>
      </c>
      <c r="K1994" s="629" t="s">
        <v>33</v>
      </c>
      <c r="L1994" s="1014">
        <f t="shared" ref="L1994:L2001" si="277">M1994+N1994+O1994+P1994+Q1994</f>
        <v>3694665</v>
      </c>
      <c r="M1994" s="1014">
        <v>3641000</v>
      </c>
      <c r="N1994" s="630"/>
      <c r="O1994" s="631">
        <v>16792</v>
      </c>
      <c r="P1994" s="630"/>
      <c r="Q1994" s="675">
        <v>36873</v>
      </c>
      <c r="R1994" s="957">
        <f>M1994/G1994</f>
        <v>3193.8596491228072</v>
      </c>
      <c r="S1994" s="586">
        <f t="shared" si="273"/>
        <v>0</v>
      </c>
      <c r="T1994" s="754"/>
      <c r="U1994" s="1016"/>
      <c r="V1994" s="589"/>
      <c r="W1994" s="600"/>
      <c r="X1994" s="1016"/>
      <c r="Y1994" s="600">
        <f t="shared" si="272"/>
        <v>3694665</v>
      </c>
      <c r="Z1994" s="1016"/>
    </row>
    <row r="1995" spans="1:26" s="114" customFormat="1" hidden="1">
      <c r="A1995" s="976">
        <f t="shared" ref="A1995:A2023" si="278">A1994+1</f>
        <v>477</v>
      </c>
      <c r="B1995" s="1026" t="s">
        <v>3405</v>
      </c>
      <c r="C1995" s="971" t="s">
        <v>271</v>
      </c>
      <c r="D1995" s="957">
        <v>18255</v>
      </c>
      <c r="E1995" s="957">
        <v>2409</v>
      </c>
      <c r="F1995" s="959" t="s">
        <v>222</v>
      </c>
      <c r="G1995" s="957">
        <v>1217</v>
      </c>
      <c r="H1995" s="957">
        <v>5</v>
      </c>
      <c r="I1995" s="957">
        <v>4</v>
      </c>
      <c r="J1995" s="957">
        <v>40</v>
      </c>
      <c r="K1995" s="629" t="s">
        <v>33</v>
      </c>
      <c r="L1995" s="1014">
        <f t="shared" si="277"/>
        <v>3415224</v>
      </c>
      <c r="M1995" s="1014">
        <v>3353000</v>
      </c>
      <c r="N1995" s="630"/>
      <c r="O1995" s="631">
        <v>22224</v>
      </c>
      <c r="P1995" s="630"/>
      <c r="Q1995" s="675">
        <v>40000</v>
      </c>
      <c r="R1995" s="957">
        <f>M1995/G1995</f>
        <v>2755.1355792933441</v>
      </c>
      <c r="S1995" s="586">
        <f t="shared" si="273"/>
        <v>0</v>
      </c>
      <c r="T1995" s="754"/>
      <c r="U1995" s="1016"/>
      <c r="V1995" s="589"/>
      <c r="W1995" s="600"/>
      <c r="X1995" s="1016"/>
      <c r="Y1995" s="600">
        <f t="shared" si="272"/>
        <v>3415224</v>
      </c>
      <c r="Z1995" s="1016"/>
    </row>
    <row r="1996" spans="1:26" s="114" customFormat="1" hidden="1">
      <c r="A1996" s="976">
        <f t="shared" si="278"/>
        <v>478</v>
      </c>
      <c r="B1996" s="1026" t="s">
        <v>3362</v>
      </c>
      <c r="C1996" s="971" t="s">
        <v>271</v>
      </c>
      <c r="D1996" s="957">
        <v>17070</v>
      </c>
      <c r="E1996" s="957">
        <v>2155</v>
      </c>
      <c r="F1996" s="959" t="s">
        <v>222</v>
      </c>
      <c r="G1996" s="957">
        <v>1470</v>
      </c>
      <c r="H1996" s="957">
        <v>5</v>
      </c>
      <c r="I1996" s="957">
        <v>3</v>
      </c>
      <c r="J1996" s="957">
        <v>50</v>
      </c>
      <c r="K1996" s="629" t="s">
        <v>33</v>
      </c>
      <c r="L1996" s="1014">
        <f t="shared" si="277"/>
        <v>4357517</v>
      </c>
      <c r="M1996" s="1014">
        <v>4295000</v>
      </c>
      <c r="N1996" s="630"/>
      <c r="O1996" s="631">
        <v>22517</v>
      </c>
      <c r="P1996" s="630"/>
      <c r="Q1996" s="675">
        <v>40000</v>
      </c>
      <c r="R1996" s="957">
        <f>M1996/G1996</f>
        <v>2921.7687074829932</v>
      </c>
      <c r="S1996" s="586">
        <f t="shared" ref="S1996:S2019" si="279">L1996-M1996-N1996-O1996-P1996-Q1996</f>
        <v>0</v>
      </c>
      <c r="T1996" s="754"/>
      <c r="U1996" s="1016"/>
      <c r="V1996" s="589"/>
      <c r="W1996" s="600"/>
      <c r="X1996" s="1016"/>
      <c r="Y1996" s="600">
        <f t="shared" si="272"/>
        <v>4357517</v>
      </c>
      <c r="Z1996" s="1016"/>
    </row>
    <row r="1997" spans="1:26" s="142" customFormat="1" hidden="1">
      <c r="A1997" s="1027">
        <f t="shared" si="278"/>
        <v>479</v>
      </c>
      <c r="B1997" s="994" t="s">
        <v>4185</v>
      </c>
      <c r="C1997" s="718" t="s">
        <v>314</v>
      </c>
      <c r="D1997" s="719">
        <v>26032</v>
      </c>
      <c r="E1997" s="719">
        <v>6540</v>
      </c>
      <c r="F1997" s="719" t="s">
        <v>233</v>
      </c>
      <c r="G1997" s="719">
        <v>1295</v>
      </c>
      <c r="H1997" s="719" t="s">
        <v>4186</v>
      </c>
      <c r="I1997" s="719">
        <v>4</v>
      </c>
      <c r="J1997" s="719">
        <v>82</v>
      </c>
      <c r="K1997" s="720" t="s">
        <v>38</v>
      </c>
      <c r="L1997" s="1014">
        <f t="shared" si="277"/>
        <v>13756559</v>
      </c>
      <c r="M1997" s="1028">
        <v>13700000</v>
      </c>
      <c r="N1997" s="1029"/>
      <c r="O1997" s="631">
        <v>26559</v>
      </c>
      <c r="P1997" s="1029"/>
      <c r="Q1997" s="1029">
        <v>30000</v>
      </c>
      <c r="R1997" s="722">
        <f>M1997/E1997</f>
        <v>2094.8012232415904</v>
      </c>
      <c r="S1997" s="586">
        <f t="shared" si="279"/>
        <v>0</v>
      </c>
      <c r="T1997" s="965"/>
      <c r="U1997" s="1030"/>
      <c r="V1997" s="589"/>
      <c r="W1997" s="600"/>
      <c r="X1997" s="1030"/>
      <c r="Y1997" s="600">
        <f t="shared" si="272"/>
        <v>13756559</v>
      </c>
      <c r="Z1997" s="1030"/>
    </row>
    <row r="1998" spans="1:26" s="142" customFormat="1" hidden="1">
      <c r="A1998" s="1027">
        <f t="shared" si="278"/>
        <v>480</v>
      </c>
      <c r="B1998" s="994" t="s">
        <v>4187</v>
      </c>
      <c r="C1998" s="718" t="s">
        <v>314</v>
      </c>
      <c r="D1998" s="719">
        <v>33950</v>
      </c>
      <c r="E1998" s="719">
        <v>4980</v>
      </c>
      <c r="F1998" s="719" t="s">
        <v>233</v>
      </c>
      <c r="G1998" s="719">
        <v>1062</v>
      </c>
      <c r="H1998" s="719">
        <v>12</v>
      </c>
      <c r="I1998" s="719">
        <v>1</v>
      </c>
      <c r="J1998" s="719">
        <v>115</v>
      </c>
      <c r="K1998" s="720" t="s">
        <v>33</v>
      </c>
      <c r="L1998" s="1014">
        <f t="shared" si="277"/>
        <v>2273405</v>
      </c>
      <c r="M1998" s="1028">
        <v>2230200</v>
      </c>
      <c r="N1998" s="1029"/>
      <c r="O1998" s="631">
        <v>23205</v>
      </c>
      <c r="P1998" s="1029"/>
      <c r="Q1998" s="1029">
        <v>20000</v>
      </c>
      <c r="R1998" s="722">
        <f>M1998/G1998</f>
        <v>2100</v>
      </c>
      <c r="S1998" s="586">
        <f t="shared" si="279"/>
        <v>0</v>
      </c>
      <c r="T1998" s="965"/>
      <c r="U1998" s="1030"/>
      <c r="V1998" s="589"/>
      <c r="W1998" s="600"/>
      <c r="X1998" s="1030"/>
      <c r="Y1998" s="600">
        <f t="shared" si="272"/>
        <v>2273405</v>
      </c>
      <c r="Z1998" s="1030"/>
    </row>
    <row r="1999" spans="1:26" s="142" customFormat="1" hidden="1">
      <c r="A1999" s="1027">
        <f t="shared" si="278"/>
        <v>481</v>
      </c>
      <c r="B1999" s="994" t="s">
        <v>4188</v>
      </c>
      <c r="C1999" s="718" t="s">
        <v>4189</v>
      </c>
      <c r="D1999" s="719">
        <v>24576</v>
      </c>
      <c r="E1999" s="719">
        <v>4129</v>
      </c>
      <c r="F1999" s="719" t="s">
        <v>227</v>
      </c>
      <c r="G1999" s="719">
        <v>604</v>
      </c>
      <c r="H1999" s="719">
        <v>18</v>
      </c>
      <c r="I1999" s="719">
        <v>1</v>
      </c>
      <c r="J1999" s="719">
        <v>90</v>
      </c>
      <c r="K1999" s="720" t="s">
        <v>226</v>
      </c>
      <c r="L1999" s="623">
        <f t="shared" si="277"/>
        <v>16068308</v>
      </c>
      <c r="M1999" s="1028">
        <v>16000000</v>
      </c>
      <c r="N1999" s="630">
        <v>38308</v>
      </c>
      <c r="O1999" s="723"/>
      <c r="P1999" s="1029"/>
      <c r="Q1999" s="1029">
        <v>30000</v>
      </c>
      <c r="R1999" s="722">
        <f>M1999/E1999</f>
        <v>3875.0302736740132</v>
      </c>
      <c r="S1999" s="586">
        <f t="shared" si="279"/>
        <v>0</v>
      </c>
      <c r="T1999" s="965"/>
      <c r="U1999" s="1030"/>
      <c r="V1999" s="589"/>
      <c r="W1999" s="600"/>
      <c r="X1999" s="1030"/>
      <c r="Y1999" s="600">
        <f t="shared" si="272"/>
        <v>16068308</v>
      </c>
      <c r="Z1999" s="1030"/>
    </row>
    <row r="2000" spans="1:26" s="142" customFormat="1" hidden="1">
      <c r="A2000" s="1027">
        <f t="shared" si="278"/>
        <v>482</v>
      </c>
      <c r="B2000" s="994" t="s">
        <v>4190</v>
      </c>
      <c r="C2000" s="718" t="s">
        <v>296</v>
      </c>
      <c r="D2000" s="719">
        <v>32553</v>
      </c>
      <c r="E2000" s="719">
        <v>5489</v>
      </c>
      <c r="F2000" s="719" t="s">
        <v>227</v>
      </c>
      <c r="G2000" s="719">
        <v>1396</v>
      </c>
      <c r="H2000" s="719">
        <v>9</v>
      </c>
      <c r="I2000" s="719">
        <v>4</v>
      </c>
      <c r="J2000" s="719">
        <v>144</v>
      </c>
      <c r="K2000" s="720" t="s">
        <v>226</v>
      </c>
      <c r="L2000" s="623">
        <f t="shared" si="277"/>
        <v>13790399</v>
      </c>
      <c r="M2000" s="1028">
        <v>13722500</v>
      </c>
      <c r="N2000" s="630">
        <v>37899</v>
      </c>
      <c r="O2000" s="723"/>
      <c r="P2000" s="1029"/>
      <c r="Q2000" s="1029">
        <v>30000</v>
      </c>
      <c r="R2000" s="722">
        <f>M2000/E2000</f>
        <v>2500</v>
      </c>
      <c r="S2000" s="586">
        <f t="shared" si="279"/>
        <v>0</v>
      </c>
      <c r="T2000" s="965"/>
      <c r="U2000" s="1030"/>
      <c r="V2000" s="589"/>
      <c r="W2000" s="600"/>
      <c r="X2000" s="1030"/>
      <c r="Y2000" s="600">
        <f t="shared" si="272"/>
        <v>13790399</v>
      </c>
      <c r="Z2000" s="1030"/>
    </row>
    <row r="2001" spans="1:26" s="142" customFormat="1" hidden="1">
      <c r="A2001" s="1027">
        <f t="shared" si="278"/>
        <v>483</v>
      </c>
      <c r="B2001" s="994" t="s">
        <v>4211</v>
      </c>
      <c r="C2001" s="718" t="s">
        <v>217</v>
      </c>
      <c r="D2001" s="719">
        <v>12373</v>
      </c>
      <c r="E2001" s="719">
        <v>2958</v>
      </c>
      <c r="F2001" s="719" t="s">
        <v>222</v>
      </c>
      <c r="G2001" s="719">
        <v>1141</v>
      </c>
      <c r="H2001" s="719" t="s">
        <v>4002</v>
      </c>
      <c r="I2001" s="719">
        <v>4</v>
      </c>
      <c r="J2001" s="719">
        <v>80</v>
      </c>
      <c r="K2001" s="720" t="s">
        <v>33</v>
      </c>
      <c r="L2001" s="623">
        <f t="shared" si="277"/>
        <v>3716121</v>
      </c>
      <c r="M2001" s="1028">
        <v>3651200</v>
      </c>
      <c r="N2001" s="1029"/>
      <c r="O2001" s="631">
        <v>26582</v>
      </c>
      <c r="P2001" s="1029"/>
      <c r="Q2001" s="1029">
        <v>38339</v>
      </c>
      <c r="R2001" s="957">
        <f>M2001/G2001</f>
        <v>3200</v>
      </c>
      <c r="S2001" s="586">
        <f t="shared" si="279"/>
        <v>0</v>
      </c>
      <c r="T2001" s="965"/>
      <c r="U2001" s="1030"/>
      <c r="V2001" s="589"/>
      <c r="W2001" s="600"/>
      <c r="X2001" s="1030"/>
      <c r="Y2001" s="600">
        <f t="shared" si="272"/>
        <v>3716121</v>
      </c>
      <c r="Z2001" s="1030"/>
    </row>
    <row r="2002" spans="1:26" s="142" customFormat="1" ht="37.5" hidden="1">
      <c r="A2002" s="1027">
        <f t="shared" si="278"/>
        <v>484</v>
      </c>
      <c r="B2002" s="994" t="s">
        <v>4191</v>
      </c>
      <c r="C2002" s="718" t="s">
        <v>217</v>
      </c>
      <c r="D2002" s="719">
        <v>15462</v>
      </c>
      <c r="E2002" s="719">
        <v>3363</v>
      </c>
      <c r="F2002" s="719" t="s">
        <v>233</v>
      </c>
      <c r="G2002" s="719">
        <v>693</v>
      </c>
      <c r="H2002" s="719">
        <v>9</v>
      </c>
      <c r="I2002" s="719">
        <v>2</v>
      </c>
      <c r="J2002" s="719">
        <v>72</v>
      </c>
      <c r="K2002" s="720" t="s">
        <v>284</v>
      </c>
      <c r="L2002" s="607">
        <f>M2002+N2002+O2002+Q2002</f>
        <v>8470515</v>
      </c>
      <c r="M2002" s="962">
        <v>8407500</v>
      </c>
      <c r="N2002" s="675">
        <v>33015</v>
      </c>
      <c r="O2002" s="963"/>
      <c r="P2002" s="722"/>
      <c r="Q2002" s="722">
        <v>30000</v>
      </c>
      <c r="R2002" s="597">
        <f>M2002/E2002</f>
        <v>2500</v>
      </c>
      <c r="S2002" s="586">
        <f t="shared" si="279"/>
        <v>0</v>
      </c>
      <c r="T2002" s="965"/>
      <c r="U2002" s="1030"/>
      <c r="V2002" s="589"/>
      <c r="W2002" s="600"/>
      <c r="X2002" s="1030"/>
      <c r="Y2002" s="600">
        <f t="shared" si="272"/>
        <v>8470515</v>
      </c>
      <c r="Z2002" s="1030"/>
    </row>
    <row r="2003" spans="1:26" s="142" customFormat="1" ht="37.5" hidden="1">
      <c r="A2003" s="1027">
        <f t="shared" si="278"/>
        <v>485</v>
      </c>
      <c r="B2003" s="994" t="s">
        <v>2563</v>
      </c>
      <c r="C2003" s="718" t="s">
        <v>217</v>
      </c>
      <c r="D2003" s="1031">
        <v>46137</v>
      </c>
      <c r="E2003" s="1031">
        <v>5090</v>
      </c>
      <c r="F2003" s="1032" t="s">
        <v>233</v>
      </c>
      <c r="G2003" s="1031">
        <v>2192</v>
      </c>
      <c r="H2003" s="1033">
        <v>9</v>
      </c>
      <c r="I2003" s="1033">
        <v>4</v>
      </c>
      <c r="J2003" s="1031">
        <v>151</v>
      </c>
      <c r="K2003" s="1034" t="s">
        <v>284</v>
      </c>
      <c r="L2003" s="962">
        <f t="shared" ref="L2003:L2022" si="280">M2003+N2003+O2003+P2003+Q2003</f>
        <v>15340551</v>
      </c>
      <c r="M2003" s="993">
        <v>15270000</v>
      </c>
      <c r="N2003" s="575">
        <v>40551</v>
      </c>
      <c r="O2003" s="963"/>
      <c r="P2003" s="725"/>
      <c r="Q2003" s="722">
        <v>30000</v>
      </c>
      <c r="R2003" s="597">
        <f>M2003/E2003</f>
        <v>3000</v>
      </c>
      <c r="S2003" s="586">
        <f t="shared" si="279"/>
        <v>0</v>
      </c>
      <c r="T2003" s="965"/>
      <c r="U2003" s="1030"/>
      <c r="V2003" s="589"/>
      <c r="W2003" s="600"/>
      <c r="X2003" s="1030"/>
      <c r="Y2003" s="600">
        <f t="shared" si="272"/>
        <v>15340551</v>
      </c>
      <c r="Z2003" s="1030"/>
    </row>
    <row r="2004" spans="1:26" s="142" customFormat="1" ht="37.5" hidden="1">
      <c r="A2004" s="1027">
        <f t="shared" si="278"/>
        <v>486</v>
      </c>
      <c r="B2004" s="994" t="s">
        <v>4192</v>
      </c>
      <c r="C2004" s="718" t="s">
        <v>217</v>
      </c>
      <c r="D2004" s="719">
        <v>7091.1</v>
      </c>
      <c r="E2004" s="719">
        <v>1710</v>
      </c>
      <c r="F2004" s="719" t="s">
        <v>233</v>
      </c>
      <c r="G2004" s="719">
        <v>336.6</v>
      </c>
      <c r="H2004" s="719">
        <v>9</v>
      </c>
      <c r="I2004" s="719">
        <v>1</v>
      </c>
      <c r="J2004" s="719">
        <v>36</v>
      </c>
      <c r="K2004" s="720" t="s">
        <v>284</v>
      </c>
      <c r="L2004" s="962">
        <f t="shared" si="280"/>
        <v>5176634</v>
      </c>
      <c r="M2004" s="962">
        <v>5130000</v>
      </c>
      <c r="N2004" s="675">
        <v>30993</v>
      </c>
      <c r="O2004" s="963"/>
      <c r="P2004" s="722"/>
      <c r="Q2004" s="722">
        <v>15641</v>
      </c>
      <c r="R2004" s="597">
        <f>M2004/E2004</f>
        <v>3000</v>
      </c>
      <c r="S2004" s="586">
        <f t="shared" si="279"/>
        <v>0</v>
      </c>
      <c r="T2004" s="965"/>
      <c r="U2004" s="1030"/>
      <c r="V2004" s="589"/>
      <c r="W2004" s="600"/>
      <c r="X2004" s="1030"/>
      <c r="Y2004" s="600">
        <f t="shared" si="272"/>
        <v>5176634</v>
      </c>
      <c r="Z2004" s="1030"/>
    </row>
    <row r="2005" spans="1:26" s="142" customFormat="1" hidden="1">
      <c r="A2005" s="1027">
        <f t="shared" si="278"/>
        <v>487</v>
      </c>
      <c r="B2005" s="994" t="s">
        <v>4212</v>
      </c>
      <c r="C2005" s="718" t="s">
        <v>217</v>
      </c>
      <c r="D2005" s="719">
        <v>11313</v>
      </c>
      <c r="E2005" s="719">
        <v>2912</v>
      </c>
      <c r="F2005" s="719" t="s">
        <v>233</v>
      </c>
      <c r="G2005" s="719">
        <v>412</v>
      </c>
      <c r="H2005" s="719">
        <v>12</v>
      </c>
      <c r="I2005" s="719">
        <v>1</v>
      </c>
      <c r="J2005" s="719">
        <v>48</v>
      </c>
      <c r="K2005" s="720" t="s">
        <v>226</v>
      </c>
      <c r="L2005" s="962">
        <f t="shared" si="280"/>
        <v>7340775</v>
      </c>
      <c r="M2005" s="962">
        <v>7280000</v>
      </c>
      <c r="N2005" s="675">
        <v>35822</v>
      </c>
      <c r="O2005" s="963"/>
      <c r="P2005" s="722"/>
      <c r="Q2005" s="722">
        <v>24953</v>
      </c>
      <c r="R2005" s="597">
        <f>M2005/E2005</f>
        <v>2500</v>
      </c>
      <c r="S2005" s="586">
        <f t="shared" si="279"/>
        <v>0</v>
      </c>
      <c r="T2005" s="965"/>
      <c r="U2005" s="1030"/>
      <c r="V2005" s="589"/>
      <c r="W2005" s="600"/>
      <c r="X2005" s="1030"/>
      <c r="Y2005" s="600">
        <f t="shared" si="272"/>
        <v>7340775</v>
      </c>
      <c r="Z2005" s="1030"/>
    </row>
    <row r="2006" spans="1:26" s="143" customFormat="1" hidden="1">
      <c r="A2006" s="1027">
        <f t="shared" si="278"/>
        <v>488</v>
      </c>
      <c r="B2006" s="961" t="s">
        <v>790</v>
      </c>
      <c r="C2006" s="718" t="s">
        <v>221</v>
      </c>
      <c r="D2006" s="719">
        <v>15919</v>
      </c>
      <c r="E2006" s="719">
        <v>2210</v>
      </c>
      <c r="F2006" s="719" t="s">
        <v>230</v>
      </c>
      <c r="G2006" s="719">
        <v>1667.6</v>
      </c>
      <c r="H2006" s="719">
        <v>4</v>
      </c>
      <c r="I2006" s="719">
        <v>5</v>
      </c>
      <c r="J2006" s="719">
        <v>42</v>
      </c>
      <c r="K2006" s="720" t="s">
        <v>38</v>
      </c>
      <c r="L2006" s="962">
        <f t="shared" si="280"/>
        <v>4127335.27</v>
      </c>
      <c r="M2006" s="962">
        <v>4114801.25</v>
      </c>
      <c r="N2006" s="722"/>
      <c r="O2006" s="723">
        <v>12534.02</v>
      </c>
      <c r="P2006" s="722"/>
      <c r="Q2006" s="722"/>
      <c r="R2006" s="1035">
        <f>M2006/G2006</f>
        <v>2467.4989505876711</v>
      </c>
      <c r="S2006" s="586">
        <f t="shared" si="279"/>
        <v>1.8189894035458565E-11</v>
      </c>
      <c r="T2006" s="1036"/>
      <c r="U2006" s="722"/>
      <c r="V2006" s="589"/>
      <c r="W2006" s="600"/>
      <c r="X2006" s="1037"/>
      <c r="Y2006" s="600">
        <f t="shared" si="272"/>
        <v>4127335.27</v>
      </c>
      <c r="Z2006" s="1037"/>
    </row>
    <row r="2007" spans="1:26" s="150" customFormat="1" hidden="1">
      <c r="A2007" s="1027">
        <f t="shared" si="278"/>
        <v>489</v>
      </c>
      <c r="B2007" s="994" t="s">
        <v>4264</v>
      </c>
      <c r="C2007" s="718" t="s">
        <v>282</v>
      </c>
      <c r="D2007" s="719">
        <v>18917</v>
      </c>
      <c r="E2007" s="719">
        <v>3814</v>
      </c>
      <c r="F2007" s="719" t="s">
        <v>233</v>
      </c>
      <c r="G2007" s="719">
        <v>732</v>
      </c>
      <c r="H2007" s="719">
        <v>12</v>
      </c>
      <c r="I2007" s="719">
        <v>1</v>
      </c>
      <c r="J2007" s="719">
        <v>78</v>
      </c>
      <c r="K2007" s="720" t="s">
        <v>38</v>
      </c>
      <c r="L2007" s="962">
        <f t="shared" si="280"/>
        <v>7055940</v>
      </c>
      <c r="M2007" s="962">
        <v>7000000</v>
      </c>
      <c r="N2007" s="722"/>
      <c r="O2007" s="887">
        <v>25940</v>
      </c>
      <c r="P2007" s="722"/>
      <c r="Q2007" s="722">
        <v>30000</v>
      </c>
      <c r="R2007" s="597">
        <f t="shared" ref="R2007:R2012" si="281">M2007/E2007</f>
        <v>1835.3434714210803</v>
      </c>
      <c r="S2007" s="586">
        <f t="shared" si="279"/>
        <v>0</v>
      </c>
      <c r="T2007" s="965"/>
      <c r="U2007" s="1030"/>
      <c r="V2007" s="589"/>
      <c r="W2007" s="600"/>
      <c r="X2007" s="1030"/>
      <c r="Y2007" s="600">
        <f t="shared" si="272"/>
        <v>7055940</v>
      </c>
      <c r="Z2007" s="1030"/>
    </row>
    <row r="2008" spans="1:26" s="150" customFormat="1" hidden="1">
      <c r="A2008" s="1027">
        <f t="shared" si="278"/>
        <v>490</v>
      </c>
      <c r="B2008" s="994" t="s">
        <v>3882</v>
      </c>
      <c r="C2008" s="718" t="s">
        <v>282</v>
      </c>
      <c r="D2008" s="719">
        <v>19369</v>
      </c>
      <c r="E2008" s="719">
        <v>4788</v>
      </c>
      <c r="F2008" s="719" t="s">
        <v>233</v>
      </c>
      <c r="G2008" s="719">
        <v>581</v>
      </c>
      <c r="H2008" s="719">
        <v>12</v>
      </c>
      <c r="I2008" s="719">
        <v>1</v>
      </c>
      <c r="J2008" s="719">
        <v>78</v>
      </c>
      <c r="K2008" s="720" t="s">
        <v>38</v>
      </c>
      <c r="L2008" s="962">
        <f t="shared" si="280"/>
        <v>8534486.3000000007</v>
      </c>
      <c r="M2008" s="962">
        <v>8478416.3000000007</v>
      </c>
      <c r="N2008" s="722"/>
      <c r="O2008" s="887">
        <v>26070</v>
      </c>
      <c r="P2008" s="722"/>
      <c r="Q2008" s="722">
        <v>30000</v>
      </c>
      <c r="R2008" s="597">
        <f t="shared" si="281"/>
        <v>1770.7636382623227</v>
      </c>
      <c r="S2008" s="586">
        <f t="shared" si="279"/>
        <v>0</v>
      </c>
      <c r="T2008" s="965"/>
      <c r="U2008" s="1030"/>
      <c r="V2008" s="589"/>
      <c r="W2008" s="600"/>
      <c r="X2008" s="1030"/>
      <c r="Y2008" s="600">
        <f t="shared" si="272"/>
        <v>8534486.3000000007</v>
      </c>
      <c r="Z2008" s="1030"/>
    </row>
    <row r="2009" spans="1:26" s="150" customFormat="1" hidden="1">
      <c r="A2009" s="1027">
        <f t="shared" si="278"/>
        <v>491</v>
      </c>
      <c r="B2009" s="994" t="s">
        <v>4265</v>
      </c>
      <c r="C2009" s="718" t="s">
        <v>282</v>
      </c>
      <c r="D2009" s="719">
        <v>19928</v>
      </c>
      <c r="E2009" s="719">
        <v>4788</v>
      </c>
      <c r="F2009" s="719" t="s">
        <v>233</v>
      </c>
      <c r="G2009" s="719">
        <v>516</v>
      </c>
      <c r="H2009" s="719">
        <v>12</v>
      </c>
      <c r="I2009" s="719">
        <v>1</v>
      </c>
      <c r="J2009" s="719">
        <v>77</v>
      </c>
      <c r="K2009" s="720" t="s">
        <v>38</v>
      </c>
      <c r="L2009" s="962">
        <f t="shared" si="280"/>
        <v>7284776</v>
      </c>
      <c r="M2009" s="962">
        <v>7228546</v>
      </c>
      <c r="N2009" s="722"/>
      <c r="O2009" s="887">
        <v>26230</v>
      </c>
      <c r="P2009" s="722"/>
      <c r="Q2009" s="722">
        <v>30000</v>
      </c>
      <c r="R2009" s="597">
        <f t="shared" si="281"/>
        <v>1509.7213868003341</v>
      </c>
      <c r="S2009" s="586">
        <f t="shared" si="279"/>
        <v>0</v>
      </c>
      <c r="T2009" s="965"/>
      <c r="U2009" s="1030"/>
      <c r="V2009" s="589"/>
      <c r="W2009" s="600"/>
      <c r="X2009" s="1030"/>
      <c r="Y2009" s="600">
        <f t="shared" si="272"/>
        <v>7284776</v>
      </c>
      <c r="Z2009" s="1030"/>
    </row>
    <row r="2010" spans="1:26" s="136" customFormat="1" ht="37.5" hidden="1">
      <c r="A2010" s="1027">
        <f t="shared" si="278"/>
        <v>492</v>
      </c>
      <c r="B2010" s="961" t="s">
        <v>2465</v>
      </c>
      <c r="C2010" s="718" t="s">
        <v>217</v>
      </c>
      <c r="D2010" s="719">
        <v>16344</v>
      </c>
      <c r="E2010" s="719">
        <v>3003.6</v>
      </c>
      <c r="F2010" s="719" t="s">
        <v>233</v>
      </c>
      <c r="G2010" s="719">
        <v>737</v>
      </c>
      <c r="H2010" s="719">
        <v>9</v>
      </c>
      <c r="I2010" s="719">
        <v>2</v>
      </c>
      <c r="J2010" s="719">
        <v>72</v>
      </c>
      <c r="K2010" s="720" t="s">
        <v>379</v>
      </c>
      <c r="L2010" s="962">
        <f t="shared" si="280"/>
        <v>9074137</v>
      </c>
      <c r="M2010" s="962">
        <v>9010800</v>
      </c>
      <c r="N2010" s="675">
        <v>33337</v>
      </c>
      <c r="O2010" s="963"/>
      <c r="P2010" s="722"/>
      <c r="Q2010" s="722">
        <v>30000</v>
      </c>
      <c r="R2010" s="724">
        <f t="shared" si="281"/>
        <v>3000</v>
      </c>
      <c r="S2010" s="586">
        <f t="shared" si="279"/>
        <v>0</v>
      </c>
      <c r="T2010" s="726"/>
      <c r="U2010" s="1037"/>
      <c r="V2010" s="589"/>
      <c r="W2010" s="600"/>
      <c r="X2010" s="727"/>
      <c r="Y2010" s="600">
        <f t="shared" si="272"/>
        <v>9074137</v>
      </c>
      <c r="Z2010" s="727"/>
    </row>
    <row r="2011" spans="1:26" s="136" customFormat="1" ht="37.5" hidden="1">
      <c r="A2011" s="1027">
        <f t="shared" si="278"/>
        <v>493</v>
      </c>
      <c r="B2011" s="961" t="s">
        <v>2466</v>
      </c>
      <c r="C2011" s="718" t="s">
        <v>217</v>
      </c>
      <c r="D2011" s="719">
        <v>16188</v>
      </c>
      <c r="E2011" s="719">
        <v>3217.5</v>
      </c>
      <c r="F2011" s="719" t="s">
        <v>233</v>
      </c>
      <c r="G2011" s="719">
        <v>660</v>
      </c>
      <c r="H2011" s="719">
        <v>9</v>
      </c>
      <c r="I2011" s="719">
        <v>2</v>
      </c>
      <c r="J2011" s="719">
        <v>70</v>
      </c>
      <c r="K2011" s="720" t="s">
        <v>379</v>
      </c>
      <c r="L2011" s="962">
        <f t="shared" si="280"/>
        <v>9715780</v>
      </c>
      <c r="M2011" s="962">
        <v>9652500</v>
      </c>
      <c r="N2011" s="675">
        <v>33280</v>
      </c>
      <c r="O2011" s="963"/>
      <c r="P2011" s="722"/>
      <c r="Q2011" s="722">
        <v>30000</v>
      </c>
      <c r="R2011" s="724">
        <f t="shared" si="281"/>
        <v>3000</v>
      </c>
      <c r="S2011" s="586">
        <f t="shared" si="279"/>
        <v>0</v>
      </c>
      <c r="T2011" s="726"/>
      <c r="U2011" s="1037"/>
      <c r="V2011" s="589"/>
      <c r="W2011" s="600"/>
      <c r="X2011" s="727"/>
      <c r="Y2011" s="600">
        <f t="shared" si="272"/>
        <v>9715780</v>
      </c>
      <c r="Z2011" s="727"/>
    </row>
    <row r="2012" spans="1:26" s="136" customFormat="1" ht="37.5" hidden="1">
      <c r="A2012" s="1027">
        <f t="shared" si="278"/>
        <v>494</v>
      </c>
      <c r="B2012" s="961" t="s">
        <v>2501</v>
      </c>
      <c r="C2012" s="718" t="s">
        <v>217</v>
      </c>
      <c r="D2012" s="719">
        <v>18157</v>
      </c>
      <c r="E2012" s="719">
        <v>3065</v>
      </c>
      <c r="F2012" s="719" t="s">
        <v>233</v>
      </c>
      <c r="G2012" s="719">
        <v>660</v>
      </c>
      <c r="H2012" s="719">
        <v>9</v>
      </c>
      <c r="I2012" s="719">
        <v>2</v>
      </c>
      <c r="J2012" s="719">
        <v>72</v>
      </c>
      <c r="K2012" s="720" t="s">
        <v>284</v>
      </c>
      <c r="L2012" s="962">
        <f t="shared" si="280"/>
        <v>9258998</v>
      </c>
      <c r="M2012" s="962">
        <v>9195000</v>
      </c>
      <c r="N2012" s="675">
        <v>33998</v>
      </c>
      <c r="O2012" s="963"/>
      <c r="P2012" s="722"/>
      <c r="Q2012" s="722">
        <v>30000</v>
      </c>
      <c r="R2012" s="724">
        <f t="shared" si="281"/>
        <v>3000</v>
      </c>
      <c r="S2012" s="586">
        <f t="shared" si="279"/>
        <v>0</v>
      </c>
      <c r="T2012" s="726"/>
      <c r="U2012" s="1037"/>
      <c r="V2012" s="589"/>
      <c r="W2012" s="600"/>
      <c r="X2012" s="727"/>
      <c r="Y2012" s="600">
        <f t="shared" si="272"/>
        <v>9258998</v>
      </c>
      <c r="Z2012" s="727"/>
    </row>
    <row r="2013" spans="1:26" s="149" customFormat="1" ht="37.5" hidden="1">
      <c r="A2013" s="1038">
        <f t="shared" si="278"/>
        <v>495</v>
      </c>
      <c r="B2013" s="994" t="s">
        <v>4267</v>
      </c>
      <c r="C2013" s="718" t="s">
        <v>271</v>
      </c>
      <c r="D2013" s="719">
        <v>4904</v>
      </c>
      <c r="E2013" s="719">
        <v>798</v>
      </c>
      <c r="F2013" s="719" t="s">
        <v>251</v>
      </c>
      <c r="G2013" s="719">
        <v>1000</v>
      </c>
      <c r="H2013" s="719">
        <v>2</v>
      </c>
      <c r="I2013" s="719">
        <v>3</v>
      </c>
      <c r="J2013" s="719">
        <v>14</v>
      </c>
      <c r="K2013" s="720" t="s">
        <v>4266</v>
      </c>
      <c r="L2013" s="1028">
        <f t="shared" si="280"/>
        <v>526571</v>
      </c>
      <c r="M2013" s="1028">
        <v>500000</v>
      </c>
      <c r="N2013" s="1029">
        <v>26571</v>
      </c>
      <c r="O2013" s="723"/>
      <c r="P2013" s="1029"/>
      <c r="Q2013" s="1029"/>
      <c r="R2013" s="597">
        <f>M2013/J2013</f>
        <v>35714.285714285717</v>
      </c>
      <c r="S2013" s="586">
        <f t="shared" si="279"/>
        <v>0</v>
      </c>
      <c r="T2013" s="1005"/>
      <c r="U2013" s="1039"/>
      <c r="V2013" s="589"/>
      <c r="W2013" s="600"/>
      <c r="X2013" s="1039"/>
      <c r="Y2013" s="600">
        <f t="shared" si="272"/>
        <v>526571</v>
      </c>
      <c r="Z2013" s="1039"/>
    </row>
    <row r="2014" spans="1:26" s="149" customFormat="1" ht="37.5" hidden="1">
      <c r="A2014" s="1038">
        <f t="shared" si="278"/>
        <v>496</v>
      </c>
      <c r="B2014" s="994" t="s">
        <v>582</v>
      </c>
      <c r="C2014" s="718" t="s">
        <v>271</v>
      </c>
      <c r="D2014" s="719">
        <v>5164</v>
      </c>
      <c r="E2014" s="719">
        <v>808</v>
      </c>
      <c r="F2014" s="719" t="s">
        <v>251</v>
      </c>
      <c r="G2014" s="719">
        <v>822</v>
      </c>
      <c r="H2014" s="719">
        <v>2</v>
      </c>
      <c r="I2014" s="719">
        <v>3</v>
      </c>
      <c r="J2014" s="719">
        <v>14</v>
      </c>
      <c r="K2014" s="720" t="s">
        <v>4266</v>
      </c>
      <c r="L2014" s="1028">
        <f t="shared" si="280"/>
        <v>527068</v>
      </c>
      <c r="M2014" s="1028">
        <v>500000</v>
      </c>
      <c r="N2014" s="1029">
        <v>27068</v>
      </c>
      <c r="O2014" s="723"/>
      <c r="P2014" s="1029"/>
      <c r="Q2014" s="1029"/>
      <c r="R2014" s="597">
        <f>M2014/J2014</f>
        <v>35714.285714285717</v>
      </c>
      <c r="S2014" s="586">
        <f t="shared" si="279"/>
        <v>0</v>
      </c>
      <c r="T2014" s="1005"/>
      <c r="U2014" s="1039"/>
      <c r="V2014" s="589"/>
      <c r="W2014" s="600"/>
      <c r="X2014" s="1039"/>
      <c r="Y2014" s="600">
        <f t="shared" si="272"/>
        <v>527068</v>
      </c>
      <c r="Z2014" s="1039"/>
    </row>
    <row r="2015" spans="1:26" s="136" customFormat="1" ht="37.5" hidden="1">
      <c r="A2015" s="1027">
        <f t="shared" si="278"/>
        <v>497</v>
      </c>
      <c r="B2015" s="961" t="s">
        <v>2560</v>
      </c>
      <c r="C2015" s="718" t="s">
        <v>217</v>
      </c>
      <c r="D2015" s="719">
        <v>16186</v>
      </c>
      <c r="E2015" s="719">
        <v>2799</v>
      </c>
      <c r="F2015" s="719" t="s">
        <v>233</v>
      </c>
      <c r="G2015" s="719">
        <v>997</v>
      </c>
      <c r="H2015" s="719">
        <v>9</v>
      </c>
      <c r="I2015" s="719">
        <v>2</v>
      </c>
      <c r="J2015" s="719">
        <v>90</v>
      </c>
      <c r="K2015" s="720" t="s">
        <v>380</v>
      </c>
      <c r="L2015" s="992">
        <f t="shared" si="280"/>
        <v>8460279</v>
      </c>
      <c r="M2015" s="962">
        <v>8397000</v>
      </c>
      <c r="N2015" s="675">
        <v>33279</v>
      </c>
      <c r="O2015" s="963"/>
      <c r="P2015" s="722"/>
      <c r="Q2015" s="722">
        <v>30000</v>
      </c>
      <c r="R2015" s="724">
        <f t="shared" ref="R2015:R2023" si="282">M2015/E2015</f>
        <v>3000</v>
      </c>
      <c r="S2015" s="586">
        <f t="shared" si="279"/>
        <v>0</v>
      </c>
      <c r="T2015" s="726"/>
      <c r="U2015" s="1037"/>
      <c r="V2015" s="589"/>
      <c r="W2015" s="600"/>
      <c r="X2015" s="727"/>
      <c r="Y2015" s="600">
        <f t="shared" si="272"/>
        <v>8460279</v>
      </c>
      <c r="Z2015" s="727"/>
    </row>
    <row r="2016" spans="1:26" s="136" customFormat="1" ht="37.5" hidden="1">
      <c r="A2016" s="1027">
        <f t="shared" si="278"/>
        <v>498</v>
      </c>
      <c r="B2016" s="961" t="s">
        <v>2603</v>
      </c>
      <c r="C2016" s="718" t="s">
        <v>217</v>
      </c>
      <c r="D2016" s="719">
        <v>17426</v>
      </c>
      <c r="E2016" s="719">
        <v>3343</v>
      </c>
      <c r="F2016" s="719" t="s">
        <v>233</v>
      </c>
      <c r="G2016" s="719">
        <v>698.7</v>
      </c>
      <c r="H2016" s="719">
        <v>9</v>
      </c>
      <c r="I2016" s="719">
        <v>3</v>
      </c>
      <c r="J2016" s="719">
        <v>84</v>
      </c>
      <c r="K2016" s="720" t="s">
        <v>380</v>
      </c>
      <c r="L2016" s="992">
        <f t="shared" si="280"/>
        <v>10092731</v>
      </c>
      <c r="M2016" s="962">
        <v>10029000</v>
      </c>
      <c r="N2016" s="675">
        <v>33731</v>
      </c>
      <c r="O2016" s="963"/>
      <c r="P2016" s="722"/>
      <c r="Q2016" s="722">
        <v>30000</v>
      </c>
      <c r="R2016" s="724">
        <f t="shared" si="282"/>
        <v>3000</v>
      </c>
      <c r="S2016" s="586">
        <f t="shared" si="279"/>
        <v>0</v>
      </c>
      <c r="T2016" s="726"/>
      <c r="U2016" s="1037"/>
      <c r="V2016" s="589"/>
      <c r="W2016" s="600"/>
      <c r="X2016" s="727"/>
      <c r="Y2016" s="600">
        <f t="shared" si="272"/>
        <v>10092731</v>
      </c>
      <c r="Z2016" s="727"/>
    </row>
    <row r="2017" spans="1:16380" s="136" customFormat="1" ht="37.5" hidden="1">
      <c r="A2017" s="1027">
        <f t="shared" si="278"/>
        <v>499</v>
      </c>
      <c r="B2017" s="961" t="s">
        <v>2698</v>
      </c>
      <c r="C2017" s="718" t="s">
        <v>217</v>
      </c>
      <c r="D2017" s="719">
        <v>32036</v>
      </c>
      <c r="E2017" s="719">
        <v>5883</v>
      </c>
      <c r="F2017" s="719" t="s">
        <v>233</v>
      </c>
      <c r="G2017" s="719">
        <v>1408</v>
      </c>
      <c r="H2017" s="719">
        <v>9</v>
      </c>
      <c r="I2017" s="719">
        <v>4</v>
      </c>
      <c r="J2017" s="719">
        <v>144</v>
      </c>
      <c r="K2017" s="720" t="s">
        <v>284</v>
      </c>
      <c r="L2017" s="992">
        <f t="shared" si="280"/>
        <v>17718063</v>
      </c>
      <c r="M2017" s="962">
        <v>17649000</v>
      </c>
      <c r="N2017" s="675">
        <v>39063</v>
      </c>
      <c r="O2017" s="963"/>
      <c r="P2017" s="722"/>
      <c r="Q2017" s="722">
        <v>30000</v>
      </c>
      <c r="R2017" s="724">
        <f t="shared" si="282"/>
        <v>3000</v>
      </c>
      <c r="S2017" s="586">
        <f t="shared" si="279"/>
        <v>0</v>
      </c>
      <c r="T2017" s="726"/>
      <c r="U2017" s="1037"/>
      <c r="V2017" s="589"/>
      <c r="W2017" s="600"/>
      <c r="X2017" s="727"/>
      <c r="Y2017" s="600">
        <f t="shared" si="272"/>
        <v>17718063</v>
      </c>
      <c r="Z2017" s="727"/>
    </row>
    <row r="2018" spans="1:16380" s="136" customFormat="1" ht="37.5" hidden="1">
      <c r="A2018" s="1027">
        <f t="shared" si="278"/>
        <v>500</v>
      </c>
      <c r="B2018" s="961" t="s">
        <v>2755</v>
      </c>
      <c r="C2018" s="718" t="s">
        <v>217</v>
      </c>
      <c r="D2018" s="719">
        <v>15482</v>
      </c>
      <c r="E2018" s="719">
        <v>2850.6</v>
      </c>
      <c r="F2018" s="719" t="s">
        <v>233</v>
      </c>
      <c r="G2018" s="719">
        <v>493</v>
      </c>
      <c r="H2018" s="719">
        <v>10</v>
      </c>
      <c r="I2018" s="719">
        <v>2</v>
      </c>
      <c r="J2018" s="719">
        <v>77</v>
      </c>
      <c r="K2018" s="720" t="s">
        <v>284</v>
      </c>
      <c r="L2018" s="992">
        <f t="shared" si="280"/>
        <v>8614822</v>
      </c>
      <c r="M2018" s="962">
        <v>8551800</v>
      </c>
      <c r="N2018" s="675">
        <v>33022</v>
      </c>
      <c r="O2018" s="963"/>
      <c r="P2018" s="722"/>
      <c r="Q2018" s="722">
        <v>30000</v>
      </c>
      <c r="R2018" s="724">
        <f t="shared" si="282"/>
        <v>3000</v>
      </c>
      <c r="S2018" s="586">
        <f t="shared" si="279"/>
        <v>0</v>
      </c>
      <c r="T2018" s="1040"/>
      <c r="U2018" s="985"/>
      <c r="V2018" s="589"/>
      <c r="W2018" s="600"/>
      <c r="X2018" s="1030"/>
      <c r="Y2018" s="600">
        <f t="shared" si="272"/>
        <v>8614822</v>
      </c>
      <c r="Z2018" s="1030"/>
      <c r="AA2018" s="142"/>
      <c r="AB2018" s="142"/>
      <c r="AC2018" s="142"/>
      <c r="AD2018" s="142"/>
      <c r="AE2018" s="142"/>
      <c r="AF2018" s="142"/>
      <c r="AG2018" s="142"/>
      <c r="AH2018" s="142"/>
      <c r="AI2018" s="142"/>
      <c r="AJ2018" s="142"/>
      <c r="AK2018" s="142"/>
      <c r="AL2018" s="142"/>
      <c r="AM2018" s="142"/>
      <c r="AN2018" s="142"/>
      <c r="AO2018" s="142"/>
      <c r="AP2018" s="142"/>
      <c r="AQ2018" s="142"/>
      <c r="AR2018" s="142"/>
      <c r="AS2018" s="142"/>
      <c r="AT2018" s="142"/>
      <c r="AU2018" s="142"/>
      <c r="AV2018" s="142"/>
      <c r="AW2018" s="142"/>
      <c r="AX2018" s="142"/>
      <c r="AY2018" s="142"/>
      <c r="AZ2018" s="142"/>
      <c r="BA2018" s="142"/>
      <c r="BB2018" s="142"/>
      <c r="BC2018" s="142"/>
      <c r="BD2018" s="142"/>
      <c r="BE2018" s="142"/>
      <c r="BF2018" s="142"/>
      <c r="BG2018" s="142"/>
      <c r="BH2018" s="142"/>
      <c r="BI2018" s="142"/>
      <c r="BJ2018" s="142"/>
      <c r="BK2018" s="142"/>
      <c r="BL2018" s="142"/>
      <c r="BM2018" s="142"/>
      <c r="BN2018" s="142"/>
      <c r="BO2018" s="142"/>
      <c r="BP2018" s="142"/>
      <c r="BQ2018" s="142"/>
      <c r="BR2018" s="142"/>
      <c r="BS2018" s="142"/>
      <c r="BT2018" s="142"/>
      <c r="BU2018" s="142"/>
      <c r="BV2018" s="142"/>
      <c r="BW2018" s="142"/>
      <c r="BX2018" s="142"/>
      <c r="BY2018" s="142"/>
      <c r="BZ2018" s="142"/>
      <c r="CA2018" s="142"/>
      <c r="CB2018" s="142"/>
      <c r="CC2018" s="142"/>
      <c r="CD2018" s="142"/>
      <c r="CE2018" s="142"/>
      <c r="CF2018" s="142"/>
      <c r="CG2018" s="142"/>
      <c r="CH2018" s="142"/>
      <c r="CI2018" s="142"/>
      <c r="CJ2018" s="142"/>
      <c r="CK2018" s="142"/>
      <c r="CL2018" s="142"/>
      <c r="CM2018" s="142"/>
      <c r="CN2018" s="142"/>
      <c r="CO2018" s="142"/>
      <c r="CP2018" s="142"/>
      <c r="CQ2018" s="142"/>
      <c r="CR2018" s="142"/>
      <c r="CS2018" s="142"/>
      <c r="CT2018" s="142"/>
      <c r="CU2018" s="142"/>
      <c r="CV2018" s="142"/>
      <c r="CW2018" s="142"/>
      <c r="CX2018" s="142"/>
      <c r="CY2018" s="142"/>
      <c r="CZ2018" s="142"/>
      <c r="DA2018" s="142"/>
      <c r="DB2018" s="142"/>
      <c r="DC2018" s="142"/>
      <c r="DD2018" s="142"/>
      <c r="DE2018" s="142"/>
      <c r="DF2018" s="142"/>
      <c r="DG2018" s="142"/>
      <c r="DH2018" s="142"/>
      <c r="DI2018" s="142"/>
      <c r="DJ2018" s="142"/>
      <c r="DK2018" s="142"/>
      <c r="DL2018" s="142"/>
      <c r="DM2018" s="142"/>
      <c r="DN2018" s="142"/>
      <c r="DO2018" s="142"/>
      <c r="DP2018" s="142"/>
      <c r="DQ2018" s="142"/>
      <c r="DR2018" s="142"/>
      <c r="DS2018" s="142"/>
      <c r="DT2018" s="142"/>
      <c r="DU2018" s="142"/>
      <c r="DV2018" s="142"/>
      <c r="DW2018" s="142"/>
      <c r="DX2018" s="142"/>
      <c r="DY2018" s="142"/>
      <c r="DZ2018" s="142"/>
      <c r="EA2018" s="142"/>
      <c r="EB2018" s="142"/>
      <c r="EC2018" s="142"/>
      <c r="ED2018" s="142"/>
      <c r="EE2018" s="142"/>
      <c r="EF2018" s="142"/>
      <c r="EG2018" s="142"/>
      <c r="EH2018" s="142"/>
      <c r="EI2018" s="142"/>
      <c r="EJ2018" s="142"/>
      <c r="EK2018" s="142"/>
      <c r="EL2018" s="142"/>
      <c r="EM2018" s="142"/>
      <c r="EN2018" s="142"/>
      <c r="EO2018" s="142"/>
      <c r="EP2018" s="142"/>
      <c r="EQ2018" s="142"/>
      <c r="ER2018" s="142"/>
      <c r="ES2018" s="142"/>
      <c r="ET2018" s="142"/>
      <c r="EU2018" s="142"/>
      <c r="EV2018" s="142"/>
      <c r="EW2018" s="142"/>
      <c r="EX2018" s="142"/>
      <c r="EY2018" s="142"/>
      <c r="EZ2018" s="142"/>
      <c r="FA2018" s="142"/>
      <c r="FB2018" s="142"/>
      <c r="FC2018" s="142"/>
      <c r="FD2018" s="142"/>
      <c r="FE2018" s="142"/>
      <c r="FF2018" s="142"/>
      <c r="FG2018" s="142"/>
      <c r="FH2018" s="142"/>
      <c r="FI2018" s="142"/>
      <c r="FJ2018" s="142"/>
      <c r="FK2018" s="142"/>
      <c r="FL2018" s="142"/>
      <c r="FM2018" s="142"/>
      <c r="FN2018" s="142"/>
      <c r="FO2018" s="142"/>
      <c r="FP2018" s="142"/>
      <c r="FQ2018" s="142"/>
      <c r="FR2018" s="142"/>
      <c r="FS2018" s="142"/>
      <c r="FT2018" s="142"/>
      <c r="FU2018" s="142"/>
      <c r="FV2018" s="142"/>
      <c r="FW2018" s="142"/>
      <c r="FX2018" s="142"/>
      <c r="FY2018" s="142"/>
      <c r="FZ2018" s="142"/>
      <c r="GA2018" s="142"/>
      <c r="GB2018" s="142"/>
      <c r="GC2018" s="142"/>
      <c r="GD2018" s="142"/>
      <c r="GE2018" s="142"/>
      <c r="GF2018" s="142"/>
      <c r="GG2018" s="142"/>
      <c r="GH2018" s="142"/>
      <c r="GI2018" s="142"/>
      <c r="GJ2018" s="142"/>
      <c r="GK2018" s="142"/>
      <c r="GL2018" s="142"/>
      <c r="GM2018" s="142"/>
      <c r="GN2018" s="142"/>
      <c r="GO2018" s="142"/>
      <c r="GP2018" s="142"/>
      <c r="GQ2018" s="142"/>
      <c r="GR2018" s="142"/>
      <c r="GS2018" s="142"/>
      <c r="GT2018" s="142"/>
      <c r="GU2018" s="142"/>
      <c r="GV2018" s="142"/>
      <c r="GW2018" s="142"/>
      <c r="GX2018" s="142"/>
      <c r="GY2018" s="142"/>
      <c r="GZ2018" s="142"/>
      <c r="HA2018" s="142"/>
      <c r="HB2018" s="142"/>
      <c r="HC2018" s="142"/>
      <c r="HD2018" s="142"/>
      <c r="HE2018" s="142"/>
      <c r="HF2018" s="142"/>
      <c r="HG2018" s="142"/>
      <c r="HH2018" s="142"/>
      <c r="HI2018" s="142"/>
      <c r="HJ2018" s="142"/>
      <c r="HK2018" s="142"/>
      <c r="HL2018" s="142"/>
      <c r="HM2018" s="142"/>
      <c r="HN2018" s="142"/>
      <c r="HO2018" s="142"/>
      <c r="HP2018" s="142"/>
      <c r="HQ2018" s="142"/>
      <c r="HR2018" s="142"/>
      <c r="HS2018" s="142"/>
      <c r="HT2018" s="142"/>
      <c r="HU2018" s="142"/>
      <c r="HV2018" s="142"/>
      <c r="HW2018" s="142"/>
      <c r="HX2018" s="142"/>
      <c r="HY2018" s="142"/>
      <c r="HZ2018" s="142"/>
      <c r="IA2018" s="142"/>
      <c r="IB2018" s="142"/>
      <c r="IC2018" s="142"/>
      <c r="ID2018" s="142"/>
      <c r="IE2018" s="142"/>
      <c r="IF2018" s="142"/>
      <c r="IG2018" s="142"/>
      <c r="IH2018" s="142"/>
      <c r="II2018" s="142"/>
      <c r="IJ2018" s="142"/>
      <c r="IK2018" s="142"/>
      <c r="IL2018" s="142"/>
      <c r="IM2018" s="142"/>
      <c r="IN2018" s="142"/>
      <c r="IO2018" s="142"/>
      <c r="IP2018" s="142"/>
      <c r="IQ2018" s="142"/>
      <c r="IR2018" s="142"/>
      <c r="IS2018" s="142"/>
      <c r="IT2018" s="142"/>
      <c r="IU2018" s="142"/>
      <c r="IV2018" s="142"/>
      <c r="IW2018" s="142"/>
      <c r="IX2018" s="142"/>
      <c r="IY2018" s="142"/>
      <c r="IZ2018" s="142"/>
      <c r="JA2018" s="142"/>
      <c r="JB2018" s="142"/>
      <c r="JC2018" s="142"/>
      <c r="JD2018" s="142"/>
      <c r="JE2018" s="142"/>
      <c r="JF2018" s="142"/>
      <c r="JG2018" s="142"/>
      <c r="JH2018" s="142"/>
      <c r="JI2018" s="142"/>
      <c r="JJ2018" s="142"/>
      <c r="JK2018" s="142"/>
      <c r="JL2018" s="142"/>
      <c r="JM2018" s="142"/>
      <c r="JN2018" s="142"/>
      <c r="JO2018" s="142"/>
      <c r="JP2018" s="142"/>
      <c r="JQ2018" s="142"/>
      <c r="JR2018" s="142"/>
      <c r="JS2018" s="142"/>
      <c r="JT2018" s="142"/>
      <c r="JU2018" s="142"/>
      <c r="JV2018" s="142"/>
      <c r="JW2018" s="142"/>
      <c r="JX2018" s="142"/>
      <c r="JY2018" s="142"/>
      <c r="JZ2018" s="142"/>
      <c r="KA2018" s="142"/>
      <c r="KB2018" s="142"/>
      <c r="KC2018" s="142"/>
      <c r="KD2018" s="142"/>
      <c r="KE2018" s="142"/>
      <c r="KF2018" s="142"/>
      <c r="KG2018" s="142"/>
      <c r="KH2018" s="142"/>
      <c r="KI2018" s="142"/>
      <c r="KJ2018" s="142"/>
      <c r="KK2018" s="142"/>
      <c r="KL2018" s="142"/>
      <c r="KM2018" s="142"/>
      <c r="KN2018" s="142"/>
      <c r="KO2018" s="142"/>
      <c r="KP2018" s="142"/>
      <c r="KQ2018" s="142"/>
      <c r="KR2018" s="142"/>
      <c r="KS2018" s="142"/>
      <c r="KT2018" s="142"/>
      <c r="KU2018" s="142"/>
      <c r="KV2018" s="142"/>
      <c r="KW2018" s="142"/>
      <c r="KX2018" s="142"/>
      <c r="KY2018" s="142"/>
      <c r="KZ2018" s="142"/>
      <c r="LA2018" s="142"/>
      <c r="LB2018" s="142"/>
      <c r="LC2018" s="142"/>
      <c r="LD2018" s="142"/>
      <c r="LE2018" s="142"/>
      <c r="LF2018" s="142"/>
      <c r="LG2018" s="142"/>
      <c r="LH2018" s="142"/>
      <c r="LI2018" s="142"/>
      <c r="LJ2018" s="142"/>
      <c r="LK2018" s="142"/>
      <c r="LL2018" s="142"/>
      <c r="LM2018" s="142"/>
      <c r="LN2018" s="142"/>
      <c r="LO2018" s="142"/>
      <c r="LP2018" s="142"/>
      <c r="LQ2018" s="142"/>
      <c r="LR2018" s="142"/>
      <c r="LS2018" s="142"/>
      <c r="LT2018" s="142"/>
      <c r="LU2018" s="142"/>
      <c r="LV2018" s="142"/>
      <c r="LW2018" s="142"/>
      <c r="LX2018" s="142"/>
      <c r="LY2018" s="142"/>
      <c r="LZ2018" s="142"/>
      <c r="MA2018" s="142"/>
      <c r="MB2018" s="142"/>
      <c r="MC2018" s="142"/>
      <c r="MD2018" s="142"/>
      <c r="ME2018" s="142"/>
      <c r="MF2018" s="142"/>
      <c r="MG2018" s="142"/>
      <c r="MH2018" s="142"/>
      <c r="MI2018" s="142"/>
      <c r="MJ2018" s="142"/>
      <c r="MK2018" s="142"/>
      <c r="ML2018" s="142"/>
      <c r="MM2018" s="142"/>
      <c r="MN2018" s="142"/>
      <c r="MO2018" s="142"/>
      <c r="MP2018" s="142"/>
      <c r="MQ2018" s="142"/>
      <c r="MR2018" s="142"/>
      <c r="MS2018" s="142"/>
      <c r="MT2018" s="142"/>
      <c r="MU2018" s="142"/>
      <c r="MV2018" s="142"/>
      <c r="MW2018" s="142"/>
      <c r="MX2018" s="142"/>
      <c r="MY2018" s="142"/>
      <c r="MZ2018" s="142"/>
      <c r="NA2018" s="142"/>
      <c r="NB2018" s="142"/>
      <c r="NC2018" s="142"/>
      <c r="ND2018" s="142"/>
      <c r="NE2018" s="142"/>
      <c r="NF2018" s="142"/>
      <c r="NG2018" s="142"/>
      <c r="NH2018" s="142"/>
      <c r="NI2018" s="142"/>
      <c r="NJ2018" s="142"/>
      <c r="NK2018" s="142"/>
      <c r="NL2018" s="142"/>
      <c r="NM2018" s="142"/>
      <c r="NN2018" s="142"/>
      <c r="NO2018" s="142"/>
      <c r="NP2018" s="142"/>
      <c r="NQ2018" s="142"/>
      <c r="NR2018" s="142"/>
      <c r="NS2018" s="142"/>
      <c r="NT2018" s="142"/>
      <c r="NU2018" s="142"/>
      <c r="NV2018" s="142"/>
      <c r="NW2018" s="142"/>
      <c r="NX2018" s="142"/>
      <c r="NY2018" s="142"/>
      <c r="NZ2018" s="142"/>
      <c r="OA2018" s="142"/>
      <c r="OB2018" s="142"/>
      <c r="OC2018" s="142"/>
      <c r="OD2018" s="142"/>
      <c r="OE2018" s="142"/>
      <c r="OF2018" s="142"/>
      <c r="OG2018" s="142"/>
      <c r="OH2018" s="142"/>
      <c r="OI2018" s="142"/>
      <c r="OJ2018" s="142"/>
      <c r="OK2018" s="142"/>
      <c r="OL2018" s="142"/>
      <c r="OM2018" s="142"/>
      <c r="ON2018" s="142"/>
      <c r="OO2018" s="142"/>
      <c r="OP2018" s="142"/>
      <c r="OQ2018" s="142"/>
      <c r="OR2018" s="142"/>
      <c r="OS2018" s="142"/>
      <c r="OT2018" s="142"/>
      <c r="OU2018" s="142"/>
      <c r="OV2018" s="142"/>
      <c r="OW2018" s="142"/>
      <c r="OX2018" s="142"/>
      <c r="OY2018" s="142"/>
      <c r="OZ2018" s="142"/>
      <c r="PA2018" s="142"/>
      <c r="PB2018" s="142"/>
      <c r="PC2018" s="142"/>
      <c r="PD2018" s="142"/>
      <c r="PE2018" s="142"/>
      <c r="PF2018" s="142"/>
      <c r="PG2018" s="142"/>
      <c r="PH2018" s="142"/>
      <c r="PI2018" s="142"/>
      <c r="PJ2018" s="142"/>
      <c r="PK2018" s="142"/>
      <c r="PL2018" s="142"/>
      <c r="PM2018" s="142"/>
      <c r="PN2018" s="142"/>
      <c r="PO2018" s="142"/>
      <c r="PP2018" s="142"/>
      <c r="PQ2018" s="142"/>
      <c r="PR2018" s="142"/>
      <c r="PS2018" s="142"/>
      <c r="PT2018" s="142"/>
      <c r="PU2018" s="142"/>
      <c r="PV2018" s="142"/>
      <c r="PW2018" s="142"/>
      <c r="PX2018" s="142"/>
      <c r="PY2018" s="142"/>
      <c r="PZ2018" s="142"/>
      <c r="QA2018" s="142"/>
      <c r="QB2018" s="142"/>
      <c r="QC2018" s="142"/>
      <c r="QD2018" s="142"/>
      <c r="QE2018" s="142"/>
      <c r="QF2018" s="142"/>
      <c r="QG2018" s="142"/>
      <c r="QH2018" s="142"/>
      <c r="QI2018" s="142"/>
      <c r="QJ2018" s="142"/>
      <c r="QK2018" s="142"/>
      <c r="QL2018" s="142"/>
      <c r="QM2018" s="142"/>
      <c r="QN2018" s="142"/>
      <c r="QO2018" s="142"/>
      <c r="QP2018" s="142"/>
      <c r="QQ2018" s="142"/>
      <c r="QR2018" s="142"/>
      <c r="QS2018" s="142"/>
      <c r="QT2018" s="142"/>
      <c r="QU2018" s="142"/>
      <c r="QV2018" s="142"/>
      <c r="QW2018" s="142"/>
      <c r="QX2018" s="142"/>
      <c r="QY2018" s="142"/>
      <c r="QZ2018" s="142"/>
      <c r="RA2018" s="142"/>
      <c r="RB2018" s="142"/>
      <c r="RC2018" s="142"/>
      <c r="RD2018" s="142"/>
      <c r="RE2018" s="142"/>
      <c r="RF2018" s="142"/>
      <c r="RG2018" s="142"/>
      <c r="RH2018" s="142"/>
      <c r="RI2018" s="142"/>
      <c r="RJ2018" s="142"/>
      <c r="RK2018" s="142"/>
      <c r="RL2018" s="142"/>
      <c r="RM2018" s="142"/>
      <c r="RN2018" s="142"/>
      <c r="RO2018" s="142"/>
      <c r="RP2018" s="142"/>
      <c r="RQ2018" s="142"/>
      <c r="RR2018" s="142"/>
      <c r="RS2018" s="142"/>
      <c r="RT2018" s="142"/>
      <c r="RU2018" s="142"/>
      <c r="RV2018" s="142"/>
      <c r="RW2018" s="142"/>
      <c r="RX2018" s="142"/>
      <c r="RY2018" s="142"/>
      <c r="RZ2018" s="142"/>
      <c r="SA2018" s="142"/>
      <c r="SB2018" s="142"/>
      <c r="SC2018" s="142"/>
      <c r="SD2018" s="142"/>
      <c r="SE2018" s="142"/>
      <c r="SF2018" s="142"/>
      <c r="SG2018" s="142"/>
      <c r="SH2018" s="142"/>
      <c r="SI2018" s="142"/>
      <c r="SJ2018" s="142"/>
      <c r="SK2018" s="142"/>
      <c r="SL2018" s="142"/>
      <c r="SM2018" s="142"/>
      <c r="SN2018" s="142"/>
      <c r="SO2018" s="142"/>
      <c r="SP2018" s="142"/>
      <c r="SQ2018" s="142"/>
      <c r="SR2018" s="142"/>
      <c r="SS2018" s="142"/>
      <c r="ST2018" s="142"/>
      <c r="SU2018" s="142"/>
      <c r="SV2018" s="142"/>
      <c r="SW2018" s="142"/>
      <c r="SX2018" s="142"/>
      <c r="SY2018" s="142"/>
      <c r="SZ2018" s="142"/>
      <c r="TA2018" s="142"/>
      <c r="TB2018" s="142"/>
      <c r="TC2018" s="142"/>
      <c r="TD2018" s="142"/>
      <c r="TE2018" s="142"/>
      <c r="TF2018" s="142"/>
      <c r="TG2018" s="142"/>
      <c r="TH2018" s="142"/>
      <c r="TI2018" s="142"/>
      <c r="TJ2018" s="142"/>
      <c r="TK2018" s="142"/>
      <c r="TL2018" s="142"/>
      <c r="TM2018" s="142"/>
      <c r="TN2018" s="142"/>
      <c r="TO2018" s="142"/>
      <c r="TP2018" s="142"/>
      <c r="TQ2018" s="142"/>
      <c r="TR2018" s="142"/>
      <c r="TS2018" s="142"/>
      <c r="TT2018" s="142"/>
      <c r="TU2018" s="142"/>
      <c r="TV2018" s="142"/>
      <c r="TW2018" s="142"/>
      <c r="TX2018" s="142"/>
      <c r="TY2018" s="142"/>
      <c r="TZ2018" s="142"/>
      <c r="UA2018" s="142"/>
      <c r="UB2018" s="142"/>
      <c r="UC2018" s="142"/>
      <c r="UD2018" s="142"/>
      <c r="UE2018" s="142"/>
      <c r="UF2018" s="142"/>
      <c r="UG2018" s="142"/>
      <c r="UH2018" s="142"/>
      <c r="UI2018" s="142"/>
      <c r="UJ2018" s="142"/>
      <c r="UK2018" s="142"/>
      <c r="UL2018" s="142"/>
      <c r="UM2018" s="142"/>
      <c r="UN2018" s="142"/>
      <c r="UO2018" s="142"/>
      <c r="UP2018" s="142"/>
      <c r="UQ2018" s="142"/>
      <c r="UR2018" s="142"/>
      <c r="US2018" s="142"/>
      <c r="UT2018" s="142"/>
      <c r="UU2018" s="142"/>
      <c r="UV2018" s="142"/>
      <c r="UW2018" s="142"/>
      <c r="UX2018" s="142"/>
      <c r="UY2018" s="142"/>
      <c r="UZ2018" s="142"/>
      <c r="VA2018" s="142"/>
      <c r="VB2018" s="142"/>
      <c r="VC2018" s="142"/>
      <c r="VD2018" s="142"/>
      <c r="VE2018" s="142"/>
      <c r="VF2018" s="142"/>
      <c r="VG2018" s="142"/>
      <c r="VH2018" s="142"/>
      <c r="VI2018" s="142"/>
      <c r="VJ2018" s="142"/>
      <c r="VK2018" s="142"/>
      <c r="VL2018" s="142"/>
      <c r="VM2018" s="142"/>
      <c r="VN2018" s="142"/>
      <c r="VO2018" s="142"/>
      <c r="VP2018" s="142"/>
      <c r="VQ2018" s="142"/>
      <c r="VR2018" s="142"/>
      <c r="VS2018" s="142"/>
      <c r="VT2018" s="142"/>
      <c r="VU2018" s="142"/>
      <c r="VV2018" s="142"/>
      <c r="VW2018" s="142"/>
      <c r="VX2018" s="142"/>
      <c r="VY2018" s="142"/>
      <c r="VZ2018" s="142"/>
      <c r="WA2018" s="142"/>
      <c r="WB2018" s="142"/>
      <c r="WC2018" s="142"/>
      <c r="WD2018" s="142"/>
      <c r="WE2018" s="142"/>
      <c r="WF2018" s="142"/>
      <c r="WG2018" s="142"/>
      <c r="WH2018" s="142"/>
      <c r="WI2018" s="142"/>
      <c r="WJ2018" s="142"/>
      <c r="WK2018" s="142"/>
      <c r="WL2018" s="142"/>
      <c r="WM2018" s="142"/>
      <c r="WN2018" s="142"/>
      <c r="WO2018" s="142"/>
      <c r="WP2018" s="142"/>
      <c r="WQ2018" s="142"/>
      <c r="WR2018" s="142"/>
      <c r="WS2018" s="142"/>
      <c r="WT2018" s="142"/>
      <c r="WU2018" s="142"/>
      <c r="WV2018" s="142"/>
      <c r="WW2018" s="142"/>
      <c r="WX2018" s="142"/>
      <c r="WY2018" s="142"/>
      <c r="WZ2018" s="142"/>
      <c r="XA2018" s="142"/>
      <c r="XB2018" s="142"/>
      <c r="XC2018" s="142"/>
      <c r="XD2018" s="142"/>
      <c r="XE2018" s="142"/>
      <c r="XF2018" s="142"/>
      <c r="XG2018" s="142"/>
      <c r="XH2018" s="142"/>
      <c r="XI2018" s="142"/>
      <c r="XJ2018" s="142"/>
      <c r="XK2018" s="142"/>
      <c r="XL2018" s="142"/>
      <c r="XM2018" s="142"/>
      <c r="XN2018" s="142"/>
      <c r="XO2018" s="142"/>
      <c r="XP2018" s="142"/>
      <c r="XQ2018" s="142"/>
      <c r="XR2018" s="142"/>
      <c r="XS2018" s="142"/>
      <c r="XT2018" s="142"/>
      <c r="XU2018" s="142"/>
      <c r="XV2018" s="142"/>
      <c r="XW2018" s="142"/>
      <c r="XX2018" s="142"/>
      <c r="XY2018" s="142"/>
      <c r="XZ2018" s="142"/>
      <c r="YA2018" s="142"/>
      <c r="YB2018" s="142"/>
      <c r="YC2018" s="142"/>
      <c r="YD2018" s="142"/>
      <c r="YE2018" s="142"/>
      <c r="YF2018" s="142"/>
      <c r="YG2018" s="142"/>
      <c r="YH2018" s="142"/>
      <c r="YI2018" s="142"/>
      <c r="YJ2018" s="142"/>
      <c r="YK2018" s="142"/>
      <c r="YL2018" s="142"/>
      <c r="YM2018" s="142"/>
      <c r="YN2018" s="142"/>
      <c r="YO2018" s="142"/>
      <c r="YP2018" s="142"/>
      <c r="YQ2018" s="142"/>
      <c r="YR2018" s="142"/>
      <c r="YS2018" s="142"/>
      <c r="YT2018" s="142"/>
      <c r="YU2018" s="142"/>
      <c r="YV2018" s="142"/>
      <c r="YW2018" s="142"/>
      <c r="YX2018" s="142"/>
      <c r="YY2018" s="142"/>
      <c r="YZ2018" s="142"/>
      <c r="ZA2018" s="142"/>
      <c r="ZB2018" s="142"/>
      <c r="ZC2018" s="142"/>
      <c r="ZD2018" s="142"/>
      <c r="ZE2018" s="142"/>
      <c r="ZF2018" s="142"/>
      <c r="ZG2018" s="142"/>
      <c r="ZH2018" s="142"/>
      <c r="ZI2018" s="142"/>
      <c r="ZJ2018" s="142"/>
      <c r="ZK2018" s="142"/>
      <c r="ZL2018" s="142"/>
      <c r="ZM2018" s="142"/>
      <c r="ZN2018" s="142"/>
      <c r="ZO2018" s="142"/>
      <c r="ZP2018" s="142"/>
      <c r="ZQ2018" s="142"/>
      <c r="ZR2018" s="142"/>
      <c r="ZS2018" s="142"/>
      <c r="ZT2018" s="142"/>
      <c r="ZU2018" s="142"/>
      <c r="ZV2018" s="142"/>
      <c r="ZW2018" s="142"/>
      <c r="ZX2018" s="142"/>
      <c r="ZY2018" s="142"/>
      <c r="ZZ2018" s="142"/>
      <c r="AAA2018" s="142"/>
      <c r="AAB2018" s="142"/>
      <c r="AAC2018" s="142"/>
      <c r="AAD2018" s="142"/>
      <c r="AAE2018" s="142"/>
      <c r="AAF2018" s="142"/>
      <c r="AAG2018" s="142"/>
      <c r="AAH2018" s="142"/>
      <c r="AAI2018" s="142"/>
      <c r="AAJ2018" s="142"/>
      <c r="AAK2018" s="142"/>
      <c r="AAL2018" s="142"/>
      <c r="AAM2018" s="142"/>
      <c r="AAN2018" s="142"/>
      <c r="AAO2018" s="142"/>
      <c r="AAP2018" s="142"/>
      <c r="AAQ2018" s="142"/>
      <c r="AAR2018" s="142"/>
      <c r="AAS2018" s="142"/>
      <c r="AAT2018" s="142"/>
      <c r="AAU2018" s="142"/>
      <c r="AAV2018" s="142"/>
      <c r="AAW2018" s="142"/>
      <c r="AAX2018" s="142"/>
      <c r="AAY2018" s="142"/>
      <c r="AAZ2018" s="142"/>
      <c r="ABA2018" s="142"/>
      <c r="ABB2018" s="142"/>
      <c r="ABC2018" s="142"/>
      <c r="ABD2018" s="142"/>
      <c r="ABE2018" s="142"/>
      <c r="ABF2018" s="142"/>
      <c r="ABG2018" s="142"/>
      <c r="ABH2018" s="142"/>
      <c r="ABI2018" s="142"/>
      <c r="ABJ2018" s="142"/>
      <c r="ABK2018" s="142"/>
      <c r="ABL2018" s="142"/>
      <c r="ABM2018" s="142"/>
      <c r="ABN2018" s="142"/>
      <c r="ABO2018" s="142"/>
      <c r="ABP2018" s="142"/>
      <c r="ABQ2018" s="142"/>
      <c r="ABR2018" s="142"/>
      <c r="ABS2018" s="142"/>
      <c r="ABT2018" s="142"/>
      <c r="ABU2018" s="142"/>
      <c r="ABV2018" s="142"/>
      <c r="ABW2018" s="142"/>
      <c r="ABX2018" s="142"/>
      <c r="ABY2018" s="142"/>
      <c r="ABZ2018" s="142"/>
      <c r="ACA2018" s="142"/>
      <c r="ACB2018" s="142"/>
      <c r="ACC2018" s="142"/>
      <c r="ACD2018" s="142"/>
      <c r="ACE2018" s="142"/>
      <c r="ACF2018" s="142"/>
      <c r="ACG2018" s="142"/>
      <c r="ACH2018" s="142"/>
      <c r="ACI2018" s="142"/>
      <c r="ACJ2018" s="142"/>
      <c r="ACK2018" s="142"/>
      <c r="ACL2018" s="142"/>
      <c r="ACM2018" s="142"/>
      <c r="ACN2018" s="142"/>
      <c r="ACO2018" s="142"/>
      <c r="ACP2018" s="142"/>
      <c r="ACQ2018" s="142"/>
      <c r="ACR2018" s="142"/>
      <c r="ACS2018" s="142"/>
      <c r="ACT2018" s="142"/>
      <c r="ACU2018" s="142"/>
      <c r="ACV2018" s="142"/>
      <c r="ACW2018" s="142"/>
      <c r="ACX2018" s="142"/>
      <c r="ACY2018" s="142"/>
      <c r="ACZ2018" s="142"/>
      <c r="ADA2018" s="142"/>
      <c r="ADB2018" s="142"/>
      <c r="ADC2018" s="142"/>
      <c r="ADD2018" s="142"/>
      <c r="ADE2018" s="142"/>
      <c r="ADF2018" s="142"/>
      <c r="ADG2018" s="142"/>
      <c r="ADH2018" s="142"/>
      <c r="ADI2018" s="142"/>
      <c r="ADJ2018" s="142"/>
      <c r="ADK2018" s="142"/>
      <c r="ADL2018" s="142"/>
      <c r="ADM2018" s="142"/>
      <c r="ADN2018" s="142"/>
      <c r="ADO2018" s="142"/>
      <c r="ADP2018" s="142"/>
      <c r="ADQ2018" s="142"/>
      <c r="ADR2018" s="142"/>
      <c r="ADS2018" s="142"/>
      <c r="ADT2018" s="142"/>
      <c r="ADU2018" s="142"/>
      <c r="ADV2018" s="142"/>
      <c r="ADW2018" s="142"/>
      <c r="ADX2018" s="142"/>
      <c r="ADY2018" s="142"/>
      <c r="ADZ2018" s="142"/>
      <c r="AEA2018" s="142"/>
      <c r="AEB2018" s="142"/>
      <c r="AEC2018" s="142"/>
      <c r="AED2018" s="142"/>
      <c r="AEE2018" s="142"/>
      <c r="AEF2018" s="142"/>
      <c r="AEG2018" s="142"/>
      <c r="AEH2018" s="142"/>
      <c r="AEI2018" s="142"/>
      <c r="AEJ2018" s="142"/>
      <c r="AEK2018" s="142"/>
      <c r="AEL2018" s="142"/>
      <c r="AEM2018" s="142"/>
      <c r="AEN2018" s="142"/>
      <c r="AEO2018" s="142"/>
      <c r="AEP2018" s="142"/>
      <c r="AEQ2018" s="142"/>
      <c r="AER2018" s="142"/>
      <c r="AES2018" s="142"/>
      <c r="AET2018" s="142"/>
      <c r="AEU2018" s="142"/>
      <c r="AEV2018" s="142"/>
      <c r="AEW2018" s="142"/>
      <c r="AEX2018" s="142"/>
      <c r="AEY2018" s="142"/>
      <c r="AEZ2018" s="142"/>
      <c r="AFA2018" s="142"/>
      <c r="AFB2018" s="142"/>
      <c r="AFC2018" s="142"/>
      <c r="AFD2018" s="142"/>
      <c r="AFE2018" s="142"/>
      <c r="AFF2018" s="142"/>
      <c r="AFG2018" s="142"/>
      <c r="AFH2018" s="142"/>
      <c r="AFI2018" s="142"/>
      <c r="AFJ2018" s="142"/>
      <c r="AFK2018" s="142"/>
      <c r="AFL2018" s="142"/>
      <c r="AFM2018" s="142"/>
      <c r="AFN2018" s="142"/>
      <c r="AFO2018" s="142"/>
      <c r="AFP2018" s="142"/>
      <c r="AFQ2018" s="142"/>
      <c r="AFR2018" s="142"/>
      <c r="AFS2018" s="142"/>
      <c r="AFT2018" s="142"/>
      <c r="AFU2018" s="142"/>
      <c r="AFV2018" s="142"/>
      <c r="AFW2018" s="142"/>
      <c r="AFX2018" s="142"/>
      <c r="AFY2018" s="142"/>
      <c r="AFZ2018" s="142"/>
      <c r="AGA2018" s="142"/>
      <c r="AGB2018" s="142"/>
      <c r="AGC2018" s="142"/>
      <c r="AGD2018" s="142"/>
      <c r="AGE2018" s="142"/>
      <c r="AGF2018" s="142"/>
      <c r="AGG2018" s="142"/>
      <c r="AGH2018" s="142"/>
      <c r="AGI2018" s="142"/>
      <c r="AGJ2018" s="142"/>
      <c r="AGK2018" s="142"/>
      <c r="AGL2018" s="142"/>
      <c r="AGM2018" s="142"/>
      <c r="AGN2018" s="142"/>
      <c r="AGO2018" s="142"/>
      <c r="AGP2018" s="142"/>
      <c r="AGQ2018" s="142"/>
      <c r="AGR2018" s="142"/>
      <c r="AGS2018" s="142"/>
      <c r="AGT2018" s="142"/>
      <c r="AGU2018" s="142"/>
      <c r="AGV2018" s="142"/>
      <c r="AGW2018" s="142"/>
      <c r="AGX2018" s="142"/>
      <c r="AGY2018" s="142"/>
      <c r="AGZ2018" s="142"/>
      <c r="AHA2018" s="142"/>
      <c r="AHB2018" s="142"/>
      <c r="AHC2018" s="142"/>
      <c r="AHD2018" s="142"/>
      <c r="AHE2018" s="142"/>
      <c r="AHF2018" s="142"/>
      <c r="AHG2018" s="142"/>
      <c r="AHH2018" s="142"/>
      <c r="AHI2018" s="142"/>
      <c r="AHJ2018" s="142"/>
      <c r="AHK2018" s="142"/>
      <c r="AHL2018" s="142"/>
      <c r="AHM2018" s="142"/>
      <c r="AHN2018" s="142"/>
      <c r="AHO2018" s="142"/>
      <c r="AHP2018" s="142"/>
      <c r="AHQ2018" s="142"/>
      <c r="AHR2018" s="142"/>
      <c r="AHS2018" s="142"/>
      <c r="AHT2018" s="142"/>
      <c r="AHU2018" s="142"/>
      <c r="AHV2018" s="142"/>
      <c r="AHW2018" s="142"/>
      <c r="AHX2018" s="142"/>
      <c r="AHY2018" s="142"/>
      <c r="AHZ2018" s="142"/>
      <c r="AIA2018" s="142"/>
      <c r="AIB2018" s="142"/>
      <c r="AIC2018" s="142"/>
      <c r="AID2018" s="142"/>
      <c r="AIE2018" s="142"/>
      <c r="AIF2018" s="142"/>
      <c r="AIG2018" s="142"/>
      <c r="AIH2018" s="142"/>
      <c r="AII2018" s="142"/>
      <c r="AIJ2018" s="142"/>
      <c r="AIK2018" s="142"/>
      <c r="AIL2018" s="142"/>
      <c r="AIM2018" s="142"/>
      <c r="AIN2018" s="142"/>
      <c r="AIO2018" s="142"/>
      <c r="AIP2018" s="142"/>
      <c r="AIQ2018" s="142"/>
      <c r="AIR2018" s="142"/>
      <c r="AIS2018" s="142"/>
      <c r="AIT2018" s="142"/>
      <c r="AIU2018" s="142"/>
      <c r="AIV2018" s="142"/>
      <c r="AIW2018" s="142"/>
      <c r="AIX2018" s="142"/>
      <c r="AIY2018" s="142"/>
      <c r="AIZ2018" s="142"/>
      <c r="AJA2018" s="142"/>
      <c r="AJB2018" s="142"/>
      <c r="AJC2018" s="142"/>
      <c r="AJD2018" s="142"/>
      <c r="AJE2018" s="142"/>
      <c r="AJF2018" s="142"/>
      <c r="AJG2018" s="142"/>
      <c r="AJH2018" s="142"/>
      <c r="AJI2018" s="142"/>
      <c r="AJJ2018" s="142"/>
      <c r="AJK2018" s="142"/>
      <c r="AJL2018" s="142"/>
      <c r="AJM2018" s="142"/>
      <c r="AJN2018" s="142"/>
      <c r="AJO2018" s="142"/>
      <c r="AJP2018" s="142"/>
      <c r="AJQ2018" s="142"/>
      <c r="AJR2018" s="142"/>
      <c r="AJS2018" s="142"/>
      <c r="AJT2018" s="142"/>
      <c r="AJU2018" s="142"/>
      <c r="AJV2018" s="142"/>
      <c r="AJW2018" s="142"/>
      <c r="AJX2018" s="142"/>
      <c r="AJY2018" s="142"/>
      <c r="AJZ2018" s="142"/>
      <c r="AKA2018" s="142"/>
      <c r="AKB2018" s="142"/>
      <c r="AKC2018" s="142"/>
      <c r="AKD2018" s="142"/>
      <c r="AKE2018" s="142"/>
      <c r="AKF2018" s="142"/>
      <c r="AKG2018" s="142"/>
      <c r="AKH2018" s="142"/>
      <c r="AKI2018" s="142"/>
      <c r="AKJ2018" s="142"/>
      <c r="AKK2018" s="142"/>
      <c r="AKL2018" s="142"/>
      <c r="AKM2018" s="142"/>
      <c r="AKN2018" s="142"/>
      <c r="AKO2018" s="142"/>
      <c r="AKP2018" s="142"/>
      <c r="AKQ2018" s="142"/>
      <c r="AKR2018" s="142"/>
      <c r="AKS2018" s="142"/>
      <c r="AKT2018" s="142"/>
      <c r="AKU2018" s="142"/>
      <c r="AKV2018" s="142"/>
      <c r="AKW2018" s="142"/>
      <c r="AKX2018" s="142"/>
      <c r="AKY2018" s="142"/>
      <c r="AKZ2018" s="142"/>
      <c r="ALA2018" s="142"/>
      <c r="ALB2018" s="142"/>
      <c r="ALC2018" s="142"/>
      <c r="ALD2018" s="142"/>
      <c r="ALE2018" s="142"/>
      <c r="ALF2018" s="142"/>
      <c r="ALG2018" s="142"/>
      <c r="ALH2018" s="142"/>
      <c r="ALI2018" s="142"/>
      <c r="ALJ2018" s="142"/>
      <c r="ALK2018" s="142"/>
      <c r="ALL2018" s="142"/>
      <c r="ALM2018" s="142"/>
      <c r="ALN2018" s="142"/>
      <c r="ALO2018" s="142"/>
      <c r="ALP2018" s="142"/>
      <c r="ALQ2018" s="142"/>
      <c r="ALR2018" s="142"/>
      <c r="ALS2018" s="142"/>
      <c r="ALT2018" s="142"/>
      <c r="ALU2018" s="142"/>
      <c r="ALV2018" s="142"/>
      <c r="ALW2018" s="142"/>
      <c r="ALX2018" s="142"/>
      <c r="ALY2018" s="142"/>
      <c r="ALZ2018" s="142"/>
      <c r="AMA2018" s="142"/>
      <c r="AMB2018" s="142"/>
      <c r="AMC2018" s="142"/>
      <c r="AMD2018" s="142"/>
      <c r="AME2018" s="142"/>
      <c r="AMF2018" s="142"/>
      <c r="AMG2018" s="142"/>
      <c r="AMH2018" s="142"/>
      <c r="AMI2018" s="142"/>
      <c r="AMJ2018" s="142"/>
      <c r="AMK2018" s="142"/>
      <c r="AML2018" s="142"/>
      <c r="AMM2018" s="142"/>
      <c r="AMN2018" s="142"/>
      <c r="AMO2018" s="142"/>
      <c r="AMP2018" s="142"/>
      <c r="AMQ2018" s="142"/>
      <c r="AMR2018" s="142"/>
      <c r="AMS2018" s="142"/>
      <c r="AMT2018" s="142"/>
      <c r="AMU2018" s="142"/>
      <c r="AMV2018" s="142"/>
      <c r="AMW2018" s="142"/>
      <c r="AMX2018" s="142"/>
      <c r="AMY2018" s="142"/>
      <c r="AMZ2018" s="142"/>
      <c r="ANA2018" s="142"/>
      <c r="ANB2018" s="142"/>
      <c r="ANC2018" s="142"/>
      <c r="AND2018" s="142"/>
      <c r="ANE2018" s="142"/>
      <c r="ANF2018" s="142"/>
      <c r="ANG2018" s="142"/>
      <c r="ANH2018" s="142"/>
      <c r="ANI2018" s="142"/>
      <c r="ANJ2018" s="142"/>
      <c r="ANK2018" s="142"/>
      <c r="ANL2018" s="142"/>
      <c r="ANM2018" s="142"/>
      <c r="ANN2018" s="142"/>
      <c r="ANO2018" s="142"/>
      <c r="ANP2018" s="142"/>
      <c r="ANQ2018" s="142"/>
      <c r="ANR2018" s="142"/>
      <c r="ANS2018" s="142"/>
      <c r="ANT2018" s="142"/>
      <c r="ANU2018" s="142"/>
      <c r="ANV2018" s="142"/>
      <c r="ANW2018" s="142"/>
      <c r="ANX2018" s="142"/>
      <c r="ANY2018" s="142"/>
      <c r="ANZ2018" s="142"/>
      <c r="AOA2018" s="142"/>
      <c r="AOB2018" s="142"/>
      <c r="AOC2018" s="142"/>
      <c r="AOD2018" s="142"/>
      <c r="AOE2018" s="142"/>
      <c r="AOF2018" s="142"/>
      <c r="AOG2018" s="142"/>
      <c r="AOH2018" s="142"/>
      <c r="AOI2018" s="142"/>
      <c r="AOJ2018" s="142"/>
      <c r="AOK2018" s="142"/>
      <c r="AOL2018" s="142"/>
      <c r="AOM2018" s="142"/>
      <c r="AON2018" s="142"/>
      <c r="AOO2018" s="142"/>
      <c r="AOP2018" s="142"/>
      <c r="AOQ2018" s="142"/>
      <c r="AOR2018" s="142"/>
      <c r="AOS2018" s="142"/>
      <c r="AOT2018" s="142"/>
      <c r="AOU2018" s="142"/>
      <c r="AOV2018" s="142"/>
      <c r="AOW2018" s="142"/>
      <c r="AOX2018" s="142"/>
      <c r="AOY2018" s="142"/>
      <c r="AOZ2018" s="142"/>
      <c r="APA2018" s="142"/>
      <c r="APB2018" s="142"/>
      <c r="APC2018" s="142"/>
      <c r="APD2018" s="142"/>
      <c r="APE2018" s="142"/>
      <c r="APF2018" s="142"/>
      <c r="APG2018" s="142"/>
      <c r="APH2018" s="142"/>
      <c r="API2018" s="142"/>
      <c r="APJ2018" s="142"/>
      <c r="APK2018" s="142"/>
      <c r="APL2018" s="142"/>
      <c r="APM2018" s="142"/>
      <c r="APN2018" s="142"/>
      <c r="APO2018" s="142"/>
      <c r="APP2018" s="142"/>
      <c r="APQ2018" s="142"/>
      <c r="APR2018" s="142"/>
      <c r="APS2018" s="142"/>
      <c r="APT2018" s="142"/>
      <c r="APU2018" s="142"/>
      <c r="APV2018" s="142"/>
      <c r="APW2018" s="142"/>
      <c r="APX2018" s="142"/>
      <c r="APY2018" s="142"/>
      <c r="APZ2018" s="142"/>
      <c r="AQA2018" s="142"/>
      <c r="AQB2018" s="142"/>
      <c r="AQC2018" s="142"/>
      <c r="AQD2018" s="142"/>
      <c r="AQE2018" s="142"/>
      <c r="AQF2018" s="142"/>
      <c r="AQG2018" s="142"/>
      <c r="AQH2018" s="142"/>
      <c r="AQI2018" s="142"/>
      <c r="AQJ2018" s="142"/>
      <c r="AQK2018" s="142"/>
      <c r="AQL2018" s="142"/>
      <c r="AQM2018" s="142"/>
      <c r="AQN2018" s="142"/>
      <c r="AQO2018" s="142"/>
      <c r="AQP2018" s="142"/>
      <c r="AQQ2018" s="142"/>
      <c r="AQR2018" s="142"/>
      <c r="AQS2018" s="142"/>
      <c r="AQT2018" s="142"/>
      <c r="AQU2018" s="142"/>
      <c r="AQV2018" s="142"/>
      <c r="AQW2018" s="142"/>
      <c r="AQX2018" s="142"/>
      <c r="AQY2018" s="142"/>
      <c r="AQZ2018" s="142"/>
      <c r="ARA2018" s="142"/>
      <c r="ARB2018" s="142"/>
      <c r="ARC2018" s="142"/>
      <c r="ARD2018" s="142"/>
      <c r="ARE2018" s="142"/>
      <c r="ARF2018" s="142"/>
      <c r="ARG2018" s="142"/>
      <c r="ARH2018" s="142"/>
      <c r="ARI2018" s="142"/>
      <c r="ARJ2018" s="142"/>
      <c r="ARK2018" s="142"/>
      <c r="ARL2018" s="142"/>
      <c r="ARM2018" s="142"/>
      <c r="ARN2018" s="142"/>
      <c r="ARO2018" s="142"/>
      <c r="ARP2018" s="142"/>
      <c r="ARQ2018" s="142"/>
      <c r="ARR2018" s="142"/>
      <c r="ARS2018" s="142"/>
      <c r="ART2018" s="142"/>
      <c r="ARU2018" s="142"/>
      <c r="ARV2018" s="142"/>
      <c r="ARW2018" s="142"/>
      <c r="ARX2018" s="142"/>
      <c r="ARY2018" s="142"/>
      <c r="ARZ2018" s="142"/>
      <c r="ASA2018" s="142"/>
      <c r="ASB2018" s="142"/>
      <c r="ASC2018" s="142"/>
      <c r="ASD2018" s="142"/>
      <c r="ASE2018" s="142"/>
      <c r="ASF2018" s="142"/>
      <c r="ASG2018" s="142"/>
      <c r="ASH2018" s="142"/>
      <c r="ASI2018" s="142"/>
      <c r="ASJ2018" s="142"/>
      <c r="ASK2018" s="142"/>
      <c r="ASL2018" s="142"/>
      <c r="ASM2018" s="142"/>
      <c r="ASN2018" s="142"/>
      <c r="ASO2018" s="142"/>
      <c r="ASP2018" s="142"/>
      <c r="ASQ2018" s="142"/>
      <c r="ASR2018" s="142"/>
      <c r="ASS2018" s="142"/>
      <c r="AST2018" s="142"/>
      <c r="ASU2018" s="142"/>
      <c r="ASV2018" s="142"/>
      <c r="ASW2018" s="142"/>
      <c r="ASX2018" s="142"/>
      <c r="ASY2018" s="142"/>
      <c r="ASZ2018" s="142"/>
      <c r="ATA2018" s="142"/>
      <c r="ATB2018" s="142"/>
      <c r="ATC2018" s="142"/>
      <c r="ATD2018" s="142"/>
      <c r="ATE2018" s="142"/>
      <c r="ATF2018" s="142"/>
      <c r="ATG2018" s="142"/>
      <c r="ATH2018" s="142"/>
      <c r="ATI2018" s="142"/>
      <c r="ATJ2018" s="142"/>
      <c r="ATK2018" s="142"/>
      <c r="ATL2018" s="142"/>
      <c r="ATM2018" s="142"/>
      <c r="ATN2018" s="142"/>
      <c r="ATO2018" s="142"/>
      <c r="ATP2018" s="142"/>
      <c r="ATQ2018" s="142"/>
      <c r="ATR2018" s="142"/>
      <c r="ATS2018" s="142"/>
      <c r="ATT2018" s="142"/>
      <c r="ATU2018" s="142"/>
      <c r="ATV2018" s="142"/>
      <c r="ATW2018" s="142"/>
      <c r="ATX2018" s="142"/>
      <c r="ATY2018" s="142"/>
      <c r="ATZ2018" s="142"/>
      <c r="AUA2018" s="142"/>
      <c r="AUB2018" s="142"/>
      <c r="AUC2018" s="142"/>
      <c r="AUD2018" s="142"/>
      <c r="AUE2018" s="142"/>
      <c r="AUF2018" s="142"/>
      <c r="AUG2018" s="142"/>
      <c r="AUH2018" s="142"/>
      <c r="AUI2018" s="142"/>
      <c r="AUJ2018" s="142"/>
      <c r="AUK2018" s="142"/>
      <c r="AUL2018" s="142"/>
      <c r="AUM2018" s="142"/>
      <c r="AUN2018" s="142"/>
      <c r="AUO2018" s="142"/>
      <c r="AUP2018" s="142"/>
      <c r="AUQ2018" s="142"/>
      <c r="AUR2018" s="142"/>
      <c r="AUS2018" s="142"/>
      <c r="AUT2018" s="142"/>
      <c r="AUU2018" s="142"/>
      <c r="AUV2018" s="142"/>
      <c r="AUW2018" s="142"/>
      <c r="AUX2018" s="142"/>
      <c r="AUY2018" s="142"/>
      <c r="AUZ2018" s="142"/>
      <c r="AVA2018" s="142"/>
      <c r="AVB2018" s="142"/>
      <c r="AVC2018" s="142"/>
      <c r="AVD2018" s="142"/>
      <c r="AVE2018" s="142"/>
      <c r="AVF2018" s="142"/>
      <c r="AVG2018" s="142"/>
      <c r="AVH2018" s="142"/>
      <c r="AVI2018" s="142"/>
      <c r="AVJ2018" s="142"/>
      <c r="AVK2018" s="142"/>
      <c r="AVL2018" s="142"/>
      <c r="AVM2018" s="142"/>
      <c r="AVN2018" s="142"/>
      <c r="AVO2018" s="142"/>
      <c r="AVP2018" s="142"/>
      <c r="AVQ2018" s="142"/>
      <c r="AVR2018" s="142"/>
      <c r="AVS2018" s="142"/>
      <c r="AVT2018" s="142"/>
      <c r="AVU2018" s="142"/>
      <c r="AVV2018" s="142"/>
      <c r="AVW2018" s="142"/>
      <c r="AVX2018" s="142"/>
      <c r="AVY2018" s="142"/>
      <c r="AVZ2018" s="142"/>
      <c r="AWA2018" s="142"/>
      <c r="AWB2018" s="142"/>
      <c r="AWC2018" s="142"/>
      <c r="AWD2018" s="142"/>
      <c r="AWE2018" s="142"/>
      <c r="AWF2018" s="142"/>
      <c r="AWG2018" s="142"/>
      <c r="AWH2018" s="142"/>
      <c r="AWI2018" s="142"/>
      <c r="AWJ2018" s="142"/>
      <c r="AWK2018" s="142"/>
      <c r="AWL2018" s="142"/>
      <c r="AWM2018" s="142"/>
      <c r="AWN2018" s="142"/>
      <c r="AWO2018" s="142"/>
      <c r="AWP2018" s="142"/>
      <c r="AWQ2018" s="142"/>
      <c r="AWR2018" s="142"/>
      <c r="AWS2018" s="142"/>
      <c r="AWT2018" s="142"/>
      <c r="AWU2018" s="142"/>
      <c r="AWV2018" s="142"/>
      <c r="AWW2018" s="142"/>
      <c r="AWX2018" s="142"/>
      <c r="AWY2018" s="142"/>
      <c r="AWZ2018" s="142"/>
      <c r="AXA2018" s="142"/>
      <c r="AXB2018" s="142"/>
      <c r="AXC2018" s="142"/>
      <c r="AXD2018" s="142"/>
      <c r="AXE2018" s="142"/>
      <c r="AXF2018" s="142"/>
      <c r="AXG2018" s="142"/>
      <c r="AXH2018" s="142"/>
      <c r="AXI2018" s="142"/>
      <c r="AXJ2018" s="142"/>
      <c r="AXK2018" s="142"/>
      <c r="AXL2018" s="142"/>
      <c r="AXM2018" s="142"/>
      <c r="AXN2018" s="142"/>
      <c r="AXO2018" s="142"/>
      <c r="AXP2018" s="142"/>
      <c r="AXQ2018" s="142"/>
      <c r="AXR2018" s="142"/>
      <c r="AXS2018" s="142"/>
      <c r="AXT2018" s="142"/>
      <c r="AXU2018" s="142"/>
      <c r="AXV2018" s="142"/>
      <c r="AXW2018" s="142"/>
      <c r="AXX2018" s="142"/>
      <c r="AXY2018" s="142"/>
      <c r="AXZ2018" s="142"/>
      <c r="AYA2018" s="142"/>
      <c r="AYB2018" s="142"/>
      <c r="AYC2018" s="142"/>
      <c r="AYD2018" s="142"/>
      <c r="AYE2018" s="142"/>
      <c r="AYF2018" s="142"/>
      <c r="AYG2018" s="142"/>
      <c r="AYH2018" s="142"/>
      <c r="AYI2018" s="142"/>
      <c r="AYJ2018" s="142"/>
      <c r="AYK2018" s="142"/>
      <c r="AYL2018" s="142"/>
      <c r="AYM2018" s="142"/>
      <c r="AYN2018" s="142"/>
      <c r="AYO2018" s="142"/>
      <c r="AYP2018" s="142"/>
      <c r="AYQ2018" s="142"/>
      <c r="AYR2018" s="142"/>
      <c r="AYS2018" s="142"/>
      <c r="AYT2018" s="142"/>
      <c r="AYU2018" s="142"/>
      <c r="AYV2018" s="142"/>
      <c r="AYW2018" s="142"/>
      <c r="AYX2018" s="142"/>
      <c r="AYY2018" s="142"/>
      <c r="AYZ2018" s="142"/>
      <c r="AZA2018" s="142"/>
      <c r="AZB2018" s="142"/>
      <c r="AZC2018" s="142"/>
      <c r="AZD2018" s="142"/>
      <c r="AZE2018" s="142"/>
      <c r="AZF2018" s="142"/>
      <c r="AZG2018" s="142"/>
      <c r="AZH2018" s="142"/>
      <c r="AZI2018" s="142"/>
      <c r="AZJ2018" s="142"/>
      <c r="AZK2018" s="142"/>
      <c r="AZL2018" s="142"/>
      <c r="AZM2018" s="142"/>
      <c r="AZN2018" s="142"/>
      <c r="AZO2018" s="142"/>
      <c r="AZP2018" s="142"/>
      <c r="AZQ2018" s="142"/>
      <c r="AZR2018" s="142"/>
      <c r="AZS2018" s="142"/>
      <c r="AZT2018" s="142"/>
      <c r="AZU2018" s="142"/>
      <c r="AZV2018" s="142"/>
      <c r="AZW2018" s="142"/>
      <c r="AZX2018" s="142"/>
      <c r="AZY2018" s="142"/>
      <c r="AZZ2018" s="142"/>
      <c r="BAA2018" s="142"/>
      <c r="BAB2018" s="142"/>
      <c r="BAC2018" s="142"/>
      <c r="BAD2018" s="142"/>
      <c r="BAE2018" s="142"/>
      <c r="BAF2018" s="142"/>
      <c r="BAG2018" s="142"/>
      <c r="BAH2018" s="142"/>
      <c r="BAI2018" s="142"/>
      <c r="BAJ2018" s="142"/>
      <c r="BAK2018" s="142"/>
      <c r="BAL2018" s="142"/>
      <c r="BAM2018" s="142"/>
      <c r="BAN2018" s="142"/>
      <c r="BAO2018" s="142"/>
      <c r="BAP2018" s="142"/>
      <c r="BAQ2018" s="142"/>
      <c r="BAR2018" s="142"/>
      <c r="BAS2018" s="142"/>
      <c r="BAT2018" s="142"/>
      <c r="BAU2018" s="142"/>
      <c r="BAV2018" s="142"/>
      <c r="BAW2018" s="142"/>
      <c r="BAX2018" s="142"/>
      <c r="BAY2018" s="142"/>
      <c r="BAZ2018" s="142"/>
      <c r="BBA2018" s="142"/>
      <c r="BBB2018" s="142"/>
      <c r="BBC2018" s="142"/>
      <c r="BBD2018" s="142"/>
      <c r="BBE2018" s="142"/>
      <c r="BBF2018" s="142"/>
      <c r="BBG2018" s="142"/>
      <c r="BBH2018" s="142"/>
      <c r="BBI2018" s="142"/>
      <c r="BBJ2018" s="142"/>
      <c r="BBK2018" s="142"/>
      <c r="BBL2018" s="142"/>
      <c r="BBM2018" s="142"/>
      <c r="BBN2018" s="142"/>
      <c r="BBO2018" s="142"/>
      <c r="BBP2018" s="142"/>
      <c r="BBQ2018" s="142"/>
      <c r="BBR2018" s="142"/>
      <c r="BBS2018" s="142"/>
      <c r="BBT2018" s="142"/>
      <c r="BBU2018" s="142"/>
      <c r="BBV2018" s="142"/>
      <c r="BBW2018" s="142"/>
      <c r="BBX2018" s="142"/>
      <c r="BBY2018" s="142"/>
      <c r="BBZ2018" s="142"/>
      <c r="BCA2018" s="142"/>
      <c r="BCB2018" s="142"/>
      <c r="BCC2018" s="142"/>
      <c r="BCD2018" s="142"/>
      <c r="BCE2018" s="142"/>
      <c r="BCF2018" s="142"/>
      <c r="BCG2018" s="142"/>
      <c r="BCH2018" s="142"/>
      <c r="BCI2018" s="142"/>
      <c r="BCJ2018" s="142"/>
      <c r="BCK2018" s="142"/>
      <c r="BCL2018" s="142"/>
      <c r="BCM2018" s="142"/>
      <c r="BCN2018" s="142"/>
      <c r="BCO2018" s="142"/>
      <c r="BCP2018" s="142"/>
      <c r="BCQ2018" s="142"/>
      <c r="BCR2018" s="142"/>
      <c r="BCS2018" s="142"/>
      <c r="BCT2018" s="142"/>
      <c r="BCU2018" s="142"/>
      <c r="BCV2018" s="142"/>
      <c r="BCW2018" s="142"/>
      <c r="BCX2018" s="142"/>
      <c r="BCY2018" s="142"/>
      <c r="BCZ2018" s="142"/>
      <c r="BDA2018" s="142"/>
      <c r="BDB2018" s="142"/>
      <c r="BDC2018" s="142"/>
      <c r="BDD2018" s="142"/>
      <c r="BDE2018" s="142"/>
      <c r="BDF2018" s="142"/>
      <c r="BDG2018" s="142"/>
      <c r="BDH2018" s="142"/>
      <c r="BDI2018" s="142"/>
      <c r="BDJ2018" s="142"/>
      <c r="BDK2018" s="142"/>
      <c r="BDL2018" s="142"/>
      <c r="BDM2018" s="142"/>
      <c r="BDN2018" s="142"/>
      <c r="BDO2018" s="142"/>
      <c r="BDP2018" s="142"/>
      <c r="BDQ2018" s="142"/>
      <c r="BDR2018" s="142"/>
      <c r="BDS2018" s="142"/>
      <c r="BDT2018" s="142"/>
      <c r="BDU2018" s="142"/>
      <c r="BDV2018" s="142"/>
      <c r="BDW2018" s="142"/>
      <c r="BDX2018" s="142"/>
      <c r="BDY2018" s="142"/>
      <c r="BDZ2018" s="142"/>
      <c r="BEA2018" s="142"/>
      <c r="BEB2018" s="142"/>
      <c r="BEC2018" s="142"/>
      <c r="BED2018" s="142"/>
      <c r="BEE2018" s="142"/>
      <c r="BEF2018" s="142"/>
      <c r="BEG2018" s="142"/>
      <c r="BEH2018" s="142"/>
      <c r="BEI2018" s="142"/>
      <c r="BEJ2018" s="142"/>
      <c r="BEK2018" s="142"/>
      <c r="BEL2018" s="142"/>
      <c r="BEM2018" s="142"/>
      <c r="BEN2018" s="142"/>
      <c r="BEO2018" s="142"/>
      <c r="BEP2018" s="142"/>
      <c r="BEQ2018" s="142"/>
      <c r="BER2018" s="142"/>
      <c r="BES2018" s="142"/>
      <c r="BET2018" s="142"/>
      <c r="BEU2018" s="142"/>
      <c r="BEV2018" s="142"/>
      <c r="BEW2018" s="142"/>
      <c r="BEX2018" s="142"/>
      <c r="BEY2018" s="142"/>
      <c r="BEZ2018" s="142"/>
      <c r="BFA2018" s="142"/>
      <c r="BFB2018" s="142"/>
      <c r="BFC2018" s="142"/>
      <c r="BFD2018" s="142"/>
      <c r="BFE2018" s="142"/>
      <c r="BFF2018" s="142"/>
      <c r="BFG2018" s="142"/>
      <c r="BFH2018" s="142"/>
      <c r="BFI2018" s="142"/>
      <c r="BFJ2018" s="142"/>
      <c r="BFK2018" s="142"/>
      <c r="BFL2018" s="142"/>
      <c r="BFM2018" s="142"/>
      <c r="BFN2018" s="142"/>
      <c r="BFO2018" s="142"/>
      <c r="BFP2018" s="142"/>
      <c r="BFQ2018" s="142"/>
      <c r="BFR2018" s="142"/>
      <c r="BFS2018" s="142"/>
      <c r="BFT2018" s="142"/>
      <c r="BFU2018" s="142"/>
      <c r="BFV2018" s="142"/>
      <c r="BFW2018" s="142"/>
      <c r="BFX2018" s="142"/>
      <c r="BFY2018" s="142"/>
      <c r="BFZ2018" s="142"/>
      <c r="BGA2018" s="142"/>
      <c r="BGB2018" s="142"/>
      <c r="BGC2018" s="142"/>
      <c r="BGD2018" s="142"/>
      <c r="BGE2018" s="142"/>
      <c r="BGF2018" s="142"/>
      <c r="BGG2018" s="142"/>
      <c r="BGH2018" s="142"/>
      <c r="BGI2018" s="142"/>
      <c r="BGJ2018" s="142"/>
      <c r="BGK2018" s="142"/>
      <c r="BGL2018" s="142"/>
      <c r="BGM2018" s="142"/>
      <c r="BGN2018" s="142"/>
      <c r="BGO2018" s="142"/>
      <c r="BGP2018" s="142"/>
      <c r="BGQ2018" s="142"/>
      <c r="BGR2018" s="142"/>
      <c r="BGS2018" s="142"/>
      <c r="BGT2018" s="142"/>
      <c r="BGU2018" s="142"/>
      <c r="BGV2018" s="142"/>
      <c r="BGW2018" s="142"/>
      <c r="BGX2018" s="142"/>
      <c r="BGY2018" s="142"/>
      <c r="BGZ2018" s="142"/>
      <c r="BHA2018" s="142"/>
      <c r="BHB2018" s="142"/>
      <c r="BHC2018" s="142"/>
      <c r="BHD2018" s="142"/>
      <c r="BHE2018" s="142"/>
      <c r="BHF2018" s="142"/>
      <c r="BHG2018" s="142"/>
      <c r="BHH2018" s="142"/>
      <c r="BHI2018" s="142"/>
      <c r="BHJ2018" s="142"/>
      <c r="BHK2018" s="142"/>
      <c r="BHL2018" s="142"/>
      <c r="BHM2018" s="142"/>
      <c r="BHN2018" s="142"/>
      <c r="BHO2018" s="142"/>
      <c r="BHP2018" s="142"/>
      <c r="BHQ2018" s="142"/>
      <c r="BHR2018" s="142"/>
      <c r="BHS2018" s="142"/>
      <c r="BHT2018" s="142"/>
      <c r="BHU2018" s="142"/>
      <c r="BHV2018" s="142"/>
      <c r="BHW2018" s="142"/>
      <c r="BHX2018" s="142"/>
      <c r="BHY2018" s="142"/>
      <c r="BHZ2018" s="142"/>
      <c r="BIA2018" s="142"/>
      <c r="BIB2018" s="142"/>
      <c r="BIC2018" s="142"/>
      <c r="BID2018" s="142"/>
      <c r="BIE2018" s="142"/>
      <c r="BIF2018" s="142"/>
      <c r="BIG2018" s="142"/>
      <c r="BIH2018" s="142"/>
      <c r="BII2018" s="142"/>
      <c r="BIJ2018" s="142"/>
      <c r="BIK2018" s="142"/>
      <c r="BIL2018" s="142"/>
      <c r="BIM2018" s="142"/>
      <c r="BIN2018" s="142"/>
      <c r="BIO2018" s="142"/>
      <c r="BIP2018" s="142"/>
      <c r="BIQ2018" s="142"/>
      <c r="BIR2018" s="142"/>
      <c r="BIS2018" s="142"/>
      <c r="BIT2018" s="142"/>
      <c r="BIU2018" s="142"/>
      <c r="BIV2018" s="142"/>
      <c r="BIW2018" s="142"/>
      <c r="BIX2018" s="142"/>
      <c r="BIY2018" s="142"/>
      <c r="BIZ2018" s="142"/>
      <c r="BJA2018" s="142"/>
      <c r="BJB2018" s="142"/>
      <c r="BJC2018" s="142"/>
      <c r="BJD2018" s="142"/>
      <c r="BJE2018" s="142"/>
      <c r="BJF2018" s="142"/>
      <c r="BJG2018" s="142"/>
      <c r="BJH2018" s="142"/>
      <c r="BJI2018" s="142"/>
      <c r="BJJ2018" s="142"/>
      <c r="BJK2018" s="142"/>
      <c r="BJL2018" s="142"/>
      <c r="BJM2018" s="142"/>
      <c r="BJN2018" s="142"/>
      <c r="BJO2018" s="142"/>
      <c r="BJP2018" s="142"/>
      <c r="BJQ2018" s="142"/>
      <c r="BJR2018" s="142"/>
      <c r="BJS2018" s="142"/>
      <c r="BJT2018" s="142"/>
      <c r="BJU2018" s="142"/>
      <c r="BJV2018" s="142"/>
      <c r="BJW2018" s="142"/>
      <c r="BJX2018" s="142"/>
      <c r="BJY2018" s="142"/>
      <c r="BJZ2018" s="142"/>
      <c r="BKA2018" s="142"/>
      <c r="BKB2018" s="142"/>
      <c r="BKC2018" s="142"/>
      <c r="BKD2018" s="142"/>
      <c r="BKE2018" s="142"/>
      <c r="BKF2018" s="142"/>
      <c r="BKG2018" s="142"/>
      <c r="BKH2018" s="142"/>
      <c r="BKI2018" s="142"/>
      <c r="BKJ2018" s="142"/>
      <c r="BKK2018" s="142"/>
      <c r="BKL2018" s="142"/>
      <c r="BKM2018" s="142"/>
      <c r="BKN2018" s="142"/>
      <c r="BKO2018" s="142"/>
      <c r="BKP2018" s="142"/>
      <c r="BKQ2018" s="142"/>
      <c r="BKR2018" s="142"/>
      <c r="BKS2018" s="142"/>
      <c r="BKT2018" s="142"/>
      <c r="BKU2018" s="142"/>
      <c r="BKV2018" s="142"/>
      <c r="BKW2018" s="142"/>
      <c r="BKX2018" s="142"/>
      <c r="BKY2018" s="142"/>
      <c r="BKZ2018" s="142"/>
      <c r="BLA2018" s="142"/>
      <c r="BLB2018" s="142"/>
      <c r="BLC2018" s="142"/>
      <c r="BLD2018" s="142"/>
      <c r="BLE2018" s="142"/>
      <c r="BLF2018" s="142"/>
      <c r="BLG2018" s="142"/>
      <c r="BLH2018" s="142"/>
      <c r="BLI2018" s="142"/>
      <c r="BLJ2018" s="142"/>
      <c r="BLK2018" s="142"/>
      <c r="BLL2018" s="142"/>
      <c r="BLM2018" s="142"/>
      <c r="BLN2018" s="142"/>
      <c r="BLO2018" s="142"/>
      <c r="BLP2018" s="142"/>
      <c r="BLQ2018" s="142"/>
      <c r="BLR2018" s="142"/>
      <c r="BLS2018" s="142"/>
      <c r="BLT2018" s="142"/>
      <c r="BLU2018" s="142"/>
      <c r="BLV2018" s="142"/>
      <c r="BLW2018" s="142"/>
      <c r="BLX2018" s="142"/>
      <c r="BLY2018" s="142"/>
      <c r="BLZ2018" s="142"/>
      <c r="BMA2018" s="142"/>
      <c r="BMB2018" s="142"/>
      <c r="BMC2018" s="142"/>
      <c r="BMD2018" s="142"/>
      <c r="BME2018" s="142"/>
      <c r="BMF2018" s="142"/>
      <c r="BMG2018" s="142"/>
      <c r="BMH2018" s="142"/>
      <c r="BMI2018" s="142"/>
      <c r="BMJ2018" s="142"/>
      <c r="BMK2018" s="142"/>
      <c r="BML2018" s="142"/>
      <c r="BMM2018" s="142"/>
      <c r="BMN2018" s="142"/>
      <c r="BMO2018" s="142"/>
      <c r="BMP2018" s="142"/>
      <c r="BMQ2018" s="142"/>
      <c r="BMR2018" s="142"/>
      <c r="BMS2018" s="142"/>
      <c r="BMT2018" s="142"/>
      <c r="BMU2018" s="142"/>
      <c r="BMV2018" s="142"/>
      <c r="BMW2018" s="142"/>
      <c r="BMX2018" s="142"/>
      <c r="BMY2018" s="142"/>
      <c r="BMZ2018" s="142"/>
      <c r="BNA2018" s="142"/>
      <c r="BNB2018" s="142"/>
      <c r="BNC2018" s="142"/>
      <c r="BND2018" s="142"/>
      <c r="BNE2018" s="142"/>
      <c r="BNF2018" s="142"/>
      <c r="BNG2018" s="142"/>
      <c r="BNH2018" s="142"/>
      <c r="BNI2018" s="142"/>
      <c r="BNJ2018" s="142"/>
      <c r="BNK2018" s="142"/>
      <c r="BNL2018" s="142"/>
      <c r="BNM2018" s="142"/>
      <c r="BNN2018" s="142"/>
      <c r="BNO2018" s="142"/>
      <c r="BNP2018" s="142"/>
      <c r="BNQ2018" s="142"/>
      <c r="BNR2018" s="142"/>
      <c r="BNS2018" s="142"/>
      <c r="BNT2018" s="142"/>
      <c r="BNU2018" s="142"/>
      <c r="BNV2018" s="142"/>
      <c r="BNW2018" s="142"/>
      <c r="BNX2018" s="142"/>
      <c r="BNY2018" s="142"/>
      <c r="BNZ2018" s="142"/>
      <c r="BOA2018" s="142"/>
      <c r="BOB2018" s="142"/>
      <c r="BOC2018" s="142"/>
      <c r="BOD2018" s="142"/>
      <c r="BOE2018" s="142"/>
      <c r="BOF2018" s="142"/>
      <c r="BOG2018" s="142"/>
      <c r="BOH2018" s="142"/>
      <c r="BOI2018" s="142"/>
      <c r="BOJ2018" s="142"/>
      <c r="BOK2018" s="142"/>
      <c r="BOL2018" s="142"/>
      <c r="BOM2018" s="142"/>
      <c r="BON2018" s="142"/>
      <c r="BOO2018" s="142"/>
      <c r="BOP2018" s="142"/>
      <c r="BOQ2018" s="142"/>
      <c r="BOR2018" s="142"/>
      <c r="BOS2018" s="142"/>
      <c r="BOT2018" s="142"/>
      <c r="BOU2018" s="142"/>
      <c r="BOV2018" s="142"/>
      <c r="BOW2018" s="142"/>
      <c r="BOX2018" s="142"/>
      <c r="BOY2018" s="142"/>
      <c r="BOZ2018" s="142"/>
      <c r="BPA2018" s="142"/>
      <c r="BPB2018" s="142"/>
      <c r="BPC2018" s="142"/>
      <c r="BPD2018" s="142"/>
      <c r="BPE2018" s="142"/>
      <c r="BPF2018" s="142"/>
      <c r="BPG2018" s="142"/>
      <c r="BPH2018" s="142"/>
      <c r="BPI2018" s="142"/>
      <c r="BPJ2018" s="142"/>
      <c r="BPK2018" s="142"/>
      <c r="BPL2018" s="142"/>
      <c r="BPM2018" s="142"/>
      <c r="BPN2018" s="142"/>
      <c r="BPO2018" s="142"/>
      <c r="BPP2018" s="142"/>
      <c r="BPQ2018" s="142"/>
      <c r="BPR2018" s="142"/>
      <c r="BPS2018" s="142"/>
      <c r="BPT2018" s="142"/>
      <c r="BPU2018" s="142"/>
      <c r="BPV2018" s="142"/>
      <c r="BPW2018" s="142"/>
      <c r="BPX2018" s="142"/>
      <c r="BPY2018" s="142"/>
      <c r="BPZ2018" s="142"/>
      <c r="BQA2018" s="142"/>
      <c r="BQB2018" s="142"/>
      <c r="BQC2018" s="142"/>
      <c r="BQD2018" s="142"/>
      <c r="BQE2018" s="142"/>
      <c r="BQF2018" s="142"/>
      <c r="BQG2018" s="142"/>
      <c r="BQH2018" s="142"/>
      <c r="BQI2018" s="142"/>
      <c r="BQJ2018" s="142"/>
      <c r="BQK2018" s="142"/>
      <c r="BQL2018" s="142"/>
      <c r="BQM2018" s="142"/>
      <c r="BQN2018" s="142"/>
      <c r="BQO2018" s="142"/>
      <c r="BQP2018" s="142"/>
      <c r="BQQ2018" s="142"/>
      <c r="BQR2018" s="142"/>
      <c r="BQS2018" s="142"/>
      <c r="BQT2018" s="142"/>
      <c r="BQU2018" s="142"/>
      <c r="BQV2018" s="142"/>
      <c r="BQW2018" s="142"/>
      <c r="BQX2018" s="142"/>
      <c r="BQY2018" s="142"/>
      <c r="BQZ2018" s="142"/>
      <c r="BRA2018" s="142"/>
      <c r="BRB2018" s="142"/>
      <c r="BRC2018" s="142"/>
      <c r="BRD2018" s="142"/>
      <c r="BRE2018" s="142"/>
      <c r="BRF2018" s="142"/>
      <c r="BRG2018" s="142"/>
      <c r="BRH2018" s="142"/>
      <c r="BRI2018" s="142"/>
      <c r="BRJ2018" s="142"/>
      <c r="BRK2018" s="142"/>
      <c r="BRL2018" s="142"/>
      <c r="BRM2018" s="142"/>
      <c r="BRN2018" s="142"/>
      <c r="BRO2018" s="142"/>
      <c r="BRP2018" s="142"/>
      <c r="BRQ2018" s="142"/>
      <c r="BRR2018" s="142"/>
      <c r="BRS2018" s="142"/>
      <c r="BRT2018" s="142"/>
      <c r="BRU2018" s="142"/>
      <c r="BRV2018" s="142"/>
      <c r="BRW2018" s="142"/>
      <c r="BRX2018" s="142"/>
      <c r="BRY2018" s="142"/>
      <c r="BRZ2018" s="142"/>
      <c r="BSA2018" s="142"/>
      <c r="BSB2018" s="142"/>
      <c r="BSC2018" s="142"/>
      <c r="BSD2018" s="142"/>
      <c r="BSE2018" s="142"/>
      <c r="BSF2018" s="142"/>
      <c r="BSG2018" s="142"/>
      <c r="BSH2018" s="142"/>
      <c r="BSI2018" s="142"/>
      <c r="BSJ2018" s="142"/>
      <c r="BSK2018" s="142"/>
      <c r="BSL2018" s="142"/>
      <c r="BSM2018" s="142"/>
      <c r="BSN2018" s="142"/>
      <c r="BSO2018" s="142"/>
      <c r="BSP2018" s="142"/>
      <c r="BSQ2018" s="142"/>
      <c r="BSR2018" s="142"/>
      <c r="BSS2018" s="142"/>
      <c r="BST2018" s="142"/>
      <c r="BSU2018" s="142"/>
      <c r="BSV2018" s="142"/>
      <c r="BSW2018" s="142"/>
      <c r="BSX2018" s="142"/>
      <c r="BSY2018" s="142"/>
      <c r="BSZ2018" s="142"/>
      <c r="BTA2018" s="142"/>
      <c r="BTB2018" s="142"/>
      <c r="BTC2018" s="142"/>
      <c r="BTD2018" s="142"/>
      <c r="BTE2018" s="142"/>
      <c r="BTF2018" s="142"/>
      <c r="BTG2018" s="142"/>
      <c r="BTH2018" s="142"/>
      <c r="BTI2018" s="142"/>
      <c r="BTJ2018" s="142"/>
      <c r="BTK2018" s="142"/>
      <c r="BTL2018" s="142"/>
      <c r="BTM2018" s="142"/>
      <c r="BTN2018" s="142"/>
      <c r="BTO2018" s="142"/>
      <c r="BTP2018" s="142"/>
      <c r="BTQ2018" s="142"/>
      <c r="BTR2018" s="142"/>
      <c r="BTS2018" s="142"/>
      <c r="BTT2018" s="142"/>
      <c r="BTU2018" s="142"/>
      <c r="BTV2018" s="142"/>
      <c r="BTW2018" s="142"/>
      <c r="BTX2018" s="142"/>
      <c r="BTY2018" s="142"/>
      <c r="BTZ2018" s="142"/>
      <c r="BUA2018" s="142"/>
      <c r="BUB2018" s="142"/>
      <c r="BUC2018" s="142"/>
      <c r="BUD2018" s="142"/>
      <c r="BUE2018" s="142"/>
      <c r="BUF2018" s="142"/>
      <c r="BUG2018" s="142"/>
      <c r="BUH2018" s="142"/>
      <c r="BUI2018" s="142"/>
      <c r="BUJ2018" s="142"/>
      <c r="BUK2018" s="142"/>
      <c r="BUL2018" s="142"/>
      <c r="BUM2018" s="142"/>
      <c r="BUN2018" s="142"/>
      <c r="BUO2018" s="142"/>
      <c r="BUP2018" s="142"/>
      <c r="BUQ2018" s="142"/>
      <c r="BUR2018" s="142"/>
      <c r="BUS2018" s="142"/>
      <c r="BUT2018" s="142"/>
      <c r="BUU2018" s="142"/>
      <c r="BUV2018" s="142"/>
      <c r="BUW2018" s="142"/>
      <c r="BUX2018" s="142"/>
      <c r="BUY2018" s="142"/>
      <c r="BUZ2018" s="142"/>
      <c r="BVA2018" s="142"/>
      <c r="BVB2018" s="142"/>
      <c r="BVC2018" s="142"/>
      <c r="BVD2018" s="142"/>
      <c r="BVE2018" s="142"/>
      <c r="BVF2018" s="142"/>
      <c r="BVG2018" s="142"/>
      <c r="BVH2018" s="142"/>
      <c r="BVI2018" s="142"/>
      <c r="BVJ2018" s="142"/>
      <c r="BVK2018" s="142"/>
      <c r="BVL2018" s="142"/>
      <c r="BVM2018" s="142"/>
      <c r="BVN2018" s="142"/>
      <c r="BVO2018" s="142"/>
      <c r="BVP2018" s="142"/>
      <c r="BVQ2018" s="142"/>
      <c r="BVR2018" s="142"/>
      <c r="BVS2018" s="142"/>
      <c r="BVT2018" s="142"/>
      <c r="BVU2018" s="142"/>
      <c r="BVV2018" s="142"/>
      <c r="BVW2018" s="142"/>
      <c r="BVX2018" s="142"/>
      <c r="BVY2018" s="142"/>
      <c r="BVZ2018" s="142"/>
      <c r="BWA2018" s="142"/>
      <c r="BWB2018" s="142"/>
      <c r="BWC2018" s="142"/>
      <c r="BWD2018" s="142"/>
      <c r="BWE2018" s="142"/>
      <c r="BWF2018" s="142"/>
      <c r="BWG2018" s="142"/>
      <c r="BWH2018" s="142"/>
      <c r="BWI2018" s="142"/>
      <c r="BWJ2018" s="142"/>
      <c r="BWK2018" s="142"/>
      <c r="BWL2018" s="142"/>
      <c r="BWM2018" s="142"/>
      <c r="BWN2018" s="142"/>
      <c r="BWO2018" s="142"/>
      <c r="BWP2018" s="142"/>
      <c r="BWQ2018" s="142"/>
      <c r="BWR2018" s="142"/>
      <c r="BWS2018" s="142"/>
      <c r="BWT2018" s="142"/>
      <c r="BWU2018" s="142"/>
      <c r="BWV2018" s="142"/>
      <c r="BWW2018" s="142"/>
      <c r="BWX2018" s="142"/>
      <c r="BWY2018" s="142"/>
      <c r="BWZ2018" s="142"/>
      <c r="BXA2018" s="142"/>
      <c r="BXB2018" s="142"/>
      <c r="BXC2018" s="142"/>
      <c r="BXD2018" s="142"/>
      <c r="BXE2018" s="142"/>
      <c r="BXF2018" s="142"/>
      <c r="BXG2018" s="142"/>
      <c r="BXH2018" s="142"/>
      <c r="BXI2018" s="142"/>
      <c r="BXJ2018" s="142"/>
      <c r="BXK2018" s="142"/>
      <c r="BXL2018" s="142"/>
      <c r="BXM2018" s="142"/>
      <c r="BXN2018" s="142"/>
      <c r="BXO2018" s="142"/>
      <c r="BXP2018" s="142"/>
      <c r="BXQ2018" s="142"/>
      <c r="BXR2018" s="142"/>
      <c r="BXS2018" s="142"/>
      <c r="BXT2018" s="142"/>
      <c r="BXU2018" s="142"/>
      <c r="BXV2018" s="142"/>
      <c r="BXW2018" s="142"/>
      <c r="BXX2018" s="142"/>
      <c r="BXY2018" s="142"/>
      <c r="BXZ2018" s="142"/>
      <c r="BYA2018" s="142"/>
      <c r="BYB2018" s="142"/>
      <c r="BYC2018" s="142"/>
      <c r="BYD2018" s="142"/>
      <c r="BYE2018" s="142"/>
      <c r="BYF2018" s="142"/>
      <c r="BYG2018" s="142"/>
      <c r="BYH2018" s="142"/>
      <c r="BYI2018" s="142"/>
      <c r="BYJ2018" s="142"/>
      <c r="BYK2018" s="142"/>
      <c r="BYL2018" s="142"/>
      <c r="BYM2018" s="142"/>
      <c r="BYN2018" s="142"/>
      <c r="BYO2018" s="142"/>
      <c r="BYP2018" s="142"/>
      <c r="BYQ2018" s="142"/>
      <c r="BYR2018" s="142"/>
      <c r="BYS2018" s="142"/>
      <c r="BYT2018" s="142"/>
      <c r="BYU2018" s="142"/>
      <c r="BYV2018" s="142"/>
      <c r="BYW2018" s="142"/>
      <c r="BYX2018" s="142"/>
      <c r="BYY2018" s="142"/>
      <c r="BYZ2018" s="142"/>
      <c r="BZA2018" s="142"/>
      <c r="BZB2018" s="142"/>
      <c r="BZC2018" s="142"/>
      <c r="BZD2018" s="142"/>
      <c r="BZE2018" s="142"/>
      <c r="BZF2018" s="142"/>
      <c r="BZG2018" s="142"/>
      <c r="BZH2018" s="142"/>
      <c r="BZI2018" s="142"/>
      <c r="BZJ2018" s="142"/>
      <c r="BZK2018" s="142"/>
      <c r="BZL2018" s="142"/>
      <c r="BZM2018" s="142"/>
      <c r="BZN2018" s="142"/>
      <c r="BZO2018" s="142"/>
      <c r="BZP2018" s="142"/>
      <c r="BZQ2018" s="142"/>
      <c r="BZR2018" s="142"/>
      <c r="BZS2018" s="142"/>
      <c r="BZT2018" s="142"/>
      <c r="BZU2018" s="142"/>
      <c r="BZV2018" s="142"/>
      <c r="BZW2018" s="142"/>
      <c r="BZX2018" s="142"/>
      <c r="BZY2018" s="142"/>
      <c r="BZZ2018" s="142"/>
      <c r="CAA2018" s="142"/>
      <c r="CAB2018" s="142"/>
      <c r="CAC2018" s="142"/>
      <c r="CAD2018" s="142"/>
      <c r="CAE2018" s="142"/>
      <c r="CAF2018" s="142"/>
      <c r="CAG2018" s="142"/>
      <c r="CAH2018" s="142"/>
      <c r="CAI2018" s="142"/>
      <c r="CAJ2018" s="142"/>
      <c r="CAK2018" s="142"/>
      <c r="CAL2018" s="142"/>
      <c r="CAM2018" s="142"/>
      <c r="CAN2018" s="142"/>
      <c r="CAO2018" s="142"/>
      <c r="CAP2018" s="142"/>
      <c r="CAQ2018" s="142"/>
      <c r="CAR2018" s="142"/>
      <c r="CAS2018" s="142"/>
      <c r="CAT2018" s="142"/>
      <c r="CAU2018" s="142"/>
      <c r="CAV2018" s="142"/>
      <c r="CAW2018" s="142"/>
      <c r="CAX2018" s="142"/>
      <c r="CAY2018" s="142"/>
      <c r="CAZ2018" s="142"/>
      <c r="CBA2018" s="142"/>
      <c r="CBB2018" s="142"/>
      <c r="CBC2018" s="142"/>
      <c r="CBD2018" s="142"/>
      <c r="CBE2018" s="142"/>
      <c r="CBF2018" s="142"/>
      <c r="CBG2018" s="142"/>
      <c r="CBH2018" s="142"/>
      <c r="CBI2018" s="142"/>
      <c r="CBJ2018" s="142"/>
      <c r="CBK2018" s="142"/>
      <c r="CBL2018" s="142"/>
      <c r="CBM2018" s="142"/>
      <c r="CBN2018" s="142"/>
      <c r="CBO2018" s="142"/>
      <c r="CBP2018" s="142"/>
      <c r="CBQ2018" s="142"/>
      <c r="CBR2018" s="142"/>
      <c r="CBS2018" s="142"/>
      <c r="CBT2018" s="142"/>
      <c r="CBU2018" s="142"/>
      <c r="CBV2018" s="142"/>
      <c r="CBW2018" s="142"/>
      <c r="CBX2018" s="142"/>
      <c r="CBY2018" s="142"/>
      <c r="CBZ2018" s="142"/>
      <c r="CCA2018" s="142"/>
      <c r="CCB2018" s="142"/>
      <c r="CCC2018" s="142"/>
      <c r="CCD2018" s="142"/>
      <c r="CCE2018" s="142"/>
      <c r="CCF2018" s="142"/>
      <c r="CCG2018" s="142"/>
      <c r="CCH2018" s="142"/>
      <c r="CCI2018" s="142"/>
      <c r="CCJ2018" s="142"/>
      <c r="CCK2018" s="142"/>
      <c r="CCL2018" s="142"/>
      <c r="CCM2018" s="142"/>
      <c r="CCN2018" s="142"/>
      <c r="CCO2018" s="142"/>
      <c r="CCP2018" s="142"/>
      <c r="CCQ2018" s="142"/>
      <c r="CCR2018" s="142"/>
      <c r="CCS2018" s="142"/>
      <c r="CCT2018" s="142"/>
      <c r="CCU2018" s="142"/>
      <c r="CCV2018" s="142"/>
      <c r="CCW2018" s="142"/>
      <c r="CCX2018" s="142"/>
      <c r="CCY2018" s="142"/>
      <c r="CCZ2018" s="142"/>
      <c r="CDA2018" s="142"/>
      <c r="CDB2018" s="142"/>
      <c r="CDC2018" s="142"/>
      <c r="CDD2018" s="142"/>
      <c r="CDE2018" s="142"/>
      <c r="CDF2018" s="142"/>
      <c r="CDG2018" s="142"/>
      <c r="CDH2018" s="142"/>
      <c r="CDI2018" s="142"/>
      <c r="CDJ2018" s="142"/>
      <c r="CDK2018" s="142"/>
      <c r="CDL2018" s="142"/>
      <c r="CDM2018" s="142"/>
      <c r="CDN2018" s="142"/>
      <c r="CDO2018" s="142"/>
      <c r="CDP2018" s="142"/>
      <c r="CDQ2018" s="142"/>
      <c r="CDR2018" s="142"/>
      <c r="CDS2018" s="142"/>
      <c r="CDT2018" s="142"/>
      <c r="CDU2018" s="142"/>
      <c r="CDV2018" s="142"/>
      <c r="CDW2018" s="142"/>
      <c r="CDX2018" s="142"/>
      <c r="CDY2018" s="142"/>
      <c r="CDZ2018" s="142"/>
      <c r="CEA2018" s="142"/>
      <c r="CEB2018" s="142"/>
      <c r="CEC2018" s="142"/>
      <c r="CED2018" s="142"/>
      <c r="CEE2018" s="142"/>
      <c r="CEF2018" s="142"/>
      <c r="CEG2018" s="142"/>
      <c r="CEH2018" s="142"/>
      <c r="CEI2018" s="142"/>
      <c r="CEJ2018" s="142"/>
      <c r="CEK2018" s="142"/>
      <c r="CEL2018" s="142"/>
      <c r="CEM2018" s="142"/>
      <c r="CEN2018" s="142"/>
      <c r="CEO2018" s="142"/>
      <c r="CEP2018" s="142"/>
      <c r="CEQ2018" s="142"/>
      <c r="CER2018" s="142"/>
      <c r="CES2018" s="142"/>
      <c r="CET2018" s="142"/>
      <c r="CEU2018" s="142"/>
      <c r="CEV2018" s="142"/>
      <c r="CEW2018" s="142"/>
      <c r="CEX2018" s="142"/>
      <c r="CEY2018" s="142"/>
      <c r="CEZ2018" s="142"/>
      <c r="CFA2018" s="142"/>
      <c r="CFB2018" s="142"/>
      <c r="CFC2018" s="142"/>
      <c r="CFD2018" s="142"/>
      <c r="CFE2018" s="142"/>
      <c r="CFF2018" s="142"/>
      <c r="CFG2018" s="142"/>
      <c r="CFH2018" s="142"/>
      <c r="CFI2018" s="142"/>
      <c r="CFJ2018" s="142"/>
      <c r="CFK2018" s="142"/>
      <c r="CFL2018" s="142"/>
      <c r="CFM2018" s="142"/>
      <c r="CFN2018" s="142"/>
      <c r="CFO2018" s="142"/>
      <c r="CFP2018" s="142"/>
      <c r="CFQ2018" s="142"/>
      <c r="CFR2018" s="142"/>
      <c r="CFS2018" s="142"/>
      <c r="CFT2018" s="142"/>
      <c r="CFU2018" s="142"/>
      <c r="CFV2018" s="142"/>
      <c r="CFW2018" s="142"/>
      <c r="CFX2018" s="142"/>
      <c r="CFY2018" s="142"/>
      <c r="CFZ2018" s="142"/>
      <c r="CGA2018" s="142"/>
      <c r="CGB2018" s="142"/>
      <c r="CGC2018" s="142"/>
      <c r="CGD2018" s="142"/>
      <c r="CGE2018" s="142"/>
      <c r="CGF2018" s="142"/>
      <c r="CGG2018" s="142"/>
      <c r="CGH2018" s="142"/>
      <c r="CGI2018" s="142"/>
      <c r="CGJ2018" s="142"/>
      <c r="CGK2018" s="142"/>
      <c r="CGL2018" s="142"/>
      <c r="CGM2018" s="142"/>
      <c r="CGN2018" s="142"/>
      <c r="CGO2018" s="142"/>
      <c r="CGP2018" s="142"/>
      <c r="CGQ2018" s="142"/>
      <c r="CGR2018" s="142"/>
      <c r="CGS2018" s="142"/>
      <c r="CGT2018" s="142"/>
      <c r="CGU2018" s="142"/>
      <c r="CGV2018" s="142"/>
      <c r="CGW2018" s="142"/>
      <c r="CGX2018" s="142"/>
      <c r="CGY2018" s="142"/>
      <c r="CGZ2018" s="142"/>
      <c r="CHA2018" s="142"/>
      <c r="CHB2018" s="142"/>
      <c r="CHC2018" s="142"/>
      <c r="CHD2018" s="142"/>
      <c r="CHE2018" s="142"/>
      <c r="CHF2018" s="142"/>
      <c r="CHG2018" s="142"/>
      <c r="CHH2018" s="142"/>
      <c r="CHI2018" s="142"/>
      <c r="CHJ2018" s="142"/>
      <c r="CHK2018" s="142"/>
      <c r="CHL2018" s="142"/>
      <c r="CHM2018" s="142"/>
      <c r="CHN2018" s="142"/>
      <c r="CHO2018" s="142"/>
      <c r="CHP2018" s="142"/>
      <c r="CHQ2018" s="142"/>
      <c r="CHR2018" s="142"/>
      <c r="CHS2018" s="142"/>
      <c r="CHT2018" s="142"/>
      <c r="CHU2018" s="142"/>
      <c r="CHV2018" s="142"/>
      <c r="CHW2018" s="142"/>
      <c r="CHX2018" s="142"/>
      <c r="CHY2018" s="142"/>
      <c r="CHZ2018" s="142"/>
      <c r="CIA2018" s="142"/>
      <c r="CIB2018" s="142"/>
      <c r="CIC2018" s="142"/>
      <c r="CID2018" s="142"/>
      <c r="CIE2018" s="142"/>
      <c r="CIF2018" s="142"/>
      <c r="CIG2018" s="142"/>
      <c r="CIH2018" s="142"/>
      <c r="CII2018" s="142"/>
      <c r="CIJ2018" s="142"/>
      <c r="CIK2018" s="142"/>
      <c r="CIL2018" s="142"/>
      <c r="CIM2018" s="142"/>
      <c r="CIN2018" s="142"/>
      <c r="CIO2018" s="142"/>
      <c r="CIP2018" s="142"/>
      <c r="CIQ2018" s="142"/>
      <c r="CIR2018" s="142"/>
      <c r="CIS2018" s="142"/>
      <c r="CIT2018" s="142"/>
      <c r="CIU2018" s="142"/>
      <c r="CIV2018" s="142"/>
      <c r="CIW2018" s="142"/>
      <c r="CIX2018" s="142"/>
      <c r="CIY2018" s="142"/>
      <c r="CIZ2018" s="142"/>
      <c r="CJA2018" s="142"/>
      <c r="CJB2018" s="142"/>
      <c r="CJC2018" s="142"/>
      <c r="CJD2018" s="142"/>
      <c r="CJE2018" s="142"/>
      <c r="CJF2018" s="142"/>
      <c r="CJG2018" s="142"/>
      <c r="CJH2018" s="142"/>
      <c r="CJI2018" s="142"/>
      <c r="CJJ2018" s="142"/>
      <c r="CJK2018" s="142"/>
      <c r="CJL2018" s="142"/>
      <c r="CJM2018" s="142"/>
      <c r="CJN2018" s="142"/>
      <c r="CJO2018" s="142"/>
      <c r="CJP2018" s="142"/>
      <c r="CJQ2018" s="142"/>
      <c r="CJR2018" s="142"/>
      <c r="CJS2018" s="142"/>
      <c r="CJT2018" s="142"/>
      <c r="CJU2018" s="142"/>
      <c r="CJV2018" s="142"/>
      <c r="CJW2018" s="142"/>
      <c r="CJX2018" s="142"/>
      <c r="CJY2018" s="142"/>
      <c r="CJZ2018" s="142"/>
      <c r="CKA2018" s="142"/>
      <c r="CKB2018" s="142"/>
      <c r="CKC2018" s="142"/>
      <c r="CKD2018" s="142"/>
      <c r="CKE2018" s="142"/>
      <c r="CKF2018" s="142"/>
      <c r="CKG2018" s="142"/>
      <c r="CKH2018" s="142"/>
      <c r="CKI2018" s="142"/>
      <c r="CKJ2018" s="142"/>
      <c r="CKK2018" s="142"/>
      <c r="CKL2018" s="142"/>
      <c r="CKM2018" s="142"/>
      <c r="CKN2018" s="142"/>
      <c r="CKO2018" s="142"/>
      <c r="CKP2018" s="142"/>
      <c r="CKQ2018" s="142"/>
      <c r="CKR2018" s="142"/>
      <c r="CKS2018" s="142"/>
      <c r="CKT2018" s="142"/>
      <c r="CKU2018" s="142"/>
      <c r="CKV2018" s="142"/>
      <c r="CKW2018" s="142"/>
      <c r="CKX2018" s="142"/>
      <c r="CKY2018" s="142"/>
      <c r="CKZ2018" s="142"/>
      <c r="CLA2018" s="142"/>
      <c r="CLB2018" s="142"/>
      <c r="CLC2018" s="142"/>
      <c r="CLD2018" s="142"/>
      <c r="CLE2018" s="142"/>
      <c r="CLF2018" s="142"/>
      <c r="CLG2018" s="142"/>
      <c r="CLH2018" s="142"/>
      <c r="CLI2018" s="142"/>
      <c r="CLJ2018" s="142"/>
      <c r="CLK2018" s="142"/>
      <c r="CLL2018" s="142"/>
      <c r="CLM2018" s="142"/>
      <c r="CLN2018" s="142"/>
      <c r="CLO2018" s="142"/>
      <c r="CLP2018" s="142"/>
      <c r="CLQ2018" s="142"/>
      <c r="CLR2018" s="142"/>
      <c r="CLS2018" s="142"/>
      <c r="CLT2018" s="142"/>
      <c r="CLU2018" s="142"/>
      <c r="CLV2018" s="142"/>
      <c r="CLW2018" s="142"/>
      <c r="CLX2018" s="142"/>
      <c r="CLY2018" s="142"/>
      <c r="CLZ2018" s="142"/>
      <c r="CMA2018" s="142"/>
      <c r="CMB2018" s="142"/>
      <c r="CMC2018" s="142"/>
      <c r="CMD2018" s="142"/>
      <c r="CME2018" s="142"/>
      <c r="CMF2018" s="142"/>
      <c r="CMG2018" s="142"/>
      <c r="CMH2018" s="142"/>
      <c r="CMI2018" s="142"/>
      <c r="CMJ2018" s="142"/>
      <c r="CMK2018" s="142"/>
      <c r="CML2018" s="142"/>
      <c r="CMM2018" s="142"/>
      <c r="CMN2018" s="142"/>
      <c r="CMO2018" s="142"/>
      <c r="CMP2018" s="142"/>
      <c r="CMQ2018" s="142"/>
      <c r="CMR2018" s="142"/>
      <c r="CMS2018" s="142"/>
      <c r="CMT2018" s="142"/>
      <c r="CMU2018" s="142"/>
      <c r="CMV2018" s="142"/>
      <c r="CMW2018" s="142"/>
      <c r="CMX2018" s="142"/>
      <c r="CMY2018" s="142"/>
      <c r="CMZ2018" s="142"/>
      <c r="CNA2018" s="142"/>
      <c r="CNB2018" s="142"/>
      <c r="CNC2018" s="142"/>
      <c r="CND2018" s="142"/>
      <c r="CNE2018" s="142"/>
      <c r="CNF2018" s="142"/>
      <c r="CNG2018" s="142"/>
      <c r="CNH2018" s="142"/>
      <c r="CNI2018" s="142"/>
      <c r="CNJ2018" s="142"/>
      <c r="CNK2018" s="142"/>
      <c r="CNL2018" s="142"/>
      <c r="CNM2018" s="142"/>
      <c r="CNN2018" s="142"/>
      <c r="CNO2018" s="142"/>
      <c r="CNP2018" s="142"/>
      <c r="CNQ2018" s="142"/>
      <c r="CNR2018" s="142"/>
      <c r="CNS2018" s="142"/>
      <c r="CNT2018" s="142"/>
      <c r="CNU2018" s="142"/>
      <c r="CNV2018" s="142"/>
      <c r="CNW2018" s="142"/>
      <c r="CNX2018" s="142"/>
      <c r="CNY2018" s="142"/>
      <c r="CNZ2018" s="142"/>
      <c r="COA2018" s="142"/>
      <c r="COB2018" s="142"/>
      <c r="COC2018" s="142"/>
      <c r="COD2018" s="142"/>
      <c r="COE2018" s="142"/>
      <c r="COF2018" s="142"/>
      <c r="COG2018" s="142"/>
      <c r="COH2018" s="142"/>
      <c r="COI2018" s="142"/>
      <c r="COJ2018" s="142"/>
      <c r="COK2018" s="142"/>
      <c r="COL2018" s="142"/>
      <c r="COM2018" s="142"/>
      <c r="CON2018" s="142"/>
      <c r="COO2018" s="142"/>
      <c r="COP2018" s="142"/>
      <c r="COQ2018" s="142"/>
      <c r="COR2018" s="142"/>
      <c r="COS2018" s="142"/>
      <c r="COT2018" s="142"/>
      <c r="COU2018" s="142"/>
      <c r="COV2018" s="142"/>
      <c r="COW2018" s="142"/>
      <c r="COX2018" s="142"/>
      <c r="COY2018" s="142"/>
      <c r="COZ2018" s="142"/>
      <c r="CPA2018" s="142"/>
      <c r="CPB2018" s="142"/>
      <c r="CPC2018" s="142"/>
      <c r="CPD2018" s="142"/>
      <c r="CPE2018" s="142"/>
      <c r="CPF2018" s="142"/>
      <c r="CPG2018" s="142"/>
      <c r="CPH2018" s="142"/>
      <c r="CPI2018" s="142"/>
      <c r="CPJ2018" s="142"/>
      <c r="CPK2018" s="142"/>
      <c r="CPL2018" s="142"/>
      <c r="CPM2018" s="142"/>
      <c r="CPN2018" s="142"/>
      <c r="CPO2018" s="142"/>
      <c r="CPP2018" s="142"/>
      <c r="CPQ2018" s="142"/>
      <c r="CPR2018" s="142"/>
      <c r="CPS2018" s="142"/>
      <c r="CPT2018" s="142"/>
      <c r="CPU2018" s="142"/>
      <c r="CPV2018" s="142"/>
      <c r="CPW2018" s="142"/>
      <c r="CPX2018" s="142"/>
      <c r="CPY2018" s="142"/>
      <c r="CPZ2018" s="142"/>
      <c r="CQA2018" s="142"/>
      <c r="CQB2018" s="142"/>
      <c r="CQC2018" s="142"/>
      <c r="CQD2018" s="142"/>
      <c r="CQE2018" s="142"/>
      <c r="CQF2018" s="142"/>
      <c r="CQG2018" s="142"/>
      <c r="CQH2018" s="142"/>
      <c r="CQI2018" s="142"/>
      <c r="CQJ2018" s="142"/>
      <c r="CQK2018" s="142"/>
      <c r="CQL2018" s="142"/>
      <c r="CQM2018" s="142"/>
      <c r="CQN2018" s="142"/>
      <c r="CQO2018" s="142"/>
      <c r="CQP2018" s="142"/>
      <c r="CQQ2018" s="142"/>
      <c r="CQR2018" s="142"/>
      <c r="CQS2018" s="142"/>
      <c r="CQT2018" s="142"/>
      <c r="CQU2018" s="142"/>
      <c r="CQV2018" s="142"/>
      <c r="CQW2018" s="142"/>
      <c r="CQX2018" s="142"/>
      <c r="CQY2018" s="142"/>
      <c r="CQZ2018" s="142"/>
      <c r="CRA2018" s="142"/>
      <c r="CRB2018" s="142"/>
      <c r="CRC2018" s="142"/>
      <c r="CRD2018" s="142"/>
      <c r="CRE2018" s="142"/>
      <c r="CRF2018" s="142"/>
      <c r="CRG2018" s="142"/>
      <c r="CRH2018" s="142"/>
      <c r="CRI2018" s="142"/>
      <c r="CRJ2018" s="142"/>
      <c r="CRK2018" s="142"/>
      <c r="CRL2018" s="142"/>
      <c r="CRM2018" s="142"/>
      <c r="CRN2018" s="142"/>
      <c r="CRO2018" s="142"/>
      <c r="CRP2018" s="142"/>
      <c r="CRQ2018" s="142"/>
      <c r="CRR2018" s="142"/>
      <c r="CRS2018" s="142"/>
      <c r="CRT2018" s="142"/>
      <c r="CRU2018" s="142"/>
      <c r="CRV2018" s="142"/>
      <c r="CRW2018" s="142"/>
      <c r="CRX2018" s="142"/>
      <c r="CRY2018" s="142"/>
      <c r="CRZ2018" s="142"/>
      <c r="CSA2018" s="142"/>
      <c r="CSB2018" s="142"/>
      <c r="CSC2018" s="142"/>
      <c r="CSD2018" s="142"/>
      <c r="CSE2018" s="142"/>
      <c r="CSF2018" s="142"/>
      <c r="CSG2018" s="142"/>
      <c r="CSH2018" s="142"/>
      <c r="CSI2018" s="142"/>
      <c r="CSJ2018" s="142"/>
      <c r="CSK2018" s="142"/>
      <c r="CSL2018" s="142"/>
      <c r="CSM2018" s="142"/>
      <c r="CSN2018" s="142"/>
      <c r="CSO2018" s="142"/>
      <c r="CSP2018" s="142"/>
      <c r="CSQ2018" s="142"/>
      <c r="CSR2018" s="142"/>
      <c r="CSS2018" s="142"/>
      <c r="CST2018" s="142"/>
      <c r="CSU2018" s="142"/>
      <c r="CSV2018" s="142"/>
      <c r="CSW2018" s="142"/>
      <c r="CSX2018" s="142"/>
      <c r="CSY2018" s="142"/>
      <c r="CSZ2018" s="142"/>
      <c r="CTA2018" s="142"/>
      <c r="CTB2018" s="142"/>
      <c r="CTC2018" s="142"/>
      <c r="CTD2018" s="142"/>
      <c r="CTE2018" s="142"/>
      <c r="CTF2018" s="142"/>
      <c r="CTG2018" s="142"/>
      <c r="CTH2018" s="142"/>
      <c r="CTI2018" s="142"/>
      <c r="CTJ2018" s="142"/>
      <c r="CTK2018" s="142"/>
      <c r="CTL2018" s="142"/>
      <c r="CTM2018" s="142"/>
      <c r="CTN2018" s="142"/>
      <c r="CTO2018" s="142"/>
      <c r="CTP2018" s="142"/>
      <c r="CTQ2018" s="142"/>
      <c r="CTR2018" s="142"/>
      <c r="CTS2018" s="142"/>
      <c r="CTT2018" s="142"/>
      <c r="CTU2018" s="142"/>
      <c r="CTV2018" s="142"/>
      <c r="CTW2018" s="142"/>
      <c r="CTX2018" s="142"/>
      <c r="CTY2018" s="142"/>
      <c r="CTZ2018" s="142"/>
      <c r="CUA2018" s="142"/>
      <c r="CUB2018" s="142"/>
      <c r="CUC2018" s="142"/>
      <c r="CUD2018" s="142"/>
      <c r="CUE2018" s="142"/>
      <c r="CUF2018" s="142"/>
      <c r="CUG2018" s="142"/>
      <c r="CUH2018" s="142"/>
      <c r="CUI2018" s="142"/>
      <c r="CUJ2018" s="142"/>
      <c r="CUK2018" s="142"/>
      <c r="CUL2018" s="142"/>
      <c r="CUM2018" s="142"/>
      <c r="CUN2018" s="142"/>
      <c r="CUO2018" s="142"/>
      <c r="CUP2018" s="142"/>
      <c r="CUQ2018" s="142"/>
      <c r="CUR2018" s="142"/>
      <c r="CUS2018" s="142"/>
      <c r="CUT2018" s="142"/>
      <c r="CUU2018" s="142"/>
      <c r="CUV2018" s="142"/>
      <c r="CUW2018" s="142"/>
      <c r="CUX2018" s="142"/>
      <c r="CUY2018" s="142"/>
      <c r="CUZ2018" s="142"/>
      <c r="CVA2018" s="142"/>
      <c r="CVB2018" s="142"/>
      <c r="CVC2018" s="142"/>
      <c r="CVD2018" s="142"/>
      <c r="CVE2018" s="142"/>
      <c r="CVF2018" s="142"/>
      <c r="CVG2018" s="142"/>
      <c r="CVH2018" s="142"/>
      <c r="CVI2018" s="142"/>
      <c r="CVJ2018" s="142"/>
      <c r="CVK2018" s="142"/>
      <c r="CVL2018" s="142"/>
      <c r="CVM2018" s="142"/>
      <c r="CVN2018" s="142"/>
      <c r="CVO2018" s="142"/>
      <c r="CVP2018" s="142"/>
      <c r="CVQ2018" s="142"/>
      <c r="CVR2018" s="142"/>
      <c r="CVS2018" s="142"/>
      <c r="CVT2018" s="142"/>
      <c r="CVU2018" s="142"/>
      <c r="CVV2018" s="142"/>
      <c r="CVW2018" s="142"/>
      <c r="CVX2018" s="142"/>
      <c r="CVY2018" s="142"/>
      <c r="CVZ2018" s="142"/>
      <c r="CWA2018" s="142"/>
      <c r="CWB2018" s="142"/>
      <c r="CWC2018" s="142"/>
      <c r="CWD2018" s="142"/>
      <c r="CWE2018" s="142"/>
      <c r="CWF2018" s="142"/>
      <c r="CWG2018" s="142"/>
      <c r="CWH2018" s="142"/>
      <c r="CWI2018" s="142"/>
      <c r="CWJ2018" s="142"/>
      <c r="CWK2018" s="142"/>
      <c r="CWL2018" s="142"/>
      <c r="CWM2018" s="142"/>
      <c r="CWN2018" s="142"/>
      <c r="CWO2018" s="142"/>
      <c r="CWP2018" s="142"/>
      <c r="CWQ2018" s="142"/>
      <c r="CWR2018" s="142"/>
      <c r="CWS2018" s="142"/>
      <c r="CWT2018" s="142"/>
      <c r="CWU2018" s="142"/>
      <c r="CWV2018" s="142"/>
      <c r="CWW2018" s="142"/>
      <c r="CWX2018" s="142"/>
      <c r="CWY2018" s="142"/>
      <c r="CWZ2018" s="142"/>
      <c r="CXA2018" s="142"/>
      <c r="CXB2018" s="142"/>
      <c r="CXC2018" s="142"/>
      <c r="CXD2018" s="142"/>
      <c r="CXE2018" s="142"/>
      <c r="CXF2018" s="142"/>
      <c r="CXG2018" s="142"/>
      <c r="CXH2018" s="142"/>
      <c r="CXI2018" s="142"/>
      <c r="CXJ2018" s="142"/>
      <c r="CXK2018" s="142"/>
      <c r="CXL2018" s="142"/>
      <c r="CXM2018" s="142"/>
      <c r="CXN2018" s="142"/>
      <c r="CXO2018" s="142"/>
      <c r="CXP2018" s="142"/>
      <c r="CXQ2018" s="142"/>
      <c r="CXR2018" s="142"/>
      <c r="CXS2018" s="142"/>
      <c r="CXT2018" s="142"/>
      <c r="CXU2018" s="142"/>
      <c r="CXV2018" s="142"/>
      <c r="CXW2018" s="142"/>
      <c r="CXX2018" s="142"/>
      <c r="CXY2018" s="142"/>
      <c r="CXZ2018" s="142"/>
      <c r="CYA2018" s="142"/>
      <c r="CYB2018" s="142"/>
      <c r="CYC2018" s="142"/>
      <c r="CYD2018" s="142"/>
      <c r="CYE2018" s="142"/>
      <c r="CYF2018" s="142"/>
      <c r="CYG2018" s="142"/>
      <c r="CYH2018" s="142"/>
      <c r="CYI2018" s="142"/>
      <c r="CYJ2018" s="142"/>
      <c r="CYK2018" s="142"/>
      <c r="CYL2018" s="142"/>
      <c r="CYM2018" s="142"/>
      <c r="CYN2018" s="142"/>
      <c r="CYO2018" s="142"/>
      <c r="CYP2018" s="142"/>
      <c r="CYQ2018" s="142"/>
      <c r="CYR2018" s="142"/>
      <c r="CYS2018" s="142"/>
      <c r="CYT2018" s="142"/>
      <c r="CYU2018" s="142"/>
      <c r="CYV2018" s="142"/>
      <c r="CYW2018" s="142"/>
      <c r="CYX2018" s="142"/>
      <c r="CYY2018" s="142"/>
      <c r="CYZ2018" s="142"/>
      <c r="CZA2018" s="142"/>
      <c r="CZB2018" s="142"/>
      <c r="CZC2018" s="142"/>
      <c r="CZD2018" s="142"/>
      <c r="CZE2018" s="142"/>
      <c r="CZF2018" s="142"/>
      <c r="CZG2018" s="142"/>
      <c r="CZH2018" s="142"/>
      <c r="CZI2018" s="142"/>
      <c r="CZJ2018" s="142"/>
      <c r="CZK2018" s="142"/>
      <c r="CZL2018" s="142"/>
      <c r="CZM2018" s="142"/>
      <c r="CZN2018" s="142"/>
      <c r="CZO2018" s="142"/>
      <c r="CZP2018" s="142"/>
      <c r="CZQ2018" s="142"/>
      <c r="CZR2018" s="142"/>
      <c r="CZS2018" s="142"/>
      <c r="CZT2018" s="142"/>
      <c r="CZU2018" s="142"/>
      <c r="CZV2018" s="142"/>
      <c r="CZW2018" s="142"/>
      <c r="CZX2018" s="142"/>
      <c r="CZY2018" s="142"/>
      <c r="CZZ2018" s="142"/>
      <c r="DAA2018" s="142"/>
      <c r="DAB2018" s="142"/>
      <c r="DAC2018" s="142"/>
      <c r="DAD2018" s="142"/>
      <c r="DAE2018" s="142"/>
      <c r="DAF2018" s="142"/>
      <c r="DAG2018" s="142"/>
      <c r="DAH2018" s="142"/>
      <c r="DAI2018" s="142"/>
      <c r="DAJ2018" s="142"/>
      <c r="DAK2018" s="142"/>
      <c r="DAL2018" s="142"/>
      <c r="DAM2018" s="142"/>
      <c r="DAN2018" s="142"/>
      <c r="DAO2018" s="142"/>
      <c r="DAP2018" s="142"/>
      <c r="DAQ2018" s="142"/>
      <c r="DAR2018" s="142"/>
      <c r="DAS2018" s="142"/>
      <c r="DAT2018" s="142"/>
      <c r="DAU2018" s="142"/>
      <c r="DAV2018" s="142"/>
      <c r="DAW2018" s="142"/>
      <c r="DAX2018" s="142"/>
      <c r="DAY2018" s="142"/>
      <c r="DAZ2018" s="142"/>
      <c r="DBA2018" s="142"/>
      <c r="DBB2018" s="142"/>
      <c r="DBC2018" s="142"/>
      <c r="DBD2018" s="142"/>
      <c r="DBE2018" s="142"/>
      <c r="DBF2018" s="142"/>
      <c r="DBG2018" s="142"/>
      <c r="DBH2018" s="142"/>
      <c r="DBI2018" s="142"/>
      <c r="DBJ2018" s="142"/>
      <c r="DBK2018" s="142"/>
      <c r="DBL2018" s="142"/>
      <c r="DBM2018" s="142"/>
      <c r="DBN2018" s="142"/>
      <c r="DBO2018" s="142"/>
      <c r="DBP2018" s="142"/>
      <c r="DBQ2018" s="142"/>
      <c r="DBR2018" s="142"/>
      <c r="DBS2018" s="142"/>
      <c r="DBT2018" s="142"/>
      <c r="DBU2018" s="142"/>
      <c r="DBV2018" s="142"/>
      <c r="DBW2018" s="142"/>
      <c r="DBX2018" s="142"/>
      <c r="DBY2018" s="142"/>
      <c r="DBZ2018" s="142"/>
      <c r="DCA2018" s="142"/>
      <c r="DCB2018" s="142"/>
      <c r="DCC2018" s="142"/>
      <c r="DCD2018" s="142"/>
      <c r="DCE2018" s="142"/>
      <c r="DCF2018" s="142"/>
      <c r="DCG2018" s="142"/>
      <c r="DCH2018" s="142"/>
      <c r="DCI2018" s="142"/>
      <c r="DCJ2018" s="142"/>
      <c r="DCK2018" s="142"/>
      <c r="DCL2018" s="142"/>
      <c r="DCM2018" s="142"/>
      <c r="DCN2018" s="142"/>
      <c r="DCO2018" s="142"/>
      <c r="DCP2018" s="142"/>
      <c r="DCQ2018" s="142"/>
      <c r="DCR2018" s="142"/>
      <c r="DCS2018" s="142"/>
      <c r="DCT2018" s="142"/>
      <c r="DCU2018" s="142"/>
      <c r="DCV2018" s="142"/>
      <c r="DCW2018" s="142"/>
      <c r="DCX2018" s="142"/>
      <c r="DCY2018" s="142"/>
      <c r="DCZ2018" s="142"/>
      <c r="DDA2018" s="142"/>
      <c r="DDB2018" s="142"/>
      <c r="DDC2018" s="142"/>
      <c r="DDD2018" s="142"/>
      <c r="DDE2018" s="142"/>
      <c r="DDF2018" s="142"/>
      <c r="DDG2018" s="142"/>
      <c r="DDH2018" s="142"/>
      <c r="DDI2018" s="142"/>
      <c r="DDJ2018" s="142"/>
      <c r="DDK2018" s="142"/>
      <c r="DDL2018" s="142"/>
      <c r="DDM2018" s="142"/>
      <c r="DDN2018" s="142"/>
      <c r="DDO2018" s="142"/>
      <c r="DDP2018" s="142"/>
      <c r="DDQ2018" s="142"/>
      <c r="DDR2018" s="142"/>
      <c r="DDS2018" s="142"/>
      <c r="DDT2018" s="142"/>
      <c r="DDU2018" s="142"/>
      <c r="DDV2018" s="142"/>
      <c r="DDW2018" s="142"/>
      <c r="DDX2018" s="142"/>
      <c r="DDY2018" s="142"/>
      <c r="DDZ2018" s="142"/>
      <c r="DEA2018" s="142"/>
      <c r="DEB2018" s="142"/>
      <c r="DEC2018" s="142"/>
      <c r="DED2018" s="142"/>
      <c r="DEE2018" s="142"/>
      <c r="DEF2018" s="142"/>
      <c r="DEG2018" s="142"/>
      <c r="DEH2018" s="142"/>
      <c r="DEI2018" s="142"/>
      <c r="DEJ2018" s="142"/>
      <c r="DEK2018" s="142"/>
      <c r="DEL2018" s="142"/>
      <c r="DEM2018" s="142"/>
      <c r="DEN2018" s="142"/>
      <c r="DEO2018" s="142"/>
      <c r="DEP2018" s="142"/>
      <c r="DEQ2018" s="142"/>
      <c r="DER2018" s="142"/>
      <c r="DES2018" s="142"/>
      <c r="DET2018" s="142"/>
      <c r="DEU2018" s="142"/>
      <c r="DEV2018" s="142"/>
      <c r="DEW2018" s="142"/>
      <c r="DEX2018" s="142"/>
      <c r="DEY2018" s="142"/>
      <c r="DEZ2018" s="142"/>
      <c r="DFA2018" s="142"/>
      <c r="DFB2018" s="142"/>
      <c r="DFC2018" s="142"/>
      <c r="DFD2018" s="142"/>
      <c r="DFE2018" s="142"/>
      <c r="DFF2018" s="142"/>
      <c r="DFG2018" s="142"/>
      <c r="DFH2018" s="142"/>
      <c r="DFI2018" s="142"/>
      <c r="DFJ2018" s="142"/>
      <c r="DFK2018" s="142"/>
      <c r="DFL2018" s="142"/>
      <c r="DFM2018" s="142"/>
      <c r="DFN2018" s="142"/>
      <c r="DFO2018" s="142"/>
      <c r="DFP2018" s="142"/>
      <c r="DFQ2018" s="142"/>
      <c r="DFR2018" s="142"/>
      <c r="DFS2018" s="142"/>
      <c r="DFT2018" s="142"/>
      <c r="DFU2018" s="142"/>
      <c r="DFV2018" s="142"/>
      <c r="DFW2018" s="142"/>
      <c r="DFX2018" s="142"/>
      <c r="DFY2018" s="142"/>
      <c r="DFZ2018" s="142"/>
      <c r="DGA2018" s="142"/>
      <c r="DGB2018" s="142"/>
      <c r="DGC2018" s="142"/>
      <c r="DGD2018" s="142"/>
      <c r="DGE2018" s="142"/>
      <c r="DGF2018" s="142"/>
      <c r="DGG2018" s="142"/>
      <c r="DGH2018" s="142"/>
      <c r="DGI2018" s="142"/>
      <c r="DGJ2018" s="142"/>
      <c r="DGK2018" s="142"/>
      <c r="DGL2018" s="142"/>
      <c r="DGM2018" s="142"/>
      <c r="DGN2018" s="142"/>
      <c r="DGO2018" s="142"/>
      <c r="DGP2018" s="142"/>
      <c r="DGQ2018" s="142"/>
      <c r="DGR2018" s="142"/>
      <c r="DGS2018" s="142"/>
      <c r="DGT2018" s="142"/>
      <c r="DGU2018" s="142"/>
      <c r="DGV2018" s="142"/>
      <c r="DGW2018" s="142"/>
      <c r="DGX2018" s="142"/>
      <c r="DGY2018" s="142"/>
      <c r="DGZ2018" s="142"/>
      <c r="DHA2018" s="142"/>
      <c r="DHB2018" s="142"/>
      <c r="DHC2018" s="142"/>
      <c r="DHD2018" s="142"/>
      <c r="DHE2018" s="142"/>
      <c r="DHF2018" s="142"/>
      <c r="DHG2018" s="142"/>
      <c r="DHH2018" s="142"/>
      <c r="DHI2018" s="142"/>
      <c r="DHJ2018" s="142"/>
      <c r="DHK2018" s="142"/>
      <c r="DHL2018" s="142"/>
      <c r="DHM2018" s="142"/>
      <c r="DHN2018" s="142"/>
      <c r="DHO2018" s="142"/>
      <c r="DHP2018" s="142"/>
      <c r="DHQ2018" s="142"/>
      <c r="DHR2018" s="142"/>
      <c r="DHS2018" s="142"/>
      <c r="DHT2018" s="142"/>
      <c r="DHU2018" s="142"/>
      <c r="DHV2018" s="142"/>
      <c r="DHW2018" s="142"/>
      <c r="DHX2018" s="142"/>
      <c r="DHY2018" s="142"/>
      <c r="DHZ2018" s="142"/>
      <c r="DIA2018" s="142"/>
      <c r="DIB2018" s="142"/>
      <c r="DIC2018" s="142"/>
      <c r="DID2018" s="142"/>
      <c r="DIE2018" s="142"/>
      <c r="DIF2018" s="142"/>
      <c r="DIG2018" s="142"/>
      <c r="DIH2018" s="142"/>
      <c r="DII2018" s="142"/>
      <c r="DIJ2018" s="142"/>
      <c r="DIK2018" s="142"/>
      <c r="DIL2018" s="142"/>
      <c r="DIM2018" s="142"/>
      <c r="DIN2018" s="142"/>
      <c r="DIO2018" s="142"/>
      <c r="DIP2018" s="142"/>
      <c r="DIQ2018" s="142"/>
      <c r="DIR2018" s="142"/>
      <c r="DIS2018" s="142"/>
      <c r="DIT2018" s="142"/>
      <c r="DIU2018" s="142"/>
      <c r="DIV2018" s="142"/>
      <c r="DIW2018" s="142"/>
      <c r="DIX2018" s="142"/>
      <c r="DIY2018" s="142"/>
      <c r="DIZ2018" s="142"/>
      <c r="DJA2018" s="142"/>
      <c r="DJB2018" s="142"/>
      <c r="DJC2018" s="142"/>
      <c r="DJD2018" s="142"/>
      <c r="DJE2018" s="142"/>
      <c r="DJF2018" s="142"/>
      <c r="DJG2018" s="142"/>
      <c r="DJH2018" s="142"/>
      <c r="DJI2018" s="142"/>
      <c r="DJJ2018" s="142"/>
      <c r="DJK2018" s="142"/>
      <c r="DJL2018" s="142"/>
      <c r="DJM2018" s="142"/>
      <c r="DJN2018" s="142"/>
      <c r="DJO2018" s="142"/>
      <c r="DJP2018" s="142"/>
      <c r="DJQ2018" s="142"/>
      <c r="DJR2018" s="142"/>
      <c r="DJS2018" s="142"/>
      <c r="DJT2018" s="142"/>
      <c r="DJU2018" s="142"/>
      <c r="DJV2018" s="142"/>
      <c r="DJW2018" s="142"/>
      <c r="DJX2018" s="142"/>
      <c r="DJY2018" s="142"/>
      <c r="DJZ2018" s="142"/>
      <c r="DKA2018" s="142"/>
      <c r="DKB2018" s="142"/>
      <c r="DKC2018" s="142"/>
      <c r="DKD2018" s="142"/>
      <c r="DKE2018" s="142"/>
      <c r="DKF2018" s="142"/>
      <c r="DKG2018" s="142"/>
      <c r="DKH2018" s="142"/>
      <c r="DKI2018" s="142"/>
      <c r="DKJ2018" s="142"/>
      <c r="DKK2018" s="142"/>
      <c r="DKL2018" s="142"/>
      <c r="DKM2018" s="142"/>
      <c r="DKN2018" s="142"/>
      <c r="DKO2018" s="142"/>
      <c r="DKP2018" s="142"/>
      <c r="DKQ2018" s="142"/>
      <c r="DKR2018" s="142"/>
      <c r="DKS2018" s="142"/>
      <c r="DKT2018" s="142"/>
      <c r="DKU2018" s="142"/>
      <c r="DKV2018" s="142"/>
      <c r="DKW2018" s="142"/>
      <c r="DKX2018" s="142"/>
      <c r="DKY2018" s="142"/>
      <c r="DKZ2018" s="142"/>
      <c r="DLA2018" s="142"/>
      <c r="DLB2018" s="142"/>
      <c r="DLC2018" s="142"/>
      <c r="DLD2018" s="142"/>
      <c r="DLE2018" s="142"/>
      <c r="DLF2018" s="142"/>
      <c r="DLG2018" s="142"/>
      <c r="DLH2018" s="142"/>
      <c r="DLI2018" s="142"/>
      <c r="DLJ2018" s="142"/>
      <c r="DLK2018" s="142"/>
      <c r="DLL2018" s="142"/>
      <c r="DLM2018" s="142"/>
      <c r="DLN2018" s="142"/>
      <c r="DLO2018" s="142"/>
      <c r="DLP2018" s="142"/>
      <c r="DLQ2018" s="142"/>
      <c r="DLR2018" s="142"/>
      <c r="DLS2018" s="142"/>
      <c r="DLT2018" s="142"/>
      <c r="DLU2018" s="142"/>
      <c r="DLV2018" s="142"/>
      <c r="DLW2018" s="142"/>
      <c r="DLX2018" s="142"/>
      <c r="DLY2018" s="142"/>
      <c r="DLZ2018" s="142"/>
      <c r="DMA2018" s="142"/>
      <c r="DMB2018" s="142"/>
      <c r="DMC2018" s="142"/>
      <c r="DMD2018" s="142"/>
      <c r="DME2018" s="142"/>
      <c r="DMF2018" s="142"/>
      <c r="DMG2018" s="142"/>
      <c r="DMH2018" s="142"/>
      <c r="DMI2018" s="142"/>
      <c r="DMJ2018" s="142"/>
      <c r="DMK2018" s="142"/>
      <c r="DML2018" s="142"/>
      <c r="DMM2018" s="142"/>
      <c r="DMN2018" s="142"/>
      <c r="DMO2018" s="142"/>
      <c r="DMP2018" s="142"/>
      <c r="DMQ2018" s="142"/>
      <c r="DMR2018" s="142"/>
      <c r="DMS2018" s="142"/>
      <c r="DMT2018" s="142"/>
      <c r="DMU2018" s="142"/>
      <c r="DMV2018" s="142"/>
      <c r="DMW2018" s="142"/>
      <c r="DMX2018" s="142"/>
      <c r="DMY2018" s="142"/>
      <c r="DMZ2018" s="142"/>
      <c r="DNA2018" s="142"/>
      <c r="DNB2018" s="142"/>
      <c r="DNC2018" s="142"/>
      <c r="DND2018" s="142"/>
      <c r="DNE2018" s="142"/>
      <c r="DNF2018" s="142"/>
      <c r="DNG2018" s="142"/>
      <c r="DNH2018" s="142"/>
      <c r="DNI2018" s="142"/>
      <c r="DNJ2018" s="142"/>
      <c r="DNK2018" s="142"/>
      <c r="DNL2018" s="142"/>
      <c r="DNM2018" s="142"/>
      <c r="DNN2018" s="142"/>
      <c r="DNO2018" s="142"/>
      <c r="DNP2018" s="142"/>
      <c r="DNQ2018" s="142"/>
      <c r="DNR2018" s="142"/>
      <c r="DNS2018" s="142"/>
      <c r="DNT2018" s="142"/>
      <c r="DNU2018" s="142"/>
      <c r="DNV2018" s="142"/>
      <c r="DNW2018" s="142"/>
      <c r="DNX2018" s="142"/>
      <c r="DNY2018" s="142"/>
      <c r="DNZ2018" s="142"/>
      <c r="DOA2018" s="142"/>
      <c r="DOB2018" s="142"/>
      <c r="DOC2018" s="142"/>
      <c r="DOD2018" s="142"/>
      <c r="DOE2018" s="142"/>
      <c r="DOF2018" s="142"/>
      <c r="DOG2018" s="142"/>
      <c r="DOH2018" s="142"/>
      <c r="DOI2018" s="142"/>
      <c r="DOJ2018" s="142"/>
      <c r="DOK2018" s="142"/>
      <c r="DOL2018" s="142"/>
      <c r="DOM2018" s="142"/>
      <c r="DON2018" s="142"/>
      <c r="DOO2018" s="142"/>
      <c r="DOP2018" s="142"/>
      <c r="DOQ2018" s="142"/>
      <c r="DOR2018" s="142"/>
      <c r="DOS2018" s="142"/>
      <c r="DOT2018" s="142"/>
      <c r="DOU2018" s="142"/>
      <c r="DOV2018" s="142"/>
      <c r="DOW2018" s="142"/>
      <c r="DOX2018" s="142"/>
      <c r="DOY2018" s="142"/>
      <c r="DOZ2018" s="142"/>
      <c r="DPA2018" s="142"/>
      <c r="DPB2018" s="142"/>
      <c r="DPC2018" s="142"/>
      <c r="DPD2018" s="142"/>
      <c r="DPE2018" s="142"/>
      <c r="DPF2018" s="142"/>
      <c r="DPG2018" s="142"/>
      <c r="DPH2018" s="142"/>
      <c r="DPI2018" s="142"/>
      <c r="DPJ2018" s="142"/>
      <c r="DPK2018" s="142"/>
      <c r="DPL2018" s="142"/>
      <c r="DPM2018" s="142"/>
      <c r="DPN2018" s="142"/>
      <c r="DPO2018" s="142"/>
      <c r="DPP2018" s="142"/>
      <c r="DPQ2018" s="142"/>
      <c r="DPR2018" s="142"/>
      <c r="DPS2018" s="142"/>
      <c r="DPT2018" s="142"/>
      <c r="DPU2018" s="142"/>
      <c r="DPV2018" s="142"/>
      <c r="DPW2018" s="142"/>
      <c r="DPX2018" s="142"/>
      <c r="DPY2018" s="142"/>
      <c r="DPZ2018" s="142"/>
      <c r="DQA2018" s="142"/>
      <c r="DQB2018" s="142"/>
      <c r="DQC2018" s="142"/>
      <c r="DQD2018" s="142"/>
      <c r="DQE2018" s="142"/>
      <c r="DQF2018" s="142"/>
      <c r="DQG2018" s="142"/>
      <c r="DQH2018" s="142"/>
      <c r="DQI2018" s="142"/>
      <c r="DQJ2018" s="142"/>
      <c r="DQK2018" s="142"/>
      <c r="DQL2018" s="142"/>
      <c r="DQM2018" s="142"/>
      <c r="DQN2018" s="142"/>
      <c r="DQO2018" s="142"/>
      <c r="DQP2018" s="142"/>
      <c r="DQQ2018" s="142"/>
      <c r="DQR2018" s="142"/>
      <c r="DQS2018" s="142"/>
      <c r="DQT2018" s="142"/>
      <c r="DQU2018" s="142"/>
      <c r="DQV2018" s="142"/>
      <c r="DQW2018" s="142"/>
      <c r="DQX2018" s="142"/>
      <c r="DQY2018" s="142"/>
      <c r="DQZ2018" s="142"/>
      <c r="DRA2018" s="142"/>
      <c r="DRB2018" s="142"/>
      <c r="DRC2018" s="142"/>
      <c r="DRD2018" s="142"/>
      <c r="DRE2018" s="142"/>
      <c r="DRF2018" s="142"/>
      <c r="DRG2018" s="142"/>
      <c r="DRH2018" s="142"/>
      <c r="DRI2018" s="142"/>
      <c r="DRJ2018" s="142"/>
      <c r="DRK2018" s="142"/>
      <c r="DRL2018" s="142"/>
      <c r="DRM2018" s="142"/>
      <c r="DRN2018" s="142"/>
      <c r="DRO2018" s="142"/>
      <c r="DRP2018" s="142"/>
      <c r="DRQ2018" s="142"/>
      <c r="DRR2018" s="142"/>
      <c r="DRS2018" s="142"/>
      <c r="DRT2018" s="142"/>
      <c r="DRU2018" s="142"/>
      <c r="DRV2018" s="142"/>
      <c r="DRW2018" s="142"/>
      <c r="DRX2018" s="142"/>
      <c r="DRY2018" s="142"/>
      <c r="DRZ2018" s="142"/>
      <c r="DSA2018" s="142"/>
      <c r="DSB2018" s="142"/>
      <c r="DSC2018" s="142"/>
      <c r="DSD2018" s="142"/>
      <c r="DSE2018" s="142"/>
      <c r="DSF2018" s="142"/>
      <c r="DSG2018" s="142"/>
      <c r="DSH2018" s="142"/>
      <c r="DSI2018" s="142"/>
      <c r="DSJ2018" s="142"/>
      <c r="DSK2018" s="142"/>
      <c r="DSL2018" s="142"/>
      <c r="DSM2018" s="142"/>
      <c r="DSN2018" s="142"/>
      <c r="DSO2018" s="142"/>
      <c r="DSP2018" s="142"/>
      <c r="DSQ2018" s="142"/>
      <c r="DSR2018" s="142"/>
      <c r="DSS2018" s="142"/>
      <c r="DST2018" s="142"/>
      <c r="DSU2018" s="142"/>
      <c r="DSV2018" s="142"/>
      <c r="DSW2018" s="142"/>
      <c r="DSX2018" s="142"/>
      <c r="DSY2018" s="142"/>
      <c r="DSZ2018" s="142"/>
      <c r="DTA2018" s="142"/>
      <c r="DTB2018" s="142"/>
      <c r="DTC2018" s="142"/>
      <c r="DTD2018" s="142"/>
      <c r="DTE2018" s="142"/>
      <c r="DTF2018" s="142"/>
      <c r="DTG2018" s="142"/>
      <c r="DTH2018" s="142"/>
      <c r="DTI2018" s="142"/>
      <c r="DTJ2018" s="142"/>
      <c r="DTK2018" s="142"/>
      <c r="DTL2018" s="142"/>
      <c r="DTM2018" s="142"/>
      <c r="DTN2018" s="142"/>
      <c r="DTO2018" s="142"/>
      <c r="DTP2018" s="142"/>
      <c r="DTQ2018" s="142"/>
      <c r="DTR2018" s="142"/>
      <c r="DTS2018" s="142"/>
      <c r="DTT2018" s="142"/>
      <c r="DTU2018" s="142"/>
      <c r="DTV2018" s="142"/>
      <c r="DTW2018" s="142"/>
      <c r="DTX2018" s="142"/>
      <c r="DTY2018" s="142"/>
      <c r="DTZ2018" s="142"/>
      <c r="DUA2018" s="142"/>
      <c r="DUB2018" s="142"/>
      <c r="DUC2018" s="142"/>
      <c r="DUD2018" s="142"/>
      <c r="DUE2018" s="142"/>
      <c r="DUF2018" s="142"/>
      <c r="DUG2018" s="142"/>
      <c r="DUH2018" s="142"/>
      <c r="DUI2018" s="142"/>
      <c r="DUJ2018" s="142"/>
      <c r="DUK2018" s="142"/>
      <c r="DUL2018" s="142"/>
      <c r="DUM2018" s="142"/>
      <c r="DUN2018" s="142"/>
      <c r="DUO2018" s="142"/>
      <c r="DUP2018" s="142"/>
      <c r="DUQ2018" s="142"/>
      <c r="DUR2018" s="142"/>
      <c r="DUS2018" s="142"/>
      <c r="DUT2018" s="142"/>
      <c r="DUU2018" s="142"/>
      <c r="DUV2018" s="142"/>
      <c r="DUW2018" s="142"/>
      <c r="DUX2018" s="142"/>
      <c r="DUY2018" s="142"/>
      <c r="DUZ2018" s="142"/>
      <c r="DVA2018" s="142"/>
      <c r="DVB2018" s="142"/>
      <c r="DVC2018" s="142"/>
      <c r="DVD2018" s="142"/>
      <c r="DVE2018" s="142"/>
      <c r="DVF2018" s="142"/>
      <c r="DVG2018" s="142"/>
      <c r="DVH2018" s="142"/>
      <c r="DVI2018" s="142"/>
      <c r="DVJ2018" s="142"/>
      <c r="DVK2018" s="142"/>
      <c r="DVL2018" s="142"/>
      <c r="DVM2018" s="142"/>
      <c r="DVN2018" s="142"/>
      <c r="DVO2018" s="142"/>
      <c r="DVP2018" s="142"/>
      <c r="DVQ2018" s="142"/>
      <c r="DVR2018" s="142"/>
      <c r="DVS2018" s="142"/>
      <c r="DVT2018" s="142"/>
      <c r="DVU2018" s="142"/>
      <c r="DVV2018" s="142"/>
      <c r="DVW2018" s="142"/>
      <c r="DVX2018" s="142"/>
      <c r="DVY2018" s="142"/>
      <c r="DVZ2018" s="142"/>
      <c r="DWA2018" s="142"/>
      <c r="DWB2018" s="142"/>
      <c r="DWC2018" s="142"/>
      <c r="DWD2018" s="142"/>
      <c r="DWE2018" s="142"/>
      <c r="DWF2018" s="142"/>
      <c r="DWG2018" s="142"/>
      <c r="DWH2018" s="142"/>
      <c r="DWI2018" s="142"/>
      <c r="DWJ2018" s="142"/>
      <c r="DWK2018" s="142"/>
      <c r="DWL2018" s="142"/>
      <c r="DWM2018" s="142"/>
      <c r="DWN2018" s="142"/>
      <c r="DWO2018" s="142"/>
      <c r="DWP2018" s="142"/>
      <c r="DWQ2018" s="142"/>
      <c r="DWR2018" s="142"/>
      <c r="DWS2018" s="142"/>
      <c r="DWT2018" s="142"/>
      <c r="DWU2018" s="142"/>
      <c r="DWV2018" s="142"/>
      <c r="DWW2018" s="142"/>
      <c r="DWX2018" s="142"/>
      <c r="DWY2018" s="142"/>
      <c r="DWZ2018" s="142"/>
      <c r="DXA2018" s="142"/>
      <c r="DXB2018" s="142"/>
      <c r="DXC2018" s="142"/>
      <c r="DXD2018" s="142"/>
      <c r="DXE2018" s="142"/>
      <c r="DXF2018" s="142"/>
      <c r="DXG2018" s="142"/>
      <c r="DXH2018" s="142"/>
      <c r="DXI2018" s="142"/>
      <c r="DXJ2018" s="142"/>
      <c r="DXK2018" s="142"/>
      <c r="DXL2018" s="142"/>
      <c r="DXM2018" s="142"/>
      <c r="DXN2018" s="142"/>
      <c r="DXO2018" s="142"/>
      <c r="DXP2018" s="142"/>
      <c r="DXQ2018" s="142"/>
      <c r="DXR2018" s="142"/>
      <c r="DXS2018" s="142"/>
      <c r="DXT2018" s="142"/>
      <c r="DXU2018" s="142"/>
      <c r="DXV2018" s="142"/>
      <c r="DXW2018" s="142"/>
      <c r="DXX2018" s="142"/>
      <c r="DXY2018" s="142"/>
      <c r="DXZ2018" s="142"/>
      <c r="DYA2018" s="142"/>
      <c r="DYB2018" s="142"/>
      <c r="DYC2018" s="142"/>
      <c r="DYD2018" s="142"/>
      <c r="DYE2018" s="142"/>
      <c r="DYF2018" s="142"/>
      <c r="DYG2018" s="142"/>
      <c r="DYH2018" s="142"/>
      <c r="DYI2018" s="142"/>
      <c r="DYJ2018" s="142"/>
      <c r="DYK2018" s="142"/>
      <c r="DYL2018" s="142"/>
      <c r="DYM2018" s="142"/>
      <c r="DYN2018" s="142"/>
      <c r="DYO2018" s="142"/>
      <c r="DYP2018" s="142"/>
      <c r="DYQ2018" s="142"/>
      <c r="DYR2018" s="142"/>
      <c r="DYS2018" s="142"/>
      <c r="DYT2018" s="142"/>
      <c r="DYU2018" s="142"/>
      <c r="DYV2018" s="142"/>
      <c r="DYW2018" s="142"/>
      <c r="DYX2018" s="142"/>
      <c r="DYY2018" s="142"/>
      <c r="DYZ2018" s="142"/>
      <c r="DZA2018" s="142"/>
      <c r="DZB2018" s="142"/>
      <c r="DZC2018" s="142"/>
      <c r="DZD2018" s="142"/>
      <c r="DZE2018" s="142"/>
      <c r="DZF2018" s="142"/>
      <c r="DZG2018" s="142"/>
      <c r="DZH2018" s="142"/>
      <c r="DZI2018" s="142"/>
      <c r="DZJ2018" s="142"/>
      <c r="DZK2018" s="142"/>
      <c r="DZL2018" s="142"/>
      <c r="DZM2018" s="142"/>
      <c r="DZN2018" s="142"/>
      <c r="DZO2018" s="142"/>
      <c r="DZP2018" s="142"/>
      <c r="DZQ2018" s="142"/>
      <c r="DZR2018" s="142"/>
      <c r="DZS2018" s="142"/>
      <c r="DZT2018" s="142"/>
      <c r="DZU2018" s="142"/>
      <c r="DZV2018" s="142"/>
      <c r="DZW2018" s="142"/>
      <c r="DZX2018" s="142"/>
      <c r="DZY2018" s="142"/>
      <c r="DZZ2018" s="142"/>
      <c r="EAA2018" s="142"/>
      <c r="EAB2018" s="142"/>
      <c r="EAC2018" s="142"/>
      <c r="EAD2018" s="142"/>
      <c r="EAE2018" s="142"/>
      <c r="EAF2018" s="142"/>
      <c r="EAG2018" s="142"/>
      <c r="EAH2018" s="142"/>
      <c r="EAI2018" s="142"/>
      <c r="EAJ2018" s="142"/>
      <c r="EAK2018" s="142"/>
      <c r="EAL2018" s="142"/>
      <c r="EAM2018" s="142"/>
      <c r="EAN2018" s="142"/>
      <c r="EAO2018" s="142"/>
      <c r="EAP2018" s="142"/>
      <c r="EAQ2018" s="142"/>
      <c r="EAR2018" s="142"/>
      <c r="EAS2018" s="142"/>
      <c r="EAT2018" s="142"/>
      <c r="EAU2018" s="142"/>
      <c r="EAV2018" s="142"/>
      <c r="EAW2018" s="142"/>
      <c r="EAX2018" s="142"/>
      <c r="EAY2018" s="142"/>
      <c r="EAZ2018" s="142"/>
      <c r="EBA2018" s="142"/>
      <c r="EBB2018" s="142"/>
      <c r="EBC2018" s="142"/>
      <c r="EBD2018" s="142"/>
      <c r="EBE2018" s="142"/>
      <c r="EBF2018" s="142"/>
      <c r="EBG2018" s="142"/>
      <c r="EBH2018" s="142"/>
      <c r="EBI2018" s="142"/>
      <c r="EBJ2018" s="142"/>
      <c r="EBK2018" s="142"/>
      <c r="EBL2018" s="142"/>
      <c r="EBM2018" s="142"/>
      <c r="EBN2018" s="142"/>
      <c r="EBO2018" s="142"/>
      <c r="EBP2018" s="142"/>
      <c r="EBQ2018" s="142"/>
      <c r="EBR2018" s="142"/>
      <c r="EBS2018" s="142"/>
      <c r="EBT2018" s="142"/>
      <c r="EBU2018" s="142"/>
      <c r="EBV2018" s="142"/>
      <c r="EBW2018" s="142"/>
      <c r="EBX2018" s="142"/>
      <c r="EBY2018" s="142"/>
      <c r="EBZ2018" s="142"/>
      <c r="ECA2018" s="142"/>
      <c r="ECB2018" s="142"/>
      <c r="ECC2018" s="142"/>
      <c r="ECD2018" s="142"/>
      <c r="ECE2018" s="142"/>
      <c r="ECF2018" s="142"/>
      <c r="ECG2018" s="142"/>
      <c r="ECH2018" s="142"/>
      <c r="ECI2018" s="142"/>
      <c r="ECJ2018" s="142"/>
      <c r="ECK2018" s="142"/>
      <c r="ECL2018" s="142"/>
      <c r="ECM2018" s="142"/>
      <c r="ECN2018" s="142"/>
      <c r="ECO2018" s="142"/>
      <c r="ECP2018" s="142"/>
      <c r="ECQ2018" s="142"/>
      <c r="ECR2018" s="142"/>
      <c r="ECS2018" s="142"/>
      <c r="ECT2018" s="142"/>
      <c r="ECU2018" s="142"/>
      <c r="ECV2018" s="142"/>
      <c r="ECW2018" s="142"/>
      <c r="ECX2018" s="142"/>
      <c r="ECY2018" s="142"/>
      <c r="ECZ2018" s="142"/>
      <c r="EDA2018" s="142"/>
      <c r="EDB2018" s="142"/>
      <c r="EDC2018" s="142"/>
      <c r="EDD2018" s="142"/>
      <c r="EDE2018" s="142"/>
      <c r="EDF2018" s="142"/>
      <c r="EDG2018" s="142"/>
      <c r="EDH2018" s="142"/>
      <c r="EDI2018" s="142"/>
      <c r="EDJ2018" s="142"/>
      <c r="EDK2018" s="142"/>
      <c r="EDL2018" s="142"/>
      <c r="EDM2018" s="142"/>
      <c r="EDN2018" s="142"/>
      <c r="EDO2018" s="142"/>
      <c r="EDP2018" s="142"/>
      <c r="EDQ2018" s="142"/>
      <c r="EDR2018" s="142"/>
      <c r="EDS2018" s="142"/>
      <c r="EDT2018" s="142"/>
      <c r="EDU2018" s="142"/>
      <c r="EDV2018" s="142"/>
      <c r="EDW2018" s="142"/>
      <c r="EDX2018" s="142"/>
      <c r="EDY2018" s="142"/>
      <c r="EDZ2018" s="142"/>
      <c r="EEA2018" s="142"/>
      <c r="EEB2018" s="142"/>
      <c r="EEC2018" s="142"/>
      <c r="EED2018" s="142"/>
      <c r="EEE2018" s="142"/>
      <c r="EEF2018" s="142"/>
      <c r="EEG2018" s="142"/>
      <c r="EEH2018" s="142"/>
      <c r="EEI2018" s="142"/>
      <c r="EEJ2018" s="142"/>
      <c r="EEK2018" s="142"/>
      <c r="EEL2018" s="142"/>
      <c r="EEM2018" s="142"/>
      <c r="EEN2018" s="142"/>
      <c r="EEO2018" s="142"/>
      <c r="EEP2018" s="142"/>
      <c r="EEQ2018" s="142"/>
      <c r="EER2018" s="142"/>
      <c r="EES2018" s="142"/>
      <c r="EET2018" s="142"/>
      <c r="EEU2018" s="142"/>
      <c r="EEV2018" s="142"/>
      <c r="EEW2018" s="142"/>
      <c r="EEX2018" s="142"/>
      <c r="EEY2018" s="142"/>
      <c r="EEZ2018" s="142"/>
      <c r="EFA2018" s="142"/>
      <c r="EFB2018" s="142"/>
      <c r="EFC2018" s="142"/>
      <c r="EFD2018" s="142"/>
      <c r="EFE2018" s="142"/>
      <c r="EFF2018" s="142"/>
      <c r="EFG2018" s="142"/>
      <c r="EFH2018" s="142"/>
      <c r="EFI2018" s="142"/>
      <c r="EFJ2018" s="142"/>
      <c r="EFK2018" s="142"/>
      <c r="EFL2018" s="142"/>
      <c r="EFM2018" s="142"/>
      <c r="EFN2018" s="142"/>
      <c r="EFO2018" s="142"/>
      <c r="EFP2018" s="142"/>
      <c r="EFQ2018" s="142"/>
      <c r="EFR2018" s="142"/>
      <c r="EFS2018" s="142"/>
      <c r="EFT2018" s="142"/>
      <c r="EFU2018" s="142"/>
      <c r="EFV2018" s="142"/>
      <c r="EFW2018" s="142"/>
      <c r="EFX2018" s="142"/>
      <c r="EFY2018" s="142"/>
      <c r="EFZ2018" s="142"/>
      <c r="EGA2018" s="142"/>
      <c r="EGB2018" s="142"/>
      <c r="EGC2018" s="142"/>
      <c r="EGD2018" s="142"/>
      <c r="EGE2018" s="142"/>
      <c r="EGF2018" s="142"/>
      <c r="EGG2018" s="142"/>
      <c r="EGH2018" s="142"/>
      <c r="EGI2018" s="142"/>
      <c r="EGJ2018" s="142"/>
      <c r="EGK2018" s="142"/>
      <c r="EGL2018" s="142"/>
      <c r="EGM2018" s="142"/>
      <c r="EGN2018" s="142"/>
      <c r="EGO2018" s="142"/>
      <c r="EGP2018" s="142"/>
      <c r="EGQ2018" s="142"/>
      <c r="EGR2018" s="142"/>
      <c r="EGS2018" s="142"/>
      <c r="EGT2018" s="142"/>
      <c r="EGU2018" s="142"/>
      <c r="EGV2018" s="142"/>
      <c r="EGW2018" s="142"/>
      <c r="EGX2018" s="142"/>
      <c r="EGY2018" s="142"/>
      <c r="EGZ2018" s="142"/>
      <c r="EHA2018" s="142"/>
      <c r="EHB2018" s="142"/>
      <c r="EHC2018" s="142"/>
      <c r="EHD2018" s="142"/>
      <c r="EHE2018" s="142"/>
      <c r="EHF2018" s="142"/>
      <c r="EHG2018" s="142"/>
      <c r="EHH2018" s="142"/>
      <c r="EHI2018" s="142"/>
      <c r="EHJ2018" s="142"/>
      <c r="EHK2018" s="142"/>
      <c r="EHL2018" s="142"/>
      <c r="EHM2018" s="142"/>
      <c r="EHN2018" s="142"/>
      <c r="EHO2018" s="142"/>
      <c r="EHP2018" s="142"/>
      <c r="EHQ2018" s="142"/>
      <c r="EHR2018" s="142"/>
      <c r="EHS2018" s="142"/>
      <c r="EHT2018" s="142"/>
      <c r="EHU2018" s="142"/>
      <c r="EHV2018" s="142"/>
      <c r="EHW2018" s="142"/>
      <c r="EHX2018" s="142"/>
      <c r="EHY2018" s="142"/>
      <c r="EHZ2018" s="142"/>
      <c r="EIA2018" s="142"/>
      <c r="EIB2018" s="142"/>
      <c r="EIC2018" s="142"/>
      <c r="EID2018" s="142"/>
      <c r="EIE2018" s="142"/>
      <c r="EIF2018" s="142"/>
      <c r="EIG2018" s="142"/>
      <c r="EIH2018" s="142"/>
      <c r="EII2018" s="142"/>
      <c r="EIJ2018" s="142"/>
      <c r="EIK2018" s="142"/>
      <c r="EIL2018" s="142"/>
      <c r="EIM2018" s="142"/>
      <c r="EIN2018" s="142"/>
      <c r="EIO2018" s="142"/>
      <c r="EIP2018" s="142"/>
      <c r="EIQ2018" s="142"/>
      <c r="EIR2018" s="142"/>
      <c r="EIS2018" s="142"/>
      <c r="EIT2018" s="142"/>
      <c r="EIU2018" s="142"/>
      <c r="EIV2018" s="142"/>
      <c r="EIW2018" s="142"/>
      <c r="EIX2018" s="142"/>
      <c r="EIY2018" s="142"/>
      <c r="EIZ2018" s="142"/>
      <c r="EJA2018" s="142"/>
      <c r="EJB2018" s="142"/>
      <c r="EJC2018" s="142"/>
      <c r="EJD2018" s="142"/>
      <c r="EJE2018" s="142"/>
      <c r="EJF2018" s="142"/>
      <c r="EJG2018" s="142"/>
      <c r="EJH2018" s="142"/>
      <c r="EJI2018" s="142"/>
      <c r="EJJ2018" s="142"/>
      <c r="EJK2018" s="142"/>
      <c r="EJL2018" s="142"/>
      <c r="EJM2018" s="142"/>
      <c r="EJN2018" s="142"/>
      <c r="EJO2018" s="142"/>
      <c r="EJP2018" s="142"/>
      <c r="EJQ2018" s="142"/>
      <c r="EJR2018" s="142"/>
      <c r="EJS2018" s="142"/>
      <c r="EJT2018" s="142"/>
      <c r="EJU2018" s="142"/>
      <c r="EJV2018" s="142"/>
      <c r="EJW2018" s="142"/>
      <c r="EJX2018" s="142"/>
      <c r="EJY2018" s="142"/>
      <c r="EJZ2018" s="142"/>
      <c r="EKA2018" s="142"/>
      <c r="EKB2018" s="142"/>
      <c r="EKC2018" s="142"/>
      <c r="EKD2018" s="142"/>
      <c r="EKE2018" s="142"/>
      <c r="EKF2018" s="142"/>
      <c r="EKG2018" s="142"/>
      <c r="EKH2018" s="142"/>
      <c r="EKI2018" s="142"/>
      <c r="EKJ2018" s="142"/>
      <c r="EKK2018" s="142"/>
      <c r="EKL2018" s="142"/>
      <c r="EKM2018" s="142"/>
      <c r="EKN2018" s="142"/>
      <c r="EKO2018" s="142"/>
      <c r="EKP2018" s="142"/>
      <c r="EKQ2018" s="142"/>
      <c r="EKR2018" s="142"/>
      <c r="EKS2018" s="142"/>
      <c r="EKT2018" s="142"/>
      <c r="EKU2018" s="142"/>
      <c r="EKV2018" s="142"/>
      <c r="EKW2018" s="142"/>
      <c r="EKX2018" s="142"/>
      <c r="EKY2018" s="142"/>
      <c r="EKZ2018" s="142"/>
      <c r="ELA2018" s="142"/>
      <c r="ELB2018" s="142"/>
      <c r="ELC2018" s="142"/>
      <c r="ELD2018" s="142"/>
      <c r="ELE2018" s="142"/>
      <c r="ELF2018" s="142"/>
      <c r="ELG2018" s="142"/>
      <c r="ELH2018" s="142"/>
      <c r="ELI2018" s="142"/>
      <c r="ELJ2018" s="142"/>
      <c r="ELK2018" s="142"/>
      <c r="ELL2018" s="142"/>
      <c r="ELM2018" s="142"/>
      <c r="ELN2018" s="142"/>
      <c r="ELO2018" s="142"/>
      <c r="ELP2018" s="142"/>
      <c r="ELQ2018" s="142"/>
      <c r="ELR2018" s="142"/>
      <c r="ELS2018" s="142"/>
      <c r="ELT2018" s="142"/>
      <c r="ELU2018" s="142"/>
      <c r="ELV2018" s="142"/>
      <c r="ELW2018" s="142"/>
      <c r="ELX2018" s="142"/>
      <c r="ELY2018" s="142"/>
      <c r="ELZ2018" s="142"/>
      <c r="EMA2018" s="142"/>
      <c r="EMB2018" s="142"/>
      <c r="EMC2018" s="142"/>
      <c r="EMD2018" s="142"/>
      <c r="EME2018" s="142"/>
      <c r="EMF2018" s="142"/>
      <c r="EMG2018" s="142"/>
      <c r="EMH2018" s="142"/>
      <c r="EMI2018" s="142"/>
      <c r="EMJ2018" s="142"/>
      <c r="EMK2018" s="142"/>
      <c r="EML2018" s="142"/>
      <c r="EMM2018" s="142"/>
      <c r="EMN2018" s="142"/>
      <c r="EMO2018" s="142"/>
      <c r="EMP2018" s="142"/>
      <c r="EMQ2018" s="142"/>
      <c r="EMR2018" s="142"/>
      <c r="EMS2018" s="142"/>
      <c r="EMT2018" s="142"/>
      <c r="EMU2018" s="142"/>
      <c r="EMV2018" s="142"/>
      <c r="EMW2018" s="142"/>
      <c r="EMX2018" s="142"/>
      <c r="EMY2018" s="142"/>
      <c r="EMZ2018" s="142"/>
      <c r="ENA2018" s="142"/>
      <c r="ENB2018" s="142"/>
      <c r="ENC2018" s="142"/>
      <c r="END2018" s="142"/>
      <c r="ENE2018" s="142"/>
      <c r="ENF2018" s="142"/>
      <c r="ENG2018" s="142"/>
      <c r="ENH2018" s="142"/>
      <c r="ENI2018" s="142"/>
      <c r="ENJ2018" s="142"/>
      <c r="ENK2018" s="142"/>
      <c r="ENL2018" s="142"/>
      <c r="ENM2018" s="142"/>
      <c r="ENN2018" s="142"/>
      <c r="ENO2018" s="142"/>
      <c r="ENP2018" s="142"/>
      <c r="ENQ2018" s="142"/>
      <c r="ENR2018" s="142"/>
      <c r="ENS2018" s="142"/>
      <c r="ENT2018" s="142"/>
      <c r="ENU2018" s="142"/>
      <c r="ENV2018" s="142"/>
      <c r="ENW2018" s="142"/>
      <c r="ENX2018" s="142"/>
      <c r="ENY2018" s="142"/>
      <c r="ENZ2018" s="142"/>
      <c r="EOA2018" s="142"/>
      <c r="EOB2018" s="142"/>
      <c r="EOC2018" s="142"/>
      <c r="EOD2018" s="142"/>
      <c r="EOE2018" s="142"/>
      <c r="EOF2018" s="142"/>
      <c r="EOG2018" s="142"/>
      <c r="EOH2018" s="142"/>
      <c r="EOI2018" s="142"/>
      <c r="EOJ2018" s="142"/>
      <c r="EOK2018" s="142"/>
      <c r="EOL2018" s="142"/>
      <c r="EOM2018" s="142"/>
      <c r="EON2018" s="142"/>
      <c r="EOO2018" s="142"/>
      <c r="EOP2018" s="142"/>
      <c r="EOQ2018" s="142"/>
      <c r="EOR2018" s="142"/>
      <c r="EOS2018" s="142"/>
      <c r="EOT2018" s="142"/>
      <c r="EOU2018" s="142"/>
      <c r="EOV2018" s="142"/>
      <c r="EOW2018" s="142"/>
      <c r="EOX2018" s="142"/>
      <c r="EOY2018" s="142"/>
      <c r="EOZ2018" s="142"/>
      <c r="EPA2018" s="142"/>
      <c r="EPB2018" s="142"/>
      <c r="EPC2018" s="142"/>
      <c r="EPD2018" s="142"/>
      <c r="EPE2018" s="142"/>
      <c r="EPF2018" s="142"/>
      <c r="EPG2018" s="142"/>
      <c r="EPH2018" s="142"/>
      <c r="EPI2018" s="142"/>
      <c r="EPJ2018" s="142"/>
      <c r="EPK2018" s="142"/>
      <c r="EPL2018" s="142"/>
      <c r="EPM2018" s="142"/>
      <c r="EPN2018" s="142"/>
      <c r="EPO2018" s="142"/>
      <c r="EPP2018" s="142"/>
      <c r="EPQ2018" s="142"/>
      <c r="EPR2018" s="142"/>
      <c r="EPS2018" s="142"/>
      <c r="EPT2018" s="142"/>
      <c r="EPU2018" s="142"/>
      <c r="EPV2018" s="142"/>
      <c r="EPW2018" s="142"/>
      <c r="EPX2018" s="142"/>
      <c r="EPY2018" s="142"/>
      <c r="EPZ2018" s="142"/>
      <c r="EQA2018" s="142"/>
      <c r="EQB2018" s="142"/>
      <c r="EQC2018" s="142"/>
      <c r="EQD2018" s="142"/>
      <c r="EQE2018" s="142"/>
      <c r="EQF2018" s="142"/>
      <c r="EQG2018" s="142"/>
      <c r="EQH2018" s="142"/>
      <c r="EQI2018" s="142"/>
      <c r="EQJ2018" s="142"/>
      <c r="EQK2018" s="142"/>
      <c r="EQL2018" s="142"/>
      <c r="EQM2018" s="142"/>
      <c r="EQN2018" s="142"/>
      <c r="EQO2018" s="142"/>
      <c r="EQP2018" s="142"/>
      <c r="EQQ2018" s="142"/>
      <c r="EQR2018" s="142"/>
      <c r="EQS2018" s="142"/>
      <c r="EQT2018" s="142"/>
      <c r="EQU2018" s="142"/>
      <c r="EQV2018" s="142"/>
      <c r="EQW2018" s="142"/>
      <c r="EQX2018" s="142"/>
      <c r="EQY2018" s="142"/>
      <c r="EQZ2018" s="142"/>
      <c r="ERA2018" s="142"/>
      <c r="ERB2018" s="142"/>
      <c r="ERC2018" s="142"/>
      <c r="ERD2018" s="142"/>
      <c r="ERE2018" s="142"/>
      <c r="ERF2018" s="142"/>
      <c r="ERG2018" s="142"/>
      <c r="ERH2018" s="142"/>
      <c r="ERI2018" s="142"/>
      <c r="ERJ2018" s="142"/>
      <c r="ERK2018" s="142"/>
      <c r="ERL2018" s="142"/>
      <c r="ERM2018" s="142"/>
      <c r="ERN2018" s="142"/>
      <c r="ERO2018" s="142"/>
      <c r="ERP2018" s="142"/>
      <c r="ERQ2018" s="142"/>
      <c r="ERR2018" s="142"/>
      <c r="ERS2018" s="142"/>
      <c r="ERT2018" s="142"/>
      <c r="ERU2018" s="142"/>
      <c r="ERV2018" s="142"/>
      <c r="ERW2018" s="142"/>
      <c r="ERX2018" s="142"/>
      <c r="ERY2018" s="142"/>
      <c r="ERZ2018" s="142"/>
      <c r="ESA2018" s="142"/>
      <c r="ESB2018" s="142"/>
      <c r="ESC2018" s="142"/>
      <c r="ESD2018" s="142"/>
      <c r="ESE2018" s="142"/>
      <c r="ESF2018" s="142"/>
      <c r="ESG2018" s="142"/>
      <c r="ESH2018" s="142"/>
      <c r="ESI2018" s="142"/>
      <c r="ESJ2018" s="142"/>
      <c r="ESK2018" s="142"/>
      <c r="ESL2018" s="142"/>
      <c r="ESM2018" s="142"/>
      <c r="ESN2018" s="142"/>
      <c r="ESO2018" s="142"/>
      <c r="ESP2018" s="142"/>
      <c r="ESQ2018" s="142"/>
      <c r="ESR2018" s="142"/>
      <c r="ESS2018" s="142"/>
      <c r="EST2018" s="142"/>
      <c r="ESU2018" s="142"/>
      <c r="ESV2018" s="142"/>
      <c r="ESW2018" s="142"/>
      <c r="ESX2018" s="142"/>
      <c r="ESY2018" s="142"/>
      <c r="ESZ2018" s="142"/>
      <c r="ETA2018" s="142"/>
      <c r="ETB2018" s="142"/>
      <c r="ETC2018" s="142"/>
      <c r="ETD2018" s="142"/>
      <c r="ETE2018" s="142"/>
      <c r="ETF2018" s="142"/>
      <c r="ETG2018" s="142"/>
      <c r="ETH2018" s="142"/>
      <c r="ETI2018" s="142"/>
      <c r="ETJ2018" s="142"/>
      <c r="ETK2018" s="142"/>
      <c r="ETL2018" s="142"/>
      <c r="ETM2018" s="142"/>
      <c r="ETN2018" s="142"/>
      <c r="ETO2018" s="142"/>
      <c r="ETP2018" s="142"/>
      <c r="ETQ2018" s="142"/>
      <c r="ETR2018" s="142"/>
      <c r="ETS2018" s="142"/>
      <c r="ETT2018" s="142"/>
      <c r="ETU2018" s="142"/>
      <c r="ETV2018" s="142"/>
      <c r="ETW2018" s="142"/>
      <c r="ETX2018" s="142"/>
      <c r="ETY2018" s="142"/>
      <c r="ETZ2018" s="142"/>
      <c r="EUA2018" s="142"/>
      <c r="EUB2018" s="142"/>
      <c r="EUC2018" s="142"/>
      <c r="EUD2018" s="142"/>
      <c r="EUE2018" s="142"/>
      <c r="EUF2018" s="142"/>
      <c r="EUG2018" s="142"/>
      <c r="EUH2018" s="142"/>
      <c r="EUI2018" s="142"/>
      <c r="EUJ2018" s="142"/>
      <c r="EUK2018" s="142"/>
      <c r="EUL2018" s="142"/>
      <c r="EUM2018" s="142"/>
      <c r="EUN2018" s="142"/>
      <c r="EUO2018" s="142"/>
      <c r="EUP2018" s="142"/>
      <c r="EUQ2018" s="142"/>
      <c r="EUR2018" s="142"/>
      <c r="EUS2018" s="142"/>
      <c r="EUT2018" s="142"/>
      <c r="EUU2018" s="142"/>
      <c r="EUV2018" s="142"/>
      <c r="EUW2018" s="142"/>
      <c r="EUX2018" s="142"/>
      <c r="EUY2018" s="142"/>
      <c r="EUZ2018" s="142"/>
      <c r="EVA2018" s="142"/>
      <c r="EVB2018" s="142"/>
      <c r="EVC2018" s="142"/>
      <c r="EVD2018" s="142"/>
      <c r="EVE2018" s="142"/>
      <c r="EVF2018" s="142"/>
      <c r="EVG2018" s="142"/>
      <c r="EVH2018" s="142"/>
      <c r="EVI2018" s="142"/>
      <c r="EVJ2018" s="142"/>
      <c r="EVK2018" s="142"/>
      <c r="EVL2018" s="142"/>
      <c r="EVM2018" s="142"/>
      <c r="EVN2018" s="142"/>
      <c r="EVO2018" s="142"/>
      <c r="EVP2018" s="142"/>
      <c r="EVQ2018" s="142"/>
      <c r="EVR2018" s="142"/>
      <c r="EVS2018" s="142"/>
      <c r="EVT2018" s="142"/>
      <c r="EVU2018" s="142"/>
      <c r="EVV2018" s="142"/>
      <c r="EVW2018" s="142"/>
      <c r="EVX2018" s="142"/>
      <c r="EVY2018" s="142"/>
      <c r="EVZ2018" s="142"/>
      <c r="EWA2018" s="142"/>
      <c r="EWB2018" s="142"/>
      <c r="EWC2018" s="142"/>
      <c r="EWD2018" s="142"/>
      <c r="EWE2018" s="142"/>
      <c r="EWF2018" s="142"/>
      <c r="EWG2018" s="142"/>
      <c r="EWH2018" s="142"/>
      <c r="EWI2018" s="142"/>
      <c r="EWJ2018" s="142"/>
      <c r="EWK2018" s="142"/>
      <c r="EWL2018" s="142"/>
      <c r="EWM2018" s="142"/>
      <c r="EWN2018" s="142"/>
      <c r="EWO2018" s="142"/>
      <c r="EWP2018" s="142"/>
      <c r="EWQ2018" s="142"/>
      <c r="EWR2018" s="142"/>
      <c r="EWS2018" s="142"/>
      <c r="EWT2018" s="142"/>
      <c r="EWU2018" s="142"/>
      <c r="EWV2018" s="142"/>
      <c r="EWW2018" s="142"/>
      <c r="EWX2018" s="142"/>
      <c r="EWY2018" s="142"/>
      <c r="EWZ2018" s="142"/>
      <c r="EXA2018" s="142"/>
      <c r="EXB2018" s="142"/>
      <c r="EXC2018" s="142"/>
      <c r="EXD2018" s="142"/>
      <c r="EXE2018" s="142"/>
      <c r="EXF2018" s="142"/>
      <c r="EXG2018" s="142"/>
      <c r="EXH2018" s="142"/>
      <c r="EXI2018" s="142"/>
      <c r="EXJ2018" s="142"/>
      <c r="EXK2018" s="142"/>
      <c r="EXL2018" s="142"/>
      <c r="EXM2018" s="142"/>
      <c r="EXN2018" s="142"/>
      <c r="EXO2018" s="142"/>
      <c r="EXP2018" s="142"/>
      <c r="EXQ2018" s="142"/>
      <c r="EXR2018" s="142"/>
      <c r="EXS2018" s="142"/>
      <c r="EXT2018" s="142"/>
      <c r="EXU2018" s="142"/>
      <c r="EXV2018" s="142"/>
      <c r="EXW2018" s="142"/>
      <c r="EXX2018" s="142"/>
      <c r="EXY2018" s="142"/>
      <c r="EXZ2018" s="142"/>
      <c r="EYA2018" s="142"/>
      <c r="EYB2018" s="142"/>
      <c r="EYC2018" s="142"/>
      <c r="EYD2018" s="142"/>
      <c r="EYE2018" s="142"/>
      <c r="EYF2018" s="142"/>
      <c r="EYG2018" s="142"/>
      <c r="EYH2018" s="142"/>
      <c r="EYI2018" s="142"/>
      <c r="EYJ2018" s="142"/>
      <c r="EYK2018" s="142"/>
      <c r="EYL2018" s="142"/>
      <c r="EYM2018" s="142"/>
      <c r="EYN2018" s="142"/>
      <c r="EYO2018" s="142"/>
      <c r="EYP2018" s="142"/>
      <c r="EYQ2018" s="142"/>
      <c r="EYR2018" s="142"/>
      <c r="EYS2018" s="142"/>
      <c r="EYT2018" s="142"/>
      <c r="EYU2018" s="142"/>
      <c r="EYV2018" s="142"/>
      <c r="EYW2018" s="142"/>
      <c r="EYX2018" s="142"/>
      <c r="EYY2018" s="142"/>
      <c r="EYZ2018" s="142"/>
      <c r="EZA2018" s="142"/>
      <c r="EZB2018" s="142"/>
      <c r="EZC2018" s="142"/>
      <c r="EZD2018" s="142"/>
      <c r="EZE2018" s="142"/>
      <c r="EZF2018" s="142"/>
      <c r="EZG2018" s="142"/>
      <c r="EZH2018" s="142"/>
      <c r="EZI2018" s="142"/>
      <c r="EZJ2018" s="142"/>
      <c r="EZK2018" s="142"/>
      <c r="EZL2018" s="142"/>
      <c r="EZM2018" s="142"/>
      <c r="EZN2018" s="142"/>
      <c r="EZO2018" s="142"/>
      <c r="EZP2018" s="142"/>
      <c r="EZQ2018" s="142"/>
      <c r="EZR2018" s="142"/>
      <c r="EZS2018" s="142"/>
      <c r="EZT2018" s="142"/>
      <c r="EZU2018" s="142"/>
      <c r="EZV2018" s="142"/>
      <c r="EZW2018" s="142"/>
      <c r="EZX2018" s="142"/>
      <c r="EZY2018" s="142"/>
      <c r="EZZ2018" s="142"/>
      <c r="FAA2018" s="142"/>
      <c r="FAB2018" s="142"/>
      <c r="FAC2018" s="142"/>
      <c r="FAD2018" s="142"/>
      <c r="FAE2018" s="142"/>
      <c r="FAF2018" s="142"/>
      <c r="FAG2018" s="142"/>
      <c r="FAH2018" s="142"/>
      <c r="FAI2018" s="142"/>
      <c r="FAJ2018" s="142"/>
      <c r="FAK2018" s="142"/>
      <c r="FAL2018" s="142"/>
      <c r="FAM2018" s="142"/>
      <c r="FAN2018" s="142"/>
      <c r="FAO2018" s="142"/>
      <c r="FAP2018" s="142"/>
      <c r="FAQ2018" s="142"/>
      <c r="FAR2018" s="142"/>
      <c r="FAS2018" s="142"/>
      <c r="FAT2018" s="142"/>
      <c r="FAU2018" s="142"/>
      <c r="FAV2018" s="142"/>
      <c r="FAW2018" s="142"/>
      <c r="FAX2018" s="142"/>
      <c r="FAY2018" s="142"/>
      <c r="FAZ2018" s="142"/>
      <c r="FBA2018" s="142"/>
      <c r="FBB2018" s="142"/>
      <c r="FBC2018" s="142"/>
      <c r="FBD2018" s="142"/>
      <c r="FBE2018" s="142"/>
      <c r="FBF2018" s="142"/>
      <c r="FBG2018" s="142"/>
      <c r="FBH2018" s="142"/>
      <c r="FBI2018" s="142"/>
      <c r="FBJ2018" s="142"/>
      <c r="FBK2018" s="142"/>
      <c r="FBL2018" s="142"/>
      <c r="FBM2018" s="142"/>
      <c r="FBN2018" s="142"/>
      <c r="FBO2018" s="142"/>
      <c r="FBP2018" s="142"/>
      <c r="FBQ2018" s="142"/>
      <c r="FBR2018" s="142"/>
      <c r="FBS2018" s="142"/>
      <c r="FBT2018" s="142"/>
      <c r="FBU2018" s="142"/>
      <c r="FBV2018" s="142"/>
      <c r="FBW2018" s="142"/>
      <c r="FBX2018" s="142"/>
      <c r="FBY2018" s="142"/>
      <c r="FBZ2018" s="142"/>
      <c r="FCA2018" s="142"/>
      <c r="FCB2018" s="142"/>
      <c r="FCC2018" s="142"/>
      <c r="FCD2018" s="142"/>
      <c r="FCE2018" s="142"/>
      <c r="FCF2018" s="142"/>
      <c r="FCG2018" s="142"/>
      <c r="FCH2018" s="142"/>
      <c r="FCI2018" s="142"/>
      <c r="FCJ2018" s="142"/>
      <c r="FCK2018" s="142"/>
      <c r="FCL2018" s="142"/>
      <c r="FCM2018" s="142"/>
      <c r="FCN2018" s="142"/>
      <c r="FCO2018" s="142"/>
      <c r="FCP2018" s="142"/>
      <c r="FCQ2018" s="142"/>
      <c r="FCR2018" s="142"/>
      <c r="FCS2018" s="142"/>
      <c r="FCT2018" s="142"/>
      <c r="FCU2018" s="142"/>
      <c r="FCV2018" s="142"/>
      <c r="FCW2018" s="142"/>
      <c r="FCX2018" s="142"/>
      <c r="FCY2018" s="142"/>
      <c r="FCZ2018" s="142"/>
      <c r="FDA2018" s="142"/>
      <c r="FDB2018" s="142"/>
      <c r="FDC2018" s="142"/>
      <c r="FDD2018" s="142"/>
      <c r="FDE2018" s="142"/>
      <c r="FDF2018" s="142"/>
      <c r="FDG2018" s="142"/>
      <c r="FDH2018" s="142"/>
      <c r="FDI2018" s="142"/>
      <c r="FDJ2018" s="142"/>
      <c r="FDK2018" s="142"/>
      <c r="FDL2018" s="142"/>
      <c r="FDM2018" s="142"/>
      <c r="FDN2018" s="142"/>
      <c r="FDO2018" s="142"/>
      <c r="FDP2018" s="142"/>
      <c r="FDQ2018" s="142"/>
      <c r="FDR2018" s="142"/>
      <c r="FDS2018" s="142"/>
      <c r="FDT2018" s="142"/>
      <c r="FDU2018" s="142"/>
      <c r="FDV2018" s="142"/>
      <c r="FDW2018" s="142"/>
      <c r="FDX2018" s="142"/>
      <c r="FDY2018" s="142"/>
      <c r="FDZ2018" s="142"/>
      <c r="FEA2018" s="142"/>
      <c r="FEB2018" s="142"/>
      <c r="FEC2018" s="142"/>
      <c r="FED2018" s="142"/>
      <c r="FEE2018" s="142"/>
      <c r="FEF2018" s="142"/>
      <c r="FEG2018" s="142"/>
      <c r="FEH2018" s="142"/>
      <c r="FEI2018" s="142"/>
      <c r="FEJ2018" s="142"/>
      <c r="FEK2018" s="142"/>
      <c r="FEL2018" s="142"/>
      <c r="FEM2018" s="142"/>
      <c r="FEN2018" s="142"/>
      <c r="FEO2018" s="142"/>
      <c r="FEP2018" s="142"/>
      <c r="FEQ2018" s="142"/>
      <c r="FER2018" s="142"/>
      <c r="FES2018" s="142"/>
      <c r="FET2018" s="142"/>
      <c r="FEU2018" s="142"/>
      <c r="FEV2018" s="142"/>
      <c r="FEW2018" s="142"/>
      <c r="FEX2018" s="142"/>
      <c r="FEY2018" s="142"/>
      <c r="FEZ2018" s="142"/>
      <c r="FFA2018" s="142"/>
      <c r="FFB2018" s="142"/>
      <c r="FFC2018" s="142"/>
      <c r="FFD2018" s="142"/>
      <c r="FFE2018" s="142"/>
      <c r="FFF2018" s="142"/>
      <c r="FFG2018" s="142"/>
      <c r="FFH2018" s="142"/>
      <c r="FFI2018" s="142"/>
      <c r="FFJ2018" s="142"/>
      <c r="FFK2018" s="142"/>
      <c r="FFL2018" s="142"/>
      <c r="FFM2018" s="142"/>
      <c r="FFN2018" s="142"/>
      <c r="FFO2018" s="142"/>
      <c r="FFP2018" s="142"/>
      <c r="FFQ2018" s="142"/>
      <c r="FFR2018" s="142"/>
      <c r="FFS2018" s="142"/>
      <c r="FFT2018" s="142"/>
      <c r="FFU2018" s="142"/>
      <c r="FFV2018" s="142"/>
      <c r="FFW2018" s="142"/>
      <c r="FFX2018" s="142"/>
      <c r="FFY2018" s="142"/>
      <c r="FFZ2018" s="142"/>
      <c r="FGA2018" s="142"/>
      <c r="FGB2018" s="142"/>
      <c r="FGC2018" s="142"/>
      <c r="FGD2018" s="142"/>
      <c r="FGE2018" s="142"/>
      <c r="FGF2018" s="142"/>
      <c r="FGG2018" s="142"/>
      <c r="FGH2018" s="142"/>
      <c r="FGI2018" s="142"/>
      <c r="FGJ2018" s="142"/>
      <c r="FGK2018" s="142"/>
      <c r="FGL2018" s="142"/>
      <c r="FGM2018" s="142"/>
      <c r="FGN2018" s="142"/>
      <c r="FGO2018" s="142"/>
      <c r="FGP2018" s="142"/>
      <c r="FGQ2018" s="142"/>
      <c r="FGR2018" s="142"/>
      <c r="FGS2018" s="142"/>
      <c r="FGT2018" s="142"/>
      <c r="FGU2018" s="142"/>
      <c r="FGV2018" s="142"/>
      <c r="FGW2018" s="142"/>
      <c r="FGX2018" s="142"/>
      <c r="FGY2018" s="142"/>
      <c r="FGZ2018" s="142"/>
      <c r="FHA2018" s="142"/>
      <c r="FHB2018" s="142"/>
      <c r="FHC2018" s="142"/>
      <c r="FHD2018" s="142"/>
      <c r="FHE2018" s="142"/>
      <c r="FHF2018" s="142"/>
      <c r="FHG2018" s="142"/>
      <c r="FHH2018" s="142"/>
      <c r="FHI2018" s="142"/>
      <c r="FHJ2018" s="142"/>
      <c r="FHK2018" s="142"/>
      <c r="FHL2018" s="142"/>
      <c r="FHM2018" s="142"/>
      <c r="FHN2018" s="142"/>
      <c r="FHO2018" s="142"/>
      <c r="FHP2018" s="142"/>
      <c r="FHQ2018" s="142"/>
      <c r="FHR2018" s="142"/>
      <c r="FHS2018" s="142"/>
      <c r="FHT2018" s="142"/>
      <c r="FHU2018" s="142"/>
      <c r="FHV2018" s="142"/>
      <c r="FHW2018" s="142"/>
      <c r="FHX2018" s="142"/>
      <c r="FHY2018" s="142"/>
      <c r="FHZ2018" s="142"/>
      <c r="FIA2018" s="142"/>
      <c r="FIB2018" s="142"/>
      <c r="FIC2018" s="142"/>
      <c r="FID2018" s="142"/>
      <c r="FIE2018" s="142"/>
      <c r="FIF2018" s="142"/>
      <c r="FIG2018" s="142"/>
      <c r="FIH2018" s="142"/>
      <c r="FII2018" s="142"/>
      <c r="FIJ2018" s="142"/>
      <c r="FIK2018" s="142"/>
      <c r="FIL2018" s="142"/>
      <c r="FIM2018" s="142"/>
      <c r="FIN2018" s="142"/>
      <c r="FIO2018" s="142"/>
      <c r="FIP2018" s="142"/>
      <c r="FIQ2018" s="142"/>
      <c r="FIR2018" s="142"/>
      <c r="FIS2018" s="142"/>
      <c r="FIT2018" s="142"/>
      <c r="FIU2018" s="142"/>
      <c r="FIV2018" s="142"/>
      <c r="FIW2018" s="142"/>
      <c r="FIX2018" s="142"/>
      <c r="FIY2018" s="142"/>
      <c r="FIZ2018" s="142"/>
      <c r="FJA2018" s="142"/>
      <c r="FJB2018" s="142"/>
      <c r="FJC2018" s="142"/>
      <c r="FJD2018" s="142"/>
      <c r="FJE2018" s="142"/>
      <c r="FJF2018" s="142"/>
      <c r="FJG2018" s="142"/>
      <c r="FJH2018" s="142"/>
      <c r="FJI2018" s="142"/>
      <c r="FJJ2018" s="142"/>
      <c r="FJK2018" s="142"/>
      <c r="FJL2018" s="142"/>
      <c r="FJM2018" s="142"/>
      <c r="FJN2018" s="142"/>
      <c r="FJO2018" s="142"/>
      <c r="FJP2018" s="142"/>
      <c r="FJQ2018" s="142"/>
      <c r="FJR2018" s="142"/>
      <c r="FJS2018" s="142"/>
      <c r="FJT2018" s="142"/>
      <c r="FJU2018" s="142"/>
      <c r="FJV2018" s="142"/>
      <c r="FJW2018" s="142"/>
      <c r="FJX2018" s="142"/>
      <c r="FJY2018" s="142"/>
      <c r="FJZ2018" s="142"/>
      <c r="FKA2018" s="142"/>
      <c r="FKB2018" s="142"/>
      <c r="FKC2018" s="142"/>
      <c r="FKD2018" s="142"/>
      <c r="FKE2018" s="142"/>
      <c r="FKF2018" s="142"/>
      <c r="FKG2018" s="142"/>
      <c r="FKH2018" s="142"/>
      <c r="FKI2018" s="142"/>
      <c r="FKJ2018" s="142"/>
      <c r="FKK2018" s="142"/>
      <c r="FKL2018" s="142"/>
      <c r="FKM2018" s="142"/>
      <c r="FKN2018" s="142"/>
      <c r="FKO2018" s="142"/>
      <c r="FKP2018" s="142"/>
      <c r="FKQ2018" s="142"/>
      <c r="FKR2018" s="142"/>
      <c r="FKS2018" s="142"/>
      <c r="FKT2018" s="142"/>
      <c r="FKU2018" s="142"/>
      <c r="FKV2018" s="142"/>
      <c r="FKW2018" s="142"/>
      <c r="FKX2018" s="142"/>
      <c r="FKY2018" s="142"/>
      <c r="FKZ2018" s="142"/>
      <c r="FLA2018" s="142"/>
      <c r="FLB2018" s="142"/>
      <c r="FLC2018" s="142"/>
      <c r="FLD2018" s="142"/>
      <c r="FLE2018" s="142"/>
      <c r="FLF2018" s="142"/>
      <c r="FLG2018" s="142"/>
      <c r="FLH2018" s="142"/>
      <c r="FLI2018" s="142"/>
      <c r="FLJ2018" s="142"/>
      <c r="FLK2018" s="142"/>
      <c r="FLL2018" s="142"/>
      <c r="FLM2018" s="142"/>
      <c r="FLN2018" s="142"/>
      <c r="FLO2018" s="142"/>
      <c r="FLP2018" s="142"/>
      <c r="FLQ2018" s="142"/>
      <c r="FLR2018" s="142"/>
      <c r="FLS2018" s="142"/>
      <c r="FLT2018" s="142"/>
      <c r="FLU2018" s="142"/>
      <c r="FLV2018" s="142"/>
      <c r="FLW2018" s="142"/>
      <c r="FLX2018" s="142"/>
      <c r="FLY2018" s="142"/>
      <c r="FLZ2018" s="142"/>
      <c r="FMA2018" s="142"/>
      <c r="FMB2018" s="142"/>
      <c r="FMC2018" s="142"/>
      <c r="FMD2018" s="142"/>
      <c r="FME2018" s="142"/>
      <c r="FMF2018" s="142"/>
      <c r="FMG2018" s="142"/>
      <c r="FMH2018" s="142"/>
      <c r="FMI2018" s="142"/>
      <c r="FMJ2018" s="142"/>
      <c r="FMK2018" s="142"/>
      <c r="FML2018" s="142"/>
      <c r="FMM2018" s="142"/>
      <c r="FMN2018" s="142"/>
      <c r="FMO2018" s="142"/>
      <c r="FMP2018" s="142"/>
      <c r="FMQ2018" s="142"/>
      <c r="FMR2018" s="142"/>
      <c r="FMS2018" s="142"/>
      <c r="FMT2018" s="142"/>
      <c r="FMU2018" s="142"/>
      <c r="FMV2018" s="142"/>
      <c r="FMW2018" s="142"/>
      <c r="FMX2018" s="142"/>
      <c r="FMY2018" s="142"/>
      <c r="FMZ2018" s="142"/>
      <c r="FNA2018" s="142"/>
      <c r="FNB2018" s="142"/>
      <c r="FNC2018" s="142"/>
      <c r="FND2018" s="142"/>
      <c r="FNE2018" s="142"/>
      <c r="FNF2018" s="142"/>
      <c r="FNG2018" s="142"/>
      <c r="FNH2018" s="142"/>
      <c r="FNI2018" s="142"/>
      <c r="FNJ2018" s="142"/>
      <c r="FNK2018" s="142"/>
      <c r="FNL2018" s="142"/>
      <c r="FNM2018" s="142"/>
      <c r="FNN2018" s="142"/>
      <c r="FNO2018" s="142"/>
      <c r="FNP2018" s="142"/>
      <c r="FNQ2018" s="142"/>
      <c r="FNR2018" s="142"/>
      <c r="FNS2018" s="142"/>
      <c r="FNT2018" s="142"/>
      <c r="FNU2018" s="142"/>
      <c r="FNV2018" s="142"/>
      <c r="FNW2018" s="142"/>
      <c r="FNX2018" s="142"/>
      <c r="FNY2018" s="142"/>
      <c r="FNZ2018" s="142"/>
      <c r="FOA2018" s="142"/>
      <c r="FOB2018" s="142"/>
      <c r="FOC2018" s="142"/>
      <c r="FOD2018" s="142"/>
      <c r="FOE2018" s="142"/>
      <c r="FOF2018" s="142"/>
      <c r="FOG2018" s="142"/>
      <c r="FOH2018" s="142"/>
      <c r="FOI2018" s="142"/>
      <c r="FOJ2018" s="142"/>
      <c r="FOK2018" s="142"/>
      <c r="FOL2018" s="142"/>
      <c r="FOM2018" s="142"/>
      <c r="FON2018" s="142"/>
      <c r="FOO2018" s="142"/>
      <c r="FOP2018" s="142"/>
      <c r="FOQ2018" s="142"/>
      <c r="FOR2018" s="142"/>
      <c r="FOS2018" s="142"/>
      <c r="FOT2018" s="142"/>
      <c r="FOU2018" s="142"/>
      <c r="FOV2018" s="142"/>
      <c r="FOW2018" s="142"/>
      <c r="FOX2018" s="142"/>
      <c r="FOY2018" s="142"/>
      <c r="FOZ2018" s="142"/>
      <c r="FPA2018" s="142"/>
      <c r="FPB2018" s="142"/>
      <c r="FPC2018" s="142"/>
      <c r="FPD2018" s="142"/>
      <c r="FPE2018" s="142"/>
      <c r="FPF2018" s="142"/>
      <c r="FPG2018" s="142"/>
      <c r="FPH2018" s="142"/>
      <c r="FPI2018" s="142"/>
      <c r="FPJ2018" s="142"/>
      <c r="FPK2018" s="142"/>
      <c r="FPL2018" s="142"/>
      <c r="FPM2018" s="142"/>
      <c r="FPN2018" s="142"/>
      <c r="FPO2018" s="142"/>
      <c r="FPP2018" s="142"/>
      <c r="FPQ2018" s="142"/>
      <c r="FPR2018" s="142"/>
      <c r="FPS2018" s="142"/>
      <c r="FPT2018" s="142"/>
      <c r="FPU2018" s="142"/>
      <c r="FPV2018" s="142"/>
      <c r="FPW2018" s="142"/>
      <c r="FPX2018" s="142"/>
      <c r="FPY2018" s="142"/>
      <c r="FPZ2018" s="142"/>
      <c r="FQA2018" s="142"/>
      <c r="FQB2018" s="142"/>
      <c r="FQC2018" s="142"/>
      <c r="FQD2018" s="142"/>
      <c r="FQE2018" s="142"/>
      <c r="FQF2018" s="142"/>
      <c r="FQG2018" s="142"/>
      <c r="FQH2018" s="142"/>
      <c r="FQI2018" s="142"/>
      <c r="FQJ2018" s="142"/>
      <c r="FQK2018" s="142"/>
      <c r="FQL2018" s="142"/>
      <c r="FQM2018" s="142"/>
      <c r="FQN2018" s="142"/>
      <c r="FQO2018" s="142"/>
      <c r="FQP2018" s="142"/>
      <c r="FQQ2018" s="142"/>
      <c r="FQR2018" s="142"/>
      <c r="FQS2018" s="142"/>
      <c r="FQT2018" s="142"/>
      <c r="FQU2018" s="142"/>
      <c r="FQV2018" s="142"/>
      <c r="FQW2018" s="142"/>
      <c r="FQX2018" s="142"/>
      <c r="FQY2018" s="142"/>
      <c r="FQZ2018" s="142"/>
      <c r="FRA2018" s="142"/>
      <c r="FRB2018" s="142"/>
      <c r="FRC2018" s="142"/>
      <c r="FRD2018" s="142"/>
      <c r="FRE2018" s="142"/>
      <c r="FRF2018" s="142"/>
      <c r="FRG2018" s="142"/>
      <c r="FRH2018" s="142"/>
      <c r="FRI2018" s="142"/>
      <c r="FRJ2018" s="142"/>
      <c r="FRK2018" s="142"/>
      <c r="FRL2018" s="142"/>
      <c r="FRM2018" s="142"/>
      <c r="FRN2018" s="142"/>
      <c r="FRO2018" s="142"/>
      <c r="FRP2018" s="142"/>
      <c r="FRQ2018" s="142"/>
      <c r="FRR2018" s="142"/>
      <c r="FRS2018" s="142"/>
      <c r="FRT2018" s="142"/>
      <c r="FRU2018" s="142"/>
      <c r="FRV2018" s="142"/>
      <c r="FRW2018" s="142"/>
      <c r="FRX2018" s="142"/>
      <c r="FRY2018" s="142"/>
      <c r="FRZ2018" s="142"/>
      <c r="FSA2018" s="142"/>
      <c r="FSB2018" s="142"/>
      <c r="FSC2018" s="142"/>
      <c r="FSD2018" s="142"/>
      <c r="FSE2018" s="142"/>
      <c r="FSF2018" s="142"/>
      <c r="FSG2018" s="142"/>
      <c r="FSH2018" s="142"/>
      <c r="FSI2018" s="142"/>
      <c r="FSJ2018" s="142"/>
      <c r="FSK2018" s="142"/>
      <c r="FSL2018" s="142"/>
      <c r="FSM2018" s="142"/>
      <c r="FSN2018" s="142"/>
      <c r="FSO2018" s="142"/>
      <c r="FSP2018" s="142"/>
      <c r="FSQ2018" s="142"/>
      <c r="FSR2018" s="142"/>
      <c r="FSS2018" s="142"/>
      <c r="FST2018" s="142"/>
      <c r="FSU2018" s="142"/>
      <c r="FSV2018" s="142"/>
      <c r="FSW2018" s="142"/>
      <c r="FSX2018" s="142"/>
      <c r="FSY2018" s="142"/>
      <c r="FSZ2018" s="142"/>
      <c r="FTA2018" s="142"/>
      <c r="FTB2018" s="142"/>
      <c r="FTC2018" s="142"/>
      <c r="FTD2018" s="142"/>
      <c r="FTE2018" s="142"/>
      <c r="FTF2018" s="142"/>
      <c r="FTG2018" s="142"/>
      <c r="FTH2018" s="142"/>
      <c r="FTI2018" s="142"/>
      <c r="FTJ2018" s="142"/>
      <c r="FTK2018" s="142"/>
      <c r="FTL2018" s="142"/>
      <c r="FTM2018" s="142"/>
      <c r="FTN2018" s="142"/>
      <c r="FTO2018" s="142"/>
      <c r="FTP2018" s="142"/>
      <c r="FTQ2018" s="142"/>
      <c r="FTR2018" s="142"/>
      <c r="FTS2018" s="142"/>
      <c r="FTT2018" s="142"/>
      <c r="FTU2018" s="142"/>
      <c r="FTV2018" s="142"/>
      <c r="FTW2018" s="142"/>
      <c r="FTX2018" s="142"/>
      <c r="FTY2018" s="142"/>
      <c r="FTZ2018" s="142"/>
      <c r="FUA2018" s="142"/>
      <c r="FUB2018" s="142"/>
      <c r="FUC2018" s="142"/>
      <c r="FUD2018" s="142"/>
      <c r="FUE2018" s="142"/>
      <c r="FUF2018" s="142"/>
      <c r="FUG2018" s="142"/>
      <c r="FUH2018" s="142"/>
      <c r="FUI2018" s="142"/>
      <c r="FUJ2018" s="142"/>
      <c r="FUK2018" s="142"/>
      <c r="FUL2018" s="142"/>
      <c r="FUM2018" s="142"/>
      <c r="FUN2018" s="142"/>
      <c r="FUO2018" s="142"/>
      <c r="FUP2018" s="142"/>
      <c r="FUQ2018" s="142"/>
      <c r="FUR2018" s="142"/>
      <c r="FUS2018" s="142"/>
      <c r="FUT2018" s="142"/>
      <c r="FUU2018" s="142"/>
      <c r="FUV2018" s="142"/>
      <c r="FUW2018" s="142"/>
      <c r="FUX2018" s="142"/>
      <c r="FUY2018" s="142"/>
      <c r="FUZ2018" s="142"/>
      <c r="FVA2018" s="142"/>
      <c r="FVB2018" s="142"/>
      <c r="FVC2018" s="142"/>
      <c r="FVD2018" s="142"/>
      <c r="FVE2018" s="142"/>
      <c r="FVF2018" s="142"/>
      <c r="FVG2018" s="142"/>
      <c r="FVH2018" s="142"/>
      <c r="FVI2018" s="142"/>
      <c r="FVJ2018" s="142"/>
      <c r="FVK2018" s="142"/>
      <c r="FVL2018" s="142"/>
      <c r="FVM2018" s="142"/>
      <c r="FVN2018" s="142"/>
      <c r="FVO2018" s="142"/>
      <c r="FVP2018" s="142"/>
      <c r="FVQ2018" s="142"/>
      <c r="FVR2018" s="142"/>
      <c r="FVS2018" s="142"/>
      <c r="FVT2018" s="142"/>
      <c r="FVU2018" s="142"/>
      <c r="FVV2018" s="142"/>
      <c r="FVW2018" s="142"/>
      <c r="FVX2018" s="142"/>
      <c r="FVY2018" s="142"/>
      <c r="FVZ2018" s="142"/>
      <c r="FWA2018" s="142"/>
      <c r="FWB2018" s="142"/>
      <c r="FWC2018" s="142"/>
      <c r="FWD2018" s="142"/>
      <c r="FWE2018" s="142"/>
      <c r="FWF2018" s="142"/>
      <c r="FWG2018" s="142"/>
      <c r="FWH2018" s="142"/>
      <c r="FWI2018" s="142"/>
      <c r="FWJ2018" s="142"/>
      <c r="FWK2018" s="142"/>
      <c r="FWL2018" s="142"/>
      <c r="FWM2018" s="142"/>
      <c r="FWN2018" s="142"/>
      <c r="FWO2018" s="142"/>
      <c r="FWP2018" s="142"/>
      <c r="FWQ2018" s="142"/>
      <c r="FWR2018" s="142"/>
      <c r="FWS2018" s="142"/>
      <c r="FWT2018" s="142"/>
      <c r="FWU2018" s="142"/>
      <c r="FWV2018" s="142"/>
      <c r="FWW2018" s="142"/>
      <c r="FWX2018" s="142"/>
      <c r="FWY2018" s="142"/>
      <c r="FWZ2018" s="142"/>
      <c r="FXA2018" s="142"/>
      <c r="FXB2018" s="142"/>
      <c r="FXC2018" s="142"/>
      <c r="FXD2018" s="142"/>
      <c r="FXE2018" s="142"/>
      <c r="FXF2018" s="142"/>
      <c r="FXG2018" s="142"/>
      <c r="FXH2018" s="142"/>
      <c r="FXI2018" s="142"/>
      <c r="FXJ2018" s="142"/>
      <c r="FXK2018" s="142"/>
      <c r="FXL2018" s="142"/>
      <c r="FXM2018" s="142"/>
      <c r="FXN2018" s="142"/>
      <c r="FXO2018" s="142"/>
      <c r="FXP2018" s="142"/>
      <c r="FXQ2018" s="142"/>
      <c r="FXR2018" s="142"/>
      <c r="FXS2018" s="142"/>
      <c r="FXT2018" s="142"/>
      <c r="FXU2018" s="142"/>
      <c r="FXV2018" s="142"/>
      <c r="FXW2018" s="142"/>
      <c r="FXX2018" s="142"/>
      <c r="FXY2018" s="142"/>
      <c r="FXZ2018" s="142"/>
      <c r="FYA2018" s="142"/>
      <c r="FYB2018" s="142"/>
      <c r="FYC2018" s="142"/>
      <c r="FYD2018" s="142"/>
      <c r="FYE2018" s="142"/>
      <c r="FYF2018" s="142"/>
      <c r="FYG2018" s="142"/>
      <c r="FYH2018" s="142"/>
      <c r="FYI2018" s="142"/>
      <c r="FYJ2018" s="142"/>
      <c r="FYK2018" s="142"/>
      <c r="FYL2018" s="142"/>
      <c r="FYM2018" s="142"/>
      <c r="FYN2018" s="142"/>
      <c r="FYO2018" s="142"/>
      <c r="FYP2018" s="142"/>
      <c r="FYQ2018" s="142"/>
      <c r="FYR2018" s="142"/>
      <c r="FYS2018" s="142"/>
      <c r="FYT2018" s="142"/>
      <c r="FYU2018" s="142"/>
      <c r="FYV2018" s="142"/>
      <c r="FYW2018" s="142"/>
      <c r="FYX2018" s="142"/>
      <c r="FYY2018" s="142"/>
      <c r="FYZ2018" s="142"/>
      <c r="FZA2018" s="142"/>
      <c r="FZB2018" s="142"/>
      <c r="FZC2018" s="142"/>
      <c r="FZD2018" s="142"/>
      <c r="FZE2018" s="142"/>
      <c r="FZF2018" s="142"/>
      <c r="FZG2018" s="142"/>
      <c r="FZH2018" s="142"/>
      <c r="FZI2018" s="142"/>
      <c r="FZJ2018" s="142"/>
      <c r="FZK2018" s="142"/>
      <c r="FZL2018" s="142"/>
      <c r="FZM2018" s="142"/>
      <c r="FZN2018" s="142"/>
      <c r="FZO2018" s="142"/>
      <c r="FZP2018" s="142"/>
      <c r="FZQ2018" s="142"/>
      <c r="FZR2018" s="142"/>
      <c r="FZS2018" s="142"/>
      <c r="FZT2018" s="142"/>
      <c r="FZU2018" s="142"/>
      <c r="FZV2018" s="142"/>
      <c r="FZW2018" s="142"/>
      <c r="FZX2018" s="142"/>
      <c r="FZY2018" s="142"/>
      <c r="FZZ2018" s="142"/>
      <c r="GAA2018" s="142"/>
      <c r="GAB2018" s="142"/>
      <c r="GAC2018" s="142"/>
      <c r="GAD2018" s="142"/>
      <c r="GAE2018" s="142"/>
      <c r="GAF2018" s="142"/>
      <c r="GAG2018" s="142"/>
      <c r="GAH2018" s="142"/>
      <c r="GAI2018" s="142"/>
      <c r="GAJ2018" s="142"/>
      <c r="GAK2018" s="142"/>
      <c r="GAL2018" s="142"/>
      <c r="GAM2018" s="142"/>
      <c r="GAN2018" s="142"/>
      <c r="GAO2018" s="142"/>
      <c r="GAP2018" s="142"/>
      <c r="GAQ2018" s="142"/>
      <c r="GAR2018" s="142"/>
      <c r="GAS2018" s="142"/>
      <c r="GAT2018" s="142"/>
      <c r="GAU2018" s="142"/>
      <c r="GAV2018" s="142"/>
      <c r="GAW2018" s="142"/>
      <c r="GAX2018" s="142"/>
      <c r="GAY2018" s="142"/>
      <c r="GAZ2018" s="142"/>
      <c r="GBA2018" s="142"/>
      <c r="GBB2018" s="142"/>
      <c r="GBC2018" s="142"/>
      <c r="GBD2018" s="142"/>
      <c r="GBE2018" s="142"/>
      <c r="GBF2018" s="142"/>
      <c r="GBG2018" s="142"/>
      <c r="GBH2018" s="142"/>
      <c r="GBI2018" s="142"/>
      <c r="GBJ2018" s="142"/>
      <c r="GBK2018" s="142"/>
      <c r="GBL2018" s="142"/>
      <c r="GBM2018" s="142"/>
      <c r="GBN2018" s="142"/>
      <c r="GBO2018" s="142"/>
      <c r="GBP2018" s="142"/>
      <c r="GBQ2018" s="142"/>
      <c r="GBR2018" s="142"/>
      <c r="GBS2018" s="142"/>
      <c r="GBT2018" s="142"/>
      <c r="GBU2018" s="142"/>
      <c r="GBV2018" s="142"/>
      <c r="GBW2018" s="142"/>
      <c r="GBX2018" s="142"/>
      <c r="GBY2018" s="142"/>
      <c r="GBZ2018" s="142"/>
      <c r="GCA2018" s="142"/>
      <c r="GCB2018" s="142"/>
      <c r="GCC2018" s="142"/>
      <c r="GCD2018" s="142"/>
      <c r="GCE2018" s="142"/>
      <c r="GCF2018" s="142"/>
      <c r="GCG2018" s="142"/>
      <c r="GCH2018" s="142"/>
      <c r="GCI2018" s="142"/>
      <c r="GCJ2018" s="142"/>
      <c r="GCK2018" s="142"/>
      <c r="GCL2018" s="142"/>
      <c r="GCM2018" s="142"/>
      <c r="GCN2018" s="142"/>
      <c r="GCO2018" s="142"/>
      <c r="GCP2018" s="142"/>
      <c r="GCQ2018" s="142"/>
      <c r="GCR2018" s="142"/>
      <c r="GCS2018" s="142"/>
      <c r="GCT2018" s="142"/>
      <c r="GCU2018" s="142"/>
      <c r="GCV2018" s="142"/>
      <c r="GCW2018" s="142"/>
      <c r="GCX2018" s="142"/>
      <c r="GCY2018" s="142"/>
      <c r="GCZ2018" s="142"/>
      <c r="GDA2018" s="142"/>
      <c r="GDB2018" s="142"/>
      <c r="GDC2018" s="142"/>
      <c r="GDD2018" s="142"/>
      <c r="GDE2018" s="142"/>
      <c r="GDF2018" s="142"/>
      <c r="GDG2018" s="142"/>
      <c r="GDH2018" s="142"/>
      <c r="GDI2018" s="142"/>
      <c r="GDJ2018" s="142"/>
      <c r="GDK2018" s="142"/>
      <c r="GDL2018" s="142"/>
      <c r="GDM2018" s="142"/>
      <c r="GDN2018" s="142"/>
      <c r="GDO2018" s="142"/>
      <c r="GDP2018" s="142"/>
      <c r="GDQ2018" s="142"/>
      <c r="GDR2018" s="142"/>
      <c r="GDS2018" s="142"/>
      <c r="GDT2018" s="142"/>
      <c r="GDU2018" s="142"/>
      <c r="GDV2018" s="142"/>
      <c r="GDW2018" s="142"/>
      <c r="GDX2018" s="142"/>
      <c r="GDY2018" s="142"/>
      <c r="GDZ2018" s="142"/>
      <c r="GEA2018" s="142"/>
      <c r="GEB2018" s="142"/>
      <c r="GEC2018" s="142"/>
      <c r="GED2018" s="142"/>
      <c r="GEE2018" s="142"/>
      <c r="GEF2018" s="142"/>
      <c r="GEG2018" s="142"/>
      <c r="GEH2018" s="142"/>
      <c r="GEI2018" s="142"/>
      <c r="GEJ2018" s="142"/>
      <c r="GEK2018" s="142"/>
      <c r="GEL2018" s="142"/>
      <c r="GEM2018" s="142"/>
      <c r="GEN2018" s="142"/>
      <c r="GEO2018" s="142"/>
      <c r="GEP2018" s="142"/>
      <c r="GEQ2018" s="142"/>
      <c r="GER2018" s="142"/>
      <c r="GES2018" s="142"/>
      <c r="GET2018" s="142"/>
      <c r="GEU2018" s="142"/>
      <c r="GEV2018" s="142"/>
      <c r="GEW2018" s="142"/>
      <c r="GEX2018" s="142"/>
      <c r="GEY2018" s="142"/>
      <c r="GEZ2018" s="142"/>
      <c r="GFA2018" s="142"/>
      <c r="GFB2018" s="142"/>
      <c r="GFC2018" s="142"/>
      <c r="GFD2018" s="142"/>
      <c r="GFE2018" s="142"/>
      <c r="GFF2018" s="142"/>
      <c r="GFG2018" s="142"/>
      <c r="GFH2018" s="142"/>
      <c r="GFI2018" s="142"/>
      <c r="GFJ2018" s="142"/>
      <c r="GFK2018" s="142"/>
      <c r="GFL2018" s="142"/>
      <c r="GFM2018" s="142"/>
      <c r="GFN2018" s="142"/>
      <c r="GFO2018" s="142"/>
      <c r="GFP2018" s="142"/>
      <c r="GFQ2018" s="142"/>
      <c r="GFR2018" s="142"/>
      <c r="GFS2018" s="142"/>
      <c r="GFT2018" s="142"/>
      <c r="GFU2018" s="142"/>
      <c r="GFV2018" s="142"/>
      <c r="GFW2018" s="142"/>
      <c r="GFX2018" s="142"/>
      <c r="GFY2018" s="142"/>
      <c r="GFZ2018" s="142"/>
      <c r="GGA2018" s="142"/>
      <c r="GGB2018" s="142"/>
      <c r="GGC2018" s="142"/>
      <c r="GGD2018" s="142"/>
      <c r="GGE2018" s="142"/>
      <c r="GGF2018" s="142"/>
      <c r="GGG2018" s="142"/>
      <c r="GGH2018" s="142"/>
      <c r="GGI2018" s="142"/>
      <c r="GGJ2018" s="142"/>
      <c r="GGK2018" s="142"/>
      <c r="GGL2018" s="142"/>
      <c r="GGM2018" s="142"/>
      <c r="GGN2018" s="142"/>
      <c r="GGO2018" s="142"/>
      <c r="GGP2018" s="142"/>
      <c r="GGQ2018" s="142"/>
      <c r="GGR2018" s="142"/>
      <c r="GGS2018" s="142"/>
      <c r="GGT2018" s="142"/>
      <c r="GGU2018" s="142"/>
      <c r="GGV2018" s="142"/>
      <c r="GGW2018" s="142"/>
      <c r="GGX2018" s="142"/>
      <c r="GGY2018" s="142"/>
      <c r="GGZ2018" s="142"/>
      <c r="GHA2018" s="142"/>
      <c r="GHB2018" s="142"/>
      <c r="GHC2018" s="142"/>
      <c r="GHD2018" s="142"/>
      <c r="GHE2018" s="142"/>
      <c r="GHF2018" s="142"/>
      <c r="GHG2018" s="142"/>
      <c r="GHH2018" s="142"/>
      <c r="GHI2018" s="142"/>
      <c r="GHJ2018" s="142"/>
      <c r="GHK2018" s="142"/>
      <c r="GHL2018" s="142"/>
      <c r="GHM2018" s="142"/>
      <c r="GHN2018" s="142"/>
      <c r="GHO2018" s="142"/>
      <c r="GHP2018" s="142"/>
      <c r="GHQ2018" s="142"/>
      <c r="GHR2018" s="142"/>
      <c r="GHS2018" s="142"/>
      <c r="GHT2018" s="142"/>
      <c r="GHU2018" s="142"/>
      <c r="GHV2018" s="142"/>
      <c r="GHW2018" s="142"/>
      <c r="GHX2018" s="142"/>
      <c r="GHY2018" s="142"/>
      <c r="GHZ2018" s="142"/>
      <c r="GIA2018" s="142"/>
      <c r="GIB2018" s="142"/>
      <c r="GIC2018" s="142"/>
      <c r="GID2018" s="142"/>
      <c r="GIE2018" s="142"/>
      <c r="GIF2018" s="142"/>
      <c r="GIG2018" s="142"/>
      <c r="GIH2018" s="142"/>
      <c r="GII2018" s="142"/>
      <c r="GIJ2018" s="142"/>
      <c r="GIK2018" s="142"/>
      <c r="GIL2018" s="142"/>
      <c r="GIM2018" s="142"/>
      <c r="GIN2018" s="142"/>
      <c r="GIO2018" s="142"/>
      <c r="GIP2018" s="142"/>
      <c r="GIQ2018" s="142"/>
      <c r="GIR2018" s="142"/>
      <c r="GIS2018" s="142"/>
      <c r="GIT2018" s="142"/>
      <c r="GIU2018" s="142"/>
      <c r="GIV2018" s="142"/>
      <c r="GIW2018" s="142"/>
      <c r="GIX2018" s="142"/>
      <c r="GIY2018" s="142"/>
      <c r="GIZ2018" s="142"/>
      <c r="GJA2018" s="142"/>
      <c r="GJB2018" s="142"/>
      <c r="GJC2018" s="142"/>
      <c r="GJD2018" s="142"/>
      <c r="GJE2018" s="142"/>
      <c r="GJF2018" s="142"/>
      <c r="GJG2018" s="142"/>
      <c r="GJH2018" s="142"/>
      <c r="GJI2018" s="142"/>
      <c r="GJJ2018" s="142"/>
      <c r="GJK2018" s="142"/>
      <c r="GJL2018" s="142"/>
      <c r="GJM2018" s="142"/>
      <c r="GJN2018" s="142"/>
      <c r="GJO2018" s="142"/>
      <c r="GJP2018" s="142"/>
      <c r="GJQ2018" s="142"/>
      <c r="GJR2018" s="142"/>
      <c r="GJS2018" s="142"/>
      <c r="GJT2018" s="142"/>
      <c r="GJU2018" s="142"/>
      <c r="GJV2018" s="142"/>
      <c r="GJW2018" s="142"/>
      <c r="GJX2018" s="142"/>
      <c r="GJY2018" s="142"/>
      <c r="GJZ2018" s="142"/>
      <c r="GKA2018" s="142"/>
      <c r="GKB2018" s="142"/>
      <c r="GKC2018" s="142"/>
      <c r="GKD2018" s="142"/>
      <c r="GKE2018" s="142"/>
      <c r="GKF2018" s="142"/>
      <c r="GKG2018" s="142"/>
      <c r="GKH2018" s="142"/>
      <c r="GKI2018" s="142"/>
      <c r="GKJ2018" s="142"/>
      <c r="GKK2018" s="142"/>
      <c r="GKL2018" s="142"/>
      <c r="GKM2018" s="142"/>
      <c r="GKN2018" s="142"/>
      <c r="GKO2018" s="142"/>
      <c r="GKP2018" s="142"/>
      <c r="GKQ2018" s="142"/>
      <c r="GKR2018" s="142"/>
      <c r="GKS2018" s="142"/>
      <c r="GKT2018" s="142"/>
      <c r="GKU2018" s="142"/>
      <c r="GKV2018" s="142"/>
      <c r="GKW2018" s="142"/>
      <c r="GKX2018" s="142"/>
      <c r="GKY2018" s="142"/>
      <c r="GKZ2018" s="142"/>
      <c r="GLA2018" s="142"/>
      <c r="GLB2018" s="142"/>
      <c r="GLC2018" s="142"/>
      <c r="GLD2018" s="142"/>
      <c r="GLE2018" s="142"/>
      <c r="GLF2018" s="142"/>
      <c r="GLG2018" s="142"/>
      <c r="GLH2018" s="142"/>
      <c r="GLI2018" s="142"/>
      <c r="GLJ2018" s="142"/>
      <c r="GLK2018" s="142"/>
      <c r="GLL2018" s="142"/>
      <c r="GLM2018" s="142"/>
      <c r="GLN2018" s="142"/>
      <c r="GLO2018" s="142"/>
      <c r="GLP2018" s="142"/>
      <c r="GLQ2018" s="142"/>
      <c r="GLR2018" s="142"/>
      <c r="GLS2018" s="142"/>
      <c r="GLT2018" s="142"/>
      <c r="GLU2018" s="142"/>
      <c r="GLV2018" s="142"/>
      <c r="GLW2018" s="142"/>
      <c r="GLX2018" s="142"/>
      <c r="GLY2018" s="142"/>
      <c r="GLZ2018" s="142"/>
      <c r="GMA2018" s="142"/>
      <c r="GMB2018" s="142"/>
      <c r="GMC2018" s="142"/>
      <c r="GMD2018" s="142"/>
      <c r="GME2018" s="142"/>
      <c r="GMF2018" s="142"/>
      <c r="GMG2018" s="142"/>
      <c r="GMH2018" s="142"/>
      <c r="GMI2018" s="142"/>
      <c r="GMJ2018" s="142"/>
      <c r="GMK2018" s="142"/>
      <c r="GML2018" s="142"/>
      <c r="GMM2018" s="142"/>
      <c r="GMN2018" s="142"/>
      <c r="GMO2018" s="142"/>
      <c r="GMP2018" s="142"/>
      <c r="GMQ2018" s="142"/>
      <c r="GMR2018" s="142"/>
      <c r="GMS2018" s="142"/>
      <c r="GMT2018" s="142"/>
      <c r="GMU2018" s="142"/>
      <c r="GMV2018" s="142"/>
      <c r="GMW2018" s="142"/>
      <c r="GMX2018" s="142"/>
      <c r="GMY2018" s="142"/>
      <c r="GMZ2018" s="142"/>
      <c r="GNA2018" s="142"/>
      <c r="GNB2018" s="142"/>
      <c r="GNC2018" s="142"/>
      <c r="GND2018" s="142"/>
      <c r="GNE2018" s="142"/>
      <c r="GNF2018" s="142"/>
      <c r="GNG2018" s="142"/>
      <c r="GNH2018" s="142"/>
      <c r="GNI2018" s="142"/>
      <c r="GNJ2018" s="142"/>
      <c r="GNK2018" s="142"/>
      <c r="GNL2018" s="142"/>
      <c r="GNM2018" s="142"/>
      <c r="GNN2018" s="142"/>
      <c r="GNO2018" s="142"/>
      <c r="GNP2018" s="142"/>
      <c r="GNQ2018" s="142"/>
      <c r="GNR2018" s="142"/>
      <c r="GNS2018" s="142"/>
      <c r="GNT2018" s="142"/>
      <c r="GNU2018" s="142"/>
      <c r="GNV2018" s="142"/>
      <c r="GNW2018" s="142"/>
      <c r="GNX2018" s="142"/>
      <c r="GNY2018" s="142"/>
      <c r="GNZ2018" s="142"/>
      <c r="GOA2018" s="142"/>
      <c r="GOB2018" s="142"/>
      <c r="GOC2018" s="142"/>
      <c r="GOD2018" s="142"/>
      <c r="GOE2018" s="142"/>
      <c r="GOF2018" s="142"/>
      <c r="GOG2018" s="142"/>
      <c r="GOH2018" s="142"/>
      <c r="GOI2018" s="142"/>
      <c r="GOJ2018" s="142"/>
      <c r="GOK2018" s="142"/>
      <c r="GOL2018" s="142"/>
      <c r="GOM2018" s="142"/>
      <c r="GON2018" s="142"/>
      <c r="GOO2018" s="142"/>
      <c r="GOP2018" s="142"/>
      <c r="GOQ2018" s="142"/>
      <c r="GOR2018" s="142"/>
      <c r="GOS2018" s="142"/>
      <c r="GOT2018" s="142"/>
      <c r="GOU2018" s="142"/>
      <c r="GOV2018" s="142"/>
      <c r="GOW2018" s="142"/>
      <c r="GOX2018" s="142"/>
      <c r="GOY2018" s="142"/>
      <c r="GOZ2018" s="142"/>
      <c r="GPA2018" s="142"/>
      <c r="GPB2018" s="142"/>
      <c r="GPC2018" s="142"/>
      <c r="GPD2018" s="142"/>
      <c r="GPE2018" s="142"/>
      <c r="GPF2018" s="142"/>
      <c r="GPG2018" s="142"/>
      <c r="GPH2018" s="142"/>
      <c r="GPI2018" s="142"/>
      <c r="GPJ2018" s="142"/>
      <c r="GPK2018" s="142"/>
      <c r="GPL2018" s="142"/>
      <c r="GPM2018" s="142"/>
      <c r="GPN2018" s="142"/>
      <c r="GPO2018" s="142"/>
      <c r="GPP2018" s="142"/>
      <c r="GPQ2018" s="142"/>
      <c r="GPR2018" s="142"/>
      <c r="GPS2018" s="142"/>
      <c r="GPT2018" s="142"/>
      <c r="GPU2018" s="142"/>
      <c r="GPV2018" s="142"/>
      <c r="GPW2018" s="142"/>
      <c r="GPX2018" s="142"/>
      <c r="GPY2018" s="142"/>
      <c r="GPZ2018" s="142"/>
      <c r="GQA2018" s="142"/>
      <c r="GQB2018" s="142"/>
      <c r="GQC2018" s="142"/>
      <c r="GQD2018" s="142"/>
      <c r="GQE2018" s="142"/>
      <c r="GQF2018" s="142"/>
      <c r="GQG2018" s="142"/>
      <c r="GQH2018" s="142"/>
      <c r="GQI2018" s="142"/>
      <c r="GQJ2018" s="142"/>
      <c r="GQK2018" s="142"/>
      <c r="GQL2018" s="142"/>
      <c r="GQM2018" s="142"/>
      <c r="GQN2018" s="142"/>
      <c r="GQO2018" s="142"/>
      <c r="GQP2018" s="142"/>
      <c r="GQQ2018" s="142"/>
      <c r="GQR2018" s="142"/>
      <c r="GQS2018" s="142"/>
      <c r="GQT2018" s="142"/>
      <c r="GQU2018" s="142"/>
      <c r="GQV2018" s="142"/>
      <c r="GQW2018" s="142"/>
      <c r="GQX2018" s="142"/>
      <c r="GQY2018" s="142"/>
      <c r="GQZ2018" s="142"/>
      <c r="GRA2018" s="142"/>
      <c r="GRB2018" s="142"/>
      <c r="GRC2018" s="142"/>
      <c r="GRD2018" s="142"/>
      <c r="GRE2018" s="142"/>
      <c r="GRF2018" s="142"/>
      <c r="GRG2018" s="142"/>
      <c r="GRH2018" s="142"/>
      <c r="GRI2018" s="142"/>
      <c r="GRJ2018" s="142"/>
      <c r="GRK2018" s="142"/>
      <c r="GRL2018" s="142"/>
      <c r="GRM2018" s="142"/>
      <c r="GRN2018" s="142"/>
      <c r="GRO2018" s="142"/>
      <c r="GRP2018" s="142"/>
      <c r="GRQ2018" s="142"/>
      <c r="GRR2018" s="142"/>
      <c r="GRS2018" s="142"/>
      <c r="GRT2018" s="142"/>
      <c r="GRU2018" s="142"/>
      <c r="GRV2018" s="142"/>
      <c r="GRW2018" s="142"/>
      <c r="GRX2018" s="142"/>
      <c r="GRY2018" s="142"/>
      <c r="GRZ2018" s="142"/>
      <c r="GSA2018" s="142"/>
      <c r="GSB2018" s="142"/>
      <c r="GSC2018" s="142"/>
      <c r="GSD2018" s="142"/>
      <c r="GSE2018" s="142"/>
      <c r="GSF2018" s="142"/>
      <c r="GSG2018" s="142"/>
      <c r="GSH2018" s="142"/>
      <c r="GSI2018" s="142"/>
      <c r="GSJ2018" s="142"/>
      <c r="GSK2018" s="142"/>
      <c r="GSL2018" s="142"/>
      <c r="GSM2018" s="142"/>
      <c r="GSN2018" s="142"/>
      <c r="GSO2018" s="142"/>
      <c r="GSP2018" s="142"/>
      <c r="GSQ2018" s="142"/>
      <c r="GSR2018" s="142"/>
      <c r="GSS2018" s="142"/>
      <c r="GST2018" s="142"/>
      <c r="GSU2018" s="142"/>
      <c r="GSV2018" s="142"/>
      <c r="GSW2018" s="142"/>
      <c r="GSX2018" s="142"/>
      <c r="GSY2018" s="142"/>
      <c r="GSZ2018" s="142"/>
      <c r="GTA2018" s="142"/>
      <c r="GTB2018" s="142"/>
      <c r="GTC2018" s="142"/>
      <c r="GTD2018" s="142"/>
      <c r="GTE2018" s="142"/>
      <c r="GTF2018" s="142"/>
      <c r="GTG2018" s="142"/>
      <c r="GTH2018" s="142"/>
      <c r="GTI2018" s="142"/>
      <c r="GTJ2018" s="142"/>
      <c r="GTK2018" s="142"/>
      <c r="GTL2018" s="142"/>
      <c r="GTM2018" s="142"/>
      <c r="GTN2018" s="142"/>
      <c r="GTO2018" s="142"/>
      <c r="GTP2018" s="142"/>
      <c r="GTQ2018" s="142"/>
      <c r="GTR2018" s="142"/>
      <c r="GTS2018" s="142"/>
      <c r="GTT2018" s="142"/>
      <c r="GTU2018" s="142"/>
      <c r="GTV2018" s="142"/>
      <c r="GTW2018" s="142"/>
      <c r="GTX2018" s="142"/>
      <c r="GTY2018" s="142"/>
      <c r="GTZ2018" s="142"/>
      <c r="GUA2018" s="142"/>
      <c r="GUB2018" s="142"/>
      <c r="GUC2018" s="142"/>
      <c r="GUD2018" s="142"/>
      <c r="GUE2018" s="142"/>
      <c r="GUF2018" s="142"/>
      <c r="GUG2018" s="142"/>
      <c r="GUH2018" s="142"/>
      <c r="GUI2018" s="142"/>
      <c r="GUJ2018" s="142"/>
      <c r="GUK2018" s="142"/>
      <c r="GUL2018" s="142"/>
      <c r="GUM2018" s="142"/>
      <c r="GUN2018" s="142"/>
      <c r="GUO2018" s="142"/>
      <c r="GUP2018" s="142"/>
      <c r="GUQ2018" s="142"/>
      <c r="GUR2018" s="142"/>
      <c r="GUS2018" s="142"/>
      <c r="GUT2018" s="142"/>
      <c r="GUU2018" s="142"/>
      <c r="GUV2018" s="142"/>
      <c r="GUW2018" s="142"/>
      <c r="GUX2018" s="142"/>
      <c r="GUY2018" s="142"/>
      <c r="GUZ2018" s="142"/>
      <c r="GVA2018" s="142"/>
      <c r="GVB2018" s="142"/>
      <c r="GVC2018" s="142"/>
      <c r="GVD2018" s="142"/>
      <c r="GVE2018" s="142"/>
      <c r="GVF2018" s="142"/>
      <c r="GVG2018" s="142"/>
      <c r="GVH2018" s="142"/>
      <c r="GVI2018" s="142"/>
      <c r="GVJ2018" s="142"/>
      <c r="GVK2018" s="142"/>
      <c r="GVL2018" s="142"/>
      <c r="GVM2018" s="142"/>
      <c r="GVN2018" s="142"/>
      <c r="GVO2018" s="142"/>
      <c r="GVP2018" s="142"/>
      <c r="GVQ2018" s="142"/>
      <c r="GVR2018" s="142"/>
      <c r="GVS2018" s="142"/>
      <c r="GVT2018" s="142"/>
      <c r="GVU2018" s="142"/>
      <c r="GVV2018" s="142"/>
      <c r="GVW2018" s="142"/>
      <c r="GVX2018" s="142"/>
      <c r="GVY2018" s="142"/>
      <c r="GVZ2018" s="142"/>
      <c r="GWA2018" s="142"/>
      <c r="GWB2018" s="142"/>
      <c r="GWC2018" s="142"/>
      <c r="GWD2018" s="142"/>
      <c r="GWE2018" s="142"/>
      <c r="GWF2018" s="142"/>
      <c r="GWG2018" s="142"/>
      <c r="GWH2018" s="142"/>
      <c r="GWI2018" s="142"/>
      <c r="GWJ2018" s="142"/>
      <c r="GWK2018" s="142"/>
      <c r="GWL2018" s="142"/>
      <c r="GWM2018" s="142"/>
      <c r="GWN2018" s="142"/>
      <c r="GWO2018" s="142"/>
      <c r="GWP2018" s="142"/>
      <c r="GWQ2018" s="142"/>
      <c r="GWR2018" s="142"/>
      <c r="GWS2018" s="142"/>
      <c r="GWT2018" s="142"/>
      <c r="GWU2018" s="142"/>
      <c r="GWV2018" s="142"/>
      <c r="GWW2018" s="142"/>
      <c r="GWX2018" s="142"/>
      <c r="GWY2018" s="142"/>
      <c r="GWZ2018" s="142"/>
      <c r="GXA2018" s="142"/>
      <c r="GXB2018" s="142"/>
      <c r="GXC2018" s="142"/>
      <c r="GXD2018" s="142"/>
      <c r="GXE2018" s="142"/>
      <c r="GXF2018" s="142"/>
      <c r="GXG2018" s="142"/>
      <c r="GXH2018" s="142"/>
      <c r="GXI2018" s="142"/>
      <c r="GXJ2018" s="142"/>
      <c r="GXK2018" s="142"/>
      <c r="GXL2018" s="142"/>
      <c r="GXM2018" s="142"/>
      <c r="GXN2018" s="142"/>
      <c r="GXO2018" s="142"/>
      <c r="GXP2018" s="142"/>
      <c r="GXQ2018" s="142"/>
      <c r="GXR2018" s="142"/>
      <c r="GXS2018" s="142"/>
      <c r="GXT2018" s="142"/>
      <c r="GXU2018" s="142"/>
      <c r="GXV2018" s="142"/>
      <c r="GXW2018" s="142"/>
      <c r="GXX2018" s="142"/>
      <c r="GXY2018" s="142"/>
      <c r="GXZ2018" s="142"/>
      <c r="GYA2018" s="142"/>
      <c r="GYB2018" s="142"/>
      <c r="GYC2018" s="142"/>
      <c r="GYD2018" s="142"/>
      <c r="GYE2018" s="142"/>
      <c r="GYF2018" s="142"/>
      <c r="GYG2018" s="142"/>
      <c r="GYH2018" s="142"/>
      <c r="GYI2018" s="142"/>
      <c r="GYJ2018" s="142"/>
      <c r="GYK2018" s="142"/>
      <c r="GYL2018" s="142"/>
      <c r="GYM2018" s="142"/>
      <c r="GYN2018" s="142"/>
      <c r="GYO2018" s="142"/>
      <c r="GYP2018" s="142"/>
      <c r="GYQ2018" s="142"/>
      <c r="GYR2018" s="142"/>
      <c r="GYS2018" s="142"/>
      <c r="GYT2018" s="142"/>
      <c r="GYU2018" s="142"/>
      <c r="GYV2018" s="142"/>
      <c r="GYW2018" s="142"/>
      <c r="GYX2018" s="142"/>
      <c r="GYY2018" s="142"/>
      <c r="GYZ2018" s="142"/>
      <c r="GZA2018" s="142"/>
      <c r="GZB2018" s="142"/>
      <c r="GZC2018" s="142"/>
      <c r="GZD2018" s="142"/>
      <c r="GZE2018" s="142"/>
      <c r="GZF2018" s="142"/>
      <c r="GZG2018" s="142"/>
      <c r="GZH2018" s="142"/>
      <c r="GZI2018" s="142"/>
      <c r="GZJ2018" s="142"/>
      <c r="GZK2018" s="142"/>
      <c r="GZL2018" s="142"/>
      <c r="GZM2018" s="142"/>
      <c r="GZN2018" s="142"/>
      <c r="GZO2018" s="142"/>
      <c r="GZP2018" s="142"/>
      <c r="GZQ2018" s="142"/>
      <c r="GZR2018" s="142"/>
      <c r="GZS2018" s="142"/>
      <c r="GZT2018" s="142"/>
      <c r="GZU2018" s="142"/>
      <c r="GZV2018" s="142"/>
      <c r="GZW2018" s="142"/>
      <c r="GZX2018" s="142"/>
      <c r="GZY2018" s="142"/>
      <c r="GZZ2018" s="142"/>
      <c r="HAA2018" s="142"/>
      <c r="HAB2018" s="142"/>
      <c r="HAC2018" s="142"/>
      <c r="HAD2018" s="142"/>
      <c r="HAE2018" s="142"/>
      <c r="HAF2018" s="142"/>
      <c r="HAG2018" s="142"/>
      <c r="HAH2018" s="142"/>
      <c r="HAI2018" s="142"/>
      <c r="HAJ2018" s="142"/>
      <c r="HAK2018" s="142"/>
      <c r="HAL2018" s="142"/>
      <c r="HAM2018" s="142"/>
      <c r="HAN2018" s="142"/>
      <c r="HAO2018" s="142"/>
      <c r="HAP2018" s="142"/>
      <c r="HAQ2018" s="142"/>
      <c r="HAR2018" s="142"/>
      <c r="HAS2018" s="142"/>
      <c r="HAT2018" s="142"/>
      <c r="HAU2018" s="142"/>
      <c r="HAV2018" s="142"/>
      <c r="HAW2018" s="142"/>
      <c r="HAX2018" s="142"/>
      <c r="HAY2018" s="142"/>
      <c r="HAZ2018" s="142"/>
      <c r="HBA2018" s="142"/>
      <c r="HBB2018" s="142"/>
      <c r="HBC2018" s="142"/>
      <c r="HBD2018" s="142"/>
      <c r="HBE2018" s="142"/>
      <c r="HBF2018" s="142"/>
      <c r="HBG2018" s="142"/>
      <c r="HBH2018" s="142"/>
      <c r="HBI2018" s="142"/>
      <c r="HBJ2018" s="142"/>
      <c r="HBK2018" s="142"/>
      <c r="HBL2018" s="142"/>
      <c r="HBM2018" s="142"/>
      <c r="HBN2018" s="142"/>
      <c r="HBO2018" s="142"/>
      <c r="HBP2018" s="142"/>
      <c r="HBQ2018" s="142"/>
      <c r="HBR2018" s="142"/>
      <c r="HBS2018" s="142"/>
      <c r="HBT2018" s="142"/>
      <c r="HBU2018" s="142"/>
      <c r="HBV2018" s="142"/>
      <c r="HBW2018" s="142"/>
      <c r="HBX2018" s="142"/>
      <c r="HBY2018" s="142"/>
      <c r="HBZ2018" s="142"/>
      <c r="HCA2018" s="142"/>
      <c r="HCB2018" s="142"/>
      <c r="HCC2018" s="142"/>
      <c r="HCD2018" s="142"/>
      <c r="HCE2018" s="142"/>
      <c r="HCF2018" s="142"/>
      <c r="HCG2018" s="142"/>
      <c r="HCH2018" s="142"/>
      <c r="HCI2018" s="142"/>
      <c r="HCJ2018" s="142"/>
      <c r="HCK2018" s="142"/>
      <c r="HCL2018" s="142"/>
      <c r="HCM2018" s="142"/>
      <c r="HCN2018" s="142"/>
      <c r="HCO2018" s="142"/>
      <c r="HCP2018" s="142"/>
      <c r="HCQ2018" s="142"/>
      <c r="HCR2018" s="142"/>
      <c r="HCS2018" s="142"/>
      <c r="HCT2018" s="142"/>
      <c r="HCU2018" s="142"/>
      <c r="HCV2018" s="142"/>
      <c r="HCW2018" s="142"/>
      <c r="HCX2018" s="142"/>
      <c r="HCY2018" s="142"/>
      <c r="HCZ2018" s="142"/>
      <c r="HDA2018" s="142"/>
      <c r="HDB2018" s="142"/>
      <c r="HDC2018" s="142"/>
      <c r="HDD2018" s="142"/>
      <c r="HDE2018" s="142"/>
      <c r="HDF2018" s="142"/>
      <c r="HDG2018" s="142"/>
      <c r="HDH2018" s="142"/>
      <c r="HDI2018" s="142"/>
      <c r="HDJ2018" s="142"/>
      <c r="HDK2018" s="142"/>
      <c r="HDL2018" s="142"/>
      <c r="HDM2018" s="142"/>
      <c r="HDN2018" s="142"/>
      <c r="HDO2018" s="142"/>
      <c r="HDP2018" s="142"/>
      <c r="HDQ2018" s="142"/>
      <c r="HDR2018" s="142"/>
      <c r="HDS2018" s="142"/>
      <c r="HDT2018" s="142"/>
      <c r="HDU2018" s="142"/>
      <c r="HDV2018" s="142"/>
      <c r="HDW2018" s="142"/>
      <c r="HDX2018" s="142"/>
      <c r="HDY2018" s="142"/>
      <c r="HDZ2018" s="142"/>
      <c r="HEA2018" s="142"/>
      <c r="HEB2018" s="142"/>
      <c r="HEC2018" s="142"/>
      <c r="HED2018" s="142"/>
      <c r="HEE2018" s="142"/>
      <c r="HEF2018" s="142"/>
      <c r="HEG2018" s="142"/>
      <c r="HEH2018" s="142"/>
      <c r="HEI2018" s="142"/>
      <c r="HEJ2018" s="142"/>
      <c r="HEK2018" s="142"/>
      <c r="HEL2018" s="142"/>
      <c r="HEM2018" s="142"/>
      <c r="HEN2018" s="142"/>
      <c r="HEO2018" s="142"/>
      <c r="HEP2018" s="142"/>
      <c r="HEQ2018" s="142"/>
      <c r="HER2018" s="142"/>
      <c r="HES2018" s="142"/>
      <c r="HET2018" s="142"/>
      <c r="HEU2018" s="142"/>
      <c r="HEV2018" s="142"/>
      <c r="HEW2018" s="142"/>
      <c r="HEX2018" s="142"/>
      <c r="HEY2018" s="142"/>
      <c r="HEZ2018" s="142"/>
      <c r="HFA2018" s="142"/>
      <c r="HFB2018" s="142"/>
      <c r="HFC2018" s="142"/>
      <c r="HFD2018" s="142"/>
      <c r="HFE2018" s="142"/>
      <c r="HFF2018" s="142"/>
      <c r="HFG2018" s="142"/>
      <c r="HFH2018" s="142"/>
      <c r="HFI2018" s="142"/>
      <c r="HFJ2018" s="142"/>
      <c r="HFK2018" s="142"/>
      <c r="HFL2018" s="142"/>
      <c r="HFM2018" s="142"/>
      <c r="HFN2018" s="142"/>
      <c r="HFO2018" s="142"/>
      <c r="HFP2018" s="142"/>
      <c r="HFQ2018" s="142"/>
      <c r="HFR2018" s="142"/>
      <c r="HFS2018" s="142"/>
      <c r="HFT2018" s="142"/>
      <c r="HFU2018" s="142"/>
      <c r="HFV2018" s="142"/>
      <c r="HFW2018" s="142"/>
      <c r="HFX2018" s="142"/>
      <c r="HFY2018" s="142"/>
      <c r="HFZ2018" s="142"/>
      <c r="HGA2018" s="142"/>
      <c r="HGB2018" s="142"/>
      <c r="HGC2018" s="142"/>
      <c r="HGD2018" s="142"/>
      <c r="HGE2018" s="142"/>
      <c r="HGF2018" s="142"/>
      <c r="HGG2018" s="142"/>
      <c r="HGH2018" s="142"/>
      <c r="HGI2018" s="142"/>
      <c r="HGJ2018" s="142"/>
      <c r="HGK2018" s="142"/>
      <c r="HGL2018" s="142"/>
      <c r="HGM2018" s="142"/>
      <c r="HGN2018" s="142"/>
      <c r="HGO2018" s="142"/>
      <c r="HGP2018" s="142"/>
      <c r="HGQ2018" s="142"/>
      <c r="HGR2018" s="142"/>
      <c r="HGS2018" s="142"/>
      <c r="HGT2018" s="142"/>
      <c r="HGU2018" s="142"/>
      <c r="HGV2018" s="142"/>
      <c r="HGW2018" s="142"/>
      <c r="HGX2018" s="142"/>
      <c r="HGY2018" s="142"/>
      <c r="HGZ2018" s="142"/>
      <c r="HHA2018" s="142"/>
      <c r="HHB2018" s="142"/>
      <c r="HHC2018" s="142"/>
      <c r="HHD2018" s="142"/>
      <c r="HHE2018" s="142"/>
      <c r="HHF2018" s="142"/>
      <c r="HHG2018" s="142"/>
      <c r="HHH2018" s="142"/>
      <c r="HHI2018" s="142"/>
      <c r="HHJ2018" s="142"/>
      <c r="HHK2018" s="142"/>
      <c r="HHL2018" s="142"/>
      <c r="HHM2018" s="142"/>
      <c r="HHN2018" s="142"/>
      <c r="HHO2018" s="142"/>
      <c r="HHP2018" s="142"/>
      <c r="HHQ2018" s="142"/>
      <c r="HHR2018" s="142"/>
      <c r="HHS2018" s="142"/>
      <c r="HHT2018" s="142"/>
      <c r="HHU2018" s="142"/>
      <c r="HHV2018" s="142"/>
      <c r="HHW2018" s="142"/>
      <c r="HHX2018" s="142"/>
      <c r="HHY2018" s="142"/>
      <c r="HHZ2018" s="142"/>
      <c r="HIA2018" s="142"/>
      <c r="HIB2018" s="142"/>
      <c r="HIC2018" s="142"/>
      <c r="HID2018" s="142"/>
      <c r="HIE2018" s="142"/>
      <c r="HIF2018" s="142"/>
      <c r="HIG2018" s="142"/>
      <c r="HIH2018" s="142"/>
      <c r="HII2018" s="142"/>
      <c r="HIJ2018" s="142"/>
      <c r="HIK2018" s="142"/>
      <c r="HIL2018" s="142"/>
      <c r="HIM2018" s="142"/>
      <c r="HIN2018" s="142"/>
      <c r="HIO2018" s="142"/>
      <c r="HIP2018" s="142"/>
      <c r="HIQ2018" s="142"/>
      <c r="HIR2018" s="142"/>
      <c r="HIS2018" s="142"/>
      <c r="HIT2018" s="142"/>
      <c r="HIU2018" s="142"/>
      <c r="HIV2018" s="142"/>
      <c r="HIW2018" s="142"/>
      <c r="HIX2018" s="142"/>
      <c r="HIY2018" s="142"/>
      <c r="HIZ2018" s="142"/>
      <c r="HJA2018" s="142"/>
      <c r="HJB2018" s="142"/>
      <c r="HJC2018" s="142"/>
      <c r="HJD2018" s="142"/>
      <c r="HJE2018" s="142"/>
      <c r="HJF2018" s="142"/>
      <c r="HJG2018" s="142"/>
      <c r="HJH2018" s="142"/>
      <c r="HJI2018" s="142"/>
      <c r="HJJ2018" s="142"/>
      <c r="HJK2018" s="142"/>
      <c r="HJL2018" s="142"/>
      <c r="HJM2018" s="142"/>
      <c r="HJN2018" s="142"/>
      <c r="HJO2018" s="142"/>
      <c r="HJP2018" s="142"/>
      <c r="HJQ2018" s="142"/>
      <c r="HJR2018" s="142"/>
      <c r="HJS2018" s="142"/>
      <c r="HJT2018" s="142"/>
      <c r="HJU2018" s="142"/>
      <c r="HJV2018" s="142"/>
      <c r="HJW2018" s="142"/>
      <c r="HJX2018" s="142"/>
      <c r="HJY2018" s="142"/>
      <c r="HJZ2018" s="142"/>
      <c r="HKA2018" s="142"/>
      <c r="HKB2018" s="142"/>
      <c r="HKC2018" s="142"/>
      <c r="HKD2018" s="142"/>
      <c r="HKE2018" s="142"/>
      <c r="HKF2018" s="142"/>
      <c r="HKG2018" s="142"/>
      <c r="HKH2018" s="142"/>
      <c r="HKI2018" s="142"/>
      <c r="HKJ2018" s="142"/>
      <c r="HKK2018" s="142"/>
      <c r="HKL2018" s="142"/>
      <c r="HKM2018" s="142"/>
      <c r="HKN2018" s="142"/>
      <c r="HKO2018" s="142"/>
      <c r="HKP2018" s="142"/>
      <c r="HKQ2018" s="142"/>
      <c r="HKR2018" s="142"/>
      <c r="HKS2018" s="142"/>
      <c r="HKT2018" s="142"/>
      <c r="HKU2018" s="142"/>
      <c r="HKV2018" s="142"/>
      <c r="HKW2018" s="142"/>
      <c r="HKX2018" s="142"/>
      <c r="HKY2018" s="142"/>
      <c r="HKZ2018" s="142"/>
      <c r="HLA2018" s="142"/>
      <c r="HLB2018" s="142"/>
      <c r="HLC2018" s="142"/>
      <c r="HLD2018" s="142"/>
      <c r="HLE2018" s="142"/>
      <c r="HLF2018" s="142"/>
      <c r="HLG2018" s="142"/>
      <c r="HLH2018" s="142"/>
      <c r="HLI2018" s="142"/>
      <c r="HLJ2018" s="142"/>
      <c r="HLK2018" s="142"/>
      <c r="HLL2018" s="142"/>
      <c r="HLM2018" s="142"/>
      <c r="HLN2018" s="142"/>
      <c r="HLO2018" s="142"/>
      <c r="HLP2018" s="142"/>
      <c r="HLQ2018" s="142"/>
      <c r="HLR2018" s="142"/>
      <c r="HLS2018" s="142"/>
      <c r="HLT2018" s="142"/>
      <c r="HLU2018" s="142"/>
      <c r="HLV2018" s="142"/>
      <c r="HLW2018" s="142"/>
      <c r="HLX2018" s="142"/>
      <c r="HLY2018" s="142"/>
      <c r="HLZ2018" s="142"/>
      <c r="HMA2018" s="142"/>
      <c r="HMB2018" s="142"/>
      <c r="HMC2018" s="142"/>
      <c r="HMD2018" s="142"/>
      <c r="HME2018" s="142"/>
      <c r="HMF2018" s="142"/>
      <c r="HMG2018" s="142"/>
      <c r="HMH2018" s="142"/>
      <c r="HMI2018" s="142"/>
      <c r="HMJ2018" s="142"/>
      <c r="HMK2018" s="142"/>
      <c r="HML2018" s="142"/>
      <c r="HMM2018" s="142"/>
      <c r="HMN2018" s="142"/>
      <c r="HMO2018" s="142"/>
      <c r="HMP2018" s="142"/>
      <c r="HMQ2018" s="142"/>
      <c r="HMR2018" s="142"/>
      <c r="HMS2018" s="142"/>
      <c r="HMT2018" s="142"/>
      <c r="HMU2018" s="142"/>
      <c r="HMV2018" s="142"/>
      <c r="HMW2018" s="142"/>
      <c r="HMX2018" s="142"/>
      <c r="HMY2018" s="142"/>
      <c r="HMZ2018" s="142"/>
      <c r="HNA2018" s="142"/>
      <c r="HNB2018" s="142"/>
      <c r="HNC2018" s="142"/>
      <c r="HND2018" s="142"/>
      <c r="HNE2018" s="142"/>
      <c r="HNF2018" s="142"/>
      <c r="HNG2018" s="142"/>
      <c r="HNH2018" s="142"/>
      <c r="HNI2018" s="142"/>
      <c r="HNJ2018" s="142"/>
      <c r="HNK2018" s="142"/>
      <c r="HNL2018" s="142"/>
      <c r="HNM2018" s="142"/>
      <c r="HNN2018" s="142"/>
      <c r="HNO2018" s="142"/>
      <c r="HNP2018" s="142"/>
      <c r="HNQ2018" s="142"/>
      <c r="HNR2018" s="142"/>
      <c r="HNS2018" s="142"/>
      <c r="HNT2018" s="142"/>
      <c r="HNU2018" s="142"/>
      <c r="HNV2018" s="142"/>
      <c r="HNW2018" s="142"/>
      <c r="HNX2018" s="142"/>
      <c r="HNY2018" s="142"/>
      <c r="HNZ2018" s="142"/>
      <c r="HOA2018" s="142"/>
      <c r="HOB2018" s="142"/>
      <c r="HOC2018" s="142"/>
      <c r="HOD2018" s="142"/>
      <c r="HOE2018" s="142"/>
      <c r="HOF2018" s="142"/>
      <c r="HOG2018" s="142"/>
      <c r="HOH2018" s="142"/>
      <c r="HOI2018" s="142"/>
      <c r="HOJ2018" s="142"/>
      <c r="HOK2018" s="142"/>
      <c r="HOL2018" s="142"/>
      <c r="HOM2018" s="142"/>
      <c r="HON2018" s="142"/>
      <c r="HOO2018" s="142"/>
      <c r="HOP2018" s="142"/>
      <c r="HOQ2018" s="142"/>
      <c r="HOR2018" s="142"/>
      <c r="HOS2018" s="142"/>
      <c r="HOT2018" s="142"/>
      <c r="HOU2018" s="142"/>
      <c r="HOV2018" s="142"/>
      <c r="HOW2018" s="142"/>
      <c r="HOX2018" s="142"/>
      <c r="HOY2018" s="142"/>
      <c r="HOZ2018" s="142"/>
      <c r="HPA2018" s="142"/>
      <c r="HPB2018" s="142"/>
      <c r="HPC2018" s="142"/>
      <c r="HPD2018" s="142"/>
      <c r="HPE2018" s="142"/>
      <c r="HPF2018" s="142"/>
      <c r="HPG2018" s="142"/>
      <c r="HPH2018" s="142"/>
      <c r="HPI2018" s="142"/>
      <c r="HPJ2018" s="142"/>
      <c r="HPK2018" s="142"/>
      <c r="HPL2018" s="142"/>
      <c r="HPM2018" s="142"/>
      <c r="HPN2018" s="142"/>
      <c r="HPO2018" s="142"/>
      <c r="HPP2018" s="142"/>
      <c r="HPQ2018" s="142"/>
      <c r="HPR2018" s="142"/>
      <c r="HPS2018" s="142"/>
      <c r="HPT2018" s="142"/>
      <c r="HPU2018" s="142"/>
      <c r="HPV2018" s="142"/>
      <c r="HPW2018" s="142"/>
      <c r="HPX2018" s="142"/>
      <c r="HPY2018" s="142"/>
      <c r="HPZ2018" s="142"/>
      <c r="HQA2018" s="142"/>
      <c r="HQB2018" s="142"/>
      <c r="HQC2018" s="142"/>
      <c r="HQD2018" s="142"/>
      <c r="HQE2018" s="142"/>
      <c r="HQF2018" s="142"/>
      <c r="HQG2018" s="142"/>
      <c r="HQH2018" s="142"/>
      <c r="HQI2018" s="142"/>
      <c r="HQJ2018" s="142"/>
      <c r="HQK2018" s="142"/>
      <c r="HQL2018" s="142"/>
      <c r="HQM2018" s="142"/>
      <c r="HQN2018" s="142"/>
      <c r="HQO2018" s="142"/>
      <c r="HQP2018" s="142"/>
      <c r="HQQ2018" s="142"/>
      <c r="HQR2018" s="142"/>
      <c r="HQS2018" s="142"/>
      <c r="HQT2018" s="142"/>
      <c r="HQU2018" s="142"/>
      <c r="HQV2018" s="142"/>
      <c r="HQW2018" s="142"/>
      <c r="HQX2018" s="142"/>
      <c r="HQY2018" s="142"/>
      <c r="HQZ2018" s="142"/>
      <c r="HRA2018" s="142"/>
      <c r="HRB2018" s="142"/>
      <c r="HRC2018" s="142"/>
      <c r="HRD2018" s="142"/>
      <c r="HRE2018" s="142"/>
      <c r="HRF2018" s="142"/>
      <c r="HRG2018" s="142"/>
      <c r="HRH2018" s="142"/>
      <c r="HRI2018" s="142"/>
      <c r="HRJ2018" s="142"/>
      <c r="HRK2018" s="142"/>
      <c r="HRL2018" s="142"/>
      <c r="HRM2018" s="142"/>
      <c r="HRN2018" s="142"/>
      <c r="HRO2018" s="142"/>
      <c r="HRP2018" s="142"/>
      <c r="HRQ2018" s="142"/>
      <c r="HRR2018" s="142"/>
      <c r="HRS2018" s="142"/>
      <c r="HRT2018" s="142"/>
      <c r="HRU2018" s="142"/>
      <c r="HRV2018" s="142"/>
      <c r="HRW2018" s="142"/>
      <c r="HRX2018" s="142"/>
      <c r="HRY2018" s="142"/>
      <c r="HRZ2018" s="142"/>
      <c r="HSA2018" s="142"/>
      <c r="HSB2018" s="142"/>
      <c r="HSC2018" s="142"/>
      <c r="HSD2018" s="142"/>
      <c r="HSE2018" s="142"/>
      <c r="HSF2018" s="142"/>
      <c r="HSG2018" s="142"/>
      <c r="HSH2018" s="142"/>
      <c r="HSI2018" s="142"/>
      <c r="HSJ2018" s="142"/>
      <c r="HSK2018" s="142"/>
      <c r="HSL2018" s="142"/>
      <c r="HSM2018" s="142"/>
      <c r="HSN2018" s="142"/>
      <c r="HSO2018" s="142"/>
      <c r="HSP2018" s="142"/>
      <c r="HSQ2018" s="142"/>
      <c r="HSR2018" s="142"/>
      <c r="HSS2018" s="142"/>
      <c r="HST2018" s="142"/>
      <c r="HSU2018" s="142"/>
      <c r="HSV2018" s="142"/>
      <c r="HSW2018" s="142"/>
      <c r="HSX2018" s="142"/>
      <c r="HSY2018" s="142"/>
      <c r="HSZ2018" s="142"/>
      <c r="HTA2018" s="142"/>
      <c r="HTB2018" s="142"/>
      <c r="HTC2018" s="142"/>
      <c r="HTD2018" s="142"/>
      <c r="HTE2018" s="142"/>
      <c r="HTF2018" s="142"/>
      <c r="HTG2018" s="142"/>
      <c r="HTH2018" s="142"/>
      <c r="HTI2018" s="142"/>
      <c r="HTJ2018" s="142"/>
      <c r="HTK2018" s="142"/>
      <c r="HTL2018" s="142"/>
      <c r="HTM2018" s="142"/>
      <c r="HTN2018" s="142"/>
      <c r="HTO2018" s="142"/>
      <c r="HTP2018" s="142"/>
      <c r="HTQ2018" s="142"/>
      <c r="HTR2018" s="142"/>
      <c r="HTS2018" s="142"/>
      <c r="HTT2018" s="142"/>
      <c r="HTU2018" s="142"/>
      <c r="HTV2018" s="142"/>
      <c r="HTW2018" s="142"/>
      <c r="HTX2018" s="142"/>
      <c r="HTY2018" s="142"/>
      <c r="HTZ2018" s="142"/>
      <c r="HUA2018" s="142"/>
      <c r="HUB2018" s="142"/>
      <c r="HUC2018" s="142"/>
      <c r="HUD2018" s="142"/>
      <c r="HUE2018" s="142"/>
      <c r="HUF2018" s="142"/>
      <c r="HUG2018" s="142"/>
      <c r="HUH2018" s="142"/>
      <c r="HUI2018" s="142"/>
      <c r="HUJ2018" s="142"/>
      <c r="HUK2018" s="142"/>
      <c r="HUL2018" s="142"/>
      <c r="HUM2018" s="142"/>
      <c r="HUN2018" s="142"/>
      <c r="HUO2018" s="142"/>
      <c r="HUP2018" s="142"/>
      <c r="HUQ2018" s="142"/>
      <c r="HUR2018" s="142"/>
      <c r="HUS2018" s="142"/>
      <c r="HUT2018" s="142"/>
      <c r="HUU2018" s="142"/>
      <c r="HUV2018" s="142"/>
      <c r="HUW2018" s="142"/>
      <c r="HUX2018" s="142"/>
      <c r="HUY2018" s="142"/>
      <c r="HUZ2018" s="142"/>
      <c r="HVA2018" s="142"/>
      <c r="HVB2018" s="142"/>
      <c r="HVC2018" s="142"/>
      <c r="HVD2018" s="142"/>
      <c r="HVE2018" s="142"/>
      <c r="HVF2018" s="142"/>
      <c r="HVG2018" s="142"/>
      <c r="HVH2018" s="142"/>
      <c r="HVI2018" s="142"/>
      <c r="HVJ2018" s="142"/>
      <c r="HVK2018" s="142"/>
      <c r="HVL2018" s="142"/>
      <c r="HVM2018" s="142"/>
      <c r="HVN2018" s="142"/>
      <c r="HVO2018" s="142"/>
      <c r="HVP2018" s="142"/>
      <c r="HVQ2018" s="142"/>
      <c r="HVR2018" s="142"/>
      <c r="HVS2018" s="142"/>
      <c r="HVT2018" s="142"/>
      <c r="HVU2018" s="142"/>
      <c r="HVV2018" s="142"/>
      <c r="HVW2018" s="142"/>
      <c r="HVX2018" s="142"/>
      <c r="HVY2018" s="142"/>
      <c r="HVZ2018" s="142"/>
      <c r="HWA2018" s="142"/>
      <c r="HWB2018" s="142"/>
      <c r="HWC2018" s="142"/>
      <c r="HWD2018" s="142"/>
      <c r="HWE2018" s="142"/>
      <c r="HWF2018" s="142"/>
      <c r="HWG2018" s="142"/>
      <c r="HWH2018" s="142"/>
      <c r="HWI2018" s="142"/>
      <c r="HWJ2018" s="142"/>
      <c r="HWK2018" s="142"/>
      <c r="HWL2018" s="142"/>
      <c r="HWM2018" s="142"/>
      <c r="HWN2018" s="142"/>
      <c r="HWO2018" s="142"/>
      <c r="HWP2018" s="142"/>
      <c r="HWQ2018" s="142"/>
      <c r="HWR2018" s="142"/>
      <c r="HWS2018" s="142"/>
      <c r="HWT2018" s="142"/>
      <c r="HWU2018" s="142"/>
      <c r="HWV2018" s="142"/>
      <c r="HWW2018" s="142"/>
      <c r="HWX2018" s="142"/>
      <c r="HWY2018" s="142"/>
      <c r="HWZ2018" s="142"/>
      <c r="HXA2018" s="142"/>
      <c r="HXB2018" s="142"/>
      <c r="HXC2018" s="142"/>
      <c r="HXD2018" s="142"/>
      <c r="HXE2018" s="142"/>
      <c r="HXF2018" s="142"/>
      <c r="HXG2018" s="142"/>
      <c r="HXH2018" s="142"/>
      <c r="HXI2018" s="142"/>
      <c r="HXJ2018" s="142"/>
      <c r="HXK2018" s="142"/>
      <c r="HXL2018" s="142"/>
      <c r="HXM2018" s="142"/>
      <c r="HXN2018" s="142"/>
      <c r="HXO2018" s="142"/>
      <c r="HXP2018" s="142"/>
      <c r="HXQ2018" s="142"/>
      <c r="HXR2018" s="142"/>
      <c r="HXS2018" s="142"/>
      <c r="HXT2018" s="142"/>
      <c r="HXU2018" s="142"/>
      <c r="HXV2018" s="142"/>
      <c r="HXW2018" s="142"/>
      <c r="HXX2018" s="142"/>
      <c r="HXY2018" s="142"/>
      <c r="HXZ2018" s="142"/>
      <c r="HYA2018" s="142"/>
      <c r="HYB2018" s="142"/>
      <c r="HYC2018" s="142"/>
      <c r="HYD2018" s="142"/>
      <c r="HYE2018" s="142"/>
      <c r="HYF2018" s="142"/>
      <c r="HYG2018" s="142"/>
      <c r="HYH2018" s="142"/>
      <c r="HYI2018" s="142"/>
      <c r="HYJ2018" s="142"/>
      <c r="HYK2018" s="142"/>
      <c r="HYL2018" s="142"/>
      <c r="HYM2018" s="142"/>
      <c r="HYN2018" s="142"/>
      <c r="HYO2018" s="142"/>
      <c r="HYP2018" s="142"/>
      <c r="HYQ2018" s="142"/>
      <c r="HYR2018" s="142"/>
      <c r="HYS2018" s="142"/>
      <c r="HYT2018" s="142"/>
      <c r="HYU2018" s="142"/>
      <c r="HYV2018" s="142"/>
      <c r="HYW2018" s="142"/>
      <c r="HYX2018" s="142"/>
      <c r="HYY2018" s="142"/>
      <c r="HYZ2018" s="142"/>
      <c r="HZA2018" s="142"/>
      <c r="HZB2018" s="142"/>
      <c r="HZC2018" s="142"/>
      <c r="HZD2018" s="142"/>
      <c r="HZE2018" s="142"/>
      <c r="HZF2018" s="142"/>
      <c r="HZG2018" s="142"/>
      <c r="HZH2018" s="142"/>
      <c r="HZI2018" s="142"/>
      <c r="HZJ2018" s="142"/>
      <c r="HZK2018" s="142"/>
      <c r="HZL2018" s="142"/>
      <c r="HZM2018" s="142"/>
      <c r="HZN2018" s="142"/>
      <c r="HZO2018" s="142"/>
      <c r="HZP2018" s="142"/>
      <c r="HZQ2018" s="142"/>
      <c r="HZR2018" s="142"/>
      <c r="HZS2018" s="142"/>
      <c r="HZT2018" s="142"/>
      <c r="HZU2018" s="142"/>
      <c r="HZV2018" s="142"/>
      <c r="HZW2018" s="142"/>
      <c r="HZX2018" s="142"/>
      <c r="HZY2018" s="142"/>
      <c r="HZZ2018" s="142"/>
      <c r="IAA2018" s="142"/>
      <c r="IAB2018" s="142"/>
      <c r="IAC2018" s="142"/>
      <c r="IAD2018" s="142"/>
      <c r="IAE2018" s="142"/>
      <c r="IAF2018" s="142"/>
      <c r="IAG2018" s="142"/>
      <c r="IAH2018" s="142"/>
      <c r="IAI2018" s="142"/>
      <c r="IAJ2018" s="142"/>
      <c r="IAK2018" s="142"/>
      <c r="IAL2018" s="142"/>
      <c r="IAM2018" s="142"/>
      <c r="IAN2018" s="142"/>
      <c r="IAO2018" s="142"/>
      <c r="IAP2018" s="142"/>
      <c r="IAQ2018" s="142"/>
      <c r="IAR2018" s="142"/>
      <c r="IAS2018" s="142"/>
      <c r="IAT2018" s="142"/>
      <c r="IAU2018" s="142"/>
      <c r="IAV2018" s="142"/>
      <c r="IAW2018" s="142"/>
      <c r="IAX2018" s="142"/>
      <c r="IAY2018" s="142"/>
      <c r="IAZ2018" s="142"/>
      <c r="IBA2018" s="142"/>
      <c r="IBB2018" s="142"/>
      <c r="IBC2018" s="142"/>
      <c r="IBD2018" s="142"/>
      <c r="IBE2018" s="142"/>
      <c r="IBF2018" s="142"/>
      <c r="IBG2018" s="142"/>
      <c r="IBH2018" s="142"/>
      <c r="IBI2018" s="142"/>
      <c r="IBJ2018" s="142"/>
      <c r="IBK2018" s="142"/>
      <c r="IBL2018" s="142"/>
      <c r="IBM2018" s="142"/>
      <c r="IBN2018" s="142"/>
      <c r="IBO2018" s="142"/>
      <c r="IBP2018" s="142"/>
      <c r="IBQ2018" s="142"/>
      <c r="IBR2018" s="142"/>
      <c r="IBS2018" s="142"/>
      <c r="IBT2018" s="142"/>
      <c r="IBU2018" s="142"/>
      <c r="IBV2018" s="142"/>
      <c r="IBW2018" s="142"/>
      <c r="IBX2018" s="142"/>
      <c r="IBY2018" s="142"/>
      <c r="IBZ2018" s="142"/>
      <c r="ICA2018" s="142"/>
      <c r="ICB2018" s="142"/>
      <c r="ICC2018" s="142"/>
      <c r="ICD2018" s="142"/>
      <c r="ICE2018" s="142"/>
      <c r="ICF2018" s="142"/>
      <c r="ICG2018" s="142"/>
      <c r="ICH2018" s="142"/>
      <c r="ICI2018" s="142"/>
      <c r="ICJ2018" s="142"/>
      <c r="ICK2018" s="142"/>
      <c r="ICL2018" s="142"/>
      <c r="ICM2018" s="142"/>
      <c r="ICN2018" s="142"/>
      <c r="ICO2018" s="142"/>
      <c r="ICP2018" s="142"/>
      <c r="ICQ2018" s="142"/>
      <c r="ICR2018" s="142"/>
      <c r="ICS2018" s="142"/>
      <c r="ICT2018" s="142"/>
      <c r="ICU2018" s="142"/>
      <c r="ICV2018" s="142"/>
      <c r="ICW2018" s="142"/>
      <c r="ICX2018" s="142"/>
      <c r="ICY2018" s="142"/>
      <c r="ICZ2018" s="142"/>
      <c r="IDA2018" s="142"/>
      <c r="IDB2018" s="142"/>
      <c r="IDC2018" s="142"/>
      <c r="IDD2018" s="142"/>
      <c r="IDE2018" s="142"/>
      <c r="IDF2018" s="142"/>
      <c r="IDG2018" s="142"/>
      <c r="IDH2018" s="142"/>
      <c r="IDI2018" s="142"/>
      <c r="IDJ2018" s="142"/>
      <c r="IDK2018" s="142"/>
      <c r="IDL2018" s="142"/>
      <c r="IDM2018" s="142"/>
      <c r="IDN2018" s="142"/>
      <c r="IDO2018" s="142"/>
      <c r="IDP2018" s="142"/>
      <c r="IDQ2018" s="142"/>
      <c r="IDR2018" s="142"/>
      <c r="IDS2018" s="142"/>
      <c r="IDT2018" s="142"/>
      <c r="IDU2018" s="142"/>
      <c r="IDV2018" s="142"/>
      <c r="IDW2018" s="142"/>
      <c r="IDX2018" s="142"/>
      <c r="IDY2018" s="142"/>
      <c r="IDZ2018" s="142"/>
      <c r="IEA2018" s="142"/>
      <c r="IEB2018" s="142"/>
      <c r="IEC2018" s="142"/>
      <c r="IED2018" s="142"/>
      <c r="IEE2018" s="142"/>
      <c r="IEF2018" s="142"/>
      <c r="IEG2018" s="142"/>
      <c r="IEH2018" s="142"/>
      <c r="IEI2018" s="142"/>
      <c r="IEJ2018" s="142"/>
      <c r="IEK2018" s="142"/>
      <c r="IEL2018" s="142"/>
      <c r="IEM2018" s="142"/>
      <c r="IEN2018" s="142"/>
      <c r="IEO2018" s="142"/>
      <c r="IEP2018" s="142"/>
      <c r="IEQ2018" s="142"/>
      <c r="IER2018" s="142"/>
      <c r="IES2018" s="142"/>
      <c r="IET2018" s="142"/>
      <c r="IEU2018" s="142"/>
      <c r="IEV2018" s="142"/>
      <c r="IEW2018" s="142"/>
      <c r="IEX2018" s="142"/>
      <c r="IEY2018" s="142"/>
      <c r="IEZ2018" s="142"/>
      <c r="IFA2018" s="142"/>
      <c r="IFB2018" s="142"/>
      <c r="IFC2018" s="142"/>
      <c r="IFD2018" s="142"/>
      <c r="IFE2018" s="142"/>
      <c r="IFF2018" s="142"/>
      <c r="IFG2018" s="142"/>
      <c r="IFH2018" s="142"/>
      <c r="IFI2018" s="142"/>
      <c r="IFJ2018" s="142"/>
      <c r="IFK2018" s="142"/>
      <c r="IFL2018" s="142"/>
      <c r="IFM2018" s="142"/>
      <c r="IFN2018" s="142"/>
      <c r="IFO2018" s="142"/>
      <c r="IFP2018" s="142"/>
      <c r="IFQ2018" s="142"/>
      <c r="IFR2018" s="142"/>
      <c r="IFS2018" s="142"/>
      <c r="IFT2018" s="142"/>
      <c r="IFU2018" s="142"/>
      <c r="IFV2018" s="142"/>
      <c r="IFW2018" s="142"/>
      <c r="IFX2018" s="142"/>
      <c r="IFY2018" s="142"/>
      <c r="IFZ2018" s="142"/>
      <c r="IGA2018" s="142"/>
      <c r="IGB2018" s="142"/>
      <c r="IGC2018" s="142"/>
      <c r="IGD2018" s="142"/>
      <c r="IGE2018" s="142"/>
      <c r="IGF2018" s="142"/>
      <c r="IGG2018" s="142"/>
      <c r="IGH2018" s="142"/>
      <c r="IGI2018" s="142"/>
      <c r="IGJ2018" s="142"/>
      <c r="IGK2018" s="142"/>
      <c r="IGL2018" s="142"/>
      <c r="IGM2018" s="142"/>
      <c r="IGN2018" s="142"/>
      <c r="IGO2018" s="142"/>
      <c r="IGP2018" s="142"/>
      <c r="IGQ2018" s="142"/>
      <c r="IGR2018" s="142"/>
      <c r="IGS2018" s="142"/>
      <c r="IGT2018" s="142"/>
      <c r="IGU2018" s="142"/>
      <c r="IGV2018" s="142"/>
      <c r="IGW2018" s="142"/>
      <c r="IGX2018" s="142"/>
      <c r="IGY2018" s="142"/>
      <c r="IGZ2018" s="142"/>
      <c r="IHA2018" s="142"/>
      <c r="IHB2018" s="142"/>
      <c r="IHC2018" s="142"/>
      <c r="IHD2018" s="142"/>
      <c r="IHE2018" s="142"/>
      <c r="IHF2018" s="142"/>
      <c r="IHG2018" s="142"/>
      <c r="IHH2018" s="142"/>
      <c r="IHI2018" s="142"/>
      <c r="IHJ2018" s="142"/>
      <c r="IHK2018" s="142"/>
      <c r="IHL2018" s="142"/>
      <c r="IHM2018" s="142"/>
      <c r="IHN2018" s="142"/>
      <c r="IHO2018" s="142"/>
      <c r="IHP2018" s="142"/>
      <c r="IHQ2018" s="142"/>
      <c r="IHR2018" s="142"/>
      <c r="IHS2018" s="142"/>
      <c r="IHT2018" s="142"/>
      <c r="IHU2018" s="142"/>
      <c r="IHV2018" s="142"/>
      <c r="IHW2018" s="142"/>
      <c r="IHX2018" s="142"/>
      <c r="IHY2018" s="142"/>
      <c r="IHZ2018" s="142"/>
      <c r="IIA2018" s="142"/>
      <c r="IIB2018" s="142"/>
      <c r="IIC2018" s="142"/>
      <c r="IID2018" s="142"/>
      <c r="IIE2018" s="142"/>
      <c r="IIF2018" s="142"/>
      <c r="IIG2018" s="142"/>
      <c r="IIH2018" s="142"/>
      <c r="III2018" s="142"/>
      <c r="IIJ2018" s="142"/>
      <c r="IIK2018" s="142"/>
      <c r="IIL2018" s="142"/>
      <c r="IIM2018" s="142"/>
      <c r="IIN2018" s="142"/>
      <c r="IIO2018" s="142"/>
      <c r="IIP2018" s="142"/>
      <c r="IIQ2018" s="142"/>
      <c r="IIR2018" s="142"/>
      <c r="IIS2018" s="142"/>
      <c r="IIT2018" s="142"/>
      <c r="IIU2018" s="142"/>
      <c r="IIV2018" s="142"/>
      <c r="IIW2018" s="142"/>
      <c r="IIX2018" s="142"/>
      <c r="IIY2018" s="142"/>
      <c r="IIZ2018" s="142"/>
      <c r="IJA2018" s="142"/>
      <c r="IJB2018" s="142"/>
      <c r="IJC2018" s="142"/>
      <c r="IJD2018" s="142"/>
      <c r="IJE2018" s="142"/>
      <c r="IJF2018" s="142"/>
      <c r="IJG2018" s="142"/>
      <c r="IJH2018" s="142"/>
      <c r="IJI2018" s="142"/>
      <c r="IJJ2018" s="142"/>
      <c r="IJK2018" s="142"/>
      <c r="IJL2018" s="142"/>
      <c r="IJM2018" s="142"/>
      <c r="IJN2018" s="142"/>
      <c r="IJO2018" s="142"/>
      <c r="IJP2018" s="142"/>
      <c r="IJQ2018" s="142"/>
      <c r="IJR2018" s="142"/>
      <c r="IJS2018" s="142"/>
      <c r="IJT2018" s="142"/>
      <c r="IJU2018" s="142"/>
      <c r="IJV2018" s="142"/>
      <c r="IJW2018" s="142"/>
      <c r="IJX2018" s="142"/>
      <c r="IJY2018" s="142"/>
      <c r="IJZ2018" s="142"/>
      <c r="IKA2018" s="142"/>
      <c r="IKB2018" s="142"/>
      <c r="IKC2018" s="142"/>
      <c r="IKD2018" s="142"/>
      <c r="IKE2018" s="142"/>
      <c r="IKF2018" s="142"/>
      <c r="IKG2018" s="142"/>
      <c r="IKH2018" s="142"/>
      <c r="IKI2018" s="142"/>
      <c r="IKJ2018" s="142"/>
      <c r="IKK2018" s="142"/>
      <c r="IKL2018" s="142"/>
      <c r="IKM2018" s="142"/>
      <c r="IKN2018" s="142"/>
      <c r="IKO2018" s="142"/>
      <c r="IKP2018" s="142"/>
      <c r="IKQ2018" s="142"/>
      <c r="IKR2018" s="142"/>
      <c r="IKS2018" s="142"/>
      <c r="IKT2018" s="142"/>
      <c r="IKU2018" s="142"/>
      <c r="IKV2018" s="142"/>
      <c r="IKW2018" s="142"/>
      <c r="IKX2018" s="142"/>
      <c r="IKY2018" s="142"/>
      <c r="IKZ2018" s="142"/>
      <c r="ILA2018" s="142"/>
      <c r="ILB2018" s="142"/>
      <c r="ILC2018" s="142"/>
      <c r="ILD2018" s="142"/>
      <c r="ILE2018" s="142"/>
      <c r="ILF2018" s="142"/>
      <c r="ILG2018" s="142"/>
      <c r="ILH2018" s="142"/>
      <c r="ILI2018" s="142"/>
      <c r="ILJ2018" s="142"/>
      <c r="ILK2018" s="142"/>
      <c r="ILL2018" s="142"/>
      <c r="ILM2018" s="142"/>
      <c r="ILN2018" s="142"/>
      <c r="ILO2018" s="142"/>
      <c r="ILP2018" s="142"/>
      <c r="ILQ2018" s="142"/>
      <c r="ILR2018" s="142"/>
      <c r="ILS2018" s="142"/>
      <c r="ILT2018" s="142"/>
      <c r="ILU2018" s="142"/>
      <c r="ILV2018" s="142"/>
      <c r="ILW2018" s="142"/>
      <c r="ILX2018" s="142"/>
      <c r="ILY2018" s="142"/>
      <c r="ILZ2018" s="142"/>
      <c r="IMA2018" s="142"/>
      <c r="IMB2018" s="142"/>
      <c r="IMC2018" s="142"/>
      <c r="IMD2018" s="142"/>
      <c r="IME2018" s="142"/>
      <c r="IMF2018" s="142"/>
      <c r="IMG2018" s="142"/>
      <c r="IMH2018" s="142"/>
      <c r="IMI2018" s="142"/>
      <c r="IMJ2018" s="142"/>
      <c r="IMK2018" s="142"/>
      <c r="IML2018" s="142"/>
      <c r="IMM2018" s="142"/>
      <c r="IMN2018" s="142"/>
      <c r="IMO2018" s="142"/>
      <c r="IMP2018" s="142"/>
      <c r="IMQ2018" s="142"/>
      <c r="IMR2018" s="142"/>
      <c r="IMS2018" s="142"/>
      <c r="IMT2018" s="142"/>
      <c r="IMU2018" s="142"/>
      <c r="IMV2018" s="142"/>
      <c r="IMW2018" s="142"/>
      <c r="IMX2018" s="142"/>
      <c r="IMY2018" s="142"/>
      <c r="IMZ2018" s="142"/>
      <c r="INA2018" s="142"/>
      <c r="INB2018" s="142"/>
      <c r="INC2018" s="142"/>
      <c r="IND2018" s="142"/>
      <c r="INE2018" s="142"/>
      <c r="INF2018" s="142"/>
      <c r="ING2018" s="142"/>
      <c r="INH2018" s="142"/>
      <c r="INI2018" s="142"/>
      <c r="INJ2018" s="142"/>
      <c r="INK2018" s="142"/>
      <c r="INL2018" s="142"/>
      <c r="INM2018" s="142"/>
      <c r="INN2018" s="142"/>
      <c r="INO2018" s="142"/>
      <c r="INP2018" s="142"/>
      <c r="INQ2018" s="142"/>
      <c r="INR2018" s="142"/>
      <c r="INS2018" s="142"/>
      <c r="INT2018" s="142"/>
      <c r="INU2018" s="142"/>
      <c r="INV2018" s="142"/>
      <c r="INW2018" s="142"/>
      <c r="INX2018" s="142"/>
      <c r="INY2018" s="142"/>
      <c r="INZ2018" s="142"/>
      <c r="IOA2018" s="142"/>
      <c r="IOB2018" s="142"/>
      <c r="IOC2018" s="142"/>
      <c r="IOD2018" s="142"/>
      <c r="IOE2018" s="142"/>
      <c r="IOF2018" s="142"/>
      <c r="IOG2018" s="142"/>
      <c r="IOH2018" s="142"/>
      <c r="IOI2018" s="142"/>
      <c r="IOJ2018" s="142"/>
      <c r="IOK2018" s="142"/>
      <c r="IOL2018" s="142"/>
      <c r="IOM2018" s="142"/>
      <c r="ION2018" s="142"/>
      <c r="IOO2018" s="142"/>
      <c r="IOP2018" s="142"/>
      <c r="IOQ2018" s="142"/>
      <c r="IOR2018" s="142"/>
      <c r="IOS2018" s="142"/>
      <c r="IOT2018" s="142"/>
      <c r="IOU2018" s="142"/>
      <c r="IOV2018" s="142"/>
      <c r="IOW2018" s="142"/>
      <c r="IOX2018" s="142"/>
      <c r="IOY2018" s="142"/>
      <c r="IOZ2018" s="142"/>
      <c r="IPA2018" s="142"/>
      <c r="IPB2018" s="142"/>
      <c r="IPC2018" s="142"/>
      <c r="IPD2018" s="142"/>
      <c r="IPE2018" s="142"/>
      <c r="IPF2018" s="142"/>
      <c r="IPG2018" s="142"/>
      <c r="IPH2018" s="142"/>
      <c r="IPI2018" s="142"/>
      <c r="IPJ2018" s="142"/>
      <c r="IPK2018" s="142"/>
      <c r="IPL2018" s="142"/>
      <c r="IPM2018" s="142"/>
      <c r="IPN2018" s="142"/>
      <c r="IPO2018" s="142"/>
      <c r="IPP2018" s="142"/>
      <c r="IPQ2018" s="142"/>
      <c r="IPR2018" s="142"/>
      <c r="IPS2018" s="142"/>
      <c r="IPT2018" s="142"/>
      <c r="IPU2018" s="142"/>
      <c r="IPV2018" s="142"/>
      <c r="IPW2018" s="142"/>
      <c r="IPX2018" s="142"/>
      <c r="IPY2018" s="142"/>
      <c r="IPZ2018" s="142"/>
      <c r="IQA2018" s="142"/>
      <c r="IQB2018" s="142"/>
      <c r="IQC2018" s="142"/>
      <c r="IQD2018" s="142"/>
      <c r="IQE2018" s="142"/>
      <c r="IQF2018" s="142"/>
      <c r="IQG2018" s="142"/>
      <c r="IQH2018" s="142"/>
      <c r="IQI2018" s="142"/>
      <c r="IQJ2018" s="142"/>
      <c r="IQK2018" s="142"/>
      <c r="IQL2018" s="142"/>
      <c r="IQM2018" s="142"/>
      <c r="IQN2018" s="142"/>
      <c r="IQO2018" s="142"/>
      <c r="IQP2018" s="142"/>
      <c r="IQQ2018" s="142"/>
      <c r="IQR2018" s="142"/>
      <c r="IQS2018" s="142"/>
      <c r="IQT2018" s="142"/>
      <c r="IQU2018" s="142"/>
      <c r="IQV2018" s="142"/>
      <c r="IQW2018" s="142"/>
      <c r="IQX2018" s="142"/>
      <c r="IQY2018" s="142"/>
      <c r="IQZ2018" s="142"/>
      <c r="IRA2018" s="142"/>
      <c r="IRB2018" s="142"/>
      <c r="IRC2018" s="142"/>
      <c r="IRD2018" s="142"/>
      <c r="IRE2018" s="142"/>
      <c r="IRF2018" s="142"/>
      <c r="IRG2018" s="142"/>
      <c r="IRH2018" s="142"/>
      <c r="IRI2018" s="142"/>
      <c r="IRJ2018" s="142"/>
      <c r="IRK2018" s="142"/>
      <c r="IRL2018" s="142"/>
      <c r="IRM2018" s="142"/>
      <c r="IRN2018" s="142"/>
      <c r="IRO2018" s="142"/>
      <c r="IRP2018" s="142"/>
      <c r="IRQ2018" s="142"/>
      <c r="IRR2018" s="142"/>
      <c r="IRS2018" s="142"/>
      <c r="IRT2018" s="142"/>
      <c r="IRU2018" s="142"/>
      <c r="IRV2018" s="142"/>
      <c r="IRW2018" s="142"/>
      <c r="IRX2018" s="142"/>
      <c r="IRY2018" s="142"/>
      <c r="IRZ2018" s="142"/>
      <c r="ISA2018" s="142"/>
      <c r="ISB2018" s="142"/>
      <c r="ISC2018" s="142"/>
      <c r="ISD2018" s="142"/>
      <c r="ISE2018" s="142"/>
      <c r="ISF2018" s="142"/>
      <c r="ISG2018" s="142"/>
      <c r="ISH2018" s="142"/>
      <c r="ISI2018" s="142"/>
      <c r="ISJ2018" s="142"/>
      <c r="ISK2018" s="142"/>
      <c r="ISL2018" s="142"/>
      <c r="ISM2018" s="142"/>
      <c r="ISN2018" s="142"/>
      <c r="ISO2018" s="142"/>
      <c r="ISP2018" s="142"/>
      <c r="ISQ2018" s="142"/>
      <c r="ISR2018" s="142"/>
      <c r="ISS2018" s="142"/>
      <c r="IST2018" s="142"/>
      <c r="ISU2018" s="142"/>
      <c r="ISV2018" s="142"/>
      <c r="ISW2018" s="142"/>
      <c r="ISX2018" s="142"/>
      <c r="ISY2018" s="142"/>
      <c r="ISZ2018" s="142"/>
      <c r="ITA2018" s="142"/>
      <c r="ITB2018" s="142"/>
      <c r="ITC2018" s="142"/>
      <c r="ITD2018" s="142"/>
      <c r="ITE2018" s="142"/>
      <c r="ITF2018" s="142"/>
      <c r="ITG2018" s="142"/>
      <c r="ITH2018" s="142"/>
      <c r="ITI2018" s="142"/>
      <c r="ITJ2018" s="142"/>
      <c r="ITK2018" s="142"/>
      <c r="ITL2018" s="142"/>
      <c r="ITM2018" s="142"/>
      <c r="ITN2018" s="142"/>
      <c r="ITO2018" s="142"/>
      <c r="ITP2018" s="142"/>
      <c r="ITQ2018" s="142"/>
      <c r="ITR2018" s="142"/>
      <c r="ITS2018" s="142"/>
      <c r="ITT2018" s="142"/>
      <c r="ITU2018" s="142"/>
      <c r="ITV2018" s="142"/>
      <c r="ITW2018" s="142"/>
      <c r="ITX2018" s="142"/>
      <c r="ITY2018" s="142"/>
      <c r="ITZ2018" s="142"/>
      <c r="IUA2018" s="142"/>
      <c r="IUB2018" s="142"/>
      <c r="IUC2018" s="142"/>
      <c r="IUD2018" s="142"/>
      <c r="IUE2018" s="142"/>
      <c r="IUF2018" s="142"/>
      <c r="IUG2018" s="142"/>
      <c r="IUH2018" s="142"/>
      <c r="IUI2018" s="142"/>
      <c r="IUJ2018" s="142"/>
      <c r="IUK2018" s="142"/>
      <c r="IUL2018" s="142"/>
      <c r="IUM2018" s="142"/>
      <c r="IUN2018" s="142"/>
      <c r="IUO2018" s="142"/>
      <c r="IUP2018" s="142"/>
      <c r="IUQ2018" s="142"/>
      <c r="IUR2018" s="142"/>
      <c r="IUS2018" s="142"/>
      <c r="IUT2018" s="142"/>
      <c r="IUU2018" s="142"/>
      <c r="IUV2018" s="142"/>
      <c r="IUW2018" s="142"/>
      <c r="IUX2018" s="142"/>
      <c r="IUY2018" s="142"/>
      <c r="IUZ2018" s="142"/>
      <c r="IVA2018" s="142"/>
      <c r="IVB2018" s="142"/>
      <c r="IVC2018" s="142"/>
      <c r="IVD2018" s="142"/>
      <c r="IVE2018" s="142"/>
      <c r="IVF2018" s="142"/>
      <c r="IVG2018" s="142"/>
      <c r="IVH2018" s="142"/>
      <c r="IVI2018" s="142"/>
      <c r="IVJ2018" s="142"/>
      <c r="IVK2018" s="142"/>
      <c r="IVL2018" s="142"/>
      <c r="IVM2018" s="142"/>
      <c r="IVN2018" s="142"/>
      <c r="IVO2018" s="142"/>
      <c r="IVP2018" s="142"/>
      <c r="IVQ2018" s="142"/>
      <c r="IVR2018" s="142"/>
      <c r="IVS2018" s="142"/>
      <c r="IVT2018" s="142"/>
      <c r="IVU2018" s="142"/>
      <c r="IVV2018" s="142"/>
      <c r="IVW2018" s="142"/>
      <c r="IVX2018" s="142"/>
      <c r="IVY2018" s="142"/>
      <c r="IVZ2018" s="142"/>
      <c r="IWA2018" s="142"/>
      <c r="IWB2018" s="142"/>
      <c r="IWC2018" s="142"/>
      <c r="IWD2018" s="142"/>
      <c r="IWE2018" s="142"/>
      <c r="IWF2018" s="142"/>
      <c r="IWG2018" s="142"/>
      <c r="IWH2018" s="142"/>
      <c r="IWI2018" s="142"/>
      <c r="IWJ2018" s="142"/>
      <c r="IWK2018" s="142"/>
      <c r="IWL2018" s="142"/>
      <c r="IWM2018" s="142"/>
      <c r="IWN2018" s="142"/>
      <c r="IWO2018" s="142"/>
      <c r="IWP2018" s="142"/>
      <c r="IWQ2018" s="142"/>
      <c r="IWR2018" s="142"/>
      <c r="IWS2018" s="142"/>
      <c r="IWT2018" s="142"/>
      <c r="IWU2018" s="142"/>
      <c r="IWV2018" s="142"/>
      <c r="IWW2018" s="142"/>
      <c r="IWX2018" s="142"/>
      <c r="IWY2018" s="142"/>
      <c r="IWZ2018" s="142"/>
      <c r="IXA2018" s="142"/>
      <c r="IXB2018" s="142"/>
      <c r="IXC2018" s="142"/>
      <c r="IXD2018" s="142"/>
      <c r="IXE2018" s="142"/>
      <c r="IXF2018" s="142"/>
      <c r="IXG2018" s="142"/>
      <c r="IXH2018" s="142"/>
      <c r="IXI2018" s="142"/>
      <c r="IXJ2018" s="142"/>
      <c r="IXK2018" s="142"/>
      <c r="IXL2018" s="142"/>
      <c r="IXM2018" s="142"/>
      <c r="IXN2018" s="142"/>
      <c r="IXO2018" s="142"/>
      <c r="IXP2018" s="142"/>
      <c r="IXQ2018" s="142"/>
      <c r="IXR2018" s="142"/>
      <c r="IXS2018" s="142"/>
      <c r="IXT2018" s="142"/>
      <c r="IXU2018" s="142"/>
      <c r="IXV2018" s="142"/>
      <c r="IXW2018" s="142"/>
      <c r="IXX2018" s="142"/>
      <c r="IXY2018" s="142"/>
      <c r="IXZ2018" s="142"/>
      <c r="IYA2018" s="142"/>
      <c r="IYB2018" s="142"/>
      <c r="IYC2018" s="142"/>
      <c r="IYD2018" s="142"/>
      <c r="IYE2018" s="142"/>
      <c r="IYF2018" s="142"/>
      <c r="IYG2018" s="142"/>
      <c r="IYH2018" s="142"/>
      <c r="IYI2018" s="142"/>
      <c r="IYJ2018" s="142"/>
      <c r="IYK2018" s="142"/>
      <c r="IYL2018" s="142"/>
      <c r="IYM2018" s="142"/>
      <c r="IYN2018" s="142"/>
      <c r="IYO2018" s="142"/>
      <c r="IYP2018" s="142"/>
      <c r="IYQ2018" s="142"/>
      <c r="IYR2018" s="142"/>
      <c r="IYS2018" s="142"/>
      <c r="IYT2018" s="142"/>
      <c r="IYU2018" s="142"/>
      <c r="IYV2018" s="142"/>
      <c r="IYW2018" s="142"/>
      <c r="IYX2018" s="142"/>
      <c r="IYY2018" s="142"/>
      <c r="IYZ2018" s="142"/>
      <c r="IZA2018" s="142"/>
      <c r="IZB2018" s="142"/>
      <c r="IZC2018" s="142"/>
      <c r="IZD2018" s="142"/>
      <c r="IZE2018" s="142"/>
      <c r="IZF2018" s="142"/>
      <c r="IZG2018" s="142"/>
      <c r="IZH2018" s="142"/>
      <c r="IZI2018" s="142"/>
      <c r="IZJ2018" s="142"/>
      <c r="IZK2018" s="142"/>
      <c r="IZL2018" s="142"/>
      <c r="IZM2018" s="142"/>
      <c r="IZN2018" s="142"/>
      <c r="IZO2018" s="142"/>
      <c r="IZP2018" s="142"/>
      <c r="IZQ2018" s="142"/>
      <c r="IZR2018" s="142"/>
      <c r="IZS2018" s="142"/>
      <c r="IZT2018" s="142"/>
      <c r="IZU2018" s="142"/>
      <c r="IZV2018" s="142"/>
      <c r="IZW2018" s="142"/>
      <c r="IZX2018" s="142"/>
      <c r="IZY2018" s="142"/>
      <c r="IZZ2018" s="142"/>
      <c r="JAA2018" s="142"/>
      <c r="JAB2018" s="142"/>
      <c r="JAC2018" s="142"/>
      <c r="JAD2018" s="142"/>
      <c r="JAE2018" s="142"/>
      <c r="JAF2018" s="142"/>
      <c r="JAG2018" s="142"/>
      <c r="JAH2018" s="142"/>
      <c r="JAI2018" s="142"/>
      <c r="JAJ2018" s="142"/>
      <c r="JAK2018" s="142"/>
      <c r="JAL2018" s="142"/>
      <c r="JAM2018" s="142"/>
      <c r="JAN2018" s="142"/>
      <c r="JAO2018" s="142"/>
      <c r="JAP2018" s="142"/>
      <c r="JAQ2018" s="142"/>
      <c r="JAR2018" s="142"/>
      <c r="JAS2018" s="142"/>
      <c r="JAT2018" s="142"/>
      <c r="JAU2018" s="142"/>
      <c r="JAV2018" s="142"/>
      <c r="JAW2018" s="142"/>
      <c r="JAX2018" s="142"/>
      <c r="JAY2018" s="142"/>
      <c r="JAZ2018" s="142"/>
      <c r="JBA2018" s="142"/>
      <c r="JBB2018" s="142"/>
      <c r="JBC2018" s="142"/>
      <c r="JBD2018" s="142"/>
      <c r="JBE2018" s="142"/>
      <c r="JBF2018" s="142"/>
      <c r="JBG2018" s="142"/>
      <c r="JBH2018" s="142"/>
      <c r="JBI2018" s="142"/>
      <c r="JBJ2018" s="142"/>
      <c r="JBK2018" s="142"/>
      <c r="JBL2018" s="142"/>
      <c r="JBM2018" s="142"/>
      <c r="JBN2018" s="142"/>
      <c r="JBO2018" s="142"/>
      <c r="JBP2018" s="142"/>
      <c r="JBQ2018" s="142"/>
      <c r="JBR2018" s="142"/>
      <c r="JBS2018" s="142"/>
      <c r="JBT2018" s="142"/>
      <c r="JBU2018" s="142"/>
      <c r="JBV2018" s="142"/>
      <c r="JBW2018" s="142"/>
      <c r="JBX2018" s="142"/>
      <c r="JBY2018" s="142"/>
      <c r="JBZ2018" s="142"/>
      <c r="JCA2018" s="142"/>
      <c r="JCB2018" s="142"/>
      <c r="JCC2018" s="142"/>
      <c r="JCD2018" s="142"/>
      <c r="JCE2018" s="142"/>
      <c r="JCF2018" s="142"/>
      <c r="JCG2018" s="142"/>
      <c r="JCH2018" s="142"/>
      <c r="JCI2018" s="142"/>
      <c r="JCJ2018" s="142"/>
      <c r="JCK2018" s="142"/>
      <c r="JCL2018" s="142"/>
      <c r="JCM2018" s="142"/>
      <c r="JCN2018" s="142"/>
      <c r="JCO2018" s="142"/>
      <c r="JCP2018" s="142"/>
      <c r="JCQ2018" s="142"/>
      <c r="JCR2018" s="142"/>
      <c r="JCS2018" s="142"/>
      <c r="JCT2018" s="142"/>
      <c r="JCU2018" s="142"/>
      <c r="JCV2018" s="142"/>
      <c r="JCW2018" s="142"/>
      <c r="JCX2018" s="142"/>
      <c r="JCY2018" s="142"/>
      <c r="JCZ2018" s="142"/>
      <c r="JDA2018" s="142"/>
      <c r="JDB2018" s="142"/>
      <c r="JDC2018" s="142"/>
      <c r="JDD2018" s="142"/>
      <c r="JDE2018" s="142"/>
      <c r="JDF2018" s="142"/>
      <c r="JDG2018" s="142"/>
      <c r="JDH2018" s="142"/>
      <c r="JDI2018" s="142"/>
      <c r="JDJ2018" s="142"/>
      <c r="JDK2018" s="142"/>
      <c r="JDL2018" s="142"/>
      <c r="JDM2018" s="142"/>
      <c r="JDN2018" s="142"/>
      <c r="JDO2018" s="142"/>
      <c r="JDP2018" s="142"/>
      <c r="JDQ2018" s="142"/>
      <c r="JDR2018" s="142"/>
      <c r="JDS2018" s="142"/>
      <c r="JDT2018" s="142"/>
      <c r="JDU2018" s="142"/>
      <c r="JDV2018" s="142"/>
      <c r="JDW2018" s="142"/>
      <c r="JDX2018" s="142"/>
      <c r="JDY2018" s="142"/>
      <c r="JDZ2018" s="142"/>
      <c r="JEA2018" s="142"/>
      <c r="JEB2018" s="142"/>
      <c r="JEC2018" s="142"/>
      <c r="JED2018" s="142"/>
      <c r="JEE2018" s="142"/>
      <c r="JEF2018" s="142"/>
      <c r="JEG2018" s="142"/>
      <c r="JEH2018" s="142"/>
      <c r="JEI2018" s="142"/>
      <c r="JEJ2018" s="142"/>
      <c r="JEK2018" s="142"/>
      <c r="JEL2018" s="142"/>
      <c r="JEM2018" s="142"/>
      <c r="JEN2018" s="142"/>
      <c r="JEO2018" s="142"/>
      <c r="JEP2018" s="142"/>
      <c r="JEQ2018" s="142"/>
      <c r="JER2018" s="142"/>
      <c r="JES2018" s="142"/>
      <c r="JET2018" s="142"/>
      <c r="JEU2018" s="142"/>
      <c r="JEV2018" s="142"/>
      <c r="JEW2018" s="142"/>
      <c r="JEX2018" s="142"/>
      <c r="JEY2018" s="142"/>
      <c r="JEZ2018" s="142"/>
      <c r="JFA2018" s="142"/>
      <c r="JFB2018" s="142"/>
      <c r="JFC2018" s="142"/>
      <c r="JFD2018" s="142"/>
      <c r="JFE2018" s="142"/>
      <c r="JFF2018" s="142"/>
      <c r="JFG2018" s="142"/>
      <c r="JFH2018" s="142"/>
      <c r="JFI2018" s="142"/>
      <c r="JFJ2018" s="142"/>
      <c r="JFK2018" s="142"/>
      <c r="JFL2018" s="142"/>
      <c r="JFM2018" s="142"/>
      <c r="JFN2018" s="142"/>
      <c r="JFO2018" s="142"/>
      <c r="JFP2018" s="142"/>
      <c r="JFQ2018" s="142"/>
      <c r="JFR2018" s="142"/>
      <c r="JFS2018" s="142"/>
      <c r="JFT2018" s="142"/>
      <c r="JFU2018" s="142"/>
      <c r="JFV2018" s="142"/>
      <c r="JFW2018" s="142"/>
      <c r="JFX2018" s="142"/>
      <c r="JFY2018" s="142"/>
      <c r="JFZ2018" s="142"/>
      <c r="JGA2018" s="142"/>
      <c r="JGB2018" s="142"/>
      <c r="JGC2018" s="142"/>
      <c r="JGD2018" s="142"/>
      <c r="JGE2018" s="142"/>
      <c r="JGF2018" s="142"/>
      <c r="JGG2018" s="142"/>
      <c r="JGH2018" s="142"/>
      <c r="JGI2018" s="142"/>
      <c r="JGJ2018" s="142"/>
      <c r="JGK2018" s="142"/>
      <c r="JGL2018" s="142"/>
      <c r="JGM2018" s="142"/>
      <c r="JGN2018" s="142"/>
      <c r="JGO2018" s="142"/>
      <c r="JGP2018" s="142"/>
      <c r="JGQ2018" s="142"/>
      <c r="JGR2018" s="142"/>
      <c r="JGS2018" s="142"/>
      <c r="JGT2018" s="142"/>
      <c r="JGU2018" s="142"/>
      <c r="JGV2018" s="142"/>
      <c r="JGW2018" s="142"/>
      <c r="JGX2018" s="142"/>
      <c r="JGY2018" s="142"/>
      <c r="JGZ2018" s="142"/>
      <c r="JHA2018" s="142"/>
      <c r="JHB2018" s="142"/>
      <c r="JHC2018" s="142"/>
      <c r="JHD2018" s="142"/>
      <c r="JHE2018" s="142"/>
      <c r="JHF2018" s="142"/>
      <c r="JHG2018" s="142"/>
      <c r="JHH2018" s="142"/>
      <c r="JHI2018" s="142"/>
      <c r="JHJ2018" s="142"/>
      <c r="JHK2018" s="142"/>
      <c r="JHL2018" s="142"/>
      <c r="JHM2018" s="142"/>
      <c r="JHN2018" s="142"/>
      <c r="JHO2018" s="142"/>
      <c r="JHP2018" s="142"/>
      <c r="JHQ2018" s="142"/>
      <c r="JHR2018" s="142"/>
      <c r="JHS2018" s="142"/>
      <c r="JHT2018" s="142"/>
      <c r="JHU2018" s="142"/>
      <c r="JHV2018" s="142"/>
      <c r="JHW2018" s="142"/>
      <c r="JHX2018" s="142"/>
      <c r="JHY2018" s="142"/>
      <c r="JHZ2018" s="142"/>
      <c r="JIA2018" s="142"/>
      <c r="JIB2018" s="142"/>
      <c r="JIC2018" s="142"/>
      <c r="JID2018" s="142"/>
      <c r="JIE2018" s="142"/>
      <c r="JIF2018" s="142"/>
      <c r="JIG2018" s="142"/>
      <c r="JIH2018" s="142"/>
      <c r="JII2018" s="142"/>
      <c r="JIJ2018" s="142"/>
      <c r="JIK2018" s="142"/>
      <c r="JIL2018" s="142"/>
      <c r="JIM2018" s="142"/>
      <c r="JIN2018" s="142"/>
      <c r="JIO2018" s="142"/>
      <c r="JIP2018" s="142"/>
      <c r="JIQ2018" s="142"/>
      <c r="JIR2018" s="142"/>
      <c r="JIS2018" s="142"/>
      <c r="JIT2018" s="142"/>
      <c r="JIU2018" s="142"/>
      <c r="JIV2018" s="142"/>
      <c r="JIW2018" s="142"/>
      <c r="JIX2018" s="142"/>
      <c r="JIY2018" s="142"/>
      <c r="JIZ2018" s="142"/>
      <c r="JJA2018" s="142"/>
      <c r="JJB2018" s="142"/>
      <c r="JJC2018" s="142"/>
      <c r="JJD2018" s="142"/>
      <c r="JJE2018" s="142"/>
      <c r="JJF2018" s="142"/>
      <c r="JJG2018" s="142"/>
      <c r="JJH2018" s="142"/>
      <c r="JJI2018" s="142"/>
      <c r="JJJ2018" s="142"/>
      <c r="JJK2018" s="142"/>
      <c r="JJL2018" s="142"/>
      <c r="JJM2018" s="142"/>
      <c r="JJN2018" s="142"/>
      <c r="JJO2018" s="142"/>
      <c r="JJP2018" s="142"/>
      <c r="JJQ2018" s="142"/>
      <c r="JJR2018" s="142"/>
      <c r="JJS2018" s="142"/>
      <c r="JJT2018" s="142"/>
      <c r="JJU2018" s="142"/>
      <c r="JJV2018" s="142"/>
      <c r="JJW2018" s="142"/>
      <c r="JJX2018" s="142"/>
      <c r="JJY2018" s="142"/>
      <c r="JJZ2018" s="142"/>
      <c r="JKA2018" s="142"/>
      <c r="JKB2018" s="142"/>
      <c r="JKC2018" s="142"/>
      <c r="JKD2018" s="142"/>
      <c r="JKE2018" s="142"/>
      <c r="JKF2018" s="142"/>
      <c r="JKG2018" s="142"/>
      <c r="JKH2018" s="142"/>
      <c r="JKI2018" s="142"/>
      <c r="JKJ2018" s="142"/>
      <c r="JKK2018" s="142"/>
      <c r="JKL2018" s="142"/>
      <c r="JKM2018" s="142"/>
      <c r="JKN2018" s="142"/>
      <c r="JKO2018" s="142"/>
      <c r="JKP2018" s="142"/>
      <c r="JKQ2018" s="142"/>
      <c r="JKR2018" s="142"/>
      <c r="JKS2018" s="142"/>
      <c r="JKT2018" s="142"/>
      <c r="JKU2018" s="142"/>
      <c r="JKV2018" s="142"/>
      <c r="JKW2018" s="142"/>
      <c r="JKX2018" s="142"/>
      <c r="JKY2018" s="142"/>
      <c r="JKZ2018" s="142"/>
      <c r="JLA2018" s="142"/>
      <c r="JLB2018" s="142"/>
      <c r="JLC2018" s="142"/>
      <c r="JLD2018" s="142"/>
      <c r="JLE2018" s="142"/>
      <c r="JLF2018" s="142"/>
      <c r="JLG2018" s="142"/>
      <c r="JLH2018" s="142"/>
      <c r="JLI2018" s="142"/>
      <c r="JLJ2018" s="142"/>
      <c r="JLK2018" s="142"/>
      <c r="JLL2018" s="142"/>
      <c r="JLM2018" s="142"/>
      <c r="JLN2018" s="142"/>
      <c r="JLO2018" s="142"/>
      <c r="JLP2018" s="142"/>
      <c r="JLQ2018" s="142"/>
      <c r="JLR2018" s="142"/>
      <c r="JLS2018" s="142"/>
      <c r="JLT2018" s="142"/>
      <c r="JLU2018" s="142"/>
      <c r="JLV2018" s="142"/>
      <c r="JLW2018" s="142"/>
      <c r="JLX2018" s="142"/>
      <c r="JLY2018" s="142"/>
      <c r="JLZ2018" s="142"/>
      <c r="JMA2018" s="142"/>
      <c r="JMB2018" s="142"/>
      <c r="JMC2018" s="142"/>
      <c r="JMD2018" s="142"/>
      <c r="JME2018" s="142"/>
      <c r="JMF2018" s="142"/>
      <c r="JMG2018" s="142"/>
      <c r="JMH2018" s="142"/>
      <c r="JMI2018" s="142"/>
      <c r="JMJ2018" s="142"/>
      <c r="JMK2018" s="142"/>
      <c r="JML2018" s="142"/>
      <c r="JMM2018" s="142"/>
      <c r="JMN2018" s="142"/>
      <c r="JMO2018" s="142"/>
      <c r="JMP2018" s="142"/>
      <c r="JMQ2018" s="142"/>
      <c r="JMR2018" s="142"/>
      <c r="JMS2018" s="142"/>
      <c r="JMT2018" s="142"/>
      <c r="JMU2018" s="142"/>
      <c r="JMV2018" s="142"/>
      <c r="JMW2018" s="142"/>
      <c r="JMX2018" s="142"/>
      <c r="JMY2018" s="142"/>
      <c r="JMZ2018" s="142"/>
      <c r="JNA2018" s="142"/>
      <c r="JNB2018" s="142"/>
      <c r="JNC2018" s="142"/>
      <c r="JND2018" s="142"/>
      <c r="JNE2018" s="142"/>
      <c r="JNF2018" s="142"/>
      <c r="JNG2018" s="142"/>
      <c r="JNH2018" s="142"/>
      <c r="JNI2018" s="142"/>
      <c r="JNJ2018" s="142"/>
      <c r="JNK2018" s="142"/>
      <c r="JNL2018" s="142"/>
      <c r="JNM2018" s="142"/>
      <c r="JNN2018" s="142"/>
      <c r="JNO2018" s="142"/>
      <c r="JNP2018" s="142"/>
      <c r="JNQ2018" s="142"/>
      <c r="JNR2018" s="142"/>
      <c r="JNS2018" s="142"/>
      <c r="JNT2018" s="142"/>
      <c r="JNU2018" s="142"/>
      <c r="JNV2018" s="142"/>
      <c r="JNW2018" s="142"/>
      <c r="JNX2018" s="142"/>
      <c r="JNY2018" s="142"/>
      <c r="JNZ2018" s="142"/>
      <c r="JOA2018" s="142"/>
      <c r="JOB2018" s="142"/>
      <c r="JOC2018" s="142"/>
      <c r="JOD2018" s="142"/>
      <c r="JOE2018" s="142"/>
      <c r="JOF2018" s="142"/>
      <c r="JOG2018" s="142"/>
      <c r="JOH2018" s="142"/>
      <c r="JOI2018" s="142"/>
      <c r="JOJ2018" s="142"/>
      <c r="JOK2018" s="142"/>
      <c r="JOL2018" s="142"/>
      <c r="JOM2018" s="142"/>
      <c r="JON2018" s="142"/>
      <c r="JOO2018" s="142"/>
      <c r="JOP2018" s="142"/>
      <c r="JOQ2018" s="142"/>
      <c r="JOR2018" s="142"/>
      <c r="JOS2018" s="142"/>
      <c r="JOT2018" s="142"/>
      <c r="JOU2018" s="142"/>
      <c r="JOV2018" s="142"/>
      <c r="JOW2018" s="142"/>
      <c r="JOX2018" s="142"/>
      <c r="JOY2018" s="142"/>
      <c r="JOZ2018" s="142"/>
      <c r="JPA2018" s="142"/>
      <c r="JPB2018" s="142"/>
      <c r="JPC2018" s="142"/>
      <c r="JPD2018" s="142"/>
      <c r="JPE2018" s="142"/>
      <c r="JPF2018" s="142"/>
      <c r="JPG2018" s="142"/>
      <c r="JPH2018" s="142"/>
      <c r="JPI2018" s="142"/>
      <c r="JPJ2018" s="142"/>
      <c r="JPK2018" s="142"/>
      <c r="JPL2018" s="142"/>
      <c r="JPM2018" s="142"/>
      <c r="JPN2018" s="142"/>
      <c r="JPO2018" s="142"/>
      <c r="JPP2018" s="142"/>
      <c r="JPQ2018" s="142"/>
      <c r="JPR2018" s="142"/>
      <c r="JPS2018" s="142"/>
      <c r="JPT2018" s="142"/>
      <c r="JPU2018" s="142"/>
      <c r="JPV2018" s="142"/>
      <c r="JPW2018" s="142"/>
      <c r="JPX2018" s="142"/>
      <c r="JPY2018" s="142"/>
      <c r="JPZ2018" s="142"/>
      <c r="JQA2018" s="142"/>
      <c r="JQB2018" s="142"/>
      <c r="JQC2018" s="142"/>
      <c r="JQD2018" s="142"/>
      <c r="JQE2018" s="142"/>
      <c r="JQF2018" s="142"/>
      <c r="JQG2018" s="142"/>
      <c r="JQH2018" s="142"/>
      <c r="JQI2018" s="142"/>
      <c r="JQJ2018" s="142"/>
      <c r="JQK2018" s="142"/>
      <c r="JQL2018" s="142"/>
      <c r="JQM2018" s="142"/>
      <c r="JQN2018" s="142"/>
      <c r="JQO2018" s="142"/>
      <c r="JQP2018" s="142"/>
      <c r="JQQ2018" s="142"/>
      <c r="JQR2018" s="142"/>
      <c r="JQS2018" s="142"/>
      <c r="JQT2018" s="142"/>
      <c r="JQU2018" s="142"/>
      <c r="JQV2018" s="142"/>
      <c r="JQW2018" s="142"/>
      <c r="JQX2018" s="142"/>
      <c r="JQY2018" s="142"/>
      <c r="JQZ2018" s="142"/>
      <c r="JRA2018" s="142"/>
      <c r="JRB2018" s="142"/>
      <c r="JRC2018" s="142"/>
      <c r="JRD2018" s="142"/>
      <c r="JRE2018" s="142"/>
      <c r="JRF2018" s="142"/>
      <c r="JRG2018" s="142"/>
      <c r="JRH2018" s="142"/>
      <c r="JRI2018" s="142"/>
      <c r="JRJ2018" s="142"/>
      <c r="JRK2018" s="142"/>
      <c r="JRL2018" s="142"/>
      <c r="JRM2018" s="142"/>
      <c r="JRN2018" s="142"/>
      <c r="JRO2018" s="142"/>
      <c r="JRP2018" s="142"/>
      <c r="JRQ2018" s="142"/>
      <c r="JRR2018" s="142"/>
      <c r="JRS2018" s="142"/>
      <c r="JRT2018" s="142"/>
      <c r="JRU2018" s="142"/>
      <c r="JRV2018" s="142"/>
      <c r="JRW2018" s="142"/>
      <c r="JRX2018" s="142"/>
      <c r="JRY2018" s="142"/>
      <c r="JRZ2018" s="142"/>
      <c r="JSA2018" s="142"/>
      <c r="JSB2018" s="142"/>
      <c r="JSC2018" s="142"/>
      <c r="JSD2018" s="142"/>
      <c r="JSE2018" s="142"/>
      <c r="JSF2018" s="142"/>
      <c r="JSG2018" s="142"/>
      <c r="JSH2018" s="142"/>
      <c r="JSI2018" s="142"/>
      <c r="JSJ2018" s="142"/>
      <c r="JSK2018" s="142"/>
      <c r="JSL2018" s="142"/>
      <c r="JSM2018" s="142"/>
      <c r="JSN2018" s="142"/>
      <c r="JSO2018" s="142"/>
      <c r="JSP2018" s="142"/>
      <c r="JSQ2018" s="142"/>
      <c r="JSR2018" s="142"/>
      <c r="JSS2018" s="142"/>
      <c r="JST2018" s="142"/>
      <c r="JSU2018" s="142"/>
      <c r="JSV2018" s="142"/>
      <c r="JSW2018" s="142"/>
      <c r="JSX2018" s="142"/>
      <c r="JSY2018" s="142"/>
      <c r="JSZ2018" s="142"/>
      <c r="JTA2018" s="142"/>
      <c r="JTB2018" s="142"/>
      <c r="JTC2018" s="142"/>
      <c r="JTD2018" s="142"/>
      <c r="JTE2018" s="142"/>
      <c r="JTF2018" s="142"/>
      <c r="JTG2018" s="142"/>
      <c r="JTH2018" s="142"/>
      <c r="JTI2018" s="142"/>
      <c r="JTJ2018" s="142"/>
      <c r="JTK2018" s="142"/>
      <c r="JTL2018" s="142"/>
      <c r="JTM2018" s="142"/>
      <c r="JTN2018" s="142"/>
      <c r="JTO2018" s="142"/>
      <c r="JTP2018" s="142"/>
      <c r="JTQ2018" s="142"/>
      <c r="JTR2018" s="142"/>
      <c r="JTS2018" s="142"/>
      <c r="JTT2018" s="142"/>
      <c r="JTU2018" s="142"/>
      <c r="JTV2018" s="142"/>
      <c r="JTW2018" s="142"/>
      <c r="JTX2018" s="142"/>
      <c r="JTY2018" s="142"/>
      <c r="JTZ2018" s="142"/>
      <c r="JUA2018" s="142"/>
      <c r="JUB2018" s="142"/>
      <c r="JUC2018" s="142"/>
      <c r="JUD2018" s="142"/>
      <c r="JUE2018" s="142"/>
      <c r="JUF2018" s="142"/>
      <c r="JUG2018" s="142"/>
      <c r="JUH2018" s="142"/>
      <c r="JUI2018" s="142"/>
      <c r="JUJ2018" s="142"/>
      <c r="JUK2018" s="142"/>
      <c r="JUL2018" s="142"/>
      <c r="JUM2018" s="142"/>
      <c r="JUN2018" s="142"/>
      <c r="JUO2018" s="142"/>
      <c r="JUP2018" s="142"/>
      <c r="JUQ2018" s="142"/>
      <c r="JUR2018" s="142"/>
      <c r="JUS2018" s="142"/>
      <c r="JUT2018" s="142"/>
      <c r="JUU2018" s="142"/>
      <c r="JUV2018" s="142"/>
      <c r="JUW2018" s="142"/>
      <c r="JUX2018" s="142"/>
      <c r="JUY2018" s="142"/>
      <c r="JUZ2018" s="142"/>
      <c r="JVA2018" s="142"/>
      <c r="JVB2018" s="142"/>
      <c r="JVC2018" s="142"/>
      <c r="JVD2018" s="142"/>
      <c r="JVE2018" s="142"/>
      <c r="JVF2018" s="142"/>
      <c r="JVG2018" s="142"/>
      <c r="JVH2018" s="142"/>
      <c r="JVI2018" s="142"/>
      <c r="JVJ2018" s="142"/>
      <c r="JVK2018" s="142"/>
      <c r="JVL2018" s="142"/>
      <c r="JVM2018" s="142"/>
      <c r="JVN2018" s="142"/>
      <c r="JVO2018" s="142"/>
      <c r="JVP2018" s="142"/>
      <c r="JVQ2018" s="142"/>
      <c r="JVR2018" s="142"/>
      <c r="JVS2018" s="142"/>
      <c r="JVT2018" s="142"/>
      <c r="JVU2018" s="142"/>
      <c r="JVV2018" s="142"/>
      <c r="JVW2018" s="142"/>
      <c r="JVX2018" s="142"/>
      <c r="JVY2018" s="142"/>
      <c r="JVZ2018" s="142"/>
      <c r="JWA2018" s="142"/>
      <c r="JWB2018" s="142"/>
      <c r="JWC2018" s="142"/>
      <c r="JWD2018" s="142"/>
      <c r="JWE2018" s="142"/>
      <c r="JWF2018" s="142"/>
      <c r="JWG2018" s="142"/>
      <c r="JWH2018" s="142"/>
      <c r="JWI2018" s="142"/>
      <c r="JWJ2018" s="142"/>
      <c r="JWK2018" s="142"/>
      <c r="JWL2018" s="142"/>
      <c r="JWM2018" s="142"/>
      <c r="JWN2018" s="142"/>
      <c r="JWO2018" s="142"/>
      <c r="JWP2018" s="142"/>
      <c r="JWQ2018" s="142"/>
      <c r="JWR2018" s="142"/>
      <c r="JWS2018" s="142"/>
      <c r="JWT2018" s="142"/>
      <c r="JWU2018" s="142"/>
      <c r="JWV2018" s="142"/>
      <c r="JWW2018" s="142"/>
      <c r="JWX2018" s="142"/>
      <c r="JWY2018" s="142"/>
      <c r="JWZ2018" s="142"/>
      <c r="JXA2018" s="142"/>
      <c r="JXB2018" s="142"/>
      <c r="JXC2018" s="142"/>
      <c r="JXD2018" s="142"/>
      <c r="JXE2018" s="142"/>
      <c r="JXF2018" s="142"/>
      <c r="JXG2018" s="142"/>
      <c r="JXH2018" s="142"/>
      <c r="JXI2018" s="142"/>
      <c r="JXJ2018" s="142"/>
      <c r="JXK2018" s="142"/>
      <c r="JXL2018" s="142"/>
      <c r="JXM2018" s="142"/>
      <c r="JXN2018" s="142"/>
      <c r="JXO2018" s="142"/>
      <c r="JXP2018" s="142"/>
      <c r="JXQ2018" s="142"/>
      <c r="JXR2018" s="142"/>
      <c r="JXS2018" s="142"/>
      <c r="JXT2018" s="142"/>
      <c r="JXU2018" s="142"/>
      <c r="JXV2018" s="142"/>
      <c r="JXW2018" s="142"/>
      <c r="JXX2018" s="142"/>
      <c r="JXY2018" s="142"/>
      <c r="JXZ2018" s="142"/>
      <c r="JYA2018" s="142"/>
      <c r="JYB2018" s="142"/>
      <c r="JYC2018" s="142"/>
      <c r="JYD2018" s="142"/>
      <c r="JYE2018" s="142"/>
      <c r="JYF2018" s="142"/>
      <c r="JYG2018" s="142"/>
      <c r="JYH2018" s="142"/>
      <c r="JYI2018" s="142"/>
      <c r="JYJ2018" s="142"/>
      <c r="JYK2018" s="142"/>
      <c r="JYL2018" s="142"/>
      <c r="JYM2018" s="142"/>
      <c r="JYN2018" s="142"/>
      <c r="JYO2018" s="142"/>
      <c r="JYP2018" s="142"/>
      <c r="JYQ2018" s="142"/>
      <c r="JYR2018" s="142"/>
      <c r="JYS2018" s="142"/>
      <c r="JYT2018" s="142"/>
      <c r="JYU2018" s="142"/>
      <c r="JYV2018" s="142"/>
      <c r="JYW2018" s="142"/>
      <c r="JYX2018" s="142"/>
      <c r="JYY2018" s="142"/>
      <c r="JYZ2018" s="142"/>
      <c r="JZA2018" s="142"/>
      <c r="JZB2018" s="142"/>
      <c r="JZC2018" s="142"/>
      <c r="JZD2018" s="142"/>
      <c r="JZE2018" s="142"/>
      <c r="JZF2018" s="142"/>
      <c r="JZG2018" s="142"/>
      <c r="JZH2018" s="142"/>
      <c r="JZI2018" s="142"/>
      <c r="JZJ2018" s="142"/>
      <c r="JZK2018" s="142"/>
      <c r="JZL2018" s="142"/>
      <c r="JZM2018" s="142"/>
      <c r="JZN2018" s="142"/>
      <c r="JZO2018" s="142"/>
      <c r="JZP2018" s="142"/>
      <c r="JZQ2018" s="142"/>
      <c r="JZR2018" s="142"/>
      <c r="JZS2018" s="142"/>
      <c r="JZT2018" s="142"/>
      <c r="JZU2018" s="142"/>
      <c r="JZV2018" s="142"/>
      <c r="JZW2018" s="142"/>
      <c r="JZX2018" s="142"/>
      <c r="JZY2018" s="142"/>
      <c r="JZZ2018" s="142"/>
      <c r="KAA2018" s="142"/>
      <c r="KAB2018" s="142"/>
      <c r="KAC2018" s="142"/>
      <c r="KAD2018" s="142"/>
      <c r="KAE2018" s="142"/>
      <c r="KAF2018" s="142"/>
      <c r="KAG2018" s="142"/>
      <c r="KAH2018" s="142"/>
      <c r="KAI2018" s="142"/>
      <c r="KAJ2018" s="142"/>
      <c r="KAK2018" s="142"/>
      <c r="KAL2018" s="142"/>
      <c r="KAM2018" s="142"/>
      <c r="KAN2018" s="142"/>
      <c r="KAO2018" s="142"/>
      <c r="KAP2018" s="142"/>
      <c r="KAQ2018" s="142"/>
      <c r="KAR2018" s="142"/>
      <c r="KAS2018" s="142"/>
      <c r="KAT2018" s="142"/>
      <c r="KAU2018" s="142"/>
      <c r="KAV2018" s="142"/>
      <c r="KAW2018" s="142"/>
      <c r="KAX2018" s="142"/>
      <c r="KAY2018" s="142"/>
      <c r="KAZ2018" s="142"/>
      <c r="KBA2018" s="142"/>
      <c r="KBB2018" s="142"/>
      <c r="KBC2018" s="142"/>
      <c r="KBD2018" s="142"/>
      <c r="KBE2018" s="142"/>
      <c r="KBF2018" s="142"/>
      <c r="KBG2018" s="142"/>
      <c r="KBH2018" s="142"/>
      <c r="KBI2018" s="142"/>
      <c r="KBJ2018" s="142"/>
      <c r="KBK2018" s="142"/>
      <c r="KBL2018" s="142"/>
      <c r="KBM2018" s="142"/>
      <c r="KBN2018" s="142"/>
      <c r="KBO2018" s="142"/>
      <c r="KBP2018" s="142"/>
      <c r="KBQ2018" s="142"/>
      <c r="KBR2018" s="142"/>
      <c r="KBS2018" s="142"/>
      <c r="KBT2018" s="142"/>
      <c r="KBU2018" s="142"/>
      <c r="KBV2018" s="142"/>
      <c r="KBW2018" s="142"/>
      <c r="KBX2018" s="142"/>
      <c r="KBY2018" s="142"/>
      <c r="KBZ2018" s="142"/>
      <c r="KCA2018" s="142"/>
      <c r="KCB2018" s="142"/>
      <c r="KCC2018" s="142"/>
      <c r="KCD2018" s="142"/>
      <c r="KCE2018" s="142"/>
      <c r="KCF2018" s="142"/>
      <c r="KCG2018" s="142"/>
      <c r="KCH2018" s="142"/>
      <c r="KCI2018" s="142"/>
      <c r="KCJ2018" s="142"/>
      <c r="KCK2018" s="142"/>
      <c r="KCL2018" s="142"/>
      <c r="KCM2018" s="142"/>
      <c r="KCN2018" s="142"/>
      <c r="KCO2018" s="142"/>
      <c r="KCP2018" s="142"/>
      <c r="KCQ2018" s="142"/>
      <c r="KCR2018" s="142"/>
      <c r="KCS2018" s="142"/>
      <c r="KCT2018" s="142"/>
      <c r="KCU2018" s="142"/>
      <c r="KCV2018" s="142"/>
      <c r="KCW2018" s="142"/>
      <c r="KCX2018" s="142"/>
      <c r="KCY2018" s="142"/>
      <c r="KCZ2018" s="142"/>
      <c r="KDA2018" s="142"/>
      <c r="KDB2018" s="142"/>
      <c r="KDC2018" s="142"/>
      <c r="KDD2018" s="142"/>
      <c r="KDE2018" s="142"/>
      <c r="KDF2018" s="142"/>
      <c r="KDG2018" s="142"/>
      <c r="KDH2018" s="142"/>
      <c r="KDI2018" s="142"/>
      <c r="KDJ2018" s="142"/>
      <c r="KDK2018" s="142"/>
      <c r="KDL2018" s="142"/>
      <c r="KDM2018" s="142"/>
      <c r="KDN2018" s="142"/>
      <c r="KDO2018" s="142"/>
      <c r="KDP2018" s="142"/>
      <c r="KDQ2018" s="142"/>
      <c r="KDR2018" s="142"/>
      <c r="KDS2018" s="142"/>
      <c r="KDT2018" s="142"/>
      <c r="KDU2018" s="142"/>
      <c r="KDV2018" s="142"/>
      <c r="KDW2018" s="142"/>
      <c r="KDX2018" s="142"/>
      <c r="KDY2018" s="142"/>
      <c r="KDZ2018" s="142"/>
      <c r="KEA2018" s="142"/>
      <c r="KEB2018" s="142"/>
      <c r="KEC2018" s="142"/>
      <c r="KED2018" s="142"/>
      <c r="KEE2018" s="142"/>
      <c r="KEF2018" s="142"/>
      <c r="KEG2018" s="142"/>
      <c r="KEH2018" s="142"/>
      <c r="KEI2018" s="142"/>
      <c r="KEJ2018" s="142"/>
      <c r="KEK2018" s="142"/>
      <c r="KEL2018" s="142"/>
      <c r="KEM2018" s="142"/>
      <c r="KEN2018" s="142"/>
      <c r="KEO2018" s="142"/>
      <c r="KEP2018" s="142"/>
      <c r="KEQ2018" s="142"/>
      <c r="KER2018" s="142"/>
      <c r="KES2018" s="142"/>
      <c r="KET2018" s="142"/>
      <c r="KEU2018" s="142"/>
      <c r="KEV2018" s="142"/>
      <c r="KEW2018" s="142"/>
      <c r="KEX2018" s="142"/>
      <c r="KEY2018" s="142"/>
      <c r="KEZ2018" s="142"/>
      <c r="KFA2018" s="142"/>
      <c r="KFB2018" s="142"/>
      <c r="KFC2018" s="142"/>
      <c r="KFD2018" s="142"/>
      <c r="KFE2018" s="142"/>
      <c r="KFF2018" s="142"/>
      <c r="KFG2018" s="142"/>
      <c r="KFH2018" s="142"/>
      <c r="KFI2018" s="142"/>
      <c r="KFJ2018" s="142"/>
      <c r="KFK2018" s="142"/>
      <c r="KFL2018" s="142"/>
      <c r="KFM2018" s="142"/>
      <c r="KFN2018" s="142"/>
      <c r="KFO2018" s="142"/>
      <c r="KFP2018" s="142"/>
      <c r="KFQ2018" s="142"/>
      <c r="KFR2018" s="142"/>
      <c r="KFS2018" s="142"/>
      <c r="KFT2018" s="142"/>
      <c r="KFU2018" s="142"/>
      <c r="KFV2018" s="142"/>
      <c r="KFW2018" s="142"/>
      <c r="KFX2018" s="142"/>
      <c r="KFY2018" s="142"/>
      <c r="KFZ2018" s="142"/>
      <c r="KGA2018" s="142"/>
      <c r="KGB2018" s="142"/>
      <c r="KGC2018" s="142"/>
      <c r="KGD2018" s="142"/>
      <c r="KGE2018" s="142"/>
      <c r="KGF2018" s="142"/>
      <c r="KGG2018" s="142"/>
      <c r="KGH2018" s="142"/>
      <c r="KGI2018" s="142"/>
      <c r="KGJ2018" s="142"/>
      <c r="KGK2018" s="142"/>
      <c r="KGL2018" s="142"/>
      <c r="KGM2018" s="142"/>
      <c r="KGN2018" s="142"/>
      <c r="KGO2018" s="142"/>
      <c r="KGP2018" s="142"/>
      <c r="KGQ2018" s="142"/>
      <c r="KGR2018" s="142"/>
      <c r="KGS2018" s="142"/>
      <c r="KGT2018" s="142"/>
      <c r="KGU2018" s="142"/>
      <c r="KGV2018" s="142"/>
      <c r="KGW2018" s="142"/>
      <c r="KGX2018" s="142"/>
      <c r="KGY2018" s="142"/>
      <c r="KGZ2018" s="142"/>
      <c r="KHA2018" s="142"/>
      <c r="KHB2018" s="142"/>
      <c r="KHC2018" s="142"/>
      <c r="KHD2018" s="142"/>
      <c r="KHE2018" s="142"/>
      <c r="KHF2018" s="142"/>
      <c r="KHG2018" s="142"/>
      <c r="KHH2018" s="142"/>
      <c r="KHI2018" s="142"/>
      <c r="KHJ2018" s="142"/>
      <c r="KHK2018" s="142"/>
      <c r="KHL2018" s="142"/>
      <c r="KHM2018" s="142"/>
      <c r="KHN2018" s="142"/>
      <c r="KHO2018" s="142"/>
      <c r="KHP2018" s="142"/>
      <c r="KHQ2018" s="142"/>
      <c r="KHR2018" s="142"/>
      <c r="KHS2018" s="142"/>
      <c r="KHT2018" s="142"/>
      <c r="KHU2018" s="142"/>
      <c r="KHV2018" s="142"/>
      <c r="KHW2018" s="142"/>
      <c r="KHX2018" s="142"/>
      <c r="KHY2018" s="142"/>
      <c r="KHZ2018" s="142"/>
      <c r="KIA2018" s="142"/>
      <c r="KIB2018" s="142"/>
      <c r="KIC2018" s="142"/>
      <c r="KID2018" s="142"/>
      <c r="KIE2018" s="142"/>
      <c r="KIF2018" s="142"/>
      <c r="KIG2018" s="142"/>
      <c r="KIH2018" s="142"/>
      <c r="KII2018" s="142"/>
      <c r="KIJ2018" s="142"/>
      <c r="KIK2018" s="142"/>
      <c r="KIL2018" s="142"/>
      <c r="KIM2018" s="142"/>
      <c r="KIN2018" s="142"/>
      <c r="KIO2018" s="142"/>
      <c r="KIP2018" s="142"/>
      <c r="KIQ2018" s="142"/>
      <c r="KIR2018" s="142"/>
      <c r="KIS2018" s="142"/>
      <c r="KIT2018" s="142"/>
      <c r="KIU2018" s="142"/>
      <c r="KIV2018" s="142"/>
      <c r="KIW2018" s="142"/>
      <c r="KIX2018" s="142"/>
      <c r="KIY2018" s="142"/>
      <c r="KIZ2018" s="142"/>
      <c r="KJA2018" s="142"/>
      <c r="KJB2018" s="142"/>
      <c r="KJC2018" s="142"/>
      <c r="KJD2018" s="142"/>
      <c r="KJE2018" s="142"/>
      <c r="KJF2018" s="142"/>
      <c r="KJG2018" s="142"/>
      <c r="KJH2018" s="142"/>
      <c r="KJI2018" s="142"/>
      <c r="KJJ2018" s="142"/>
      <c r="KJK2018" s="142"/>
      <c r="KJL2018" s="142"/>
      <c r="KJM2018" s="142"/>
      <c r="KJN2018" s="142"/>
      <c r="KJO2018" s="142"/>
      <c r="KJP2018" s="142"/>
      <c r="KJQ2018" s="142"/>
      <c r="KJR2018" s="142"/>
      <c r="KJS2018" s="142"/>
      <c r="KJT2018" s="142"/>
      <c r="KJU2018" s="142"/>
      <c r="KJV2018" s="142"/>
      <c r="KJW2018" s="142"/>
      <c r="KJX2018" s="142"/>
      <c r="KJY2018" s="142"/>
      <c r="KJZ2018" s="142"/>
      <c r="KKA2018" s="142"/>
      <c r="KKB2018" s="142"/>
      <c r="KKC2018" s="142"/>
      <c r="KKD2018" s="142"/>
      <c r="KKE2018" s="142"/>
      <c r="KKF2018" s="142"/>
      <c r="KKG2018" s="142"/>
      <c r="KKH2018" s="142"/>
      <c r="KKI2018" s="142"/>
      <c r="KKJ2018" s="142"/>
      <c r="KKK2018" s="142"/>
      <c r="KKL2018" s="142"/>
      <c r="KKM2018" s="142"/>
      <c r="KKN2018" s="142"/>
      <c r="KKO2018" s="142"/>
      <c r="KKP2018" s="142"/>
      <c r="KKQ2018" s="142"/>
      <c r="KKR2018" s="142"/>
      <c r="KKS2018" s="142"/>
      <c r="KKT2018" s="142"/>
      <c r="KKU2018" s="142"/>
      <c r="KKV2018" s="142"/>
      <c r="KKW2018" s="142"/>
      <c r="KKX2018" s="142"/>
      <c r="KKY2018" s="142"/>
      <c r="KKZ2018" s="142"/>
      <c r="KLA2018" s="142"/>
      <c r="KLB2018" s="142"/>
      <c r="KLC2018" s="142"/>
      <c r="KLD2018" s="142"/>
      <c r="KLE2018" s="142"/>
      <c r="KLF2018" s="142"/>
      <c r="KLG2018" s="142"/>
      <c r="KLH2018" s="142"/>
      <c r="KLI2018" s="142"/>
      <c r="KLJ2018" s="142"/>
      <c r="KLK2018" s="142"/>
      <c r="KLL2018" s="142"/>
      <c r="KLM2018" s="142"/>
      <c r="KLN2018" s="142"/>
      <c r="KLO2018" s="142"/>
      <c r="KLP2018" s="142"/>
      <c r="KLQ2018" s="142"/>
      <c r="KLR2018" s="142"/>
      <c r="KLS2018" s="142"/>
      <c r="KLT2018" s="142"/>
      <c r="KLU2018" s="142"/>
      <c r="KLV2018" s="142"/>
      <c r="KLW2018" s="142"/>
      <c r="KLX2018" s="142"/>
      <c r="KLY2018" s="142"/>
      <c r="KLZ2018" s="142"/>
      <c r="KMA2018" s="142"/>
      <c r="KMB2018" s="142"/>
      <c r="KMC2018" s="142"/>
      <c r="KMD2018" s="142"/>
      <c r="KME2018" s="142"/>
      <c r="KMF2018" s="142"/>
      <c r="KMG2018" s="142"/>
      <c r="KMH2018" s="142"/>
      <c r="KMI2018" s="142"/>
      <c r="KMJ2018" s="142"/>
      <c r="KMK2018" s="142"/>
      <c r="KML2018" s="142"/>
      <c r="KMM2018" s="142"/>
      <c r="KMN2018" s="142"/>
      <c r="KMO2018" s="142"/>
      <c r="KMP2018" s="142"/>
      <c r="KMQ2018" s="142"/>
      <c r="KMR2018" s="142"/>
      <c r="KMS2018" s="142"/>
      <c r="KMT2018" s="142"/>
      <c r="KMU2018" s="142"/>
      <c r="KMV2018" s="142"/>
      <c r="KMW2018" s="142"/>
      <c r="KMX2018" s="142"/>
      <c r="KMY2018" s="142"/>
      <c r="KMZ2018" s="142"/>
      <c r="KNA2018" s="142"/>
      <c r="KNB2018" s="142"/>
      <c r="KNC2018" s="142"/>
      <c r="KND2018" s="142"/>
      <c r="KNE2018" s="142"/>
      <c r="KNF2018" s="142"/>
      <c r="KNG2018" s="142"/>
      <c r="KNH2018" s="142"/>
      <c r="KNI2018" s="142"/>
      <c r="KNJ2018" s="142"/>
      <c r="KNK2018" s="142"/>
      <c r="KNL2018" s="142"/>
      <c r="KNM2018" s="142"/>
      <c r="KNN2018" s="142"/>
      <c r="KNO2018" s="142"/>
      <c r="KNP2018" s="142"/>
      <c r="KNQ2018" s="142"/>
      <c r="KNR2018" s="142"/>
      <c r="KNS2018" s="142"/>
      <c r="KNT2018" s="142"/>
      <c r="KNU2018" s="142"/>
      <c r="KNV2018" s="142"/>
      <c r="KNW2018" s="142"/>
      <c r="KNX2018" s="142"/>
      <c r="KNY2018" s="142"/>
      <c r="KNZ2018" s="142"/>
      <c r="KOA2018" s="142"/>
      <c r="KOB2018" s="142"/>
      <c r="KOC2018" s="142"/>
      <c r="KOD2018" s="142"/>
      <c r="KOE2018" s="142"/>
      <c r="KOF2018" s="142"/>
      <c r="KOG2018" s="142"/>
      <c r="KOH2018" s="142"/>
      <c r="KOI2018" s="142"/>
      <c r="KOJ2018" s="142"/>
      <c r="KOK2018" s="142"/>
      <c r="KOL2018" s="142"/>
      <c r="KOM2018" s="142"/>
      <c r="KON2018" s="142"/>
      <c r="KOO2018" s="142"/>
      <c r="KOP2018" s="142"/>
      <c r="KOQ2018" s="142"/>
      <c r="KOR2018" s="142"/>
      <c r="KOS2018" s="142"/>
      <c r="KOT2018" s="142"/>
      <c r="KOU2018" s="142"/>
      <c r="KOV2018" s="142"/>
      <c r="KOW2018" s="142"/>
      <c r="KOX2018" s="142"/>
      <c r="KOY2018" s="142"/>
      <c r="KOZ2018" s="142"/>
      <c r="KPA2018" s="142"/>
      <c r="KPB2018" s="142"/>
      <c r="KPC2018" s="142"/>
      <c r="KPD2018" s="142"/>
      <c r="KPE2018" s="142"/>
      <c r="KPF2018" s="142"/>
      <c r="KPG2018" s="142"/>
      <c r="KPH2018" s="142"/>
      <c r="KPI2018" s="142"/>
      <c r="KPJ2018" s="142"/>
      <c r="KPK2018" s="142"/>
      <c r="KPL2018" s="142"/>
      <c r="KPM2018" s="142"/>
      <c r="KPN2018" s="142"/>
      <c r="KPO2018" s="142"/>
      <c r="KPP2018" s="142"/>
      <c r="KPQ2018" s="142"/>
      <c r="KPR2018" s="142"/>
      <c r="KPS2018" s="142"/>
      <c r="KPT2018" s="142"/>
      <c r="KPU2018" s="142"/>
      <c r="KPV2018" s="142"/>
      <c r="KPW2018" s="142"/>
      <c r="KPX2018" s="142"/>
      <c r="KPY2018" s="142"/>
      <c r="KPZ2018" s="142"/>
      <c r="KQA2018" s="142"/>
      <c r="KQB2018" s="142"/>
      <c r="KQC2018" s="142"/>
      <c r="KQD2018" s="142"/>
      <c r="KQE2018" s="142"/>
      <c r="KQF2018" s="142"/>
      <c r="KQG2018" s="142"/>
      <c r="KQH2018" s="142"/>
      <c r="KQI2018" s="142"/>
      <c r="KQJ2018" s="142"/>
      <c r="KQK2018" s="142"/>
      <c r="KQL2018" s="142"/>
      <c r="KQM2018" s="142"/>
      <c r="KQN2018" s="142"/>
      <c r="KQO2018" s="142"/>
      <c r="KQP2018" s="142"/>
      <c r="KQQ2018" s="142"/>
      <c r="KQR2018" s="142"/>
      <c r="KQS2018" s="142"/>
      <c r="KQT2018" s="142"/>
      <c r="KQU2018" s="142"/>
      <c r="KQV2018" s="142"/>
      <c r="KQW2018" s="142"/>
      <c r="KQX2018" s="142"/>
      <c r="KQY2018" s="142"/>
      <c r="KQZ2018" s="142"/>
      <c r="KRA2018" s="142"/>
      <c r="KRB2018" s="142"/>
      <c r="KRC2018" s="142"/>
      <c r="KRD2018" s="142"/>
      <c r="KRE2018" s="142"/>
      <c r="KRF2018" s="142"/>
      <c r="KRG2018" s="142"/>
      <c r="KRH2018" s="142"/>
      <c r="KRI2018" s="142"/>
      <c r="KRJ2018" s="142"/>
      <c r="KRK2018" s="142"/>
      <c r="KRL2018" s="142"/>
      <c r="KRM2018" s="142"/>
      <c r="KRN2018" s="142"/>
      <c r="KRO2018" s="142"/>
      <c r="KRP2018" s="142"/>
      <c r="KRQ2018" s="142"/>
      <c r="KRR2018" s="142"/>
      <c r="KRS2018" s="142"/>
      <c r="KRT2018" s="142"/>
      <c r="KRU2018" s="142"/>
      <c r="KRV2018" s="142"/>
      <c r="KRW2018" s="142"/>
      <c r="KRX2018" s="142"/>
      <c r="KRY2018" s="142"/>
      <c r="KRZ2018" s="142"/>
      <c r="KSA2018" s="142"/>
      <c r="KSB2018" s="142"/>
      <c r="KSC2018" s="142"/>
      <c r="KSD2018" s="142"/>
      <c r="KSE2018" s="142"/>
      <c r="KSF2018" s="142"/>
      <c r="KSG2018" s="142"/>
      <c r="KSH2018" s="142"/>
      <c r="KSI2018" s="142"/>
      <c r="KSJ2018" s="142"/>
      <c r="KSK2018" s="142"/>
      <c r="KSL2018" s="142"/>
      <c r="KSM2018" s="142"/>
      <c r="KSN2018" s="142"/>
      <c r="KSO2018" s="142"/>
      <c r="KSP2018" s="142"/>
      <c r="KSQ2018" s="142"/>
      <c r="KSR2018" s="142"/>
      <c r="KSS2018" s="142"/>
      <c r="KST2018" s="142"/>
      <c r="KSU2018" s="142"/>
      <c r="KSV2018" s="142"/>
      <c r="KSW2018" s="142"/>
      <c r="KSX2018" s="142"/>
      <c r="KSY2018" s="142"/>
      <c r="KSZ2018" s="142"/>
      <c r="KTA2018" s="142"/>
      <c r="KTB2018" s="142"/>
      <c r="KTC2018" s="142"/>
      <c r="KTD2018" s="142"/>
      <c r="KTE2018" s="142"/>
      <c r="KTF2018" s="142"/>
      <c r="KTG2018" s="142"/>
      <c r="KTH2018" s="142"/>
      <c r="KTI2018" s="142"/>
      <c r="KTJ2018" s="142"/>
      <c r="KTK2018" s="142"/>
      <c r="KTL2018" s="142"/>
      <c r="KTM2018" s="142"/>
      <c r="KTN2018" s="142"/>
      <c r="KTO2018" s="142"/>
      <c r="KTP2018" s="142"/>
      <c r="KTQ2018" s="142"/>
      <c r="KTR2018" s="142"/>
      <c r="KTS2018" s="142"/>
      <c r="KTT2018" s="142"/>
      <c r="KTU2018" s="142"/>
      <c r="KTV2018" s="142"/>
      <c r="KTW2018" s="142"/>
      <c r="KTX2018" s="142"/>
      <c r="KTY2018" s="142"/>
      <c r="KTZ2018" s="142"/>
      <c r="KUA2018" s="142"/>
      <c r="KUB2018" s="142"/>
      <c r="KUC2018" s="142"/>
      <c r="KUD2018" s="142"/>
      <c r="KUE2018" s="142"/>
      <c r="KUF2018" s="142"/>
      <c r="KUG2018" s="142"/>
      <c r="KUH2018" s="142"/>
      <c r="KUI2018" s="142"/>
      <c r="KUJ2018" s="142"/>
      <c r="KUK2018" s="142"/>
      <c r="KUL2018" s="142"/>
      <c r="KUM2018" s="142"/>
      <c r="KUN2018" s="142"/>
      <c r="KUO2018" s="142"/>
      <c r="KUP2018" s="142"/>
      <c r="KUQ2018" s="142"/>
      <c r="KUR2018" s="142"/>
      <c r="KUS2018" s="142"/>
      <c r="KUT2018" s="142"/>
      <c r="KUU2018" s="142"/>
      <c r="KUV2018" s="142"/>
      <c r="KUW2018" s="142"/>
      <c r="KUX2018" s="142"/>
      <c r="KUY2018" s="142"/>
      <c r="KUZ2018" s="142"/>
      <c r="KVA2018" s="142"/>
      <c r="KVB2018" s="142"/>
      <c r="KVC2018" s="142"/>
      <c r="KVD2018" s="142"/>
      <c r="KVE2018" s="142"/>
      <c r="KVF2018" s="142"/>
      <c r="KVG2018" s="142"/>
      <c r="KVH2018" s="142"/>
      <c r="KVI2018" s="142"/>
      <c r="KVJ2018" s="142"/>
      <c r="KVK2018" s="142"/>
      <c r="KVL2018" s="142"/>
      <c r="KVM2018" s="142"/>
      <c r="KVN2018" s="142"/>
      <c r="KVO2018" s="142"/>
      <c r="KVP2018" s="142"/>
      <c r="KVQ2018" s="142"/>
      <c r="KVR2018" s="142"/>
      <c r="KVS2018" s="142"/>
      <c r="KVT2018" s="142"/>
      <c r="KVU2018" s="142"/>
      <c r="KVV2018" s="142"/>
      <c r="KVW2018" s="142"/>
      <c r="KVX2018" s="142"/>
      <c r="KVY2018" s="142"/>
      <c r="KVZ2018" s="142"/>
      <c r="KWA2018" s="142"/>
      <c r="KWB2018" s="142"/>
      <c r="KWC2018" s="142"/>
      <c r="KWD2018" s="142"/>
      <c r="KWE2018" s="142"/>
      <c r="KWF2018" s="142"/>
      <c r="KWG2018" s="142"/>
      <c r="KWH2018" s="142"/>
      <c r="KWI2018" s="142"/>
      <c r="KWJ2018" s="142"/>
      <c r="KWK2018" s="142"/>
      <c r="KWL2018" s="142"/>
      <c r="KWM2018" s="142"/>
      <c r="KWN2018" s="142"/>
      <c r="KWO2018" s="142"/>
      <c r="KWP2018" s="142"/>
      <c r="KWQ2018" s="142"/>
      <c r="KWR2018" s="142"/>
      <c r="KWS2018" s="142"/>
      <c r="KWT2018" s="142"/>
      <c r="KWU2018" s="142"/>
      <c r="KWV2018" s="142"/>
      <c r="KWW2018" s="142"/>
      <c r="KWX2018" s="142"/>
      <c r="KWY2018" s="142"/>
      <c r="KWZ2018" s="142"/>
      <c r="KXA2018" s="142"/>
      <c r="KXB2018" s="142"/>
      <c r="KXC2018" s="142"/>
      <c r="KXD2018" s="142"/>
      <c r="KXE2018" s="142"/>
      <c r="KXF2018" s="142"/>
      <c r="KXG2018" s="142"/>
      <c r="KXH2018" s="142"/>
      <c r="KXI2018" s="142"/>
      <c r="KXJ2018" s="142"/>
      <c r="KXK2018" s="142"/>
      <c r="KXL2018" s="142"/>
      <c r="KXM2018" s="142"/>
      <c r="KXN2018" s="142"/>
      <c r="KXO2018" s="142"/>
      <c r="KXP2018" s="142"/>
      <c r="KXQ2018" s="142"/>
      <c r="KXR2018" s="142"/>
      <c r="KXS2018" s="142"/>
      <c r="KXT2018" s="142"/>
      <c r="KXU2018" s="142"/>
      <c r="KXV2018" s="142"/>
      <c r="KXW2018" s="142"/>
      <c r="KXX2018" s="142"/>
      <c r="KXY2018" s="142"/>
      <c r="KXZ2018" s="142"/>
      <c r="KYA2018" s="142"/>
      <c r="KYB2018" s="142"/>
      <c r="KYC2018" s="142"/>
      <c r="KYD2018" s="142"/>
      <c r="KYE2018" s="142"/>
      <c r="KYF2018" s="142"/>
      <c r="KYG2018" s="142"/>
      <c r="KYH2018" s="142"/>
      <c r="KYI2018" s="142"/>
      <c r="KYJ2018" s="142"/>
      <c r="KYK2018" s="142"/>
      <c r="KYL2018" s="142"/>
      <c r="KYM2018" s="142"/>
      <c r="KYN2018" s="142"/>
      <c r="KYO2018" s="142"/>
      <c r="KYP2018" s="142"/>
      <c r="KYQ2018" s="142"/>
      <c r="KYR2018" s="142"/>
      <c r="KYS2018" s="142"/>
      <c r="KYT2018" s="142"/>
      <c r="KYU2018" s="142"/>
      <c r="KYV2018" s="142"/>
      <c r="KYW2018" s="142"/>
      <c r="KYX2018" s="142"/>
      <c r="KYY2018" s="142"/>
      <c r="KYZ2018" s="142"/>
      <c r="KZA2018" s="142"/>
      <c r="KZB2018" s="142"/>
      <c r="KZC2018" s="142"/>
      <c r="KZD2018" s="142"/>
      <c r="KZE2018" s="142"/>
      <c r="KZF2018" s="142"/>
      <c r="KZG2018" s="142"/>
      <c r="KZH2018" s="142"/>
      <c r="KZI2018" s="142"/>
      <c r="KZJ2018" s="142"/>
      <c r="KZK2018" s="142"/>
      <c r="KZL2018" s="142"/>
      <c r="KZM2018" s="142"/>
      <c r="KZN2018" s="142"/>
      <c r="KZO2018" s="142"/>
      <c r="KZP2018" s="142"/>
      <c r="KZQ2018" s="142"/>
      <c r="KZR2018" s="142"/>
      <c r="KZS2018" s="142"/>
      <c r="KZT2018" s="142"/>
      <c r="KZU2018" s="142"/>
      <c r="KZV2018" s="142"/>
      <c r="KZW2018" s="142"/>
      <c r="KZX2018" s="142"/>
      <c r="KZY2018" s="142"/>
      <c r="KZZ2018" s="142"/>
      <c r="LAA2018" s="142"/>
      <c r="LAB2018" s="142"/>
      <c r="LAC2018" s="142"/>
      <c r="LAD2018" s="142"/>
      <c r="LAE2018" s="142"/>
      <c r="LAF2018" s="142"/>
      <c r="LAG2018" s="142"/>
      <c r="LAH2018" s="142"/>
      <c r="LAI2018" s="142"/>
      <c r="LAJ2018" s="142"/>
      <c r="LAK2018" s="142"/>
      <c r="LAL2018" s="142"/>
      <c r="LAM2018" s="142"/>
      <c r="LAN2018" s="142"/>
      <c r="LAO2018" s="142"/>
      <c r="LAP2018" s="142"/>
      <c r="LAQ2018" s="142"/>
      <c r="LAR2018" s="142"/>
      <c r="LAS2018" s="142"/>
      <c r="LAT2018" s="142"/>
      <c r="LAU2018" s="142"/>
      <c r="LAV2018" s="142"/>
      <c r="LAW2018" s="142"/>
      <c r="LAX2018" s="142"/>
      <c r="LAY2018" s="142"/>
      <c r="LAZ2018" s="142"/>
      <c r="LBA2018" s="142"/>
      <c r="LBB2018" s="142"/>
      <c r="LBC2018" s="142"/>
      <c r="LBD2018" s="142"/>
      <c r="LBE2018" s="142"/>
      <c r="LBF2018" s="142"/>
      <c r="LBG2018" s="142"/>
      <c r="LBH2018" s="142"/>
      <c r="LBI2018" s="142"/>
      <c r="LBJ2018" s="142"/>
      <c r="LBK2018" s="142"/>
      <c r="LBL2018" s="142"/>
      <c r="LBM2018" s="142"/>
      <c r="LBN2018" s="142"/>
      <c r="LBO2018" s="142"/>
      <c r="LBP2018" s="142"/>
      <c r="LBQ2018" s="142"/>
      <c r="LBR2018" s="142"/>
      <c r="LBS2018" s="142"/>
      <c r="LBT2018" s="142"/>
      <c r="LBU2018" s="142"/>
      <c r="LBV2018" s="142"/>
      <c r="LBW2018" s="142"/>
      <c r="LBX2018" s="142"/>
      <c r="LBY2018" s="142"/>
      <c r="LBZ2018" s="142"/>
      <c r="LCA2018" s="142"/>
      <c r="LCB2018" s="142"/>
      <c r="LCC2018" s="142"/>
      <c r="LCD2018" s="142"/>
      <c r="LCE2018" s="142"/>
      <c r="LCF2018" s="142"/>
      <c r="LCG2018" s="142"/>
      <c r="LCH2018" s="142"/>
      <c r="LCI2018" s="142"/>
      <c r="LCJ2018" s="142"/>
      <c r="LCK2018" s="142"/>
      <c r="LCL2018" s="142"/>
      <c r="LCM2018" s="142"/>
      <c r="LCN2018" s="142"/>
      <c r="LCO2018" s="142"/>
      <c r="LCP2018" s="142"/>
      <c r="LCQ2018" s="142"/>
      <c r="LCR2018" s="142"/>
      <c r="LCS2018" s="142"/>
      <c r="LCT2018" s="142"/>
      <c r="LCU2018" s="142"/>
      <c r="LCV2018" s="142"/>
      <c r="LCW2018" s="142"/>
      <c r="LCX2018" s="142"/>
      <c r="LCY2018" s="142"/>
      <c r="LCZ2018" s="142"/>
      <c r="LDA2018" s="142"/>
      <c r="LDB2018" s="142"/>
      <c r="LDC2018" s="142"/>
      <c r="LDD2018" s="142"/>
      <c r="LDE2018" s="142"/>
      <c r="LDF2018" s="142"/>
      <c r="LDG2018" s="142"/>
      <c r="LDH2018" s="142"/>
      <c r="LDI2018" s="142"/>
      <c r="LDJ2018" s="142"/>
      <c r="LDK2018" s="142"/>
      <c r="LDL2018" s="142"/>
      <c r="LDM2018" s="142"/>
      <c r="LDN2018" s="142"/>
      <c r="LDO2018" s="142"/>
      <c r="LDP2018" s="142"/>
      <c r="LDQ2018" s="142"/>
      <c r="LDR2018" s="142"/>
      <c r="LDS2018" s="142"/>
      <c r="LDT2018" s="142"/>
      <c r="LDU2018" s="142"/>
      <c r="LDV2018" s="142"/>
      <c r="LDW2018" s="142"/>
      <c r="LDX2018" s="142"/>
      <c r="LDY2018" s="142"/>
      <c r="LDZ2018" s="142"/>
      <c r="LEA2018" s="142"/>
      <c r="LEB2018" s="142"/>
      <c r="LEC2018" s="142"/>
      <c r="LED2018" s="142"/>
      <c r="LEE2018" s="142"/>
      <c r="LEF2018" s="142"/>
      <c r="LEG2018" s="142"/>
      <c r="LEH2018" s="142"/>
      <c r="LEI2018" s="142"/>
      <c r="LEJ2018" s="142"/>
      <c r="LEK2018" s="142"/>
      <c r="LEL2018" s="142"/>
      <c r="LEM2018" s="142"/>
      <c r="LEN2018" s="142"/>
      <c r="LEO2018" s="142"/>
      <c r="LEP2018" s="142"/>
      <c r="LEQ2018" s="142"/>
      <c r="LER2018" s="142"/>
      <c r="LES2018" s="142"/>
      <c r="LET2018" s="142"/>
      <c r="LEU2018" s="142"/>
      <c r="LEV2018" s="142"/>
      <c r="LEW2018" s="142"/>
      <c r="LEX2018" s="142"/>
      <c r="LEY2018" s="142"/>
      <c r="LEZ2018" s="142"/>
      <c r="LFA2018" s="142"/>
      <c r="LFB2018" s="142"/>
      <c r="LFC2018" s="142"/>
      <c r="LFD2018" s="142"/>
      <c r="LFE2018" s="142"/>
      <c r="LFF2018" s="142"/>
      <c r="LFG2018" s="142"/>
      <c r="LFH2018" s="142"/>
      <c r="LFI2018" s="142"/>
      <c r="LFJ2018" s="142"/>
      <c r="LFK2018" s="142"/>
      <c r="LFL2018" s="142"/>
      <c r="LFM2018" s="142"/>
      <c r="LFN2018" s="142"/>
      <c r="LFO2018" s="142"/>
      <c r="LFP2018" s="142"/>
      <c r="LFQ2018" s="142"/>
      <c r="LFR2018" s="142"/>
      <c r="LFS2018" s="142"/>
      <c r="LFT2018" s="142"/>
      <c r="LFU2018" s="142"/>
      <c r="LFV2018" s="142"/>
      <c r="LFW2018" s="142"/>
      <c r="LFX2018" s="142"/>
      <c r="LFY2018" s="142"/>
      <c r="LFZ2018" s="142"/>
      <c r="LGA2018" s="142"/>
      <c r="LGB2018" s="142"/>
      <c r="LGC2018" s="142"/>
      <c r="LGD2018" s="142"/>
      <c r="LGE2018" s="142"/>
      <c r="LGF2018" s="142"/>
      <c r="LGG2018" s="142"/>
      <c r="LGH2018" s="142"/>
      <c r="LGI2018" s="142"/>
      <c r="LGJ2018" s="142"/>
      <c r="LGK2018" s="142"/>
      <c r="LGL2018" s="142"/>
      <c r="LGM2018" s="142"/>
      <c r="LGN2018" s="142"/>
      <c r="LGO2018" s="142"/>
      <c r="LGP2018" s="142"/>
      <c r="LGQ2018" s="142"/>
      <c r="LGR2018" s="142"/>
      <c r="LGS2018" s="142"/>
      <c r="LGT2018" s="142"/>
      <c r="LGU2018" s="142"/>
      <c r="LGV2018" s="142"/>
      <c r="LGW2018" s="142"/>
      <c r="LGX2018" s="142"/>
      <c r="LGY2018" s="142"/>
      <c r="LGZ2018" s="142"/>
      <c r="LHA2018" s="142"/>
      <c r="LHB2018" s="142"/>
      <c r="LHC2018" s="142"/>
      <c r="LHD2018" s="142"/>
      <c r="LHE2018" s="142"/>
      <c r="LHF2018" s="142"/>
      <c r="LHG2018" s="142"/>
      <c r="LHH2018" s="142"/>
      <c r="LHI2018" s="142"/>
      <c r="LHJ2018" s="142"/>
      <c r="LHK2018" s="142"/>
      <c r="LHL2018" s="142"/>
      <c r="LHM2018" s="142"/>
      <c r="LHN2018" s="142"/>
      <c r="LHO2018" s="142"/>
      <c r="LHP2018" s="142"/>
      <c r="LHQ2018" s="142"/>
      <c r="LHR2018" s="142"/>
      <c r="LHS2018" s="142"/>
      <c r="LHT2018" s="142"/>
      <c r="LHU2018" s="142"/>
      <c r="LHV2018" s="142"/>
      <c r="LHW2018" s="142"/>
      <c r="LHX2018" s="142"/>
      <c r="LHY2018" s="142"/>
      <c r="LHZ2018" s="142"/>
      <c r="LIA2018" s="142"/>
      <c r="LIB2018" s="142"/>
      <c r="LIC2018" s="142"/>
      <c r="LID2018" s="142"/>
      <c r="LIE2018" s="142"/>
      <c r="LIF2018" s="142"/>
      <c r="LIG2018" s="142"/>
      <c r="LIH2018" s="142"/>
      <c r="LII2018" s="142"/>
      <c r="LIJ2018" s="142"/>
      <c r="LIK2018" s="142"/>
      <c r="LIL2018" s="142"/>
      <c r="LIM2018" s="142"/>
      <c r="LIN2018" s="142"/>
      <c r="LIO2018" s="142"/>
      <c r="LIP2018" s="142"/>
      <c r="LIQ2018" s="142"/>
      <c r="LIR2018" s="142"/>
      <c r="LIS2018" s="142"/>
      <c r="LIT2018" s="142"/>
      <c r="LIU2018" s="142"/>
      <c r="LIV2018" s="142"/>
      <c r="LIW2018" s="142"/>
      <c r="LIX2018" s="142"/>
      <c r="LIY2018" s="142"/>
      <c r="LIZ2018" s="142"/>
      <c r="LJA2018" s="142"/>
      <c r="LJB2018" s="142"/>
      <c r="LJC2018" s="142"/>
      <c r="LJD2018" s="142"/>
      <c r="LJE2018" s="142"/>
      <c r="LJF2018" s="142"/>
      <c r="LJG2018" s="142"/>
      <c r="LJH2018" s="142"/>
      <c r="LJI2018" s="142"/>
      <c r="LJJ2018" s="142"/>
      <c r="LJK2018" s="142"/>
      <c r="LJL2018" s="142"/>
      <c r="LJM2018" s="142"/>
      <c r="LJN2018" s="142"/>
      <c r="LJO2018" s="142"/>
      <c r="LJP2018" s="142"/>
      <c r="LJQ2018" s="142"/>
      <c r="LJR2018" s="142"/>
      <c r="LJS2018" s="142"/>
      <c r="LJT2018" s="142"/>
      <c r="LJU2018" s="142"/>
      <c r="LJV2018" s="142"/>
      <c r="LJW2018" s="142"/>
      <c r="LJX2018" s="142"/>
      <c r="LJY2018" s="142"/>
      <c r="LJZ2018" s="142"/>
      <c r="LKA2018" s="142"/>
      <c r="LKB2018" s="142"/>
      <c r="LKC2018" s="142"/>
      <c r="LKD2018" s="142"/>
      <c r="LKE2018" s="142"/>
      <c r="LKF2018" s="142"/>
      <c r="LKG2018" s="142"/>
      <c r="LKH2018" s="142"/>
      <c r="LKI2018" s="142"/>
      <c r="LKJ2018" s="142"/>
      <c r="LKK2018" s="142"/>
      <c r="LKL2018" s="142"/>
      <c r="LKM2018" s="142"/>
      <c r="LKN2018" s="142"/>
      <c r="LKO2018" s="142"/>
      <c r="LKP2018" s="142"/>
      <c r="LKQ2018" s="142"/>
      <c r="LKR2018" s="142"/>
      <c r="LKS2018" s="142"/>
      <c r="LKT2018" s="142"/>
      <c r="LKU2018" s="142"/>
      <c r="LKV2018" s="142"/>
      <c r="LKW2018" s="142"/>
      <c r="LKX2018" s="142"/>
      <c r="LKY2018" s="142"/>
      <c r="LKZ2018" s="142"/>
      <c r="LLA2018" s="142"/>
      <c r="LLB2018" s="142"/>
      <c r="LLC2018" s="142"/>
      <c r="LLD2018" s="142"/>
      <c r="LLE2018" s="142"/>
      <c r="LLF2018" s="142"/>
      <c r="LLG2018" s="142"/>
      <c r="LLH2018" s="142"/>
      <c r="LLI2018" s="142"/>
      <c r="LLJ2018" s="142"/>
      <c r="LLK2018" s="142"/>
      <c r="LLL2018" s="142"/>
      <c r="LLM2018" s="142"/>
      <c r="LLN2018" s="142"/>
      <c r="LLO2018" s="142"/>
      <c r="LLP2018" s="142"/>
      <c r="LLQ2018" s="142"/>
      <c r="LLR2018" s="142"/>
      <c r="LLS2018" s="142"/>
      <c r="LLT2018" s="142"/>
      <c r="LLU2018" s="142"/>
      <c r="LLV2018" s="142"/>
      <c r="LLW2018" s="142"/>
      <c r="LLX2018" s="142"/>
      <c r="LLY2018" s="142"/>
      <c r="LLZ2018" s="142"/>
      <c r="LMA2018" s="142"/>
      <c r="LMB2018" s="142"/>
      <c r="LMC2018" s="142"/>
      <c r="LMD2018" s="142"/>
      <c r="LME2018" s="142"/>
      <c r="LMF2018" s="142"/>
      <c r="LMG2018" s="142"/>
      <c r="LMH2018" s="142"/>
      <c r="LMI2018" s="142"/>
      <c r="LMJ2018" s="142"/>
      <c r="LMK2018" s="142"/>
      <c r="LML2018" s="142"/>
      <c r="LMM2018" s="142"/>
      <c r="LMN2018" s="142"/>
      <c r="LMO2018" s="142"/>
      <c r="LMP2018" s="142"/>
      <c r="LMQ2018" s="142"/>
      <c r="LMR2018" s="142"/>
      <c r="LMS2018" s="142"/>
      <c r="LMT2018" s="142"/>
      <c r="LMU2018" s="142"/>
      <c r="LMV2018" s="142"/>
      <c r="LMW2018" s="142"/>
      <c r="LMX2018" s="142"/>
      <c r="LMY2018" s="142"/>
      <c r="LMZ2018" s="142"/>
      <c r="LNA2018" s="142"/>
      <c r="LNB2018" s="142"/>
      <c r="LNC2018" s="142"/>
      <c r="LND2018" s="142"/>
      <c r="LNE2018" s="142"/>
      <c r="LNF2018" s="142"/>
      <c r="LNG2018" s="142"/>
      <c r="LNH2018" s="142"/>
      <c r="LNI2018" s="142"/>
      <c r="LNJ2018" s="142"/>
      <c r="LNK2018" s="142"/>
      <c r="LNL2018" s="142"/>
      <c r="LNM2018" s="142"/>
      <c r="LNN2018" s="142"/>
      <c r="LNO2018" s="142"/>
      <c r="LNP2018" s="142"/>
      <c r="LNQ2018" s="142"/>
      <c r="LNR2018" s="142"/>
      <c r="LNS2018" s="142"/>
      <c r="LNT2018" s="142"/>
      <c r="LNU2018" s="142"/>
      <c r="LNV2018" s="142"/>
      <c r="LNW2018" s="142"/>
      <c r="LNX2018" s="142"/>
      <c r="LNY2018" s="142"/>
      <c r="LNZ2018" s="142"/>
      <c r="LOA2018" s="142"/>
      <c r="LOB2018" s="142"/>
      <c r="LOC2018" s="142"/>
      <c r="LOD2018" s="142"/>
      <c r="LOE2018" s="142"/>
      <c r="LOF2018" s="142"/>
      <c r="LOG2018" s="142"/>
      <c r="LOH2018" s="142"/>
      <c r="LOI2018" s="142"/>
      <c r="LOJ2018" s="142"/>
      <c r="LOK2018" s="142"/>
      <c r="LOL2018" s="142"/>
      <c r="LOM2018" s="142"/>
      <c r="LON2018" s="142"/>
      <c r="LOO2018" s="142"/>
      <c r="LOP2018" s="142"/>
      <c r="LOQ2018" s="142"/>
      <c r="LOR2018" s="142"/>
      <c r="LOS2018" s="142"/>
      <c r="LOT2018" s="142"/>
      <c r="LOU2018" s="142"/>
      <c r="LOV2018" s="142"/>
      <c r="LOW2018" s="142"/>
      <c r="LOX2018" s="142"/>
      <c r="LOY2018" s="142"/>
      <c r="LOZ2018" s="142"/>
      <c r="LPA2018" s="142"/>
      <c r="LPB2018" s="142"/>
      <c r="LPC2018" s="142"/>
      <c r="LPD2018" s="142"/>
      <c r="LPE2018" s="142"/>
      <c r="LPF2018" s="142"/>
      <c r="LPG2018" s="142"/>
      <c r="LPH2018" s="142"/>
      <c r="LPI2018" s="142"/>
      <c r="LPJ2018" s="142"/>
      <c r="LPK2018" s="142"/>
      <c r="LPL2018" s="142"/>
      <c r="LPM2018" s="142"/>
      <c r="LPN2018" s="142"/>
      <c r="LPO2018" s="142"/>
      <c r="LPP2018" s="142"/>
      <c r="LPQ2018" s="142"/>
      <c r="LPR2018" s="142"/>
      <c r="LPS2018" s="142"/>
      <c r="LPT2018" s="142"/>
      <c r="LPU2018" s="142"/>
      <c r="LPV2018" s="142"/>
      <c r="LPW2018" s="142"/>
      <c r="LPX2018" s="142"/>
      <c r="LPY2018" s="142"/>
      <c r="LPZ2018" s="142"/>
      <c r="LQA2018" s="142"/>
      <c r="LQB2018" s="142"/>
      <c r="LQC2018" s="142"/>
      <c r="LQD2018" s="142"/>
      <c r="LQE2018" s="142"/>
      <c r="LQF2018" s="142"/>
      <c r="LQG2018" s="142"/>
      <c r="LQH2018" s="142"/>
      <c r="LQI2018" s="142"/>
      <c r="LQJ2018" s="142"/>
      <c r="LQK2018" s="142"/>
      <c r="LQL2018" s="142"/>
      <c r="LQM2018" s="142"/>
      <c r="LQN2018" s="142"/>
      <c r="LQO2018" s="142"/>
      <c r="LQP2018" s="142"/>
      <c r="LQQ2018" s="142"/>
      <c r="LQR2018" s="142"/>
      <c r="LQS2018" s="142"/>
      <c r="LQT2018" s="142"/>
      <c r="LQU2018" s="142"/>
      <c r="LQV2018" s="142"/>
      <c r="LQW2018" s="142"/>
      <c r="LQX2018" s="142"/>
      <c r="LQY2018" s="142"/>
      <c r="LQZ2018" s="142"/>
      <c r="LRA2018" s="142"/>
      <c r="LRB2018" s="142"/>
      <c r="LRC2018" s="142"/>
      <c r="LRD2018" s="142"/>
      <c r="LRE2018" s="142"/>
      <c r="LRF2018" s="142"/>
      <c r="LRG2018" s="142"/>
      <c r="LRH2018" s="142"/>
      <c r="LRI2018" s="142"/>
      <c r="LRJ2018" s="142"/>
      <c r="LRK2018" s="142"/>
      <c r="LRL2018" s="142"/>
      <c r="LRM2018" s="142"/>
      <c r="LRN2018" s="142"/>
      <c r="LRO2018" s="142"/>
      <c r="LRP2018" s="142"/>
      <c r="LRQ2018" s="142"/>
      <c r="LRR2018" s="142"/>
      <c r="LRS2018" s="142"/>
      <c r="LRT2018" s="142"/>
      <c r="LRU2018" s="142"/>
      <c r="LRV2018" s="142"/>
      <c r="LRW2018" s="142"/>
      <c r="LRX2018" s="142"/>
      <c r="LRY2018" s="142"/>
      <c r="LRZ2018" s="142"/>
      <c r="LSA2018" s="142"/>
      <c r="LSB2018" s="142"/>
      <c r="LSC2018" s="142"/>
      <c r="LSD2018" s="142"/>
      <c r="LSE2018" s="142"/>
      <c r="LSF2018" s="142"/>
      <c r="LSG2018" s="142"/>
      <c r="LSH2018" s="142"/>
      <c r="LSI2018" s="142"/>
      <c r="LSJ2018" s="142"/>
      <c r="LSK2018" s="142"/>
      <c r="LSL2018" s="142"/>
      <c r="LSM2018" s="142"/>
      <c r="LSN2018" s="142"/>
      <c r="LSO2018" s="142"/>
      <c r="LSP2018" s="142"/>
      <c r="LSQ2018" s="142"/>
      <c r="LSR2018" s="142"/>
      <c r="LSS2018" s="142"/>
      <c r="LST2018" s="142"/>
      <c r="LSU2018" s="142"/>
      <c r="LSV2018" s="142"/>
      <c r="LSW2018" s="142"/>
      <c r="LSX2018" s="142"/>
      <c r="LSY2018" s="142"/>
      <c r="LSZ2018" s="142"/>
      <c r="LTA2018" s="142"/>
      <c r="LTB2018" s="142"/>
      <c r="LTC2018" s="142"/>
      <c r="LTD2018" s="142"/>
      <c r="LTE2018" s="142"/>
      <c r="LTF2018" s="142"/>
      <c r="LTG2018" s="142"/>
      <c r="LTH2018" s="142"/>
      <c r="LTI2018" s="142"/>
      <c r="LTJ2018" s="142"/>
      <c r="LTK2018" s="142"/>
      <c r="LTL2018" s="142"/>
      <c r="LTM2018" s="142"/>
      <c r="LTN2018" s="142"/>
      <c r="LTO2018" s="142"/>
      <c r="LTP2018" s="142"/>
      <c r="LTQ2018" s="142"/>
      <c r="LTR2018" s="142"/>
      <c r="LTS2018" s="142"/>
      <c r="LTT2018" s="142"/>
      <c r="LTU2018" s="142"/>
      <c r="LTV2018" s="142"/>
      <c r="LTW2018" s="142"/>
      <c r="LTX2018" s="142"/>
      <c r="LTY2018" s="142"/>
      <c r="LTZ2018" s="142"/>
      <c r="LUA2018" s="142"/>
      <c r="LUB2018" s="142"/>
      <c r="LUC2018" s="142"/>
      <c r="LUD2018" s="142"/>
      <c r="LUE2018" s="142"/>
      <c r="LUF2018" s="142"/>
      <c r="LUG2018" s="142"/>
      <c r="LUH2018" s="142"/>
      <c r="LUI2018" s="142"/>
      <c r="LUJ2018" s="142"/>
      <c r="LUK2018" s="142"/>
      <c r="LUL2018" s="142"/>
      <c r="LUM2018" s="142"/>
      <c r="LUN2018" s="142"/>
      <c r="LUO2018" s="142"/>
      <c r="LUP2018" s="142"/>
      <c r="LUQ2018" s="142"/>
      <c r="LUR2018" s="142"/>
      <c r="LUS2018" s="142"/>
      <c r="LUT2018" s="142"/>
      <c r="LUU2018" s="142"/>
      <c r="LUV2018" s="142"/>
      <c r="LUW2018" s="142"/>
      <c r="LUX2018" s="142"/>
      <c r="LUY2018" s="142"/>
      <c r="LUZ2018" s="142"/>
      <c r="LVA2018" s="142"/>
      <c r="LVB2018" s="142"/>
      <c r="LVC2018" s="142"/>
      <c r="LVD2018" s="142"/>
      <c r="LVE2018" s="142"/>
      <c r="LVF2018" s="142"/>
      <c r="LVG2018" s="142"/>
      <c r="LVH2018" s="142"/>
      <c r="LVI2018" s="142"/>
      <c r="LVJ2018" s="142"/>
      <c r="LVK2018" s="142"/>
      <c r="LVL2018" s="142"/>
      <c r="LVM2018" s="142"/>
      <c r="LVN2018" s="142"/>
      <c r="LVO2018" s="142"/>
      <c r="LVP2018" s="142"/>
      <c r="LVQ2018" s="142"/>
      <c r="LVR2018" s="142"/>
      <c r="LVS2018" s="142"/>
      <c r="LVT2018" s="142"/>
      <c r="LVU2018" s="142"/>
      <c r="LVV2018" s="142"/>
      <c r="LVW2018" s="142"/>
      <c r="LVX2018" s="142"/>
      <c r="LVY2018" s="142"/>
      <c r="LVZ2018" s="142"/>
      <c r="LWA2018" s="142"/>
      <c r="LWB2018" s="142"/>
      <c r="LWC2018" s="142"/>
      <c r="LWD2018" s="142"/>
      <c r="LWE2018" s="142"/>
      <c r="LWF2018" s="142"/>
      <c r="LWG2018" s="142"/>
      <c r="LWH2018" s="142"/>
      <c r="LWI2018" s="142"/>
      <c r="LWJ2018" s="142"/>
      <c r="LWK2018" s="142"/>
      <c r="LWL2018" s="142"/>
      <c r="LWM2018" s="142"/>
      <c r="LWN2018" s="142"/>
      <c r="LWO2018" s="142"/>
      <c r="LWP2018" s="142"/>
      <c r="LWQ2018" s="142"/>
      <c r="LWR2018" s="142"/>
      <c r="LWS2018" s="142"/>
      <c r="LWT2018" s="142"/>
      <c r="LWU2018" s="142"/>
      <c r="LWV2018" s="142"/>
      <c r="LWW2018" s="142"/>
      <c r="LWX2018" s="142"/>
      <c r="LWY2018" s="142"/>
      <c r="LWZ2018" s="142"/>
      <c r="LXA2018" s="142"/>
      <c r="LXB2018" s="142"/>
      <c r="LXC2018" s="142"/>
      <c r="LXD2018" s="142"/>
      <c r="LXE2018" s="142"/>
      <c r="LXF2018" s="142"/>
      <c r="LXG2018" s="142"/>
      <c r="LXH2018" s="142"/>
      <c r="LXI2018" s="142"/>
      <c r="LXJ2018" s="142"/>
      <c r="LXK2018" s="142"/>
      <c r="LXL2018" s="142"/>
      <c r="LXM2018" s="142"/>
      <c r="LXN2018" s="142"/>
      <c r="LXO2018" s="142"/>
      <c r="LXP2018" s="142"/>
      <c r="LXQ2018" s="142"/>
      <c r="LXR2018" s="142"/>
      <c r="LXS2018" s="142"/>
      <c r="LXT2018" s="142"/>
      <c r="LXU2018" s="142"/>
      <c r="LXV2018" s="142"/>
      <c r="LXW2018" s="142"/>
      <c r="LXX2018" s="142"/>
      <c r="LXY2018" s="142"/>
      <c r="LXZ2018" s="142"/>
      <c r="LYA2018" s="142"/>
      <c r="LYB2018" s="142"/>
      <c r="LYC2018" s="142"/>
      <c r="LYD2018" s="142"/>
      <c r="LYE2018" s="142"/>
      <c r="LYF2018" s="142"/>
      <c r="LYG2018" s="142"/>
      <c r="LYH2018" s="142"/>
      <c r="LYI2018" s="142"/>
      <c r="LYJ2018" s="142"/>
      <c r="LYK2018" s="142"/>
      <c r="LYL2018" s="142"/>
      <c r="LYM2018" s="142"/>
      <c r="LYN2018" s="142"/>
      <c r="LYO2018" s="142"/>
      <c r="LYP2018" s="142"/>
      <c r="LYQ2018" s="142"/>
      <c r="LYR2018" s="142"/>
      <c r="LYS2018" s="142"/>
      <c r="LYT2018" s="142"/>
      <c r="LYU2018" s="142"/>
      <c r="LYV2018" s="142"/>
      <c r="LYW2018" s="142"/>
      <c r="LYX2018" s="142"/>
      <c r="LYY2018" s="142"/>
      <c r="LYZ2018" s="142"/>
      <c r="LZA2018" s="142"/>
      <c r="LZB2018" s="142"/>
      <c r="LZC2018" s="142"/>
      <c r="LZD2018" s="142"/>
      <c r="LZE2018" s="142"/>
      <c r="LZF2018" s="142"/>
      <c r="LZG2018" s="142"/>
      <c r="LZH2018" s="142"/>
      <c r="LZI2018" s="142"/>
      <c r="LZJ2018" s="142"/>
      <c r="LZK2018" s="142"/>
      <c r="LZL2018" s="142"/>
      <c r="LZM2018" s="142"/>
      <c r="LZN2018" s="142"/>
      <c r="LZO2018" s="142"/>
      <c r="LZP2018" s="142"/>
      <c r="LZQ2018" s="142"/>
      <c r="LZR2018" s="142"/>
      <c r="LZS2018" s="142"/>
      <c r="LZT2018" s="142"/>
      <c r="LZU2018" s="142"/>
      <c r="LZV2018" s="142"/>
      <c r="LZW2018" s="142"/>
      <c r="LZX2018" s="142"/>
      <c r="LZY2018" s="142"/>
      <c r="LZZ2018" s="142"/>
      <c r="MAA2018" s="142"/>
      <c r="MAB2018" s="142"/>
      <c r="MAC2018" s="142"/>
      <c r="MAD2018" s="142"/>
      <c r="MAE2018" s="142"/>
      <c r="MAF2018" s="142"/>
      <c r="MAG2018" s="142"/>
      <c r="MAH2018" s="142"/>
      <c r="MAI2018" s="142"/>
      <c r="MAJ2018" s="142"/>
      <c r="MAK2018" s="142"/>
      <c r="MAL2018" s="142"/>
      <c r="MAM2018" s="142"/>
      <c r="MAN2018" s="142"/>
      <c r="MAO2018" s="142"/>
      <c r="MAP2018" s="142"/>
      <c r="MAQ2018" s="142"/>
      <c r="MAR2018" s="142"/>
      <c r="MAS2018" s="142"/>
      <c r="MAT2018" s="142"/>
      <c r="MAU2018" s="142"/>
      <c r="MAV2018" s="142"/>
      <c r="MAW2018" s="142"/>
      <c r="MAX2018" s="142"/>
      <c r="MAY2018" s="142"/>
      <c r="MAZ2018" s="142"/>
      <c r="MBA2018" s="142"/>
      <c r="MBB2018" s="142"/>
      <c r="MBC2018" s="142"/>
      <c r="MBD2018" s="142"/>
      <c r="MBE2018" s="142"/>
      <c r="MBF2018" s="142"/>
      <c r="MBG2018" s="142"/>
      <c r="MBH2018" s="142"/>
      <c r="MBI2018" s="142"/>
      <c r="MBJ2018" s="142"/>
      <c r="MBK2018" s="142"/>
      <c r="MBL2018" s="142"/>
      <c r="MBM2018" s="142"/>
      <c r="MBN2018" s="142"/>
      <c r="MBO2018" s="142"/>
      <c r="MBP2018" s="142"/>
      <c r="MBQ2018" s="142"/>
      <c r="MBR2018" s="142"/>
      <c r="MBS2018" s="142"/>
      <c r="MBT2018" s="142"/>
      <c r="MBU2018" s="142"/>
      <c r="MBV2018" s="142"/>
      <c r="MBW2018" s="142"/>
      <c r="MBX2018" s="142"/>
      <c r="MBY2018" s="142"/>
      <c r="MBZ2018" s="142"/>
      <c r="MCA2018" s="142"/>
      <c r="MCB2018" s="142"/>
      <c r="MCC2018" s="142"/>
      <c r="MCD2018" s="142"/>
      <c r="MCE2018" s="142"/>
      <c r="MCF2018" s="142"/>
      <c r="MCG2018" s="142"/>
      <c r="MCH2018" s="142"/>
      <c r="MCI2018" s="142"/>
      <c r="MCJ2018" s="142"/>
      <c r="MCK2018" s="142"/>
      <c r="MCL2018" s="142"/>
      <c r="MCM2018" s="142"/>
      <c r="MCN2018" s="142"/>
      <c r="MCO2018" s="142"/>
      <c r="MCP2018" s="142"/>
      <c r="MCQ2018" s="142"/>
      <c r="MCR2018" s="142"/>
      <c r="MCS2018" s="142"/>
      <c r="MCT2018" s="142"/>
      <c r="MCU2018" s="142"/>
      <c r="MCV2018" s="142"/>
      <c r="MCW2018" s="142"/>
      <c r="MCX2018" s="142"/>
      <c r="MCY2018" s="142"/>
      <c r="MCZ2018" s="142"/>
      <c r="MDA2018" s="142"/>
      <c r="MDB2018" s="142"/>
      <c r="MDC2018" s="142"/>
      <c r="MDD2018" s="142"/>
      <c r="MDE2018" s="142"/>
      <c r="MDF2018" s="142"/>
      <c r="MDG2018" s="142"/>
      <c r="MDH2018" s="142"/>
      <c r="MDI2018" s="142"/>
      <c r="MDJ2018" s="142"/>
      <c r="MDK2018" s="142"/>
      <c r="MDL2018" s="142"/>
      <c r="MDM2018" s="142"/>
      <c r="MDN2018" s="142"/>
      <c r="MDO2018" s="142"/>
      <c r="MDP2018" s="142"/>
      <c r="MDQ2018" s="142"/>
      <c r="MDR2018" s="142"/>
      <c r="MDS2018" s="142"/>
      <c r="MDT2018" s="142"/>
      <c r="MDU2018" s="142"/>
      <c r="MDV2018" s="142"/>
      <c r="MDW2018" s="142"/>
      <c r="MDX2018" s="142"/>
      <c r="MDY2018" s="142"/>
      <c r="MDZ2018" s="142"/>
      <c r="MEA2018" s="142"/>
      <c r="MEB2018" s="142"/>
      <c r="MEC2018" s="142"/>
      <c r="MED2018" s="142"/>
      <c r="MEE2018" s="142"/>
      <c r="MEF2018" s="142"/>
      <c r="MEG2018" s="142"/>
      <c r="MEH2018" s="142"/>
      <c r="MEI2018" s="142"/>
      <c r="MEJ2018" s="142"/>
      <c r="MEK2018" s="142"/>
      <c r="MEL2018" s="142"/>
      <c r="MEM2018" s="142"/>
      <c r="MEN2018" s="142"/>
      <c r="MEO2018" s="142"/>
      <c r="MEP2018" s="142"/>
      <c r="MEQ2018" s="142"/>
      <c r="MER2018" s="142"/>
      <c r="MES2018" s="142"/>
      <c r="MET2018" s="142"/>
      <c r="MEU2018" s="142"/>
      <c r="MEV2018" s="142"/>
      <c r="MEW2018" s="142"/>
      <c r="MEX2018" s="142"/>
      <c r="MEY2018" s="142"/>
      <c r="MEZ2018" s="142"/>
      <c r="MFA2018" s="142"/>
      <c r="MFB2018" s="142"/>
      <c r="MFC2018" s="142"/>
      <c r="MFD2018" s="142"/>
      <c r="MFE2018" s="142"/>
      <c r="MFF2018" s="142"/>
      <c r="MFG2018" s="142"/>
      <c r="MFH2018" s="142"/>
      <c r="MFI2018" s="142"/>
      <c r="MFJ2018" s="142"/>
      <c r="MFK2018" s="142"/>
      <c r="MFL2018" s="142"/>
      <c r="MFM2018" s="142"/>
      <c r="MFN2018" s="142"/>
      <c r="MFO2018" s="142"/>
      <c r="MFP2018" s="142"/>
      <c r="MFQ2018" s="142"/>
      <c r="MFR2018" s="142"/>
      <c r="MFS2018" s="142"/>
      <c r="MFT2018" s="142"/>
      <c r="MFU2018" s="142"/>
      <c r="MFV2018" s="142"/>
      <c r="MFW2018" s="142"/>
      <c r="MFX2018" s="142"/>
      <c r="MFY2018" s="142"/>
      <c r="MFZ2018" s="142"/>
      <c r="MGA2018" s="142"/>
      <c r="MGB2018" s="142"/>
      <c r="MGC2018" s="142"/>
      <c r="MGD2018" s="142"/>
      <c r="MGE2018" s="142"/>
      <c r="MGF2018" s="142"/>
      <c r="MGG2018" s="142"/>
      <c r="MGH2018" s="142"/>
      <c r="MGI2018" s="142"/>
      <c r="MGJ2018" s="142"/>
      <c r="MGK2018" s="142"/>
      <c r="MGL2018" s="142"/>
      <c r="MGM2018" s="142"/>
      <c r="MGN2018" s="142"/>
      <c r="MGO2018" s="142"/>
      <c r="MGP2018" s="142"/>
      <c r="MGQ2018" s="142"/>
      <c r="MGR2018" s="142"/>
      <c r="MGS2018" s="142"/>
      <c r="MGT2018" s="142"/>
      <c r="MGU2018" s="142"/>
      <c r="MGV2018" s="142"/>
      <c r="MGW2018" s="142"/>
      <c r="MGX2018" s="142"/>
      <c r="MGY2018" s="142"/>
      <c r="MGZ2018" s="142"/>
      <c r="MHA2018" s="142"/>
      <c r="MHB2018" s="142"/>
      <c r="MHC2018" s="142"/>
      <c r="MHD2018" s="142"/>
      <c r="MHE2018" s="142"/>
      <c r="MHF2018" s="142"/>
      <c r="MHG2018" s="142"/>
      <c r="MHH2018" s="142"/>
      <c r="MHI2018" s="142"/>
      <c r="MHJ2018" s="142"/>
      <c r="MHK2018" s="142"/>
      <c r="MHL2018" s="142"/>
      <c r="MHM2018" s="142"/>
      <c r="MHN2018" s="142"/>
      <c r="MHO2018" s="142"/>
      <c r="MHP2018" s="142"/>
      <c r="MHQ2018" s="142"/>
      <c r="MHR2018" s="142"/>
      <c r="MHS2018" s="142"/>
      <c r="MHT2018" s="142"/>
      <c r="MHU2018" s="142"/>
      <c r="MHV2018" s="142"/>
      <c r="MHW2018" s="142"/>
      <c r="MHX2018" s="142"/>
      <c r="MHY2018" s="142"/>
      <c r="MHZ2018" s="142"/>
      <c r="MIA2018" s="142"/>
      <c r="MIB2018" s="142"/>
      <c r="MIC2018" s="142"/>
      <c r="MID2018" s="142"/>
      <c r="MIE2018" s="142"/>
      <c r="MIF2018" s="142"/>
      <c r="MIG2018" s="142"/>
      <c r="MIH2018" s="142"/>
      <c r="MII2018" s="142"/>
      <c r="MIJ2018" s="142"/>
      <c r="MIK2018" s="142"/>
      <c r="MIL2018" s="142"/>
      <c r="MIM2018" s="142"/>
      <c r="MIN2018" s="142"/>
      <c r="MIO2018" s="142"/>
      <c r="MIP2018" s="142"/>
      <c r="MIQ2018" s="142"/>
      <c r="MIR2018" s="142"/>
      <c r="MIS2018" s="142"/>
      <c r="MIT2018" s="142"/>
      <c r="MIU2018" s="142"/>
      <c r="MIV2018" s="142"/>
      <c r="MIW2018" s="142"/>
      <c r="MIX2018" s="142"/>
      <c r="MIY2018" s="142"/>
      <c r="MIZ2018" s="142"/>
      <c r="MJA2018" s="142"/>
      <c r="MJB2018" s="142"/>
      <c r="MJC2018" s="142"/>
      <c r="MJD2018" s="142"/>
      <c r="MJE2018" s="142"/>
      <c r="MJF2018" s="142"/>
      <c r="MJG2018" s="142"/>
      <c r="MJH2018" s="142"/>
      <c r="MJI2018" s="142"/>
      <c r="MJJ2018" s="142"/>
      <c r="MJK2018" s="142"/>
      <c r="MJL2018" s="142"/>
      <c r="MJM2018" s="142"/>
      <c r="MJN2018" s="142"/>
      <c r="MJO2018" s="142"/>
      <c r="MJP2018" s="142"/>
      <c r="MJQ2018" s="142"/>
      <c r="MJR2018" s="142"/>
      <c r="MJS2018" s="142"/>
      <c r="MJT2018" s="142"/>
      <c r="MJU2018" s="142"/>
      <c r="MJV2018" s="142"/>
      <c r="MJW2018" s="142"/>
      <c r="MJX2018" s="142"/>
      <c r="MJY2018" s="142"/>
      <c r="MJZ2018" s="142"/>
      <c r="MKA2018" s="142"/>
      <c r="MKB2018" s="142"/>
      <c r="MKC2018" s="142"/>
      <c r="MKD2018" s="142"/>
      <c r="MKE2018" s="142"/>
      <c r="MKF2018" s="142"/>
      <c r="MKG2018" s="142"/>
      <c r="MKH2018" s="142"/>
      <c r="MKI2018" s="142"/>
      <c r="MKJ2018" s="142"/>
      <c r="MKK2018" s="142"/>
      <c r="MKL2018" s="142"/>
      <c r="MKM2018" s="142"/>
      <c r="MKN2018" s="142"/>
      <c r="MKO2018" s="142"/>
      <c r="MKP2018" s="142"/>
      <c r="MKQ2018" s="142"/>
      <c r="MKR2018" s="142"/>
      <c r="MKS2018" s="142"/>
      <c r="MKT2018" s="142"/>
      <c r="MKU2018" s="142"/>
      <c r="MKV2018" s="142"/>
      <c r="MKW2018" s="142"/>
      <c r="MKX2018" s="142"/>
      <c r="MKY2018" s="142"/>
      <c r="MKZ2018" s="142"/>
      <c r="MLA2018" s="142"/>
      <c r="MLB2018" s="142"/>
      <c r="MLC2018" s="142"/>
      <c r="MLD2018" s="142"/>
      <c r="MLE2018" s="142"/>
      <c r="MLF2018" s="142"/>
      <c r="MLG2018" s="142"/>
      <c r="MLH2018" s="142"/>
      <c r="MLI2018" s="142"/>
      <c r="MLJ2018" s="142"/>
      <c r="MLK2018" s="142"/>
      <c r="MLL2018" s="142"/>
      <c r="MLM2018" s="142"/>
      <c r="MLN2018" s="142"/>
      <c r="MLO2018" s="142"/>
      <c r="MLP2018" s="142"/>
      <c r="MLQ2018" s="142"/>
      <c r="MLR2018" s="142"/>
      <c r="MLS2018" s="142"/>
      <c r="MLT2018" s="142"/>
      <c r="MLU2018" s="142"/>
      <c r="MLV2018" s="142"/>
      <c r="MLW2018" s="142"/>
      <c r="MLX2018" s="142"/>
      <c r="MLY2018" s="142"/>
      <c r="MLZ2018" s="142"/>
      <c r="MMA2018" s="142"/>
      <c r="MMB2018" s="142"/>
      <c r="MMC2018" s="142"/>
      <c r="MMD2018" s="142"/>
      <c r="MME2018" s="142"/>
      <c r="MMF2018" s="142"/>
      <c r="MMG2018" s="142"/>
      <c r="MMH2018" s="142"/>
      <c r="MMI2018" s="142"/>
      <c r="MMJ2018" s="142"/>
      <c r="MMK2018" s="142"/>
      <c r="MML2018" s="142"/>
      <c r="MMM2018" s="142"/>
      <c r="MMN2018" s="142"/>
      <c r="MMO2018" s="142"/>
      <c r="MMP2018" s="142"/>
      <c r="MMQ2018" s="142"/>
      <c r="MMR2018" s="142"/>
      <c r="MMS2018" s="142"/>
      <c r="MMT2018" s="142"/>
      <c r="MMU2018" s="142"/>
      <c r="MMV2018" s="142"/>
      <c r="MMW2018" s="142"/>
      <c r="MMX2018" s="142"/>
      <c r="MMY2018" s="142"/>
      <c r="MMZ2018" s="142"/>
      <c r="MNA2018" s="142"/>
      <c r="MNB2018" s="142"/>
      <c r="MNC2018" s="142"/>
      <c r="MND2018" s="142"/>
      <c r="MNE2018" s="142"/>
      <c r="MNF2018" s="142"/>
      <c r="MNG2018" s="142"/>
      <c r="MNH2018" s="142"/>
      <c r="MNI2018" s="142"/>
      <c r="MNJ2018" s="142"/>
      <c r="MNK2018" s="142"/>
      <c r="MNL2018" s="142"/>
      <c r="MNM2018" s="142"/>
      <c r="MNN2018" s="142"/>
      <c r="MNO2018" s="142"/>
      <c r="MNP2018" s="142"/>
      <c r="MNQ2018" s="142"/>
      <c r="MNR2018" s="142"/>
      <c r="MNS2018" s="142"/>
      <c r="MNT2018" s="142"/>
      <c r="MNU2018" s="142"/>
      <c r="MNV2018" s="142"/>
      <c r="MNW2018" s="142"/>
      <c r="MNX2018" s="142"/>
      <c r="MNY2018" s="142"/>
      <c r="MNZ2018" s="142"/>
      <c r="MOA2018" s="142"/>
      <c r="MOB2018" s="142"/>
      <c r="MOC2018" s="142"/>
      <c r="MOD2018" s="142"/>
      <c r="MOE2018" s="142"/>
      <c r="MOF2018" s="142"/>
      <c r="MOG2018" s="142"/>
      <c r="MOH2018" s="142"/>
      <c r="MOI2018" s="142"/>
      <c r="MOJ2018" s="142"/>
      <c r="MOK2018" s="142"/>
      <c r="MOL2018" s="142"/>
      <c r="MOM2018" s="142"/>
      <c r="MON2018" s="142"/>
      <c r="MOO2018" s="142"/>
      <c r="MOP2018" s="142"/>
      <c r="MOQ2018" s="142"/>
      <c r="MOR2018" s="142"/>
      <c r="MOS2018" s="142"/>
      <c r="MOT2018" s="142"/>
      <c r="MOU2018" s="142"/>
      <c r="MOV2018" s="142"/>
      <c r="MOW2018" s="142"/>
      <c r="MOX2018" s="142"/>
      <c r="MOY2018" s="142"/>
      <c r="MOZ2018" s="142"/>
      <c r="MPA2018" s="142"/>
      <c r="MPB2018" s="142"/>
      <c r="MPC2018" s="142"/>
      <c r="MPD2018" s="142"/>
      <c r="MPE2018" s="142"/>
      <c r="MPF2018" s="142"/>
      <c r="MPG2018" s="142"/>
      <c r="MPH2018" s="142"/>
      <c r="MPI2018" s="142"/>
      <c r="MPJ2018" s="142"/>
      <c r="MPK2018" s="142"/>
      <c r="MPL2018" s="142"/>
      <c r="MPM2018" s="142"/>
      <c r="MPN2018" s="142"/>
      <c r="MPO2018" s="142"/>
      <c r="MPP2018" s="142"/>
      <c r="MPQ2018" s="142"/>
      <c r="MPR2018" s="142"/>
      <c r="MPS2018" s="142"/>
      <c r="MPT2018" s="142"/>
      <c r="MPU2018" s="142"/>
      <c r="MPV2018" s="142"/>
      <c r="MPW2018" s="142"/>
      <c r="MPX2018" s="142"/>
      <c r="MPY2018" s="142"/>
      <c r="MPZ2018" s="142"/>
      <c r="MQA2018" s="142"/>
      <c r="MQB2018" s="142"/>
      <c r="MQC2018" s="142"/>
      <c r="MQD2018" s="142"/>
      <c r="MQE2018" s="142"/>
      <c r="MQF2018" s="142"/>
      <c r="MQG2018" s="142"/>
      <c r="MQH2018" s="142"/>
      <c r="MQI2018" s="142"/>
      <c r="MQJ2018" s="142"/>
      <c r="MQK2018" s="142"/>
      <c r="MQL2018" s="142"/>
      <c r="MQM2018" s="142"/>
      <c r="MQN2018" s="142"/>
      <c r="MQO2018" s="142"/>
      <c r="MQP2018" s="142"/>
      <c r="MQQ2018" s="142"/>
      <c r="MQR2018" s="142"/>
      <c r="MQS2018" s="142"/>
      <c r="MQT2018" s="142"/>
      <c r="MQU2018" s="142"/>
      <c r="MQV2018" s="142"/>
      <c r="MQW2018" s="142"/>
      <c r="MQX2018" s="142"/>
      <c r="MQY2018" s="142"/>
      <c r="MQZ2018" s="142"/>
      <c r="MRA2018" s="142"/>
      <c r="MRB2018" s="142"/>
      <c r="MRC2018" s="142"/>
      <c r="MRD2018" s="142"/>
      <c r="MRE2018" s="142"/>
      <c r="MRF2018" s="142"/>
      <c r="MRG2018" s="142"/>
      <c r="MRH2018" s="142"/>
      <c r="MRI2018" s="142"/>
      <c r="MRJ2018" s="142"/>
      <c r="MRK2018" s="142"/>
      <c r="MRL2018" s="142"/>
      <c r="MRM2018" s="142"/>
      <c r="MRN2018" s="142"/>
      <c r="MRO2018" s="142"/>
      <c r="MRP2018" s="142"/>
      <c r="MRQ2018" s="142"/>
      <c r="MRR2018" s="142"/>
      <c r="MRS2018" s="142"/>
      <c r="MRT2018" s="142"/>
      <c r="MRU2018" s="142"/>
      <c r="MRV2018" s="142"/>
      <c r="MRW2018" s="142"/>
      <c r="MRX2018" s="142"/>
      <c r="MRY2018" s="142"/>
      <c r="MRZ2018" s="142"/>
      <c r="MSA2018" s="142"/>
      <c r="MSB2018" s="142"/>
      <c r="MSC2018" s="142"/>
      <c r="MSD2018" s="142"/>
      <c r="MSE2018" s="142"/>
      <c r="MSF2018" s="142"/>
      <c r="MSG2018" s="142"/>
      <c r="MSH2018" s="142"/>
      <c r="MSI2018" s="142"/>
      <c r="MSJ2018" s="142"/>
      <c r="MSK2018" s="142"/>
      <c r="MSL2018" s="142"/>
      <c r="MSM2018" s="142"/>
      <c r="MSN2018" s="142"/>
      <c r="MSO2018" s="142"/>
      <c r="MSP2018" s="142"/>
      <c r="MSQ2018" s="142"/>
      <c r="MSR2018" s="142"/>
      <c r="MSS2018" s="142"/>
      <c r="MST2018" s="142"/>
      <c r="MSU2018" s="142"/>
      <c r="MSV2018" s="142"/>
      <c r="MSW2018" s="142"/>
      <c r="MSX2018" s="142"/>
      <c r="MSY2018" s="142"/>
      <c r="MSZ2018" s="142"/>
      <c r="MTA2018" s="142"/>
      <c r="MTB2018" s="142"/>
      <c r="MTC2018" s="142"/>
      <c r="MTD2018" s="142"/>
      <c r="MTE2018" s="142"/>
      <c r="MTF2018" s="142"/>
      <c r="MTG2018" s="142"/>
      <c r="MTH2018" s="142"/>
      <c r="MTI2018" s="142"/>
      <c r="MTJ2018" s="142"/>
      <c r="MTK2018" s="142"/>
      <c r="MTL2018" s="142"/>
      <c r="MTM2018" s="142"/>
      <c r="MTN2018" s="142"/>
      <c r="MTO2018" s="142"/>
      <c r="MTP2018" s="142"/>
      <c r="MTQ2018" s="142"/>
      <c r="MTR2018" s="142"/>
      <c r="MTS2018" s="142"/>
      <c r="MTT2018" s="142"/>
      <c r="MTU2018" s="142"/>
      <c r="MTV2018" s="142"/>
      <c r="MTW2018" s="142"/>
      <c r="MTX2018" s="142"/>
      <c r="MTY2018" s="142"/>
      <c r="MTZ2018" s="142"/>
      <c r="MUA2018" s="142"/>
      <c r="MUB2018" s="142"/>
      <c r="MUC2018" s="142"/>
      <c r="MUD2018" s="142"/>
      <c r="MUE2018" s="142"/>
      <c r="MUF2018" s="142"/>
      <c r="MUG2018" s="142"/>
      <c r="MUH2018" s="142"/>
      <c r="MUI2018" s="142"/>
      <c r="MUJ2018" s="142"/>
      <c r="MUK2018" s="142"/>
      <c r="MUL2018" s="142"/>
      <c r="MUM2018" s="142"/>
      <c r="MUN2018" s="142"/>
      <c r="MUO2018" s="142"/>
      <c r="MUP2018" s="142"/>
      <c r="MUQ2018" s="142"/>
      <c r="MUR2018" s="142"/>
      <c r="MUS2018" s="142"/>
      <c r="MUT2018" s="142"/>
      <c r="MUU2018" s="142"/>
      <c r="MUV2018" s="142"/>
      <c r="MUW2018" s="142"/>
      <c r="MUX2018" s="142"/>
      <c r="MUY2018" s="142"/>
      <c r="MUZ2018" s="142"/>
      <c r="MVA2018" s="142"/>
      <c r="MVB2018" s="142"/>
      <c r="MVC2018" s="142"/>
      <c r="MVD2018" s="142"/>
      <c r="MVE2018" s="142"/>
      <c r="MVF2018" s="142"/>
      <c r="MVG2018" s="142"/>
      <c r="MVH2018" s="142"/>
      <c r="MVI2018" s="142"/>
      <c r="MVJ2018" s="142"/>
      <c r="MVK2018" s="142"/>
      <c r="MVL2018" s="142"/>
      <c r="MVM2018" s="142"/>
      <c r="MVN2018" s="142"/>
      <c r="MVO2018" s="142"/>
      <c r="MVP2018" s="142"/>
      <c r="MVQ2018" s="142"/>
      <c r="MVR2018" s="142"/>
      <c r="MVS2018" s="142"/>
      <c r="MVT2018" s="142"/>
      <c r="MVU2018" s="142"/>
      <c r="MVV2018" s="142"/>
      <c r="MVW2018" s="142"/>
      <c r="MVX2018" s="142"/>
      <c r="MVY2018" s="142"/>
      <c r="MVZ2018" s="142"/>
      <c r="MWA2018" s="142"/>
      <c r="MWB2018" s="142"/>
      <c r="MWC2018" s="142"/>
      <c r="MWD2018" s="142"/>
      <c r="MWE2018" s="142"/>
      <c r="MWF2018" s="142"/>
      <c r="MWG2018" s="142"/>
      <c r="MWH2018" s="142"/>
      <c r="MWI2018" s="142"/>
      <c r="MWJ2018" s="142"/>
      <c r="MWK2018" s="142"/>
      <c r="MWL2018" s="142"/>
      <c r="MWM2018" s="142"/>
      <c r="MWN2018" s="142"/>
      <c r="MWO2018" s="142"/>
      <c r="MWP2018" s="142"/>
      <c r="MWQ2018" s="142"/>
      <c r="MWR2018" s="142"/>
      <c r="MWS2018" s="142"/>
      <c r="MWT2018" s="142"/>
      <c r="MWU2018" s="142"/>
      <c r="MWV2018" s="142"/>
      <c r="MWW2018" s="142"/>
      <c r="MWX2018" s="142"/>
      <c r="MWY2018" s="142"/>
      <c r="MWZ2018" s="142"/>
      <c r="MXA2018" s="142"/>
      <c r="MXB2018" s="142"/>
      <c r="MXC2018" s="142"/>
      <c r="MXD2018" s="142"/>
      <c r="MXE2018" s="142"/>
      <c r="MXF2018" s="142"/>
      <c r="MXG2018" s="142"/>
      <c r="MXH2018" s="142"/>
      <c r="MXI2018" s="142"/>
      <c r="MXJ2018" s="142"/>
      <c r="MXK2018" s="142"/>
      <c r="MXL2018" s="142"/>
      <c r="MXM2018" s="142"/>
      <c r="MXN2018" s="142"/>
      <c r="MXO2018" s="142"/>
      <c r="MXP2018" s="142"/>
      <c r="MXQ2018" s="142"/>
      <c r="MXR2018" s="142"/>
      <c r="MXS2018" s="142"/>
      <c r="MXT2018" s="142"/>
      <c r="MXU2018" s="142"/>
      <c r="MXV2018" s="142"/>
      <c r="MXW2018" s="142"/>
      <c r="MXX2018" s="142"/>
      <c r="MXY2018" s="142"/>
      <c r="MXZ2018" s="142"/>
      <c r="MYA2018" s="142"/>
      <c r="MYB2018" s="142"/>
      <c r="MYC2018" s="142"/>
      <c r="MYD2018" s="142"/>
      <c r="MYE2018" s="142"/>
      <c r="MYF2018" s="142"/>
      <c r="MYG2018" s="142"/>
      <c r="MYH2018" s="142"/>
      <c r="MYI2018" s="142"/>
      <c r="MYJ2018" s="142"/>
      <c r="MYK2018" s="142"/>
      <c r="MYL2018" s="142"/>
      <c r="MYM2018" s="142"/>
      <c r="MYN2018" s="142"/>
      <c r="MYO2018" s="142"/>
      <c r="MYP2018" s="142"/>
      <c r="MYQ2018" s="142"/>
      <c r="MYR2018" s="142"/>
      <c r="MYS2018" s="142"/>
      <c r="MYT2018" s="142"/>
      <c r="MYU2018" s="142"/>
      <c r="MYV2018" s="142"/>
      <c r="MYW2018" s="142"/>
      <c r="MYX2018" s="142"/>
      <c r="MYY2018" s="142"/>
      <c r="MYZ2018" s="142"/>
      <c r="MZA2018" s="142"/>
      <c r="MZB2018" s="142"/>
      <c r="MZC2018" s="142"/>
      <c r="MZD2018" s="142"/>
      <c r="MZE2018" s="142"/>
      <c r="MZF2018" s="142"/>
      <c r="MZG2018" s="142"/>
      <c r="MZH2018" s="142"/>
      <c r="MZI2018" s="142"/>
      <c r="MZJ2018" s="142"/>
      <c r="MZK2018" s="142"/>
      <c r="MZL2018" s="142"/>
      <c r="MZM2018" s="142"/>
      <c r="MZN2018" s="142"/>
      <c r="MZO2018" s="142"/>
      <c r="MZP2018" s="142"/>
      <c r="MZQ2018" s="142"/>
      <c r="MZR2018" s="142"/>
      <c r="MZS2018" s="142"/>
      <c r="MZT2018" s="142"/>
      <c r="MZU2018" s="142"/>
      <c r="MZV2018" s="142"/>
      <c r="MZW2018" s="142"/>
      <c r="MZX2018" s="142"/>
      <c r="MZY2018" s="142"/>
      <c r="MZZ2018" s="142"/>
      <c r="NAA2018" s="142"/>
      <c r="NAB2018" s="142"/>
      <c r="NAC2018" s="142"/>
      <c r="NAD2018" s="142"/>
      <c r="NAE2018" s="142"/>
      <c r="NAF2018" s="142"/>
      <c r="NAG2018" s="142"/>
      <c r="NAH2018" s="142"/>
      <c r="NAI2018" s="142"/>
      <c r="NAJ2018" s="142"/>
      <c r="NAK2018" s="142"/>
      <c r="NAL2018" s="142"/>
      <c r="NAM2018" s="142"/>
      <c r="NAN2018" s="142"/>
      <c r="NAO2018" s="142"/>
      <c r="NAP2018" s="142"/>
      <c r="NAQ2018" s="142"/>
      <c r="NAR2018" s="142"/>
      <c r="NAS2018" s="142"/>
      <c r="NAT2018" s="142"/>
      <c r="NAU2018" s="142"/>
      <c r="NAV2018" s="142"/>
      <c r="NAW2018" s="142"/>
      <c r="NAX2018" s="142"/>
      <c r="NAY2018" s="142"/>
      <c r="NAZ2018" s="142"/>
      <c r="NBA2018" s="142"/>
      <c r="NBB2018" s="142"/>
      <c r="NBC2018" s="142"/>
      <c r="NBD2018" s="142"/>
      <c r="NBE2018" s="142"/>
      <c r="NBF2018" s="142"/>
      <c r="NBG2018" s="142"/>
      <c r="NBH2018" s="142"/>
      <c r="NBI2018" s="142"/>
      <c r="NBJ2018" s="142"/>
      <c r="NBK2018" s="142"/>
      <c r="NBL2018" s="142"/>
      <c r="NBM2018" s="142"/>
      <c r="NBN2018" s="142"/>
      <c r="NBO2018" s="142"/>
      <c r="NBP2018" s="142"/>
      <c r="NBQ2018" s="142"/>
      <c r="NBR2018" s="142"/>
      <c r="NBS2018" s="142"/>
      <c r="NBT2018" s="142"/>
      <c r="NBU2018" s="142"/>
      <c r="NBV2018" s="142"/>
      <c r="NBW2018" s="142"/>
      <c r="NBX2018" s="142"/>
      <c r="NBY2018" s="142"/>
      <c r="NBZ2018" s="142"/>
      <c r="NCA2018" s="142"/>
      <c r="NCB2018" s="142"/>
      <c r="NCC2018" s="142"/>
      <c r="NCD2018" s="142"/>
      <c r="NCE2018" s="142"/>
      <c r="NCF2018" s="142"/>
      <c r="NCG2018" s="142"/>
      <c r="NCH2018" s="142"/>
      <c r="NCI2018" s="142"/>
      <c r="NCJ2018" s="142"/>
      <c r="NCK2018" s="142"/>
      <c r="NCL2018" s="142"/>
      <c r="NCM2018" s="142"/>
      <c r="NCN2018" s="142"/>
      <c r="NCO2018" s="142"/>
      <c r="NCP2018" s="142"/>
      <c r="NCQ2018" s="142"/>
      <c r="NCR2018" s="142"/>
      <c r="NCS2018" s="142"/>
      <c r="NCT2018" s="142"/>
      <c r="NCU2018" s="142"/>
      <c r="NCV2018" s="142"/>
      <c r="NCW2018" s="142"/>
      <c r="NCX2018" s="142"/>
      <c r="NCY2018" s="142"/>
      <c r="NCZ2018" s="142"/>
      <c r="NDA2018" s="142"/>
      <c r="NDB2018" s="142"/>
      <c r="NDC2018" s="142"/>
      <c r="NDD2018" s="142"/>
      <c r="NDE2018" s="142"/>
      <c r="NDF2018" s="142"/>
      <c r="NDG2018" s="142"/>
      <c r="NDH2018" s="142"/>
      <c r="NDI2018" s="142"/>
      <c r="NDJ2018" s="142"/>
      <c r="NDK2018" s="142"/>
      <c r="NDL2018" s="142"/>
      <c r="NDM2018" s="142"/>
      <c r="NDN2018" s="142"/>
      <c r="NDO2018" s="142"/>
      <c r="NDP2018" s="142"/>
      <c r="NDQ2018" s="142"/>
      <c r="NDR2018" s="142"/>
      <c r="NDS2018" s="142"/>
      <c r="NDT2018" s="142"/>
      <c r="NDU2018" s="142"/>
      <c r="NDV2018" s="142"/>
      <c r="NDW2018" s="142"/>
      <c r="NDX2018" s="142"/>
      <c r="NDY2018" s="142"/>
      <c r="NDZ2018" s="142"/>
      <c r="NEA2018" s="142"/>
      <c r="NEB2018" s="142"/>
      <c r="NEC2018" s="142"/>
      <c r="NED2018" s="142"/>
      <c r="NEE2018" s="142"/>
      <c r="NEF2018" s="142"/>
      <c r="NEG2018" s="142"/>
      <c r="NEH2018" s="142"/>
      <c r="NEI2018" s="142"/>
      <c r="NEJ2018" s="142"/>
      <c r="NEK2018" s="142"/>
      <c r="NEL2018" s="142"/>
      <c r="NEM2018" s="142"/>
      <c r="NEN2018" s="142"/>
      <c r="NEO2018" s="142"/>
      <c r="NEP2018" s="142"/>
      <c r="NEQ2018" s="142"/>
      <c r="NER2018" s="142"/>
      <c r="NES2018" s="142"/>
      <c r="NET2018" s="142"/>
      <c r="NEU2018" s="142"/>
      <c r="NEV2018" s="142"/>
      <c r="NEW2018" s="142"/>
      <c r="NEX2018" s="142"/>
      <c r="NEY2018" s="142"/>
      <c r="NEZ2018" s="142"/>
      <c r="NFA2018" s="142"/>
      <c r="NFB2018" s="142"/>
      <c r="NFC2018" s="142"/>
      <c r="NFD2018" s="142"/>
      <c r="NFE2018" s="142"/>
      <c r="NFF2018" s="142"/>
      <c r="NFG2018" s="142"/>
      <c r="NFH2018" s="142"/>
      <c r="NFI2018" s="142"/>
      <c r="NFJ2018" s="142"/>
      <c r="NFK2018" s="142"/>
      <c r="NFL2018" s="142"/>
      <c r="NFM2018" s="142"/>
      <c r="NFN2018" s="142"/>
      <c r="NFO2018" s="142"/>
      <c r="NFP2018" s="142"/>
      <c r="NFQ2018" s="142"/>
      <c r="NFR2018" s="142"/>
      <c r="NFS2018" s="142"/>
      <c r="NFT2018" s="142"/>
      <c r="NFU2018" s="142"/>
      <c r="NFV2018" s="142"/>
      <c r="NFW2018" s="142"/>
      <c r="NFX2018" s="142"/>
      <c r="NFY2018" s="142"/>
      <c r="NFZ2018" s="142"/>
      <c r="NGA2018" s="142"/>
      <c r="NGB2018" s="142"/>
      <c r="NGC2018" s="142"/>
      <c r="NGD2018" s="142"/>
      <c r="NGE2018" s="142"/>
      <c r="NGF2018" s="142"/>
      <c r="NGG2018" s="142"/>
      <c r="NGH2018" s="142"/>
      <c r="NGI2018" s="142"/>
      <c r="NGJ2018" s="142"/>
      <c r="NGK2018" s="142"/>
      <c r="NGL2018" s="142"/>
      <c r="NGM2018" s="142"/>
      <c r="NGN2018" s="142"/>
      <c r="NGO2018" s="142"/>
      <c r="NGP2018" s="142"/>
      <c r="NGQ2018" s="142"/>
      <c r="NGR2018" s="142"/>
      <c r="NGS2018" s="142"/>
      <c r="NGT2018" s="142"/>
      <c r="NGU2018" s="142"/>
      <c r="NGV2018" s="142"/>
      <c r="NGW2018" s="142"/>
      <c r="NGX2018" s="142"/>
      <c r="NGY2018" s="142"/>
      <c r="NGZ2018" s="142"/>
      <c r="NHA2018" s="142"/>
      <c r="NHB2018" s="142"/>
      <c r="NHC2018" s="142"/>
      <c r="NHD2018" s="142"/>
      <c r="NHE2018" s="142"/>
      <c r="NHF2018" s="142"/>
      <c r="NHG2018" s="142"/>
      <c r="NHH2018" s="142"/>
      <c r="NHI2018" s="142"/>
      <c r="NHJ2018" s="142"/>
      <c r="NHK2018" s="142"/>
      <c r="NHL2018" s="142"/>
      <c r="NHM2018" s="142"/>
      <c r="NHN2018" s="142"/>
      <c r="NHO2018" s="142"/>
      <c r="NHP2018" s="142"/>
      <c r="NHQ2018" s="142"/>
      <c r="NHR2018" s="142"/>
      <c r="NHS2018" s="142"/>
      <c r="NHT2018" s="142"/>
      <c r="NHU2018" s="142"/>
      <c r="NHV2018" s="142"/>
      <c r="NHW2018" s="142"/>
      <c r="NHX2018" s="142"/>
      <c r="NHY2018" s="142"/>
      <c r="NHZ2018" s="142"/>
      <c r="NIA2018" s="142"/>
      <c r="NIB2018" s="142"/>
      <c r="NIC2018" s="142"/>
      <c r="NID2018" s="142"/>
      <c r="NIE2018" s="142"/>
      <c r="NIF2018" s="142"/>
      <c r="NIG2018" s="142"/>
      <c r="NIH2018" s="142"/>
      <c r="NII2018" s="142"/>
      <c r="NIJ2018" s="142"/>
      <c r="NIK2018" s="142"/>
      <c r="NIL2018" s="142"/>
      <c r="NIM2018" s="142"/>
      <c r="NIN2018" s="142"/>
      <c r="NIO2018" s="142"/>
      <c r="NIP2018" s="142"/>
      <c r="NIQ2018" s="142"/>
      <c r="NIR2018" s="142"/>
      <c r="NIS2018" s="142"/>
      <c r="NIT2018" s="142"/>
      <c r="NIU2018" s="142"/>
      <c r="NIV2018" s="142"/>
      <c r="NIW2018" s="142"/>
      <c r="NIX2018" s="142"/>
      <c r="NIY2018" s="142"/>
      <c r="NIZ2018" s="142"/>
      <c r="NJA2018" s="142"/>
      <c r="NJB2018" s="142"/>
      <c r="NJC2018" s="142"/>
      <c r="NJD2018" s="142"/>
      <c r="NJE2018" s="142"/>
      <c r="NJF2018" s="142"/>
      <c r="NJG2018" s="142"/>
      <c r="NJH2018" s="142"/>
      <c r="NJI2018" s="142"/>
      <c r="NJJ2018" s="142"/>
      <c r="NJK2018" s="142"/>
      <c r="NJL2018" s="142"/>
      <c r="NJM2018" s="142"/>
      <c r="NJN2018" s="142"/>
      <c r="NJO2018" s="142"/>
      <c r="NJP2018" s="142"/>
      <c r="NJQ2018" s="142"/>
      <c r="NJR2018" s="142"/>
      <c r="NJS2018" s="142"/>
      <c r="NJT2018" s="142"/>
      <c r="NJU2018" s="142"/>
      <c r="NJV2018" s="142"/>
      <c r="NJW2018" s="142"/>
      <c r="NJX2018" s="142"/>
      <c r="NJY2018" s="142"/>
      <c r="NJZ2018" s="142"/>
      <c r="NKA2018" s="142"/>
      <c r="NKB2018" s="142"/>
      <c r="NKC2018" s="142"/>
      <c r="NKD2018" s="142"/>
      <c r="NKE2018" s="142"/>
      <c r="NKF2018" s="142"/>
      <c r="NKG2018" s="142"/>
      <c r="NKH2018" s="142"/>
      <c r="NKI2018" s="142"/>
      <c r="NKJ2018" s="142"/>
      <c r="NKK2018" s="142"/>
      <c r="NKL2018" s="142"/>
      <c r="NKM2018" s="142"/>
      <c r="NKN2018" s="142"/>
      <c r="NKO2018" s="142"/>
      <c r="NKP2018" s="142"/>
      <c r="NKQ2018" s="142"/>
      <c r="NKR2018" s="142"/>
      <c r="NKS2018" s="142"/>
      <c r="NKT2018" s="142"/>
      <c r="NKU2018" s="142"/>
      <c r="NKV2018" s="142"/>
      <c r="NKW2018" s="142"/>
      <c r="NKX2018" s="142"/>
      <c r="NKY2018" s="142"/>
      <c r="NKZ2018" s="142"/>
      <c r="NLA2018" s="142"/>
      <c r="NLB2018" s="142"/>
      <c r="NLC2018" s="142"/>
      <c r="NLD2018" s="142"/>
      <c r="NLE2018" s="142"/>
      <c r="NLF2018" s="142"/>
      <c r="NLG2018" s="142"/>
      <c r="NLH2018" s="142"/>
      <c r="NLI2018" s="142"/>
      <c r="NLJ2018" s="142"/>
      <c r="NLK2018" s="142"/>
      <c r="NLL2018" s="142"/>
      <c r="NLM2018" s="142"/>
      <c r="NLN2018" s="142"/>
      <c r="NLO2018" s="142"/>
      <c r="NLP2018" s="142"/>
      <c r="NLQ2018" s="142"/>
      <c r="NLR2018" s="142"/>
      <c r="NLS2018" s="142"/>
      <c r="NLT2018" s="142"/>
      <c r="NLU2018" s="142"/>
      <c r="NLV2018" s="142"/>
      <c r="NLW2018" s="142"/>
      <c r="NLX2018" s="142"/>
      <c r="NLY2018" s="142"/>
      <c r="NLZ2018" s="142"/>
      <c r="NMA2018" s="142"/>
      <c r="NMB2018" s="142"/>
      <c r="NMC2018" s="142"/>
      <c r="NMD2018" s="142"/>
      <c r="NME2018" s="142"/>
      <c r="NMF2018" s="142"/>
      <c r="NMG2018" s="142"/>
      <c r="NMH2018" s="142"/>
      <c r="NMI2018" s="142"/>
      <c r="NMJ2018" s="142"/>
      <c r="NMK2018" s="142"/>
      <c r="NML2018" s="142"/>
      <c r="NMM2018" s="142"/>
      <c r="NMN2018" s="142"/>
      <c r="NMO2018" s="142"/>
      <c r="NMP2018" s="142"/>
      <c r="NMQ2018" s="142"/>
      <c r="NMR2018" s="142"/>
      <c r="NMS2018" s="142"/>
      <c r="NMT2018" s="142"/>
      <c r="NMU2018" s="142"/>
      <c r="NMV2018" s="142"/>
      <c r="NMW2018" s="142"/>
      <c r="NMX2018" s="142"/>
      <c r="NMY2018" s="142"/>
      <c r="NMZ2018" s="142"/>
      <c r="NNA2018" s="142"/>
      <c r="NNB2018" s="142"/>
      <c r="NNC2018" s="142"/>
      <c r="NND2018" s="142"/>
      <c r="NNE2018" s="142"/>
      <c r="NNF2018" s="142"/>
      <c r="NNG2018" s="142"/>
      <c r="NNH2018" s="142"/>
      <c r="NNI2018" s="142"/>
      <c r="NNJ2018" s="142"/>
      <c r="NNK2018" s="142"/>
      <c r="NNL2018" s="142"/>
      <c r="NNM2018" s="142"/>
      <c r="NNN2018" s="142"/>
      <c r="NNO2018" s="142"/>
      <c r="NNP2018" s="142"/>
      <c r="NNQ2018" s="142"/>
      <c r="NNR2018" s="142"/>
      <c r="NNS2018" s="142"/>
      <c r="NNT2018" s="142"/>
      <c r="NNU2018" s="142"/>
      <c r="NNV2018" s="142"/>
      <c r="NNW2018" s="142"/>
      <c r="NNX2018" s="142"/>
      <c r="NNY2018" s="142"/>
      <c r="NNZ2018" s="142"/>
      <c r="NOA2018" s="142"/>
      <c r="NOB2018" s="142"/>
      <c r="NOC2018" s="142"/>
      <c r="NOD2018" s="142"/>
      <c r="NOE2018" s="142"/>
      <c r="NOF2018" s="142"/>
      <c r="NOG2018" s="142"/>
      <c r="NOH2018" s="142"/>
      <c r="NOI2018" s="142"/>
      <c r="NOJ2018" s="142"/>
      <c r="NOK2018" s="142"/>
      <c r="NOL2018" s="142"/>
      <c r="NOM2018" s="142"/>
      <c r="NON2018" s="142"/>
      <c r="NOO2018" s="142"/>
      <c r="NOP2018" s="142"/>
      <c r="NOQ2018" s="142"/>
      <c r="NOR2018" s="142"/>
      <c r="NOS2018" s="142"/>
      <c r="NOT2018" s="142"/>
      <c r="NOU2018" s="142"/>
      <c r="NOV2018" s="142"/>
      <c r="NOW2018" s="142"/>
      <c r="NOX2018" s="142"/>
      <c r="NOY2018" s="142"/>
      <c r="NOZ2018" s="142"/>
      <c r="NPA2018" s="142"/>
      <c r="NPB2018" s="142"/>
      <c r="NPC2018" s="142"/>
      <c r="NPD2018" s="142"/>
      <c r="NPE2018" s="142"/>
      <c r="NPF2018" s="142"/>
      <c r="NPG2018" s="142"/>
      <c r="NPH2018" s="142"/>
      <c r="NPI2018" s="142"/>
      <c r="NPJ2018" s="142"/>
      <c r="NPK2018" s="142"/>
      <c r="NPL2018" s="142"/>
      <c r="NPM2018" s="142"/>
      <c r="NPN2018" s="142"/>
      <c r="NPO2018" s="142"/>
      <c r="NPP2018" s="142"/>
      <c r="NPQ2018" s="142"/>
      <c r="NPR2018" s="142"/>
      <c r="NPS2018" s="142"/>
      <c r="NPT2018" s="142"/>
      <c r="NPU2018" s="142"/>
      <c r="NPV2018" s="142"/>
      <c r="NPW2018" s="142"/>
      <c r="NPX2018" s="142"/>
      <c r="NPY2018" s="142"/>
      <c r="NPZ2018" s="142"/>
      <c r="NQA2018" s="142"/>
      <c r="NQB2018" s="142"/>
      <c r="NQC2018" s="142"/>
      <c r="NQD2018" s="142"/>
      <c r="NQE2018" s="142"/>
      <c r="NQF2018" s="142"/>
      <c r="NQG2018" s="142"/>
      <c r="NQH2018" s="142"/>
      <c r="NQI2018" s="142"/>
      <c r="NQJ2018" s="142"/>
      <c r="NQK2018" s="142"/>
      <c r="NQL2018" s="142"/>
      <c r="NQM2018" s="142"/>
      <c r="NQN2018" s="142"/>
      <c r="NQO2018" s="142"/>
      <c r="NQP2018" s="142"/>
      <c r="NQQ2018" s="142"/>
      <c r="NQR2018" s="142"/>
      <c r="NQS2018" s="142"/>
      <c r="NQT2018" s="142"/>
      <c r="NQU2018" s="142"/>
      <c r="NQV2018" s="142"/>
      <c r="NQW2018" s="142"/>
      <c r="NQX2018" s="142"/>
      <c r="NQY2018" s="142"/>
      <c r="NQZ2018" s="142"/>
      <c r="NRA2018" s="142"/>
      <c r="NRB2018" s="142"/>
      <c r="NRC2018" s="142"/>
      <c r="NRD2018" s="142"/>
      <c r="NRE2018" s="142"/>
      <c r="NRF2018" s="142"/>
      <c r="NRG2018" s="142"/>
      <c r="NRH2018" s="142"/>
      <c r="NRI2018" s="142"/>
      <c r="NRJ2018" s="142"/>
      <c r="NRK2018" s="142"/>
      <c r="NRL2018" s="142"/>
      <c r="NRM2018" s="142"/>
      <c r="NRN2018" s="142"/>
      <c r="NRO2018" s="142"/>
      <c r="NRP2018" s="142"/>
      <c r="NRQ2018" s="142"/>
      <c r="NRR2018" s="142"/>
      <c r="NRS2018" s="142"/>
      <c r="NRT2018" s="142"/>
      <c r="NRU2018" s="142"/>
      <c r="NRV2018" s="142"/>
      <c r="NRW2018" s="142"/>
      <c r="NRX2018" s="142"/>
      <c r="NRY2018" s="142"/>
      <c r="NRZ2018" s="142"/>
      <c r="NSA2018" s="142"/>
      <c r="NSB2018" s="142"/>
      <c r="NSC2018" s="142"/>
      <c r="NSD2018" s="142"/>
      <c r="NSE2018" s="142"/>
      <c r="NSF2018" s="142"/>
      <c r="NSG2018" s="142"/>
      <c r="NSH2018" s="142"/>
      <c r="NSI2018" s="142"/>
      <c r="NSJ2018" s="142"/>
      <c r="NSK2018" s="142"/>
      <c r="NSL2018" s="142"/>
      <c r="NSM2018" s="142"/>
      <c r="NSN2018" s="142"/>
      <c r="NSO2018" s="142"/>
      <c r="NSP2018" s="142"/>
      <c r="NSQ2018" s="142"/>
      <c r="NSR2018" s="142"/>
      <c r="NSS2018" s="142"/>
      <c r="NST2018" s="142"/>
      <c r="NSU2018" s="142"/>
      <c r="NSV2018" s="142"/>
      <c r="NSW2018" s="142"/>
      <c r="NSX2018" s="142"/>
      <c r="NSY2018" s="142"/>
      <c r="NSZ2018" s="142"/>
      <c r="NTA2018" s="142"/>
      <c r="NTB2018" s="142"/>
      <c r="NTC2018" s="142"/>
      <c r="NTD2018" s="142"/>
      <c r="NTE2018" s="142"/>
      <c r="NTF2018" s="142"/>
      <c r="NTG2018" s="142"/>
      <c r="NTH2018" s="142"/>
      <c r="NTI2018" s="142"/>
      <c r="NTJ2018" s="142"/>
      <c r="NTK2018" s="142"/>
      <c r="NTL2018" s="142"/>
      <c r="NTM2018" s="142"/>
      <c r="NTN2018" s="142"/>
      <c r="NTO2018" s="142"/>
      <c r="NTP2018" s="142"/>
      <c r="NTQ2018" s="142"/>
      <c r="NTR2018" s="142"/>
      <c r="NTS2018" s="142"/>
      <c r="NTT2018" s="142"/>
      <c r="NTU2018" s="142"/>
      <c r="NTV2018" s="142"/>
      <c r="NTW2018" s="142"/>
      <c r="NTX2018" s="142"/>
      <c r="NTY2018" s="142"/>
      <c r="NTZ2018" s="142"/>
      <c r="NUA2018" s="142"/>
      <c r="NUB2018" s="142"/>
      <c r="NUC2018" s="142"/>
      <c r="NUD2018" s="142"/>
      <c r="NUE2018" s="142"/>
      <c r="NUF2018" s="142"/>
      <c r="NUG2018" s="142"/>
      <c r="NUH2018" s="142"/>
      <c r="NUI2018" s="142"/>
      <c r="NUJ2018" s="142"/>
      <c r="NUK2018" s="142"/>
      <c r="NUL2018" s="142"/>
      <c r="NUM2018" s="142"/>
      <c r="NUN2018" s="142"/>
      <c r="NUO2018" s="142"/>
      <c r="NUP2018" s="142"/>
      <c r="NUQ2018" s="142"/>
      <c r="NUR2018" s="142"/>
      <c r="NUS2018" s="142"/>
      <c r="NUT2018" s="142"/>
      <c r="NUU2018" s="142"/>
      <c r="NUV2018" s="142"/>
      <c r="NUW2018" s="142"/>
      <c r="NUX2018" s="142"/>
      <c r="NUY2018" s="142"/>
      <c r="NUZ2018" s="142"/>
      <c r="NVA2018" s="142"/>
      <c r="NVB2018" s="142"/>
      <c r="NVC2018" s="142"/>
      <c r="NVD2018" s="142"/>
      <c r="NVE2018" s="142"/>
      <c r="NVF2018" s="142"/>
      <c r="NVG2018" s="142"/>
      <c r="NVH2018" s="142"/>
      <c r="NVI2018" s="142"/>
      <c r="NVJ2018" s="142"/>
      <c r="NVK2018" s="142"/>
      <c r="NVL2018" s="142"/>
      <c r="NVM2018" s="142"/>
      <c r="NVN2018" s="142"/>
      <c r="NVO2018" s="142"/>
      <c r="NVP2018" s="142"/>
      <c r="NVQ2018" s="142"/>
      <c r="NVR2018" s="142"/>
      <c r="NVS2018" s="142"/>
      <c r="NVT2018" s="142"/>
      <c r="NVU2018" s="142"/>
      <c r="NVV2018" s="142"/>
      <c r="NVW2018" s="142"/>
      <c r="NVX2018" s="142"/>
      <c r="NVY2018" s="142"/>
      <c r="NVZ2018" s="142"/>
      <c r="NWA2018" s="142"/>
      <c r="NWB2018" s="142"/>
      <c r="NWC2018" s="142"/>
      <c r="NWD2018" s="142"/>
      <c r="NWE2018" s="142"/>
      <c r="NWF2018" s="142"/>
      <c r="NWG2018" s="142"/>
      <c r="NWH2018" s="142"/>
      <c r="NWI2018" s="142"/>
      <c r="NWJ2018" s="142"/>
      <c r="NWK2018" s="142"/>
      <c r="NWL2018" s="142"/>
      <c r="NWM2018" s="142"/>
      <c r="NWN2018" s="142"/>
      <c r="NWO2018" s="142"/>
      <c r="NWP2018" s="142"/>
      <c r="NWQ2018" s="142"/>
      <c r="NWR2018" s="142"/>
      <c r="NWS2018" s="142"/>
      <c r="NWT2018" s="142"/>
      <c r="NWU2018" s="142"/>
      <c r="NWV2018" s="142"/>
      <c r="NWW2018" s="142"/>
      <c r="NWX2018" s="142"/>
      <c r="NWY2018" s="142"/>
      <c r="NWZ2018" s="142"/>
      <c r="NXA2018" s="142"/>
      <c r="NXB2018" s="142"/>
      <c r="NXC2018" s="142"/>
      <c r="NXD2018" s="142"/>
      <c r="NXE2018" s="142"/>
      <c r="NXF2018" s="142"/>
      <c r="NXG2018" s="142"/>
      <c r="NXH2018" s="142"/>
      <c r="NXI2018" s="142"/>
      <c r="NXJ2018" s="142"/>
      <c r="NXK2018" s="142"/>
      <c r="NXL2018" s="142"/>
      <c r="NXM2018" s="142"/>
      <c r="NXN2018" s="142"/>
      <c r="NXO2018" s="142"/>
      <c r="NXP2018" s="142"/>
      <c r="NXQ2018" s="142"/>
      <c r="NXR2018" s="142"/>
      <c r="NXS2018" s="142"/>
      <c r="NXT2018" s="142"/>
      <c r="NXU2018" s="142"/>
      <c r="NXV2018" s="142"/>
      <c r="NXW2018" s="142"/>
      <c r="NXX2018" s="142"/>
      <c r="NXY2018" s="142"/>
      <c r="NXZ2018" s="142"/>
      <c r="NYA2018" s="142"/>
      <c r="NYB2018" s="142"/>
      <c r="NYC2018" s="142"/>
      <c r="NYD2018" s="142"/>
      <c r="NYE2018" s="142"/>
      <c r="NYF2018" s="142"/>
      <c r="NYG2018" s="142"/>
      <c r="NYH2018" s="142"/>
      <c r="NYI2018" s="142"/>
      <c r="NYJ2018" s="142"/>
      <c r="NYK2018" s="142"/>
      <c r="NYL2018" s="142"/>
      <c r="NYM2018" s="142"/>
      <c r="NYN2018" s="142"/>
      <c r="NYO2018" s="142"/>
      <c r="NYP2018" s="142"/>
      <c r="NYQ2018" s="142"/>
      <c r="NYR2018" s="142"/>
      <c r="NYS2018" s="142"/>
      <c r="NYT2018" s="142"/>
      <c r="NYU2018" s="142"/>
      <c r="NYV2018" s="142"/>
      <c r="NYW2018" s="142"/>
      <c r="NYX2018" s="142"/>
      <c r="NYY2018" s="142"/>
      <c r="NYZ2018" s="142"/>
      <c r="NZA2018" s="142"/>
      <c r="NZB2018" s="142"/>
      <c r="NZC2018" s="142"/>
      <c r="NZD2018" s="142"/>
      <c r="NZE2018" s="142"/>
      <c r="NZF2018" s="142"/>
      <c r="NZG2018" s="142"/>
      <c r="NZH2018" s="142"/>
      <c r="NZI2018" s="142"/>
      <c r="NZJ2018" s="142"/>
      <c r="NZK2018" s="142"/>
      <c r="NZL2018" s="142"/>
      <c r="NZM2018" s="142"/>
      <c r="NZN2018" s="142"/>
      <c r="NZO2018" s="142"/>
      <c r="NZP2018" s="142"/>
      <c r="NZQ2018" s="142"/>
      <c r="NZR2018" s="142"/>
      <c r="NZS2018" s="142"/>
      <c r="NZT2018" s="142"/>
      <c r="NZU2018" s="142"/>
      <c r="NZV2018" s="142"/>
      <c r="NZW2018" s="142"/>
      <c r="NZX2018" s="142"/>
      <c r="NZY2018" s="142"/>
      <c r="NZZ2018" s="142"/>
      <c r="OAA2018" s="142"/>
      <c r="OAB2018" s="142"/>
      <c r="OAC2018" s="142"/>
      <c r="OAD2018" s="142"/>
      <c r="OAE2018" s="142"/>
      <c r="OAF2018" s="142"/>
      <c r="OAG2018" s="142"/>
      <c r="OAH2018" s="142"/>
      <c r="OAI2018" s="142"/>
      <c r="OAJ2018" s="142"/>
      <c r="OAK2018" s="142"/>
      <c r="OAL2018" s="142"/>
      <c r="OAM2018" s="142"/>
      <c r="OAN2018" s="142"/>
      <c r="OAO2018" s="142"/>
      <c r="OAP2018" s="142"/>
      <c r="OAQ2018" s="142"/>
      <c r="OAR2018" s="142"/>
      <c r="OAS2018" s="142"/>
      <c r="OAT2018" s="142"/>
      <c r="OAU2018" s="142"/>
      <c r="OAV2018" s="142"/>
      <c r="OAW2018" s="142"/>
      <c r="OAX2018" s="142"/>
      <c r="OAY2018" s="142"/>
      <c r="OAZ2018" s="142"/>
      <c r="OBA2018" s="142"/>
      <c r="OBB2018" s="142"/>
      <c r="OBC2018" s="142"/>
      <c r="OBD2018" s="142"/>
      <c r="OBE2018" s="142"/>
      <c r="OBF2018" s="142"/>
      <c r="OBG2018" s="142"/>
      <c r="OBH2018" s="142"/>
      <c r="OBI2018" s="142"/>
      <c r="OBJ2018" s="142"/>
      <c r="OBK2018" s="142"/>
      <c r="OBL2018" s="142"/>
      <c r="OBM2018" s="142"/>
      <c r="OBN2018" s="142"/>
      <c r="OBO2018" s="142"/>
      <c r="OBP2018" s="142"/>
      <c r="OBQ2018" s="142"/>
      <c r="OBR2018" s="142"/>
      <c r="OBS2018" s="142"/>
      <c r="OBT2018" s="142"/>
      <c r="OBU2018" s="142"/>
      <c r="OBV2018" s="142"/>
      <c r="OBW2018" s="142"/>
      <c r="OBX2018" s="142"/>
      <c r="OBY2018" s="142"/>
      <c r="OBZ2018" s="142"/>
      <c r="OCA2018" s="142"/>
      <c r="OCB2018" s="142"/>
      <c r="OCC2018" s="142"/>
      <c r="OCD2018" s="142"/>
      <c r="OCE2018" s="142"/>
      <c r="OCF2018" s="142"/>
      <c r="OCG2018" s="142"/>
      <c r="OCH2018" s="142"/>
      <c r="OCI2018" s="142"/>
      <c r="OCJ2018" s="142"/>
      <c r="OCK2018" s="142"/>
      <c r="OCL2018" s="142"/>
      <c r="OCM2018" s="142"/>
      <c r="OCN2018" s="142"/>
      <c r="OCO2018" s="142"/>
      <c r="OCP2018" s="142"/>
      <c r="OCQ2018" s="142"/>
      <c r="OCR2018" s="142"/>
      <c r="OCS2018" s="142"/>
      <c r="OCT2018" s="142"/>
      <c r="OCU2018" s="142"/>
      <c r="OCV2018" s="142"/>
      <c r="OCW2018" s="142"/>
      <c r="OCX2018" s="142"/>
      <c r="OCY2018" s="142"/>
      <c r="OCZ2018" s="142"/>
      <c r="ODA2018" s="142"/>
      <c r="ODB2018" s="142"/>
      <c r="ODC2018" s="142"/>
      <c r="ODD2018" s="142"/>
      <c r="ODE2018" s="142"/>
      <c r="ODF2018" s="142"/>
      <c r="ODG2018" s="142"/>
      <c r="ODH2018" s="142"/>
      <c r="ODI2018" s="142"/>
      <c r="ODJ2018" s="142"/>
      <c r="ODK2018" s="142"/>
      <c r="ODL2018" s="142"/>
      <c r="ODM2018" s="142"/>
      <c r="ODN2018" s="142"/>
      <c r="ODO2018" s="142"/>
      <c r="ODP2018" s="142"/>
      <c r="ODQ2018" s="142"/>
      <c r="ODR2018" s="142"/>
      <c r="ODS2018" s="142"/>
      <c r="ODT2018" s="142"/>
      <c r="ODU2018" s="142"/>
      <c r="ODV2018" s="142"/>
      <c r="ODW2018" s="142"/>
      <c r="ODX2018" s="142"/>
      <c r="ODY2018" s="142"/>
      <c r="ODZ2018" s="142"/>
      <c r="OEA2018" s="142"/>
      <c r="OEB2018" s="142"/>
      <c r="OEC2018" s="142"/>
      <c r="OED2018" s="142"/>
      <c r="OEE2018" s="142"/>
      <c r="OEF2018" s="142"/>
      <c r="OEG2018" s="142"/>
      <c r="OEH2018" s="142"/>
      <c r="OEI2018" s="142"/>
      <c r="OEJ2018" s="142"/>
      <c r="OEK2018" s="142"/>
      <c r="OEL2018" s="142"/>
      <c r="OEM2018" s="142"/>
      <c r="OEN2018" s="142"/>
      <c r="OEO2018" s="142"/>
      <c r="OEP2018" s="142"/>
      <c r="OEQ2018" s="142"/>
      <c r="OER2018" s="142"/>
      <c r="OES2018" s="142"/>
      <c r="OET2018" s="142"/>
      <c r="OEU2018" s="142"/>
      <c r="OEV2018" s="142"/>
      <c r="OEW2018" s="142"/>
      <c r="OEX2018" s="142"/>
      <c r="OEY2018" s="142"/>
      <c r="OEZ2018" s="142"/>
      <c r="OFA2018" s="142"/>
      <c r="OFB2018" s="142"/>
      <c r="OFC2018" s="142"/>
      <c r="OFD2018" s="142"/>
      <c r="OFE2018" s="142"/>
      <c r="OFF2018" s="142"/>
      <c r="OFG2018" s="142"/>
      <c r="OFH2018" s="142"/>
      <c r="OFI2018" s="142"/>
      <c r="OFJ2018" s="142"/>
      <c r="OFK2018" s="142"/>
      <c r="OFL2018" s="142"/>
      <c r="OFM2018" s="142"/>
      <c r="OFN2018" s="142"/>
      <c r="OFO2018" s="142"/>
      <c r="OFP2018" s="142"/>
      <c r="OFQ2018" s="142"/>
      <c r="OFR2018" s="142"/>
      <c r="OFS2018" s="142"/>
      <c r="OFT2018" s="142"/>
      <c r="OFU2018" s="142"/>
      <c r="OFV2018" s="142"/>
      <c r="OFW2018" s="142"/>
      <c r="OFX2018" s="142"/>
      <c r="OFY2018" s="142"/>
      <c r="OFZ2018" s="142"/>
      <c r="OGA2018" s="142"/>
      <c r="OGB2018" s="142"/>
      <c r="OGC2018" s="142"/>
      <c r="OGD2018" s="142"/>
      <c r="OGE2018" s="142"/>
      <c r="OGF2018" s="142"/>
      <c r="OGG2018" s="142"/>
      <c r="OGH2018" s="142"/>
      <c r="OGI2018" s="142"/>
      <c r="OGJ2018" s="142"/>
      <c r="OGK2018" s="142"/>
      <c r="OGL2018" s="142"/>
      <c r="OGM2018" s="142"/>
      <c r="OGN2018" s="142"/>
      <c r="OGO2018" s="142"/>
      <c r="OGP2018" s="142"/>
      <c r="OGQ2018" s="142"/>
      <c r="OGR2018" s="142"/>
      <c r="OGS2018" s="142"/>
      <c r="OGT2018" s="142"/>
      <c r="OGU2018" s="142"/>
      <c r="OGV2018" s="142"/>
      <c r="OGW2018" s="142"/>
      <c r="OGX2018" s="142"/>
      <c r="OGY2018" s="142"/>
      <c r="OGZ2018" s="142"/>
      <c r="OHA2018" s="142"/>
      <c r="OHB2018" s="142"/>
      <c r="OHC2018" s="142"/>
      <c r="OHD2018" s="142"/>
      <c r="OHE2018" s="142"/>
      <c r="OHF2018" s="142"/>
      <c r="OHG2018" s="142"/>
      <c r="OHH2018" s="142"/>
      <c r="OHI2018" s="142"/>
      <c r="OHJ2018" s="142"/>
      <c r="OHK2018" s="142"/>
      <c r="OHL2018" s="142"/>
      <c r="OHM2018" s="142"/>
      <c r="OHN2018" s="142"/>
      <c r="OHO2018" s="142"/>
      <c r="OHP2018" s="142"/>
      <c r="OHQ2018" s="142"/>
      <c r="OHR2018" s="142"/>
      <c r="OHS2018" s="142"/>
      <c r="OHT2018" s="142"/>
      <c r="OHU2018" s="142"/>
      <c r="OHV2018" s="142"/>
      <c r="OHW2018" s="142"/>
      <c r="OHX2018" s="142"/>
      <c r="OHY2018" s="142"/>
      <c r="OHZ2018" s="142"/>
      <c r="OIA2018" s="142"/>
      <c r="OIB2018" s="142"/>
      <c r="OIC2018" s="142"/>
      <c r="OID2018" s="142"/>
      <c r="OIE2018" s="142"/>
      <c r="OIF2018" s="142"/>
      <c r="OIG2018" s="142"/>
      <c r="OIH2018" s="142"/>
      <c r="OII2018" s="142"/>
      <c r="OIJ2018" s="142"/>
      <c r="OIK2018" s="142"/>
      <c r="OIL2018" s="142"/>
      <c r="OIM2018" s="142"/>
      <c r="OIN2018" s="142"/>
      <c r="OIO2018" s="142"/>
      <c r="OIP2018" s="142"/>
      <c r="OIQ2018" s="142"/>
      <c r="OIR2018" s="142"/>
      <c r="OIS2018" s="142"/>
      <c r="OIT2018" s="142"/>
      <c r="OIU2018" s="142"/>
      <c r="OIV2018" s="142"/>
      <c r="OIW2018" s="142"/>
      <c r="OIX2018" s="142"/>
      <c r="OIY2018" s="142"/>
      <c r="OIZ2018" s="142"/>
      <c r="OJA2018" s="142"/>
      <c r="OJB2018" s="142"/>
      <c r="OJC2018" s="142"/>
      <c r="OJD2018" s="142"/>
      <c r="OJE2018" s="142"/>
      <c r="OJF2018" s="142"/>
      <c r="OJG2018" s="142"/>
      <c r="OJH2018" s="142"/>
      <c r="OJI2018" s="142"/>
      <c r="OJJ2018" s="142"/>
      <c r="OJK2018" s="142"/>
      <c r="OJL2018" s="142"/>
      <c r="OJM2018" s="142"/>
      <c r="OJN2018" s="142"/>
      <c r="OJO2018" s="142"/>
      <c r="OJP2018" s="142"/>
      <c r="OJQ2018" s="142"/>
      <c r="OJR2018" s="142"/>
      <c r="OJS2018" s="142"/>
      <c r="OJT2018" s="142"/>
      <c r="OJU2018" s="142"/>
      <c r="OJV2018" s="142"/>
      <c r="OJW2018" s="142"/>
      <c r="OJX2018" s="142"/>
      <c r="OJY2018" s="142"/>
      <c r="OJZ2018" s="142"/>
      <c r="OKA2018" s="142"/>
      <c r="OKB2018" s="142"/>
      <c r="OKC2018" s="142"/>
      <c r="OKD2018" s="142"/>
      <c r="OKE2018" s="142"/>
      <c r="OKF2018" s="142"/>
      <c r="OKG2018" s="142"/>
      <c r="OKH2018" s="142"/>
      <c r="OKI2018" s="142"/>
      <c r="OKJ2018" s="142"/>
      <c r="OKK2018" s="142"/>
      <c r="OKL2018" s="142"/>
      <c r="OKM2018" s="142"/>
      <c r="OKN2018" s="142"/>
      <c r="OKO2018" s="142"/>
      <c r="OKP2018" s="142"/>
      <c r="OKQ2018" s="142"/>
      <c r="OKR2018" s="142"/>
      <c r="OKS2018" s="142"/>
      <c r="OKT2018" s="142"/>
      <c r="OKU2018" s="142"/>
      <c r="OKV2018" s="142"/>
      <c r="OKW2018" s="142"/>
      <c r="OKX2018" s="142"/>
      <c r="OKY2018" s="142"/>
      <c r="OKZ2018" s="142"/>
      <c r="OLA2018" s="142"/>
      <c r="OLB2018" s="142"/>
      <c r="OLC2018" s="142"/>
      <c r="OLD2018" s="142"/>
      <c r="OLE2018" s="142"/>
      <c r="OLF2018" s="142"/>
      <c r="OLG2018" s="142"/>
      <c r="OLH2018" s="142"/>
      <c r="OLI2018" s="142"/>
      <c r="OLJ2018" s="142"/>
      <c r="OLK2018" s="142"/>
      <c r="OLL2018" s="142"/>
      <c r="OLM2018" s="142"/>
      <c r="OLN2018" s="142"/>
      <c r="OLO2018" s="142"/>
      <c r="OLP2018" s="142"/>
      <c r="OLQ2018" s="142"/>
      <c r="OLR2018" s="142"/>
      <c r="OLS2018" s="142"/>
      <c r="OLT2018" s="142"/>
      <c r="OLU2018" s="142"/>
      <c r="OLV2018" s="142"/>
      <c r="OLW2018" s="142"/>
      <c r="OLX2018" s="142"/>
      <c r="OLY2018" s="142"/>
      <c r="OLZ2018" s="142"/>
      <c r="OMA2018" s="142"/>
      <c r="OMB2018" s="142"/>
      <c r="OMC2018" s="142"/>
      <c r="OMD2018" s="142"/>
      <c r="OME2018" s="142"/>
      <c r="OMF2018" s="142"/>
      <c r="OMG2018" s="142"/>
      <c r="OMH2018" s="142"/>
      <c r="OMI2018" s="142"/>
      <c r="OMJ2018" s="142"/>
      <c r="OMK2018" s="142"/>
      <c r="OML2018" s="142"/>
      <c r="OMM2018" s="142"/>
      <c r="OMN2018" s="142"/>
      <c r="OMO2018" s="142"/>
      <c r="OMP2018" s="142"/>
      <c r="OMQ2018" s="142"/>
      <c r="OMR2018" s="142"/>
      <c r="OMS2018" s="142"/>
      <c r="OMT2018" s="142"/>
      <c r="OMU2018" s="142"/>
      <c r="OMV2018" s="142"/>
      <c r="OMW2018" s="142"/>
      <c r="OMX2018" s="142"/>
      <c r="OMY2018" s="142"/>
      <c r="OMZ2018" s="142"/>
      <c r="ONA2018" s="142"/>
      <c r="ONB2018" s="142"/>
      <c r="ONC2018" s="142"/>
      <c r="OND2018" s="142"/>
      <c r="ONE2018" s="142"/>
      <c r="ONF2018" s="142"/>
      <c r="ONG2018" s="142"/>
      <c r="ONH2018" s="142"/>
      <c r="ONI2018" s="142"/>
      <c r="ONJ2018" s="142"/>
      <c r="ONK2018" s="142"/>
      <c r="ONL2018" s="142"/>
      <c r="ONM2018" s="142"/>
      <c r="ONN2018" s="142"/>
      <c r="ONO2018" s="142"/>
      <c r="ONP2018" s="142"/>
      <c r="ONQ2018" s="142"/>
      <c r="ONR2018" s="142"/>
      <c r="ONS2018" s="142"/>
      <c r="ONT2018" s="142"/>
      <c r="ONU2018" s="142"/>
      <c r="ONV2018" s="142"/>
      <c r="ONW2018" s="142"/>
      <c r="ONX2018" s="142"/>
      <c r="ONY2018" s="142"/>
      <c r="ONZ2018" s="142"/>
      <c r="OOA2018" s="142"/>
      <c r="OOB2018" s="142"/>
      <c r="OOC2018" s="142"/>
      <c r="OOD2018" s="142"/>
      <c r="OOE2018" s="142"/>
      <c r="OOF2018" s="142"/>
      <c r="OOG2018" s="142"/>
      <c r="OOH2018" s="142"/>
      <c r="OOI2018" s="142"/>
      <c r="OOJ2018" s="142"/>
      <c r="OOK2018" s="142"/>
      <c r="OOL2018" s="142"/>
      <c r="OOM2018" s="142"/>
      <c r="OON2018" s="142"/>
      <c r="OOO2018" s="142"/>
      <c r="OOP2018" s="142"/>
      <c r="OOQ2018" s="142"/>
      <c r="OOR2018" s="142"/>
      <c r="OOS2018" s="142"/>
      <c r="OOT2018" s="142"/>
      <c r="OOU2018" s="142"/>
      <c r="OOV2018" s="142"/>
      <c r="OOW2018" s="142"/>
      <c r="OOX2018" s="142"/>
      <c r="OOY2018" s="142"/>
      <c r="OOZ2018" s="142"/>
      <c r="OPA2018" s="142"/>
      <c r="OPB2018" s="142"/>
      <c r="OPC2018" s="142"/>
      <c r="OPD2018" s="142"/>
      <c r="OPE2018" s="142"/>
      <c r="OPF2018" s="142"/>
      <c r="OPG2018" s="142"/>
      <c r="OPH2018" s="142"/>
      <c r="OPI2018" s="142"/>
      <c r="OPJ2018" s="142"/>
      <c r="OPK2018" s="142"/>
      <c r="OPL2018" s="142"/>
      <c r="OPM2018" s="142"/>
      <c r="OPN2018" s="142"/>
      <c r="OPO2018" s="142"/>
      <c r="OPP2018" s="142"/>
      <c r="OPQ2018" s="142"/>
      <c r="OPR2018" s="142"/>
      <c r="OPS2018" s="142"/>
      <c r="OPT2018" s="142"/>
      <c r="OPU2018" s="142"/>
      <c r="OPV2018" s="142"/>
      <c r="OPW2018" s="142"/>
      <c r="OPX2018" s="142"/>
      <c r="OPY2018" s="142"/>
      <c r="OPZ2018" s="142"/>
      <c r="OQA2018" s="142"/>
      <c r="OQB2018" s="142"/>
      <c r="OQC2018" s="142"/>
      <c r="OQD2018" s="142"/>
      <c r="OQE2018" s="142"/>
      <c r="OQF2018" s="142"/>
      <c r="OQG2018" s="142"/>
      <c r="OQH2018" s="142"/>
      <c r="OQI2018" s="142"/>
      <c r="OQJ2018" s="142"/>
      <c r="OQK2018" s="142"/>
      <c r="OQL2018" s="142"/>
      <c r="OQM2018" s="142"/>
      <c r="OQN2018" s="142"/>
      <c r="OQO2018" s="142"/>
      <c r="OQP2018" s="142"/>
      <c r="OQQ2018" s="142"/>
      <c r="OQR2018" s="142"/>
      <c r="OQS2018" s="142"/>
      <c r="OQT2018" s="142"/>
      <c r="OQU2018" s="142"/>
      <c r="OQV2018" s="142"/>
      <c r="OQW2018" s="142"/>
      <c r="OQX2018" s="142"/>
      <c r="OQY2018" s="142"/>
      <c r="OQZ2018" s="142"/>
      <c r="ORA2018" s="142"/>
      <c r="ORB2018" s="142"/>
      <c r="ORC2018" s="142"/>
      <c r="ORD2018" s="142"/>
      <c r="ORE2018" s="142"/>
      <c r="ORF2018" s="142"/>
      <c r="ORG2018" s="142"/>
      <c r="ORH2018" s="142"/>
      <c r="ORI2018" s="142"/>
      <c r="ORJ2018" s="142"/>
      <c r="ORK2018" s="142"/>
      <c r="ORL2018" s="142"/>
      <c r="ORM2018" s="142"/>
      <c r="ORN2018" s="142"/>
      <c r="ORO2018" s="142"/>
      <c r="ORP2018" s="142"/>
      <c r="ORQ2018" s="142"/>
      <c r="ORR2018" s="142"/>
      <c r="ORS2018" s="142"/>
      <c r="ORT2018" s="142"/>
      <c r="ORU2018" s="142"/>
      <c r="ORV2018" s="142"/>
      <c r="ORW2018" s="142"/>
      <c r="ORX2018" s="142"/>
      <c r="ORY2018" s="142"/>
      <c r="ORZ2018" s="142"/>
      <c r="OSA2018" s="142"/>
      <c r="OSB2018" s="142"/>
      <c r="OSC2018" s="142"/>
      <c r="OSD2018" s="142"/>
      <c r="OSE2018" s="142"/>
      <c r="OSF2018" s="142"/>
      <c r="OSG2018" s="142"/>
      <c r="OSH2018" s="142"/>
      <c r="OSI2018" s="142"/>
      <c r="OSJ2018" s="142"/>
      <c r="OSK2018" s="142"/>
      <c r="OSL2018" s="142"/>
      <c r="OSM2018" s="142"/>
      <c r="OSN2018" s="142"/>
      <c r="OSO2018" s="142"/>
      <c r="OSP2018" s="142"/>
      <c r="OSQ2018" s="142"/>
      <c r="OSR2018" s="142"/>
      <c r="OSS2018" s="142"/>
      <c r="OST2018" s="142"/>
      <c r="OSU2018" s="142"/>
      <c r="OSV2018" s="142"/>
      <c r="OSW2018" s="142"/>
      <c r="OSX2018" s="142"/>
      <c r="OSY2018" s="142"/>
      <c r="OSZ2018" s="142"/>
      <c r="OTA2018" s="142"/>
      <c r="OTB2018" s="142"/>
      <c r="OTC2018" s="142"/>
      <c r="OTD2018" s="142"/>
      <c r="OTE2018" s="142"/>
      <c r="OTF2018" s="142"/>
      <c r="OTG2018" s="142"/>
      <c r="OTH2018" s="142"/>
      <c r="OTI2018" s="142"/>
      <c r="OTJ2018" s="142"/>
      <c r="OTK2018" s="142"/>
      <c r="OTL2018" s="142"/>
      <c r="OTM2018" s="142"/>
      <c r="OTN2018" s="142"/>
      <c r="OTO2018" s="142"/>
      <c r="OTP2018" s="142"/>
      <c r="OTQ2018" s="142"/>
      <c r="OTR2018" s="142"/>
      <c r="OTS2018" s="142"/>
      <c r="OTT2018" s="142"/>
      <c r="OTU2018" s="142"/>
      <c r="OTV2018" s="142"/>
      <c r="OTW2018" s="142"/>
      <c r="OTX2018" s="142"/>
      <c r="OTY2018" s="142"/>
      <c r="OTZ2018" s="142"/>
      <c r="OUA2018" s="142"/>
      <c r="OUB2018" s="142"/>
      <c r="OUC2018" s="142"/>
      <c r="OUD2018" s="142"/>
      <c r="OUE2018" s="142"/>
      <c r="OUF2018" s="142"/>
      <c r="OUG2018" s="142"/>
      <c r="OUH2018" s="142"/>
      <c r="OUI2018" s="142"/>
      <c r="OUJ2018" s="142"/>
      <c r="OUK2018" s="142"/>
      <c r="OUL2018" s="142"/>
      <c r="OUM2018" s="142"/>
      <c r="OUN2018" s="142"/>
      <c r="OUO2018" s="142"/>
      <c r="OUP2018" s="142"/>
      <c r="OUQ2018" s="142"/>
      <c r="OUR2018" s="142"/>
      <c r="OUS2018" s="142"/>
      <c r="OUT2018" s="142"/>
      <c r="OUU2018" s="142"/>
      <c r="OUV2018" s="142"/>
      <c r="OUW2018" s="142"/>
      <c r="OUX2018" s="142"/>
      <c r="OUY2018" s="142"/>
      <c r="OUZ2018" s="142"/>
      <c r="OVA2018" s="142"/>
      <c r="OVB2018" s="142"/>
      <c r="OVC2018" s="142"/>
      <c r="OVD2018" s="142"/>
      <c r="OVE2018" s="142"/>
      <c r="OVF2018" s="142"/>
      <c r="OVG2018" s="142"/>
      <c r="OVH2018" s="142"/>
      <c r="OVI2018" s="142"/>
      <c r="OVJ2018" s="142"/>
      <c r="OVK2018" s="142"/>
      <c r="OVL2018" s="142"/>
      <c r="OVM2018" s="142"/>
      <c r="OVN2018" s="142"/>
      <c r="OVO2018" s="142"/>
      <c r="OVP2018" s="142"/>
      <c r="OVQ2018" s="142"/>
      <c r="OVR2018" s="142"/>
      <c r="OVS2018" s="142"/>
      <c r="OVT2018" s="142"/>
      <c r="OVU2018" s="142"/>
      <c r="OVV2018" s="142"/>
      <c r="OVW2018" s="142"/>
      <c r="OVX2018" s="142"/>
      <c r="OVY2018" s="142"/>
      <c r="OVZ2018" s="142"/>
      <c r="OWA2018" s="142"/>
      <c r="OWB2018" s="142"/>
      <c r="OWC2018" s="142"/>
      <c r="OWD2018" s="142"/>
      <c r="OWE2018" s="142"/>
      <c r="OWF2018" s="142"/>
      <c r="OWG2018" s="142"/>
      <c r="OWH2018" s="142"/>
      <c r="OWI2018" s="142"/>
      <c r="OWJ2018" s="142"/>
      <c r="OWK2018" s="142"/>
      <c r="OWL2018" s="142"/>
      <c r="OWM2018" s="142"/>
      <c r="OWN2018" s="142"/>
      <c r="OWO2018" s="142"/>
      <c r="OWP2018" s="142"/>
      <c r="OWQ2018" s="142"/>
      <c r="OWR2018" s="142"/>
      <c r="OWS2018" s="142"/>
      <c r="OWT2018" s="142"/>
      <c r="OWU2018" s="142"/>
      <c r="OWV2018" s="142"/>
      <c r="OWW2018" s="142"/>
      <c r="OWX2018" s="142"/>
      <c r="OWY2018" s="142"/>
      <c r="OWZ2018" s="142"/>
      <c r="OXA2018" s="142"/>
      <c r="OXB2018" s="142"/>
      <c r="OXC2018" s="142"/>
      <c r="OXD2018" s="142"/>
      <c r="OXE2018" s="142"/>
      <c r="OXF2018" s="142"/>
      <c r="OXG2018" s="142"/>
      <c r="OXH2018" s="142"/>
      <c r="OXI2018" s="142"/>
      <c r="OXJ2018" s="142"/>
      <c r="OXK2018" s="142"/>
      <c r="OXL2018" s="142"/>
      <c r="OXM2018" s="142"/>
      <c r="OXN2018" s="142"/>
      <c r="OXO2018" s="142"/>
      <c r="OXP2018" s="142"/>
      <c r="OXQ2018" s="142"/>
      <c r="OXR2018" s="142"/>
      <c r="OXS2018" s="142"/>
      <c r="OXT2018" s="142"/>
      <c r="OXU2018" s="142"/>
      <c r="OXV2018" s="142"/>
      <c r="OXW2018" s="142"/>
      <c r="OXX2018" s="142"/>
      <c r="OXY2018" s="142"/>
      <c r="OXZ2018" s="142"/>
      <c r="OYA2018" s="142"/>
      <c r="OYB2018" s="142"/>
      <c r="OYC2018" s="142"/>
      <c r="OYD2018" s="142"/>
      <c r="OYE2018" s="142"/>
      <c r="OYF2018" s="142"/>
      <c r="OYG2018" s="142"/>
      <c r="OYH2018" s="142"/>
      <c r="OYI2018" s="142"/>
      <c r="OYJ2018" s="142"/>
      <c r="OYK2018" s="142"/>
      <c r="OYL2018" s="142"/>
      <c r="OYM2018" s="142"/>
      <c r="OYN2018" s="142"/>
      <c r="OYO2018" s="142"/>
      <c r="OYP2018" s="142"/>
      <c r="OYQ2018" s="142"/>
      <c r="OYR2018" s="142"/>
      <c r="OYS2018" s="142"/>
      <c r="OYT2018" s="142"/>
      <c r="OYU2018" s="142"/>
      <c r="OYV2018" s="142"/>
      <c r="OYW2018" s="142"/>
      <c r="OYX2018" s="142"/>
      <c r="OYY2018" s="142"/>
      <c r="OYZ2018" s="142"/>
      <c r="OZA2018" s="142"/>
      <c r="OZB2018" s="142"/>
      <c r="OZC2018" s="142"/>
      <c r="OZD2018" s="142"/>
      <c r="OZE2018" s="142"/>
      <c r="OZF2018" s="142"/>
      <c r="OZG2018" s="142"/>
      <c r="OZH2018" s="142"/>
      <c r="OZI2018" s="142"/>
      <c r="OZJ2018" s="142"/>
      <c r="OZK2018" s="142"/>
      <c r="OZL2018" s="142"/>
      <c r="OZM2018" s="142"/>
      <c r="OZN2018" s="142"/>
      <c r="OZO2018" s="142"/>
      <c r="OZP2018" s="142"/>
      <c r="OZQ2018" s="142"/>
      <c r="OZR2018" s="142"/>
      <c r="OZS2018" s="142"/>
      <c r="OZT2018" s="142"/>
      <c r="OZU2018" s="142"/>
      <c r="OZV2018" s="142"/>
      <c r="OZW2018" s="142"/>
      <c r="OZX2018" s="142"/>
      <c r="OZY2018" s="142"/>
      <c r="OZZ2018" s="142"/>
      <c r="PAA2018" s="142"/>
      <c r="PAB2018" s="142"/>
      <c r="PAC2018" s="142"/>
      <c r="PAD2018" s="142"/>
      <c r="PAE2018" s="142"/>
      <c r="PAF2018" s="142"/>
      <c r="PAG2018" s="142"/>
      <c r="PAH2018" s="142"/>
      <c r="PAI2018" s="142"/>
      <c r="PAJ2018" s="142"/>
      <c r="PAK2018" s="142"/>
      <c r="PAL2018" s="142"/>
      <c r="PAM2018" s="142"/>
      <c r="PAN2018" s="142"/>
      <c r="PAO2018" s="142"/>
      <c r="PAP2018" s="142"/>
      <c r="PAQ2018" s="142"/>
      <c r="PAR2018" s="142"/>
      <c r="PAS2018" s="142"/>
      <c r="PAT2018" s="142"/>
      <c r="PAU2018" s="142"/>
      <c r="PAV2018" s="142"/>
      <c r="PAW2018" s="142"/>
      <c r="PAX2018" s="142"/>
      <c r="PAY2018" s="142"/>
      <c r="PAZ2018" s="142"/>
      <c r="PBA2018" s="142"/>
      <c r="PBB2018" s="142"/>
      <c r="PBC2018" s="142"/>
      <c r="PBD2018" s="142"/>
      <c r="PBE2018" s="142"/>
      <c r="PBF2018" s="142"/>
      <c r="PBG2018" s="142"/>
      <c r="PBH2018" s="142"/>
      <c r="PBI2018" s="142"/>
      <c r="PBJ2018" s="142"/>
      <c r="PBK2018" s="142"/>
      <c r="PBL2018" s="142"/>
      <c r="PBM2018" s="142"/>
      <c r="PBN2018" s="142"/>
      <c r="PBO2018" s="142"/>
      <c r="PBP2018" s="142"/>
      <c r="PBQ2018" s="142"/>
      <c r="PBR2018" s="142"/>
      <c r="PBS2018" s="142"/>
      <c r="PBT2018" s="142"/>
      <c r="PBU2018" s="142"/>
      <c r="PBV2018" s="142"/>
      <c r="PBW2018" s="142"/>
      <c r="PBX2018" s="142"/>
      <c r="PBY2018" s="142"/>
      <c r="PBZ2018" s="142"/>
      <c r="PCA2018" s="142"/>
      <c r="PCB2018" s="142"/>
      <c r="PCC2018" s="142"/>
      <c r="PCD2018" s="142"/>
      <c r="PCE2018" s="142"/>
      <c r="PCF2018" s="142"/>
      <c r="PCG2018" s="142"/>
      <c r="PCH2018" s="142"/>
      <c r="PCI2018" s="142"/>
      <c r="PCJ2018" s="142"/>
      <c r="PCK2018" s="142"/>
      <c r="PCL2018" s="142"/>
      <c r="PCM2018" s="142"/>
      <c r="PCN2018" s="142"/>
      <c r="PCO2018" s="142"/>
      <c r="PCP2018" s="142"/>
      <c r="PCQ2018" s="142"/>
      <c r="PCR2018" s="142"/>
      <c r="PCS2018" s="142"/>
      <c r="PCT2018" s="142"/>
      <c r="PCU2018" s="142"/>
      <c r="PCV2018" s="142"/>
      <c r="PCW2018" s="142"/>
      <c r="PCX2018" s="142"/>
      <c r="PCY2018" s="142"/>
      <c r="PCZ2018" s="142"/>
      <c r="PDA2018" s="142"/>
      <c r="PDB2018" s="142"/>
      <c r="PDC2018" s="142"/>
      <c r="PDD2018" s="142"/>
      <c r="PDE2018" s="142"/>
      <c r="PDF2018" s="142"/>
      <c r="PDG2018" s="142"/>
      <c r="PDH2018" s="142"/>
      <c r="PDI2018" s="142"/>
      <c r="PDJ2018" s="142"/>
      <c r="PDK2018" s="142"/>
      <c r="PDL2018" s="142"/>
      <c r="PDM2018" s="142"/>
      <c r="PDN2018" s="142"/>
      <c r="PDO2018" s="142"/>
      <c r="PDP2018" s="142"/>
      <c r="PDQ2018" s="142"/>
      <c r="PDR2018" s="142"/>
      <c r="PDS2018" s="142"/>
      <c r="PDT2018" s="142"/>
      <c r="PDU2018" s="142"/>
      <c r="PDV2018" s="142"/>
      <c r="PDW2018" s="142"/>
      <c r="PDX2018" s="142"/>
      <c r="PDY2018" s="142"/>
      <c r="PDZ2018" s="142"/>
      <c r="PEA2018" s="142"/>
      <c r="PEB2018" s="142"/>
      <c r="PEC2018" s="142"/>
      <c r="PED2018" s="142"/>
      <c r="PEE2018" s="142"/>
      <c r="PEF2018" s="142"/>
      <c r="PEG2018" s="142"/>
      <c r="PEH2018" s="142"/>
      <c r="PEI2018" s="142"/>
      <c r="PEJ2018" s="142"/>
      <c r="PEK2018" s="142"/>
      <c r="PEL2018" s="142"/>
      <c r="PEM2018" s="142"/>
      <c r="PEN2018" s="142"/>
      <c r="PEO2018" s="142"/>
      <c r="PEP2018" s="142"/>
      <c r="PEQ2018" s="142"/>
      <c r="PER2018" s="142"/>
      <c r="PES2018" s="142"/>
      <c r="PET2018" s="142"/>
      <c r="PEU2018" s="142"/>
      <c r="PEV2018" s="142"/>
      <c r="PEW2018" s="142"/>
      <c r="PEX2018" s="142"/>
      <c r="PEY2018" s="142"/>
      <c r="PEZ2018" s="142"/>
      <c r="PFA2018" s="142"/>
      <c r="PFB2018" s="142"/>
      <c r="PFC2018" s="142"/>
      <c r="PFD2018" s="142"/>
      <c r="PFE2018" s="142"/>
      <c r="PFF2018" s="142"/>
      <c r="PFG2018" s="142"/>
      <c r="PFH2018" s="142"/>
      <c r="PFI2018" s="142"/>
      <c r="PFJ2018" s="142"/>
      <c r="PFK2018" s="142"/>
      <c r="PFL2018" s="142"/>
      <c r="PFM2018" s="142"/>
      <c r="PFN2018" s="142"/>
      <c r="PFO2018" s="142"/>
      <c r="PFP2018" s="142"/>
      <c r="PFQ2018" s="142"/>
      <c r="PFR2018" s="142"/>
      <c r="PFS2018" s="142"/>
      <c r="PFT2018" s="142"/>
      <c r="PFU2018" s="142"/>
      <c r="PFV2018" s="142"/>
      <c r="PFW2018" s="142"/>
      <c r="PFX2018" s="142"/>
      <c r="PFY2018" s="142"/>
      <c r="PFZ2018" s="142"/>
      <c r="PGA2018" s="142"/>
      <c r="PGB2018" s="142"/>
      <c r="PGC2018" s="142"/>
      <c r="PGD2018" s="142"/>
      <c r="PGE2018" s="142"/>
      <c r="PGF2018" s="142"/>
      <c r="PGG2018" s="142"/>
      <c r="PGH2018" s="142"/>
      <c r="PGI2018" s="142"/>
      <c r="PGJ2018" s="142"/>
      <c r="PGK2018" s="142"/>
      <c r="PGL2018" s="142"/>
      <c r="PGM2018" s="142"/>
      <c r="PGN2018" s="142"/>
      <c r="PGO2018" s="142"/>
      <c r="PGP2018" s="142"/>
      <c r="PGQ2018" s="142"/>
      <c r="PGR2018" s="142"/>
      <c r="PGS2018" s="142"/>
      <c r="PGT2018" s="142"/>
      <c r="PGU2018" s="142"/>
      <c r="PGV2018" s="142"/>
      <c r="PGW2018" s="142"/>
      <c r="PGX2018" s="142"/>
      <c r="PGY2018" s="142"/>
      <c r="PGZ2018" s="142"/>
      <c r="PHA2018" s="142"/>
      <c r="PHB2018" s="142"/>
      <c r="PHC2018" s="142"/>
      <c r="PHD2018" s="142"/>
      <c r="PHE2018" s="142"/>
      <c r="PHF2018" s="142"/>
      <c r="PHG2018" s="142"/>
      <c r="PHH2018" s="142"/>
      <c r="PHI2018" s="142"/>
      <c r="PHJ2018" s="142"/>
      <c r="PHK2018" s="142"/>
      <c r="PHL2018" s="142"/>
      <c r="PHM2018" s="142"/>
      <c r="PHN2018" s="142"/>
      <c r="PHO2018" s="142"/>
      <c r="PHP2018" s="142"/>
      <c r="PHQ2018" s="142"/>
      <c r="PHR2018" s="142"/>
      <c r="PHS2018" s="142"/>
      <c r="PHT2018" s="142"/>
      <c r="PHU2018" s="142"/>
      <c r="PHV2018" s="142"/>
      <c r="PHW2018" s="142"/>
      <c r="PHX2018" s="142"/>
      <c r="PHY2018" s="142"/>
      <c r="PHZ2018" s="142"/>
      <c r="PIA2018" s="142"/>
      <c r="PIB2018" s="142"/>
      <c r="PIC2018" s="142"/>
      <c r="PID2018" s="142"/>
      <c r="PIE2018" s="142"/>
      <c r="PIF2018" s="142"/>
      <c r="PIG2018" s="142"/>
      <c r="PIH2018" s="142"/>
      <c r="PII2018" s="142"/>
      <c r="PIJ2018" s="142"/>
      <c r="PIK2018" s="142"/>
      <c r="PIL2018" s="142"/>
      <c r="PIM2018" s="142"/>
      <c r="PIN2018" s="142"/>
      <c r="PIO2018" s="142"/>
      <c r="PIP2018" s="142"/>
      <c r="PIQ2018" s="142"/>
      <c r="PIR2018" s="142"/>
      <c r="PIS2018" s="142"/>
      <c r="PIT2018" s="142"/>
      <c r="PIU2018" s="142"/>
      <c r="PIV2018" s="142"/>
      <c r="PIW2018" s="142"/>
      <c r="PIX2018" s="142"/>
      <c r="PIY2018" s="142"/>
      <c r="PIZ2018" s="142"/>
      <c r="PJA2018" s="142"/>
      <c r="PJB2018" s="142"/>
      <c r="PJC2018" s="142"/>
      <c r="PJD2018" s="142"/>
      <c r="PJE2018" s="142"/>
      <c r="PJF2018" s="142"/>
      <c r="PJG2018" s="142"/>
      <c r="PJH2018" s="142"/>
      <c r="PJI2018" s="142"/>
      <c r="PJJ2018" s="142"/>
      <c r="PJK2018" s="142"/>
      <c r="PJL2018" s="142"/>
      <c r="PJM2018" s="142"/>
      <c r="PJN2018" s="142"/>
      <c r="PJO2018" s="142"/>
      <c r="PJP2018" s="142"/>
      <c r="PJQ2018" s="142"/>
      <c r="PJR2018" s="142"/>
      <c r="PJS2018" s="142"/>
      <c r="PJT2018" s="142"/>
      <c r="PJU2018" s="142"/>
      <c r="PJV2018" s="142"/>
      <c r="PJW2018" s="142"/>
      <c r="PJX2018" s="142"/>
      <c r="PJY2018" s="142"/>
      <c r="PJZ2018" s="142"/>
      <c r="PKA2018" s="142"/>
      <c r="PKB2018" s="142"/>
      <c r="PKC2018" s="142"/>
      <c r="PKD2018" s="142"/>
      <c r="PKE2018" s="142"/>
      <c r="PKF2018" s="142"/>
      <c r="PKG2018" s="142"/>
      <c r="PKH2018" s="142"/>
      <c r="PKI2018" s="142"/>
      <c r="PKJ2018" s="142"/>
      <c r="PKK2018" s="142"/>
      <c r="PKL2018" s="142"/>
      <c r="PKM2018" s="142"/>
      <c r="PKN2018" s="142"/>
      <c r="PKO2018" s="142"/>
      <c r="PKP2018" s="142"/>
      <c r="PKQ2018" s="142"/>
      <c r="PKR2018" s="142"/>
      <c r="PKS2018" s="142"/>
      <c r="PKT2018" s="142"/>
      <c r="PKU2018" s="142"/>
      <c r="PKV2018" s="142"/>
      <c r="PKW2018" s="142"/>
      <c r="PKX2018" s="142"/>
      <c r="PKY2018" s="142"/>
      <c r="PKZ2018" s="142"/>
      <c r="PLA2018" s="142"/>
      <c r="PLB2018" s="142"/>
      <c r="PLC2018" s="142"/>
      <c r="PLD2018" s="142"/>
      <c r="PLE2018" s="142"/>
      <c r="PLF2018" s="142"/>
      <c r="PLG2018" s="142"/>
      <c r="PLH2018" s="142"/>
      <c r="PLI2018" s="142"/>
      <c r="PLJ2018" s="142"/>
      <c r="PLK2018" s="142"/>
      <c r="PLL2018" s="142"/>
      <c r="PLM2018" s="142"/>
      <c r="PLN2018" s="142"/>
      <c r="PLO2018" s="142"/>
      <c r="PLP2018" s="142"/>
      <c r="PLQ2018" s="142"/>
      <c r="PLR2018" s="142"/>
      <c r="PLS2018" s="142"/>
      <c r="PLT2018" s="142"/>
      <c r="PLU2018" s="142"/>
      <c r="PLV2018" s="142"/>
      <c r="PLW2018" s="142"/>
      <c r="PLX2018" s="142"/>
      <c r="PLY2018" s="142"/>
      <c r="PLZ2018" s="142"/>
      <c r="PMA2018" s="142"/>
      <c r="PMB2018" s="142"/>
      <c r="PMC2018" s="142"/>
      <c r="PMD2018" s="142"/>
      <c r="PME2018" s="142"/>
      <c r="PMF2018" s="142"/>
      <c r="PMG2018" s="142"/>
      <c r="PMH2018" s="142"/>
      <c r="PMI2018" s="142"/>
      <c r="PMJ2018" s="142"/>
      <c r="PMK2018" s="142"/>
      <c r="PML2018" s="142"/>
      <c r="PMM2018" s="142"/>
      <c r="PMN2018" s="142"/>
      <c r="PMO2018" s="142"/>
      <c r="PMP2018" s="142"/>
      <c r="PMQ2018" s="142"/>
      <c r="PMR2018" s="142"/>
      <c r="PMS2018" s="142"/>
      <c r="PMT2018" s="142"/>
      <c r="PMU2018" s="142"/>
      <c r="PMV2018" s="142"/>
      <c r="PMW2018" s="142"/>
      <c r="PMX2018" s="142"/>
      <c r="PMY2018" s="142"/>
      <c r="PMZ2018" s="142"/>
      <c r="PNA2018" s="142"/>
      <c r="PNB2018" s="142"/>
      <c r="PNC2018" s="142"/>
      <c r="PND2018" s="142"/>
      <c r="PNE2018" s="142"/>
      <c r="PNF2018" s="142"/>
      <c r="PNG2018" s="142"/>
      <c r="PNH2018" s="142"/>
      <c r="PNI2018" s="142"/>
      <c r="PNJ2018" s="142"/>
      <c r="PNK2018" s="142"/>
      <c r="PNL2018" s="142"/>
      <c r="PNM2018" s="142"/>
      <c r="PNN2018" s="142"/>
      <c r="PNO2018" s="142"/>
      <c r="PNP2018" s="142"/>
      <c r="PNQ2018" s="142"/>
      <c r="PNR2018" s="142"/>
      <c r="PNS2018" s="142"/>
      <c r="PNT2018" s="142"/>
      <c r="PNU2018" s="142"/>
      <c r="PNV2018" s="142"/>
      <c r="PNW2018" s="142"/>
      <c r="PNX2018" s="142"/>
      <c r="PNY2018" s="142"/>
      <c r="PNZ2018" s="142"/>
      <c r="POA2018" s="142"/>
      <c r="POB2018" s="142"/>
      <c r="POC2018" s="142"/>
      <c r="POD2018" s="142"/>
      <c r="POE2018" s="142"/>
      <c r="POF2018" s="142"/>
      <c r="POG2018" s="142"/>
      <c r="POH2018" s="142"/>
      <c r="POI2018" s="142"/>
      <c r="POJ2018" s="142"/>
      <c r="POK2018" s="142"/>
      <c r="POL2018" s="142"/>
      <c r="POM2018" s="142"/>
      <c r="PON2018" s="142"/>
      <c r="POO2018" s="142"/>
      <c r="POP2018" s="142"/>
      <c r="POQ2018" s="142"/>
      <c r="POR2018" s="142"/>
      <c r="POS2018" s="142"/>
      <c r="POT2018" s="142"/>
      <c r="POU2018" s="142"/>
      <c r="POV2018" s="142"/>
      <c r="POW2018" s="142"/>
      <c r="POX2018" s="142"/>
      <c r="POY2018" s="142"/>
      <c r="POZ2018" s="142"/>
      <c r="PPA2018" s="142"/>
      <c r="PPB2018" s="142"/>
      <c r="PPC2018" s="142"/>
      <c r="PPD2018" s="142"/>
      <c r="PPE2018" s="142"/>
      <c r="PPF2018" s="142"/>
      <c r="PPG2018" s="142"/>
      <c r="PPH2018" s="142"/>
      <c r="PPI2018" s="142"/>
      <c r="PPJ2018" s="142"/>
      <c r="PPK2018" s="142"/>
      <c r="PPL2018" s="142"/>
      <c r="PPM2018" s="142"/>
      <c r="PPN2018" s="142"/>
      <c r="PPO2018" s="142"/>
      <c r="PPP2018" s="142"/>
      <c r="PPQ2018" s="142"/>
      <c r="PPR2018" s="142"/>
      <c r="PPS2018" s="142"/>
      <c r="PPT2018" s="142"/>
      <c r="PPU2018" s="142"/>
      <c r="PPV2018" s="142"/>
      <c r="PPW2018" s="142"/>
      <c r="PPX2018" s="142"/>
      <c r="PPY2018" s="142"/>
      <c r="PPZ2018" s="142"/>
      <c r="PQA2018" s="142"/>
      <c r="PQB2018" s="142"/>
      <c r="PQC2018" s="142"/>
      <c r="PQD2018" s="142"/>
      <c r="PQE2018" s="142"/>
      <c r="PQF2018" s="142"/>
      <c r="PQG2018" s="142"/>
      <c r="PQH2018" s="142"/>
      <c r="PQI2018" s="142"/>
      <c r="PQJ2018" s="142"/>
      <c r="PQK2018" s="142"/>
      <c r="PQL2018" s="142"/>
      <c r="PQM2018" s="142"/>
      <c r="PQN2018" s="142"/>
      <c r="PQO2018" s="142"/>
      <c r="PQP2018" s="142"/>
      <c r="PQQ2018" s="142"/>
      <c r="PQR2018" s="142"/>
      <c r="PQS2018" s="142"/>
      <c r="PQT2018" s="142"/>
      <c r="PQU2018" s="142"/>
      <c r="PQV2018" s="142"/>
      <c r="PQW2018" s="142"/>
      <c r="PQX2018" s="142"/>
      <c r="PQY2018" s="142"/>
      <c r="PQZ2018" s="142"/>
      <c r="PRA2018" s="142"/>
      <c r="PRB2018" s="142"/>
      <c r="PRC2018" s="142"/>
      <c r="PRD2018" s="142"/>
      <c r="PRE2018" s="142"/>
      <c r="PRF2018" s="142"/>
      <c r="PRG2018" s="142"/>
      <c r="PRH2018" s="142"/>
      <c r="PRI2018" s="142"/>
      <c r="PRJ2018" s="142"/>
      <c r="PRK2018" s="142"/>
      <c r="PRL2018" s="142"/>
      <c r="PRM2018" s="142"/>
      <c r="PRN2018" s="142"/>
      <c r="PRO2018" s="142"/>
      <c r="PRP2018" s="142"/>
      <c r="PRQ2018" s="142"/>
      <c r="PRR2018" s="142"/>
      <c r="PRS2018" s="142"/>
      <c r="PRT2018" s="142"/>
      <c r="PRU2018" s="142"/>
      <c r="PRV2018" s="142"/>
      <c r="PRW2018" s="142"/>
      <c r="PRX2018" s="142"/>
      <c r="PRY2018" s="142"/>
      <c r="PRZ2018" s="142"/>
      <c r="PSA2018" s="142"/>
      <c r="PSB2018" s="142"/>
      <c r="PSC2018" s="142"/>
      <c r="PSD2018" s="142"/>
      <c r="PSE2018" s="142"/>
      <c r="PSF2018" s="142"/>
      <c r="PSG2018" s="142"/>
      <c r="PSH2018" s="142"/>
      <c r="PSI2018" s="142"/>
      <c r="PSJ2018" s="142"/>
      <c r="PSK2018" s="142"/>
      <c r="PSL2018" s="142"/>
      <c r="PSM2018" s="142"/>
      <c r="PSN2018" s="142"/>
      <c r="PSO2018" s="142"/>
      <c r="PSP2018" s="142"/>
      <c r="PSQ2018" s="142"/>
      <c r="PSR2018" s="142"/>
      <c r="PSS2018" s="142"/>
      <c r="PST2018" s="142"/>
      <c r="PSU2018" s="142"/>
      <c r="PSV2018" s="142"/>
      <c r="PSW2018" s="142"/>
      <c r="PSX2018" s="142"/>
      <c r="PSY2018" s="142"/>
      <c r="PSZ2018" s="142"/>
      <c r="PTA2018" s="142"/>
      <c r="PTB2018" s="142"/>
      <c r="PTC2018" s="142"/>
      <c r="PTD2018" s="142"/>
      <c r="PTE2018" s="142"/>
      <c r="PTF2018" s="142"/>
      <c r="PTG2018" s="142"/>
      <c r="PTH2018" s="142"/>
      <c r="PTI2018" s="142"/>
      <c r="PTJ2018" s="142"/>
      <c r="PTK2018" s="142"/>
      <c r="PTL2018" s="142"/>
      <c r="PTM2018" s="142"/>
      <c r="PTN2018" s="142"/>
      <c r="PTO2018" s="142"/>
      <c r="PTP2018" s="142"/>
      <c r="PTQ2018" s="142"/>
      <c r="PTR2018" s="142"/>
      <c r="PTS2018" s="142"/>
      <c r="PTT2018" s="142"/>
      <c r="PTU2018" s="142"/>
      <c r="PTV2018" s="142"/>
      <c r="PTW2018" s="142"/>
      <c r="PTX2018" s="142"/>
      <c r="PTY2018" s="142"/>
      <c r="PTZ2018" s="142"/>
      <c r="PUA2018" s="142"/>
      <c r="PUB2018" s="142"/>
      <c r="PUC2018" s="142"/>
      <c r="PUD2018" s="142"/>
      <c r="PUE2018" s="142"/>
      <c r="PUF2018" s="142"/>
      <c r="PUG2018" s="142"/>
      <c r="PUH2018" s="142"/>
      <c r="PUI2018" s="142"/>
      <c r="PUJ2018" s="142"/>
      <c r="PUK2018" s="142"/>
      <c r="PUL2018" s="142"/>
      <c r="PUM2018" s="142"/>
      <c r="PUN2018" s="142"/>
      <c r="PUO2018" s="142"/>
      <c r="PUP2018" s="142"/>
      <c r="PUQ2018" s="142"/>
      <c r="PUR2018" s="142"/>
      <c r="PUS2018" s="142"/>
      <c r="PUT2018" s="142"/>
      <c r="PUU2018" s="142"/>
      <c r="PUV2018" s="142"/>
      <c r="PUW2018" s="142"/>
      <c r="PUX2018" s="142"/>
      <c r="PUY2018" s="142"/>
      <c r="PUZ2018" s="142"/>
      <c r="PVA2018" s="142"/>
      <c r="PVB2018" s="142"/>
      <c r="PVC2018" s="142"/>
      <c r="PVD2018" s="142"/>
      <c r="PVE2018" s="142"/>
      <c r="PVF2018" s="142"/>
      <c r="PVG2018" s="142"/>
      <c r="PVH2018" s="142"/>
      <c r="PVI2018" s="142"/>
      <c r="PVJ2018" s="142"/>
      <c r="PVK2018" s="142"/>
      <c r="PVL2018" s="142"/>
      <c r="PVM2018" s="142"/>
      <c r="PVN2018" s="142"/>
      <c r="PVO2018" s="142"/>
      <c r="PVP2018" s="142"/>
      <c r="PVQ2018" s="142"/>
      <c r="PVR2018" s="142"/>
      <c r="PVS2018" s="142"/>
      <c r="PVT2018" s="142"/>
      <c r="PVU2018" s="142"/>
      <c r="PVV2018" s="142"/>
      <c r="PVW2018" s="142"/>
      <c r="PVX2018" s="142"/>
      <c r="PVY2018" s="142"/>
      <c r="PVZ2018" s="142"/>
      <c r="PWA2018" s="142"/>
      <c r="PWB2018" s="142"/>
      <c r="PWC2018" s="142"/>
      <c r="PWD2018" s="142"/>
      <c r="PWE2018" s="142"/>
      <c r="PWF2018" s="142"/>
      <c r="PWG2018" s="142"/>
      <c r="PWH2018" s="142"/>
      <c r="PWI2018" s="142"/>
      <c r="PWJ2018" s="142"/>
      <c r="PWK2018" s="142"/>
      <c r="PWL2018" s="142"/>
      <c r="PWM2018" s="142"/>
      <c r="PWN2018" s="142"/>
      <c r="PWO2018" s="142"/>
      <c r="PWP2018" s="142"/>
      <c r="PWQ2018" s="142"/>
      <c r="PWR2018" s="142"/>
      <c r="PWS2018" s="142"/>
      <c r="PWT2018" s="142"/>
      <c r="PWU2018" s="142"/>
      <c r="PWV2018" s="142"/>
      <c r="PWW2018" s="142"/>
      <c r="PWX2018" s="142"/>
      <c r="PWY2018" s="142"/>
      <c r="PWZ2018" s="142"/>
      <c r="PXA2018" s="142"/>
      <c r="PXB2018" s="142"/>
      <c r="PXC2018" s="142"/>
      <c r="PXD2018" s="142"/>
      <c r="PXE2018" s="142"/>
      <c r="PXF2018" s="142"/>
      <c r="PXG2018" s="142"/>
      <c r="PXH2018" s="142"/>
      <c r="PXI2018" s="142"/>
      <c r="PXJ2018" s="142"/>
      <c r="PXK2018" s="142"/>
      <c r="PXL2018" s="142"/>
      <c r="PXM2018" s="142"/>
      <c r="PXN2018" s="142"/>
      <c r="PXO2018" s="142"/>
      <c r="PXP2018" s="142"/>
      <c r="PXQ2018" s="142"/>
      <c r="PXR2018" s="142"/>
      <c r="PXS2018" s="142"/>
      <c r="PXT2018" s="142"/>
      <c r="PXU2018" s="142"/>
      <c r="PXV2018" s="142"/>
      <c r="PXW2018" s="142"/>
      <c r="PXX2018" s="142"/>
      <c r="PXY2018" s="142"/>
      <c r="PXZ2018" s="142"/>
      <c r="PYA2018" s="142"/>
      <c r="PYB2018" s="142"/>
      <c r="PYC2018" s="142"/>
      <c r="PYD2018" s="142"/>
      <c r="PYE2018" s="142"/>
      <c r="PYF2018" s="142"/>
      <c r="PYG2018" s="142"/>
      <c r="PYH2018" s="142"/>
      <c r="PYI2018" s="142"/>
      <c r="PYJ2018" s="142"/>
      <c r="PYK2018" s="142"/>
      <c r="PYL2018" s="142"/>
      <c r="PYM2018" s="142"/>
      <c r="PYN2018" s="142"/>
      <c r="PYO2018" s="142"/>
      <c r="PYP2018" s="142"/>
      <c r="PYQ2018" s="142"/>
      <c r="PYR2018" s="142"/>
      <c r="PYS2018" s="142"/>
      <c r="PYT2018" s="142"/>
      <c r="PYU2018" s="142"/>
      <c r="PYV2018" s="142"/>
      <c r="PYW2018" s="142"/>
      <c r="PYX2018" s="142"/>
      <c r="PYY2018" s="142"/>
      <c r="PYZ2018" s="142"/>
      <c r="PZA2018" s="142"/>
      <c r="PZB2018" s="142"/>
      <c r="PZC2018" s="142"/>
      <c r="PZD2018" s="142"/>
      <c r="PZE2018" s="142"/>
      <c r="PZF2018" s="142"/>
      <c r="PZG2018" s="142"/>
      <c r="PZH2018" s="142"/>
      <c r="PZI2018" s="142"/>
      <c r="PZJ2018" s="142"/>
      <c r="PZK2018" s="142"/>
      <c r="PZL2018" s="142"/>
      <c r="PZM2018" s="142"/>
      <c r="PZN2018" s="142"/>
      <c r="PZO2018" s="142"/>
      <c r="PZP2018" s="142"/>
      <c r="PZQ2018" s="142"/>
      <c r="PZR2018" s="142"/>
      <c r="PZS2018" s="142"/>
      <c r="PZT2018" s="142"/>
      <c r="PZU2018" s="142"/>
      <c r="PZV2018" s="142"/>
      <c r="PZW2018" s="142"/>
      <c r="PZX2018" s="142"/>
      <c r="PZY2018" s="142"/>
      <c r="PZZ2018" s="142"/>
      <c r="QAA2018" s="142"/>
      <c r="QAB2018" s="142"/>
      <c r="QAC2018" s="142"/>
      <c r="QAD2018" s="142"/>
      <c r="QAE2018" s="142"/>
      <c r="QAF2018" s="142"/>
      <c r="QAG2018" s="142"/>
      <c r="QAH2018" s="142"/>
      <c r="QAI2018" s="142"/>
      <c r="QAJ2018" s="142"/>
      <c r="QAK2018" s="142"/>
      <c r="QAL2018" s="142"/>
      <c r="QAM2018" s="142"/>
      <c r="QAN2018" s="142"/>
      <c r="QAO2018" s="142"/>
      <c r="QAP2018" s="142"/>
      <c r="QAQ2018" s="142"/>
      <c r="QAR2018" s="142"/>
      <c r="QAS2018" s="142"/>
      <c r="QAT2018" s="142"/>
      <c r="QAU2018" s="142"/>
      <c r="QAV2018" s="142"/>
      <c r="QAW2018" s="142"/>
      <c r="QAX2018" s="142"/>
      <c r="QAY2018" s="142"/>
      <c r="QAZ2018" s="142"/>
      <c r="QBA2018" s="142"/>
      <c r="QBB2018" s="142"/>
      <c r="QBC2018" s="142"/>
      <c r="QBD2018" s="142"/>
      <c r="QBE2018" s="142"/>
      <c r="QBF2018" s="142"/>
      <c r="QBG2018" s="142"/>
      <c r="QBH2018" s="142"/>
      <c r="QBI2018" s="142"/>
      <c r="QBJ2018" s="142"/>
      <c r="QBK2018" s="142"/>
      <c r="QBL2018" s="142"/>
      <c r="QBM2018" s="142"/>
      <c r="QBN2018" s="142"/>
      <c r="QBO2018" s="142"/>
      <c r="QBP2018" s="142"/>
      <c r="QBQ2018" s="142"/>
      <c r="QBR2018" s="142"/>
      <c r="QBS2018" s="142"/>
      <c r="QBT2018" s="142"/>
      <c r="QBU2018" s="142"/>
      <c r="QBV2018" s="142"/>
      <c r="QBW2018" s="142"/>
      <c r="QBX2018" s="142"/>
      <c r="QBY2018" s="142"/>
      <c r="QBZ2018" s="142"/>
      <c r="QCA2018" s="142"/>
      <c r="QCB2018" s="142"/>
      <c r="QCC2018" s="142"/>
      <c r="QCD2018" s="142"/>
      <c r="QCE2018" s="142"/>
      <c r="QCF2018" s="142"/>
      <c r="QCG2018" s="142"/>
      <c r="QCH2018" s="142"/>
      <c r="QCI2018" s="142"/>
      <c r="QCJ2018" s="142"/>
      <c r="QCK2018" s="142"/>
      <c r="QCL2018" s="142"/>
      <c r="QCM2018" s="142"/>
      <c r="QCN2018" s="142"/>
      <c r="QCO2018" s="142"/>
      <c r="QCP2018" s="142"/>
      <c r="QCQ2018" s="142"/>
      <c r="QCR2018" s="142"/>
      <c r="QCS2018" s="142"/>
      <c r="QCT2018" s="142"/>
      <c r="QCU2018" s="142"/>
      <c r="QCV2018" s="142"/>
      <c r="QCW2018" s="142"/>
      <c r="QCX2018" s="142"/>
      <c r="QCY2018" s="142"/>
      <c r="QCZ2018" s="142"/>
      <c r="QDA2018" s="142"/>
      <c r="QDB2018" s="142"/>
      <c r="QDC2018" s="142"/>
      <c r="QDD2018" s="142"/>
      <c r="QDE2018" s="142"/>
      <c r="QDF2018" s="142"/>
      <c r="QDG2018" s="142"/>
      <c r="QDH2018" s="142"/>
      <c r="QDI2018" s="142"/>
      <c r="QDJ2018" s="142"/>
      <c r="QDK2018" s="142"/>
      <c r="QDL2018" s="142"/>
      <c r="QDM2018" s="142"/>
      <c r="QDN2018" s="142"/>
      <c r="QDO2018" s="142"/>
      <c r="QDP2018" s="142"/>
      <c r="QDQ2018" s="142"/>
      <c r="QDR2018" s="142"/>
      <c r="QDS2018" s="142"/>
      <c r="QDT2018" s="142"/>
      <c r="QDU2018" s="142"/>
      <c r="QDV2018" s="142"/>
      <c r="QDW2018" s="142"/>
      <c r="QDX2018" s="142"/>
      <c r="QDY2018" s="142"/>
      <c r="QDZ2018" s="142"/>
      <c r="QEA2018" s="142"/>
      <c r="QEB2018" s="142"/>
      <c r="QEC2018" s="142"/>
      <c r="QED2018" s="142"/>
      <c r="QEE2018" s="142"/>
      <c r="QEF2018" s="142"/>
      <c r="QEG2018" s="142"/>
      <c r="QEH2018" s="142"/>
      <c r="QEI2018" s="142"/>
      <c r="QEJ2018" s="142"/>
      <c r="QEK2018" s="142"/>
      <c r="QEL2018" s="142"/>
      <c r="QEM2018" s="142"/>
      <c r="QEN2018" s="142"/>
      <c r="QEO2018" s="142"/>
      <c r="QEP2018" s="142"/>
      <c r="QEQ2018" s="142"/>
      <c r="QER2018" s="142"/>
      <c r="QES2018" s="142"/>
      <c r="QET2018" s="142"/>
      <c r="QEU2018" s="142"/>
      <c r="QEV2018" s="142"/>
      <c r="QEW2018" s="142"/>
      <c r="QEX2018" s="142"/>
      <c r="QEY2018" s="142"/>
      <c r="QEZ2018" s="142"/>
      <c r="QFA2018" s="142"/>
      <c r="QFB2018" s="142"/>
      <c r="QFC2018" s="142"/>
      <c r="QFD2018" s="142"/>
      <c r="QFE2018" s="142"/>
      <c r="QFF2018" s="142"/>
      <c r="QFG2018" s="142"/>
      <c r="QFH2018" s="142"/>
      <c r="QFI2018" s="142"/>
      <c r="QFJ2018" s="142"/>
      <c r="QFK2018" s="142"/>
      <c r="QFL2018" s="142"/>
      <c r="QFM2018" s="142"/>
      <c r="QFN2018" s="142"/>
      <c r="QFO2018" s="142"/>
      <c r="QFP2018" s="142"/>
      <c r="QFQ2018" s="142"/>
      <c r="QFR2018" s="142"/>
      <c r="QFS2018" s="142"/>
      <c r="QFT2018" s="142"/>
      <c r="QFU2018" s="142"/>
      <c r="QFV2018" s="142"/>
      <c r="QFW2018" s="142"/>
      <c r="QFX2018" s="142"/>
      <c r="QFY2018" s="142"/>
      <c r="QFZ2018" s="142"/>
      <c r="QGA2018" s="142"/>
      <c r="QGB2018" s="142"/>
      <c r="QGC2018" s="142"/>
      <c r="QGD2018" s="142"/>
      <c r="QGE2018" s="142"/>
      <c r="QGF2018" s="142"/>
      <c r="QGG2018" s="142"/>
      <c r="QGH2018" s="142"/>
      <c r="QGI2018" s="142"/>
      <c r="QGJ2018" s="142"/>
      <c r="QGK2018" s="142"/>
      <c r="QGL2018" s="142"/>
      <c r="QGM2018" s="142"/>
      <c r="QGN2018" s="142"/>
      <c r="QGO2018" s="142"/>
      <c r="QGP2018" s="142"/>
      <c r="QGQ2018" s="142"/>
      <c r="QGR2018" s="142"/>
      <c r="QGS2018" s="142"/>
      <c r="QGT2018" s="142"/>
      <c r="QGU2018" s="142"/>
      <c r="QGV2018" s="142"/>
      <c r="QGW2018" s="142"/>
      <c r="QGX2018" s="142"/>
      <c r="QGY2018" s="142"/>
      <c r="QGZ2018" s="142"/>
      <c r="QHA2018" s="142"/>
      <c r="QHB2018" s="142"/>
      <c r="QHC2018" s="142"/>
      <c r="QHD2018" s="142"/>
      <c r="QHE2018" s="142"/>
      <c r="QHF2018" s="142"/>
      <c r="QHG2018" s="142"/>
      <c r="QHH2018" s="142"/>
      <c r="QHI2018" s="142"/>
      <c r="QHJ2018" s="142"/>
      <c r="QHK2018" s="142"/>
      <c r="QHL2018" s="142"/>
      <c r="QHM2018" s="142"/>
      <c r="QHN2018" s="142"/>
      <c r="QHO2018" s="142"/>
      <c r="QHP2018" s="142"/>
      <c r="QHQ2018" s="142"/>
      <c r="QHR2018" s="142"/>
      <c r="QHS2018" s="142"/>
      <c r="QHT2018" s="142"/>
      <c r="QHU2018" s="142"/>
      <c r="QHV2018" s="142"/>
      <c r="QHW2018" s="142"/>
      <c r="QHX2018" s="142"/>
      <c r="QHY2018" s="142"/>
      <c r="QHZ2018" s="142"/>
      <c r="QIA2018" s="142"/>
      <c r="QIB2018" s="142"/>
      <c r="QIC2018" s="142"/>
      <c r="QID2018" s="142"/>
      <c r="QIE2018" s="142"/>
      <c r="QIF2018" s="142"/>
      <c r="QIG2018" s="142"/>
      <c r="QIH2018" s="142"/>
      <c r="QII2018" s="142"/>
      <c r="QIJ2018" s="142"/>
      <c r="QIK2018" s="142"/>
      <c r="QIL2018" s="142"/>
      <c r="QIM2018" s="142"/>
      <c r="QIN2018" s="142"/>
      <c r="QIO2018" s="142"/>
      <c r="QIP2018" s="142"/>
      <c r="QIQ2018" s="142"/>
      <c r="QIR2018" s="142"/>
      <c r="QIS2018" s="142"/>
      <c r="QIT2018" s="142"/>
      <c r="QIU2018" s="142"/>
      <c r="QIV2018" s="142"/>
      <c r="QIW2018" s="142"/>
      <c r="QIX2018" s="142"/>
      <c r="QIY2018" s="142"/>
      <c r="QIZ2018" s="142"/>
      <c r="QJA2018" s="142"/>
      <c r="QJB2018" s="142"/>
      <c r="QJC2018" s="142"/>
      <c r="QJD2018" s="142"/>
      <c r="QJE2018" s="142"/>
      <c r="QJF2018" s="142"/>
      <c r="QJG2018" s="142"/>
      <c r="QJH2018" s="142"/>
      <c r="QJI2018" s="142"/>
      <c r="QJJ2018" s="142"/>
      <c r="QJK2018" s="142"/>
      <c r="QJL2018" s="142"/>
      <c r="QJM2018" s="142"/>
      <c r="QJN2018" s="142"/>
      <c r="QJO2018" s="142"/>
      <c r="QJP2018" s="142"/>
      <c r="QJQ2018" s="142"/>
      <c r="QJR2018" s="142"/>
      <c r="QJS2018" s="142"/>
      <c r="QJT2018" s="142"/>
      <c r="QJU2018" s="142"/>
      <c r="QJV2018" s="142"/>
      <c r="QJW2018" s="142"/>
      <c r="QJX2018" s="142"/>
      <c r="QJY2018" s="142"/>
      <c r="QJZ2018" s="142"/>
      <c r="QKA2018" s="142"/>
      <c r="QKB2018" s="142"/>
      <c r="QKC2018" s="142"/>
      <c r="QKD2018" s="142"/>
      <c r="QKE2018" s="142"/>
      <c r="QKF2018" s="142"/>
      <c r="QKG2018" s="142"/>
      <c r="QKH2018" s="142"/>
      <c r="QKI2018" s="142"/>
      <c r="QKJ2018" s="142"/>
      <c r="QKK2018" s="142"/>
      <c r="QKL2018" s="142"/>
      <c r="QKM2018" s="142"/>
      <c r="QKN2018" s="142"/>
      <c r="QKO2018" s="142"/>
      <c r="QKP2018" s="142"/>
      <c r="QKQ2018" s="142"/>
      <c r="QKR2018" s="142"/>
      <c r="QKS2018" s="142"/>
      <c r="QKT2018" s="142"/>
      <c r="QKU2018" s="142"/>
      <c r="QKV2018" s="142"/>
      <c r="QKW2018" s="142"/>
      <c r="QKX2018" s="142"/>
      <c r="QKY2018" s="142"/>
      <c r="QKZ2018" s="142"/>
      <c r="QLA2018" s="142"/>
      <c r="QLB2018" s="142"/>
      <c r="QLC2018" s="142"/>
      <c r="QLD2018" s="142"/>
      <c r="QLE2018" s="142"/>
      <c r="QLF2018" s="142"/>
      <c r="QLG2018" s="142"/>
      <c r="QLH2018" s="142"/>
      <c r="QLI2018" s="142"/>
      <c r="QLJ2018" s="142"/>
      <c r="QLK2018" s="142"/>
      <c r="QLL2018" s="142"/>
      <c r="QLM2018" s="142"/>
      <c r="QLN2018" s="142"/>
      <c r="QLO2018" s="142"/>
      <c r="QLP2018" s="142"/>
      <c r="QLQ2018" s="142"/>
      <c r="QLR2018" s="142"/>
      <c r="QLS2018" s="142"/>
      <c r="QLT2018" s="142"/>
      <c r="QLU2018" s="142"/>
      <c r="QLV2018" s="142"/>
      <c r="QLW2018" s="142"/>
      <c r="QLX2018" s="142"/>
      <c r="QLY2018" s="142"/>
      <c r="QLZ2018" s="142"/>
      <c r="QMA2018" s="142"/>
      <c r="QMB2018" s="142"/>
      <c r="QMC2018" s="142"/>
      <c r="QMD2018" s="142"/>
      <c r="QME2018" s="142"/>
      <c r="QMF2018" s="142"/>
      <c r="QMG2018" s="142"/>
      <c r="QMH2018" s="142"/>
      <c r="QMI2018" s="142"/>
      <c r="QMJ2018" s="142"/>
      <c r="QMK2018" s="142"/>
      <c r="QML2018" s="142"/>
      <c r="QMM2018" s="142"/>
      <c r="QMN2018" s="142"/>
      <c r="QMO2018" s="142"/>
      <c r="QMP2018" s="142"/>
      <c r="QMQ2018" s="142"/>
      <c r="QMR2018" s="142"/>
      <c r="QMS2018" s="142"/>
      <c r="QMT2018" s="142"/>
      <c r="QMU2018" s="142"/>
      <c r="QMV2018" s="142"/>
      <c r="QMW2018" s="142"/>
      <c r="QMX2018" s="142"/>
      <c r="QMY2018" s="142"/>
      <c r="QMZ2018" s="142"/>
      <c r="QNA2018" s="142"/>
      <c r="QNB2018" s="142"/>
      <c r="QNC2018" s="142"/>
      <c r="QND2018" s="142"/>
      <c r="QNE2018" s="142"/>
      <c r="QNF2018" s="142"/>
      <c r="QNG2018" s="142"/>
      <c r="QNH2018" s="142"/>
      <c r="QNI2018" s="142"/>
      <c r="QNJ2018" s="142"/>
      <c r="QNK2018" s="142"/>
      <c r="QNL2018" s="142"/>
      <c r="QNM2018" s="142"/>
      <c r="QNN2018" s="142"/>
      <c r="QNO2018" s="142"/>
      <c r="QNP2018" s="142"/>
      <c r="QNQ2018" s="142"/>
      <c r="QNR2018" s="142"/>
      <c r="QNS2018" s="142"/>
      <c r="QNT2018" s="142"/>
      <c r="QNU2018" s="142"/>
      <c r="QNV2018" s="142"/>
      <c r="QNW2018" s="142"/>
      <c r="QNX2018" s="142"/>
      <c r="QNY2018" s="142"/>
      <c r="QNZ2018" s="142"/>
      <c r="QOA2018" s="142"/>
      <c r="QOB2018" s="142"/>
      <c r="QOC2018" s="142"/>
      <c r="QOD2018" s="142"/>
      <c r="QOE2018" s="142"/>
      <c r="QOF2018" s="142"/>
      <c r="QOG2018" s="142"/>
      <c r="QOH2018" s="142"/>
      <c r="QOI2018" s="142"/>
      <c r="QOJ2018" s="142"/>
      <c r="QOK2018" s="142"/>
      <c r="QOL2018" s="142"/>
      <c r="QOM2018" s="142"/>
      <c r="QON2018" s="142"/>
      <c r="QOO2018" s="142"/>
      <c r="QOP2018" s="142"/>
      <c r="QOQ2018" s="142"/>
      <c r="QOR2018" s="142"/>
      <c r="QOS2018" s="142"/>
      <c r="QOT2018" s="142"/>
      <c r="QOU2018" s="142"/>
      <c r="QOV2018" s="142"/>
      <c r="QOW2018" s="142"/>
      <c r="QOX2018" s="142"/>
      <c r="QOY2018" s="142"/>
      <c r="QOZ2018" s="142"/>
      <c r="QPA2018" s="142"/>
      <c r="QPB2018" s="142"/>
      <c r="QPC2018" s="142"/>
      <c r="QPD2018" s="142"/>
      <c r="QPE2018" s="142"/>
      <c r="QPF2018" s="142"/>
      <c r="QPG2018" s="142"/>
      <c r="QPH2018" s="142"/>
      <c r="QPI2018" s="142"/>
      <c r="QPJ2018" s="142"/>
      <c r="QPK2018" s="142"/>
      <c r="QPL2018" s="142"/>
      <c r="QPM2018" s="142"/>
      <c r="QPN2018" s="142"/>
      <c r="QPO2018" s="142"/>
      <c r="QPP2018" s="142"/>
      <c r="QPQ2018" s="142"/>
      <c r="QPR2018" s="142"/>
      <c r="QPS2018" s="142"/>
      <c r="QPT2018" s="142"/>
      <c r="QPU2018" s="142"/>
      <c r="QPV2018" s="142"/>
      <c r="QPW2018" s="142"/>
      <c r="QPX2018" s="142"/>
      <c r="QPY2018" s="142"/>
      <c r="QPZ2018" s="142"/>
      <c r="QQA2018" s="142"/>
      <c r="QQB2018" s="142"/>
      <c r="QQC2018" s="142"/>
      <c r="QQD2018" s="142"/>
      <c r="QQE2018" s="142"/>
      <c r="QQF2018" s="142"/>
      <c r="QQG2018" s="142"/>
      <c r="QQH2018" s="142"/>
      <c r="QQI2018" s="142"/>
      <c r="QQJ2018" s="142"/>
      <c r="QQK2018" s="142"/>
      <c r="QQL2018" s="142"/>
      <c r="QQM2018" s="142"/>
      <c r="QQN2018" s="142"/>
      <c r="QQO2018" s="142"/>
      <c r="QQP2018" s="142"/>
      <c r="QQQ2018" s="142"/>
      <c r="QQR2018" s="142"/>
      <c r="QQS2018" s="142"/>
      <c r="QQT2018" s="142"/>
      <c r="QQU2018" s="142"/>
      <c r="QQV2018" s="142"/>
      <c r="QQW2018" s="142"/>
      <c r="QQX2018" s="142"/>
      <c r="QQY2018" s="142"/>
      <c r="QQZ2018" s="142"/>
      <c r="QRA2018" s="142"/>
      <c r="QRB2018" s="142"/>
      <c r="QRC2018" s="142"/>
      <c r="QRD2018" s="142"/>
      <c r="QRE2018" s="142"/>
      <c r="QRF2018" s="142"/>
      <c r="QRG2018" s="142"/>
      <c r="QRH2018" s="142"/>
      <c r="QRI2018" s="142"/>
      <c r="QRJ2018" s="142"/>
      <c r="QRK2018" s="142"/>
      <c r="QRL2018" s="142"/>
      <c r="QRM2018" s="142"/>
      <c r="QRN2018" s="142"/>
      <c r="QRO2018" s="142"/>
      <c r="QRP2018" s="142"/>
      <c r="QRQ2018" s="142"/>
      <c r="QRR2018" s="142"/>
      <c r="QRS2018" s="142"/>
      <c r="QRT2018" s="142"/>
      <c r="QRU2018" s="142"/>
      <c r="QRV2018" s="142"/>
      <c r="QRW2018" s="142"/>
      <c r="QRX2018" s="142"/>
      <c r="QRY2018" s="142"/>
      <c r="QRZ2018" s="142"/>
      <c r="QSA2018" s="142"/>
      <c r="QSB2018" s="142"/>
      <c r="QSC2018" s="142"/>
      <c r="QSD2018" s="142"/>
      <c r="QSE2018" s="142"/>
      <c r="QSF2018" s="142"/>
      <c r="QSG2018" s="142"/>
      <c r="QSH2018" s="142"/>
      <c r="QSI2018" s="142"/>
      <c r="QSJ2018" s="142"/>
      <c r="QSK2018" s="142"/>
      <c r="QSL2018" s="142"/>
      <c r="QSM2018" s="142"/>
      <c r="QSN2018" s="142"/>
      <c r="QSO2018" s="142"/>
      <c r="QSP2018" s="142"/>
      <c r="QSQ2018" s="142"/>
      <c r="QSR2018" s="142"/>
      <c r="QSS2018" s="142"/>
      <c r="QST2018" s="142"/>
      <c r="QSU2018" s="142"/>
      <c r="QSV2018" s="142"/>
      <c r="QSW2018" s="142"/>
      <c r="QSX2018" s="142"/>
      <c r="QSY2018" s="142"/>
      <c r="QSZ2018" s="142"/>
      <c r="QTA2018" s="142"/>
      <c r="QTB2018" s="142"/>
      <c r="QTC2018" s="142"/>
      <c r="QTD2018" s="142"/>
      <c r="QTE2018" s="142"/>
      <c r="QTF2018" s="142"/>
      <c r="QTG2018" s="142"/>
      <c r="QTH2018" s="142"/>
      <c r="QTI2018" s="142"/>
      <c r="QTJ2018" s="142"/>
      <c r="QTK2018" s="142"/>
      <c r="QTL2018" s="142"/>
      <c r="QTM2018" s="142"/>
      <c r="QTN2018" s="142"/>
      <c r="QTO2018" s="142"/>
      <c r="QTP2018" s="142"/>
      <c r="QTQ2018" s="142"/>
      <c r="QTR2018" s="142"/>
      <c r="QTS2018" s="142"/>
      <c r="QTT2018" s="142"/>
      <c r="QTU2018" s="142"/>
      <c r="QTV2018" s="142"/>
      <c r="QTW2018" s="142"/>
      <c r="QTX2018" s="142"/>
      <c r="QTY2018" s="142"/>
      <c r="QTZ2018" s="142"/>
      <c r="QUA2018" s="142"/>
      <c r="QUB2018" s="142"/>
      <c r="QUC2018" s="142"/>
      <c r="QUD2018" s="142"/>
      <c r="QUE2018" s="142"/>
      <c r="QUF2018" s="142"/>
      <c r="QUG2018" s="142"/>
      <c r="QUH2018" s="142"/>
      <c r="QUI2018" s="142"/>
      <c r="QUJ2018" s="142"/>
      <c r="QUK2018" s="142"/>
      <c r="QUL2018" s="142"/>
      <c r="QUM2018" s="142"/>
      <c r="QUN2018" s="142"/>
      <c r="QUO2018" s="142"/>
      <c r="QUP2018" s="142"/>
      <c r="QUQ2018" s="142"/>
      <c r="QUR2018" s="142"/>
      <c r="QUS2018" s="142"/>
      <c r="QUT2018" s="142"/>
      <c r="QUU2018" s="142"/>
      <c r="QUV2018" s="142"/>
      <c r="QUW2018" s="142"/>
      <c r="QUX2018" s="142"/>
      <c r="QUY2018" s="142"/>
      <c r="QUZ2018" s="142"/>
      <c r="QVA2018" s="142"/>
      <c r="QVB2018" s="142"/>
      <c r="QVC2018" s="142"/>
      <c r="QVD2018" s="142"/>
      <c r="QVE2018" s="142"/>
      <c r="QVF2018" s="142"/>
      <c r="QVG2018" s="142"/>
      <c r="QVH2018" s="142"/>
      <c r="QVI2018" s="142"/>
      <c r="QVJ2018" s="142"/>
      <c r="QVK2018" s="142"/>
      <c r="QVL2018" s="142"/>
      <c r="QVM2018" s="142"/>
      <c r="QVN2018" s="142"/>
      <c r="QVO2018" s="142"/>
      <c r="QVP2018" s="142"/>
      <c r="QVQ2018" s="142"/>
      <c r="QVR2018" s="142"/>
      <c r="QVS2018" s="142"/>
      <c r="QVT2018" s="142"/>
      <c r="QVU2018" s="142"/>
      <c r="QVV2018" s="142"/>
      <c r="QVW2018" s="142"/>
      <c r="QVX2018" s="142"/>
      <c r="QVY2018" s="142"/>
      <c r="QVZ2018" s="142"/>
      <c r="QWA2018" s="142"/>
      <c r="QWB2018" s="142"/>
      <c r="QWC2018" s="142"/>
      <c r="QWD2018" s="142"/>
      <c r="QWE2018" s="142"/>
      <c r="QWF2018" s="142"/>
      <c r="QWG2018" s="142"/>
      <c r="QWH2018" s="142"/>
      <c r="QWI2018" s="142"/>
      <c r="QWJ2018" s="142"/>
      <c r="QWK2018" s="142"/>
      <c r="QWL2018" s="142"/>
      <c r="QWM2018" s="142"/>
      <c r="QWN2018" s="142"/>
      <c r="QWO2018" s="142"/>
      <c r="QWP2018" s="142"/>
      <c r="QWQ2018" s="142"/>
      <c r="QWR2018" s="142"/>
      <c r="QWS2018" s="142"/>
      <c r="QWT2018" s="142"/>
      <c r="QWU2018" s="142"/>
      <c r="QWV2018" s="142"/>
      <c r="QWW2018" s="142"/>
      <c r="QWX2018" s="142"/>
      <c r="QWY2018" s="142"/>
      <c r="QWZ2018" s="142"/>
      <c r="QXA2018" s="142"/>
      <c r="QXB2018" s="142"/>
      <c r="QXC2018" s="142"/>
      <c r="QXD2018" s="142"/>
      <c r="QXE2018" s="142"/>
      <c r="QXF2018" s="142"/>
      <c r="QXG2018" s="142"/>
      <c r="QXH2018" s="142"/>
      <c r="QXI2018" s="142"/>
      <c r="QXJ2018" s="142"/>
      <c r="QXK2018" s="142"/>
      <c r="QXL2018" s="142"/>
      <c r="QXM2018" s="142"/>
      <c r="QXN2018" s="142"/>
      <c r="QXO2018" s="142"/>
      <c r="QXP2018" s="142"/>
      <c r="QXQ2018" s="142"/>
      <c r="QXR2018" s="142"/>
      <c r="QXS2018" s="142"/>
      <c r="QXT2018" s="142"/>
      <c r="QXU2018" s="142"/>
      <c r="QXV2018" s="142"/>
      <c r="QXW2018" s="142"/>
      <c r="QXX2018" s="142"/>
      <c r="QXY2018" s="142"/>
      <c r="QXZ2018" s="142"/>
      <c r="QYA2018" s="142"/>
      <c r="QYB2018" s="142"/>
      <c r="QYC2018" s="142"/>
      <c r="QYD2018" s="142"/>
      <c r="QYE2018" s="142"/>
      <c r="QYF2018" s="142"/>
      <c r="QYG2018" s="142"/>
      <c r="QYH2018" s="142"/>
      <c r="QYI2018" s="142"/>
      <c r="QYJ2018" s="142"/>
      <c r="QYK2018" s="142"/>
      <c r="QYL2018" s="142"/>
      <c r="QYM2018" s="142"/>
      <c r="QYN2018" s="142"/>
      <c r="QYO2018" s="142"/>
      <c r="QYP2018" s="142"/>
      <c r="QYQ2018" s="142"/>
      <c r="QYR2018" s="142"/>
      <c r="QYS2018" s="142"/>
      <c r="QYT2018" s="142"/>
      <c r="QYU2018" s="142"/>
      <c r="QYV2018" s="142"/>
      <c r="QYW2018" s="142"/>
      <c r="QYX2018" s="142"/>
      <c r="QYY2018" s="142"/>
      <c r="QYZ2018" s="142"/>
      <c r="QZA2018" s="142"/>
      <c r="QZB2018" s="142"/>
      <c r="QZC2018" s="142"/>
      <c r="QZD2018" s="142"/>
      <c r="QZE2018" s="142"/>
      <c r="QZF2018" s="142"/>
      <c r="QZG2018" s="142"/>
      <c r="QZH2018" s="142"/>
      <c r="QZI2018" s="142"/>
      <c r="QZJ2018" s="142"/>
      <c r="QZK2018" s="142"/>
      <c r="QZL2018" s="142"/>
      <c r="QZM2018" s="142"/>
      <c r="QZN2018" s="142"/>
      <c r="QZO2018" s="142"/>
      <c r="QZP2018" s="142"/>
      <c r="QZQ2018" s="142"/>
      <c r="QZR2018" s="142"/>
      <c r="QZS2018" s="142"/>
      <c r="QZT2018" s="142"/>
      <c r="QZU2018" s="142"/>
      <c r="QZV2018" s="142"/>
      <c r="QZW2018" s="142"/>
      <c r="QZX2018" s="142"/>
      <c r="QZY2018" s="142"/>
      <c r="QZZ2018" s="142"/>
      <c r="RAA2018" s="142"/>
      <c r="RAB2018" s="142"/>
      <c r="RAC2018" s="142"/>
      <c r="RAD2018" s="142"/>
      <c r="RAE2018" s="142"/>
      <c r="RAF2018" s="142"/>
      <c r="RAG2018" s="142"/>
      <c r="RAH2018" s="142"/>
      <c r="RAI2018" s="142"/>
      <c r="RAJ2018" s="142"/>
      <c r="RAK2018" s="142"/>
      <c r="RAL2018" s="142"/>
      <c r="RAM2018" s="142"/>
      <c r="RAN2018" s="142"/>
      <c r="RAO2018" s="142"/>
      <c r="RAP2018" s="142"/>
      <c r="RAQ2018" s="142"/>
      <c r="RAR2018" s="142"/>
      <c r="RAS2018" s="142"/>
      <c r="RAT2018" s="142"/>
      <c r="RAU2018" s="142"/>
      <c r="RAV2018" s="142"/>
      <c r="RAW2018" s="142"/>
      <c r="RAX2018" s="142"/>
      <c r="RAY2018" s="142"/>
      <c r="RAZ2018" s="142"/>
      <c r="RBA2018" s="142"/>
      <c r="RBB2018" s="142"/>
      <c r="RBC2018" s="142"/>
      <c r="RBD2018" s="142"/>
      <c r="RBE2018" s="142"/>
      <c r="RBF2018" s="142"/>
      <c r="RBG2018" s="142"/>
      <c r="RBH2018" s="142"/>
      <c r="RBI2018" s="142"/>
      <c r="RBJ2018" s="142"/>
      <c r="RBK2018" s="142"/>
      <c r="RBL2018" s="142"/>
      <c r="RBM2018" s="142"/>
      <c r="RBN2018" s="142"/>
      <c r="RBO2018" s="142"/>
      <c r="RBP2018" s="142"/>
      <c r="RBQ2018" s="142"/>
      <c r="RBR2018" s="142"/>
      <c r="RBS2018" s="142"/>
      <c r="RBT2018" s="142"/>
      <c r="RBU2018" s="142"/>
      <c r="RBV2018" s="142"/>
      <c r="RBW2018" s="142"/>
      <c r="RBX2018" s="142"/>
      <c r="RBY2018" s="142"/>
      <c r="RBZ2018" s="142"/>
      <c r="RCA2018" s="142"/>
      <c r="RCB2018" s="142"/>
      <c r="RCC2018" s="142"/>
      <c r="RCD2018" s="142"/>
      <c r="RCE2018" s="142"/>
      <c r="RCF2018" s="142"/>
      <c r="RCG2018" s="142"/>
      <c r="RCH2018" s="142"/>
      <c r="RCI2018" s="142"/>
      <c r="RCJ2018" s="142"/>
      <c r="RCK2018" s="142"/>
      <c r="RCL2018" s="142"/>
      <c r="RCM2018" s="142"/>
      <c r="RCN2018" s="142"/>
      <c r="RCO2018" s="142"/>
      <c r="RCP2018" s="142"/>
      <c r="RCQ2018" s="142"/>
      <c r="RCR2018" s="142"/>
      <c r="RCS2018" s="142"/>
      <c r="RCT2018" s="142"/>
      <c r="RCU2018" s="142"/>
      <c r="RCV2018" s="142"/>
      <c r="RCW2018" s="142"/>
      <c r="RCX2018" s="142"/>
      <c r="RCY2018" s="142"/>
      <c r="RCZ2018" s="142"/>
      <c r="RDA2018" s="142"/>
      <c r="RDB2018" s="142"/>
      <c r="RDC2018" s="142"/>
      <c r="RDD2018" s="142"/>
      <c r="RDE2018" s="142"/>
      <c r="RDF2018" s="142"/>
      <c r="RDG2018" s="142"/>
      <c r="RDH2018" s="142"/>
      <c r="RDI2018" s="142"/>
      <c r="RDJ2018" s="142"/>
      <c r="RDK2018" s="142"/>
      <c r="RDL2018" s="142"/>
      <c r="RDM2018" s="142"/>
      <c r="RDN2018" s="142"/>
      <c r="RDO2018" s="142"/>
      <c r="RDP2018" s="142"/>
      <c r="RDQ2018" s="142"/>
      <c r="RDR2018" s="142"/>
      <c r="RDS2018" s="142"/>
      <c r="RDT2018" s="142"/>
      <c r="RDU2018" s="142"/>
      <c r="RDV2018" s="142"/>
      <c r="RDW2018" s="142"/>
      <c r="RDX2018" s="142"/>
      <c r="RDY2018" s="142"/>
      <c r="RDZ2018" s="142"/>
      <c r="REA2018" s="142"/>
      <c r="REB2018" s="142"/>
      <c r="REC2018" s="142"/>
      <c r="RED2018" s="142"/>
      <c r="REE2018" s="142"/>
      <c r="REF2018" s="142"/>
      <c r="REG2018" s="142"/>
      <c r="REH2018" s="142"/>
      <c r="REI2018" s="142"/>
      <c r="REJ2018" s="142"/>
      <c r="REK2018" s="142"/>
      <c r="REL2018" s="142"/>
      <c r="REM2018" s="142"/>
      <c r="REN2018" s="142"/>
      <c r="REO2018" s="142"/>
      <c r="REP2018" s="142"/>
      <c r="REQ2018" s="142"/>
      <c r="RER2018" s="142"/>
      <c r="RES2018" s="142"/>
      <c r="RET2018" s="142"/>
      <c r="REU2018" s="142"/>
      <c r="REV2018" s="142"/>
      <c r="REW2018" s="142"/>
      <c r="REX2018" s="142"/>
      <c r="REY2018" s="142"/>
      <c r="REZ2018" s="142"/>
      <c r="RFA2018" s="142"/>
      <c r="RFB2018" s="142"/>
      <c r="RFC2018" s="142"/>
      <c r="RFD2018" s="142"/>
      <c r="RFE2018" s="142"/>
      <c r="RFF2018" s="142"/>
      <c r="RFG2018" s="142"/>
      <c r="RFH2018" s="142"/>
      <c r="RFI2018" s="142"/>
      <c r="RFJ2018" s="142"/>
      <c r="RFK2018" s="142"/>
      <c r="RFL2018" s="142"/>
      <c r="RFM2018" s="142"/>
      <c r="RFN2018" s="142"/>
      <c r="RFO2018" s="142"/>
      <c r="RFP2018" s="142"/>
      <c r="RFQ2018" s="142"/>
      <c r="RFR2018" s="142"/>
      <c r="RFS2018" s="142"/>
      <c r="RFT2018" s="142"/>
      <c r="RFU2018" s="142"/>
      <c r="RFV2018" s="142"/>
      <c r="RFW2018" s="142"/>
      <c r="RFX2018" s="142"/>
      <c r="RFY2018" s="142"/>
      <c r="RFZ2018" s="142"/>
      <c r="RGA2018" s="142"/>
      <c r="RGB2018" s="142"/>
      <c r="RGC2018" s="142"/>
      <c r="RGD2018" s="142"/>
      <c r="RGE2018" s="142"/>
      <c r="RGF2018" s="142"/>
      <c r="RGG2018" s="142"/>
      <c r="RGH2018" s="142"/>
      <c r="RGI2018" s="142"/>
      <c r="RGJ2018" s="142"/>
      <c r="RGK2018" s="142"/>
      <c r="RGL2018" s="142"/>
      <c r="RGM2018" s="142"/>
      <c r="RGN2018" s="142"/>
      <c r="RGO2018" s="142"/>
      <c r="RGP2018" s="142"/>
      <c r="RGQ2018" s="142"/>
      <c r="RGR2018" s="142"/>
      <c r="RGS2018" s="142"/>
      <c r="RGT2018" s="142"/>
      <c r="RGU2018" s="142"/>
      <c r="RGV2018" s="142"/>
      <c r="RGW2018" s="142"/>
      <c r="RGX2018" s="142"/>
      <c r="RGY2018" s="142"/>
      <c r="RGZ2018" s="142"/>
      <c r="RHA2018" s="142"/>
      <c r="RHB2018" s="142"/>
      <c r="RHC2018" s="142"/>
      <c r="RHD2018" s="142"/>
      <c r="RHE2018" s="142"/>
      <c r="RHF2018" s="142"/>
      <c r="RHG2018" s="142"/>
      <c r="RHH2018" s="142"/>
      <c r="RHI2018" s="142"/>
      <c r="RHJ2018" s="142"/>
      <c r="RHK2018" s="142"/>
      <c r="RHL2018" s="142"/>
      <c r="RHM2018" s="142"/>
      <c r="RHN2018" s="142"/>
      <c r="RHO2018" s="142"/>
      <c r="RHP2018" s="142"/>
      <c r="RHQ2018" s="142"/>
      <c r="RHR2018" s="142"/>
      <c r="RHS2018" s="142"/>
      <c r="RHT2018" s="142"/>
      <c r="RHU2018" s="142"/>
      <c r="RHV2018" s="142"/>
      <c r="RHW2018" s="142"/>
      <c r="RHX2018" s="142"/>
      <c r="RHY2018" s="142"/>
      <c r="RHZ2018" s="142"/>
      <c r="RIA2018" s="142"/>
      <c r="RIB2018" s="142"/>
      <c r="RIC2018" s="142"/>
      <c r="RID2018" s="142"/>
      <c r="RIE2018" s="142"/>
      <c r="RIF2018" s="142"/>
      <c r="RIG2018" s="142"/>
      <c r="RIH2018" s="142"/>
      <c r="RII2018" s="142"/>
      <c r="RIJ2018" s="142"/>
      <c r="RIK2018" s="142"/>
      <c r="RIL2018" s="142"/>
      <c r="RIM2018" s="142"/>
      <c r="RIN2018" s="142"/>
      <c r="RIO2018" s="142"/>
      <c r="RIP2018" s="142"/>
      <c r="RIQ2018" s="142"/>
      <c r="RIR2018" s="142"/>
      <c r="RIS2018" s="142"/>
      <c r="RIT2018" s="142"/>
      <c r="RIU2018" s="142"/>
      <c r="RIV2018" s="142"/>
      <c r="RIW2018" s="142"/>
      <c r="RIX2018" s="142"/>
      <c r="RIY2018" s="142"/>
      <c r="RIZ2018" s="142"/>
      <c r="RJA2018" s="142"/>
      <c r="RJB2018" s="142"/>
      <c r="RJC2018" s="142"/>
      <c r="RJD2018" s="142"/>
      <c r="RJE2018" s="142"/>
      <c r="RJF2018" s="142"/>
      <c r="RJG2018" s="142"/>
      <c r="RJH2018" s="142"/>
      <c r="RJI2018" s="142"/>
      <c r="RJJ2018" s="142"/>
      <c r="RJK2018" s="142"/>
      <c r="RJL2018" s="142"/>
      <c r="RJM2018" s="142"/>
      <c r="RJN2018" s="142"/>
      <c r="RJO2018" s="142"/>
      <c r="RJP2018" s="142"/>
      <c r="RJQ2018" s="142"/>
      <c r="RJR2018" s="142"/>
      <c r="RJS2018" s="142"/>
      <c r="RJT2018" s="142"/>
      <c r="RJU2018" s="142"/>
      <c r="RJV2018" s="142"/>
      <c r="RJW2018" s="142"/>
      <c r="RJX2018" s="142"/>
      <c r="RJY2018" s="142"/>
      <c r="RJZ2018" s="142"/>
      <c r="RKA2018" s="142"/>
      <c r="RKB2018" s="142"/>
      <c r="RKC2018" s="142"/>
      <c r="RKD2018" s="142"/>
      <c r="RKE2018" s="142"/>
      <c r="RKF2018" s="142"/>
      <c r="RKG2018" s="142"/>
      <c r="RKH2018" s="142"/>
      <c r="RKI2018" s="142"/>
      <c r="RKJ2018" s="142"/>
      <c r="RKK2018" s="142"/>
      <c r="RKL2018" s="142"/>
      <c r="RKM2018" s="142"/>
      <c r="RKN2018" s="142"/>
      <c r="RKO2018" s="142"/>
      <c r="RKP2018" s="142"/>
      <c r="RKQ2018" s="142"/>
      <c r="RKR2018" s="142"/>
      <c r="RKS2018" s="142"/>
      <c r="RKT2018" s="142"/>
      <c r="RKU2018" s="142"/>
      <c r="RKV2018" s="142"/>
      <c r="RKW2018" s="142"/>
      <c r="RKX2018" s="142"/>
      <c r="RKY2018" s="142"/>
      <c r="RKZ2018" s="142"/>
      <c r="RLA2018" s="142"/>
      <c r="RLB2018" s="142"/>
      <c r="RLC2018" s="142"/>
      <c r="RLD2018" s="142"/>
      <c r="RLE2018" s="142"/>
      <c r="RLF2018" s="142"/>
      <c r="RLG2018" s="142"/>
      <c r="RLH2018" s="142"/>
      <c r="RLI2018" s="142"/>
      <c r="RLJ2018" s="142"/>
      <c r="RLK2018" s="142"/>
      <c r="RLL2018" s="142"/>
      <c r="RLM2018" s="142"/>
      <c r="RLN2018" s="142"/>
      <c r="RLO2018" s="142"/>
      <c r="RLP2018" s="142"/>
      <c r="RLQ2018" s="142"/>
      <c r="RLR2018" s="142"/>
      <c r="RLS2018" s="142"/>
      <c r="RLT2018" s="142"/>
      <c r="RLU2018" s="142"/>
      <c r="RLV2018" s="142"/>
      <c r="RLW2018" s="142"/>
      <c r="RLX2018" s="142"/>
      <c r="RLY2018" s="142"/>
      <c r="RLZ2018" s="142"/>
      <c r="RMA2018" s="142"/>
      <c r="RMB2018" s="142"/>
      <c r="RMC2018" s="142"/>
      <c r="RMD2018" s="142"/>
      <c r="RME2018" s="142"/>
      <c r="RMF2018" s="142"/>
      <c r="RMG2018" s="142"/>
      <c r="RMH2018" s="142"/>
      <c r="RMI2018" s="142"/>
      <c r="RMJ2018" s="142"/>
      <c r="RMK2018" s="142"/>
      <c r="RML2018" s="142"/>
      <c r="RMM2018" s="142"/>
      <c r="RMN2018" s="142"/>
      <c r="RMO2018" s="142"/>
      <c r="RMP2018" s="142"/>
      <c r="RMQ2018" s="142"/>
      <c r="RMR2018" s="142"/>
      <c r="RMS2018" s="142"/>
      <c r="RMT2018" s="142"/>
      <c r="RMU2018" s="142"/>
      <c r="RMV2018" s="142"/>
      <c r="RMW2018" s="142"/>
      <c r="RMX2018" s="142"/>
      <c r="RMY2018" s="142"/>
      <c r="RMZ2018" s="142"/>
      <c r="RNA2018" s="142"/>
      <c r="RNB2018" s="142"/>
      <c r="RNC2018" s="142"/>
      <c r="RND2018" s="142"/>
      <c r="RNE2018" s="142"/>
      <c r="RNF2018" s="142"/>
      <c r="RNG2018" s="142"/>
      <c r="RNH2018" s="142"/>
      <c r="RNI2018" s="142"/>
      <c r="RNJ2018" s="142"/>
      <c r="RNK2018" s="142"/>
      <c r="RNL2018" s="142"/>
      <c r="RNM2018" s="142"/>
      <c r="RNN2018" s="142"/>
      <c r="RNO2018" s="142"/>
      <c r="RNP2018" s="142"/>
      <c r="RNQ2018" s="142"/>
      <c r="RNR2018" s="142"/>
      <c r="RNS2018" s="142"/>
      <c r="RNT2018" s="142"/>
      <c r="RNU2018" s="142"/>
      <c r="RNV2018" s="142"/>
      <c r="RNW2018" s="142"/>
      <c r="RNX2018" s="142"/>
      <c r="RNY2018" s="142"/>
      <c r="RNZ2018" s="142"/>
      <c r="ROA2018" s="142"/>
      <c r="ROB2018" s="142"/>
      <c r="ROC2018" s="142"/>
      <c r="ROD2018" s="142"/>
      <c r="ROE2018" s="142"/>
      <c r="ROF2018" s="142"/>
      <c r="ROG2018" s="142"/>
      <c r="ROH2018" s="142"/>
      <c r="ROI2018" s="142"/>
      <c r="ROJ2018" s="142"/>
      <c r="ROK2018" s="142"/>
      <c r="ROL2018" s="142"/>
      <c r="ROM2018" s="142"/>
      <c r="RON2018" s="142"/>
      <c r="ROO2018" s="142"/>
      <c r="ROP2018" s="142"/>
      <c r="ROQ2018" s="142"/>
      <c r="ROR2018" s="142"/>
      <c r="ROS2018" s="142"/>
      <c r="ROT2018" s="142"/>
      <c r="ROU2018" s="142"/>
      <c r="ROV2018" s="142"/>
      <c r="ROW2018" s="142"/>
      <c r="ROX2018" s="142"/>
      <c r="ROY2018" s="142"/>
      <c r="ROZ2018" s="142"/>
      <c r="RPA2018" s="142"/>
      <c r="RPB2018" s="142"/>
      <c r="RPC2018" s="142"/>
      <c r="RPD2018" s="142"/>
      <c r="RPE2018" s="142"/>
      <c r="RPF2018" s="142"/>
      <c r="RPG2018" s="142"/>
      <c r="RPH2018" s="142"/>
      <c r="RPI2018" s="142"/>
      <c r="RPJ2018" s="142"/>
      <c r="RPK2018" s="142"/>
      <c r="RPL2018" s="142"/>
      <c r="RPM2018" s="142"/>
      <c r="RPN2018" s="142"/>
      <c r="RPO2018" s="142"/>
      <c r="RPP2018" s="142"/>
      <c r="RPQ2018" s="142"/>
      <c r="RPR2018" s="142"/>
      <c r="RPS2018" s="142"/>
      <c r="RPT2018" s="142"/>
      <c r="RPU2018" s="142"/>
      <c r="RPV2018" s="142"/>
      <c r="RPW2018" s="142"/>
      <c r="RPX2018" s="142"/>
      <c r="RPY2018" s="142"/>
      <c r="RPZ2018" s="142"/>
      <c r="RQA2018" s="142"/>
      <c r="RQB2018" s="142"/>
      <c r="RQC2018" s="142"/>
      <c r="RQD2018" s="142"/>
      <c r="RQE2018" s="142"/>
      <c r="RQF2018" s="142"/>
      <c r="RQG2018" s="142"/>
      <c r="RQH2018" s="142"/>
      <c r="RQI2018" s="142"/>
      <c r="RQJ2018" s="142"/>
      <c r="RQK2018" s="142"/>
      <c r="RQL2018" s="142"/>
      <c r="RQM2018" s="142"/>
      <c r="RQN2018" s="142"/>
      <c r="RQO2018" s="142"/>
      <c r="RQP2018" s="142"/>
      <c r="RQQ2018" s="142"/>
      <c r="RQR2018" s="142"/>
      <c r="RQS2018" s="142"/>
      <c r="RQT2018" s="142"/>
      <c r="RQU2018" s="142"/>
      <c r="RQV2018" s="142"/>
      <c r="RQW2018" s="142"/>
      <c r="RQX2018" s="142"/>
      <c r="RQY2018" s="142"/>
      <c r="RQZ2018" s="142"/>
      <c r="RRA2018" s="142"/>
      <c r="RRB2018" s="142"/>
      <c r="RRC2018" s="142"/>
      <c r="RRD2018" s="142"/>
      <c r="RRE2018" s="142"/>
      <c r="RRF2018" s="142"/>
      <c r="RRG2018" s="142"/>
      <c r="RRH2018" s="142"/>
      <c r="RRI2018" s="142"/>
      <c r="RRJ2018" s="142"/>
      <c r="RRK2018" s="142"/>
      <c r="RRL2018" s="142"/>
      <c r="RRM2018" s="142"/>
      <c r="RRN2018" s="142"/>
      <c r="RRO2018" s="142"/>
      <c r="RRP2018" s="142"/>
      <c r="RRQ2018" s="142"/>
      <c r="RRR2018" s="142"/>
      <c r="RRS2018" s="142"/>
      <c r="RRT2018" s="142"/>
      <c r="RRU2018" s="142"/>
      <c r="RRV2018" s="142"/>
      <c r="RRW2018" s="142"/>
      <c r="RRX2018" s="142"/>
      <c r="RRY2018" s="142"/>
      <c r="RRZ2018" s="142"/>
      <c r="RSA2018" s="142"/>
      <c r="RSB2018" s="142"/>
      <c r="RSC2018" s="142"/>
      <c r="RSD2018" s="142"/>
      <c r="RSE2018" s="142"/>
      <c r="RSF2018" s="142"/>
      <c r="RSG2018" s="142"/>
      <c r="RSH2018" s="142"/>
      <c r="RSI2018" s="142"/>
      <c r="RSJ2018" s="142"/>
      <c r="RSK2018" s="142"/>
      <c r="RSL2018" s="142"/>
      <c r="RSM2018" s="142"/>
      <c r="RSN2018" s="142"/>
      <c r="RSO2018" s="142"/>
      <c r="RSP2018" s="142"/>
      <c r="RSQ2018" s="142"/>
      <c r="RSR2018" s="142"/>
      <c r="RSS2018" s="142"/>
      <c r="RST2018" s="142"/>
      <c r="RSU2018" s="142"/>
      <c r="RSV2018" s="142"/>
      <c r="RSW2018" s="142"/>
      <c r="RSX2018" s="142"/>
      <c r="RSY2018" s="142"/>
      <c r="RSZ2018" s="142"/>
      <c r="RTA2018" s="142"/>
      <c r="RTB2018" s="142"/>
      <c r="RTC2018" s="142"/>
      <c r="RTD2018" s="142"/>
      <c r="RTE2018" s="142"/>
      <c r="RTF2018" s="142"/>
      <c r="RTG2018" s="142"/>
      <c r="RTH2018" s="142"/>
      <c r="RTI2018" s="142"/>
      <c r="RTJ2018" s="142"/>
      <c r="RTK2018" s="142"/>
      <c r="RTL2018" s="142"/>
      <c r="RTM2018" s="142"/>
      <c r="RTN2018" s="142"/>
      <c r="RTO2018" s="142"/>
      <c r="RTP2018" s="142"/>
      <c r="RTQ2018" s="142"/>
      <c r="RTR2018" s="142"/>
      <c r="RTS2018" s="142"/>
      <c r="RTT2018" s="142"/>
      <c r="RTU2018" s="142"/>
      <c r="RTV2018" s="142"/>
      <c r="RTW2018" s="142"/>
      <c r="RTX2018" s="142"/>
      <c r="RTY2018" s="142"/>
      <c r="RTZ2018" s="142"/>
      <c r="RUA2018" s="142"/>
      <c r="RUB2018" s="142"/>
      <c r="RUC2018" s="142"/>
      <c r="RUD2018" s="142"/>
      <c r="RUE2018" s="142"/>
      <c r="RUF2018" s="142"/>
      <c r="RUG2018" s="142"/>
      <c r="RUH2018" s="142"/>
      <c r="RUI2018" s="142"/>
      <c r="RUJ2018" s="142"/>
      <c r="RUK2018" s="142"/>
      <c r="RUL2018" s="142"/>
      <c r="RUM2018" s="142"/>
      <c r="RUN2018" s="142"/>
      <c r="RUO2018" s="142"/>
      <c r="RUP2018" s="142"/>
      <c r="RUQ2018" s="142"/>
      <c r="RUR2018" s="142"/>
      <c r="RUS2018" s="142"/>
      <c r="RUT2018" s="142"/>
      <c r="RUU2018" s="142"/>
      <c r="RUV2018" s="142"/>
      <c r="RUW2018" s="142"/>
      <c r="RUX2018" s="142"/>
      <c r="RUY2018" s="142"/>
      <c r="RUZ2018" s="142"/>
      <c r="RVA2018" s="142"/>
      <c r="RVB2018" s="142"/>
      <c r="RVC2018" s="142"/>
      <c r="RVD2018" s="142"/>
      <c r="RVE2018" s="142"/>
      <c r="RVF2018" s="142"/>
      <c r="RVG2018" s="142"/>
      <c r="RVH2018" s="142"/>
      <c r="RVI2018" s="142"/>
      <c r="RVJ2018" s="142"/>
      <c r="RVK2018" s="142"/>
      <c r="RVL2018" s="142"/>
      <c r="RVM2018" s="142"/>
      <c r="RVN2018" s="142"/>
      <c r="RVO2018" s="142"/>
      <c r="RVP2018" s="142"/>
      <c r="RVQ2018" s="142"/>
      <c r="RVR2018" s="142"/>
      <c r="RVS2018" s="142"/>
      <c r="RVT2018" s="142"/>
      <c r="RVU2018" s="142"/>
      <c r="RVV2018" s="142"/>
      <c r="RVW2018" s="142"/>
      <c r="RVX2018" s="142"/>
      <c r="RVY2018" s="142"/>
      <c r="RVZ2018" s="142"/>
      <c r="RWA2018" s="142"/>
      <c r="RWB2018" s="142"/>
      <c r="RWC2018" s="142"/>
      <c r="RWD2018" s="142"/>
      <c r="RWE2018" s="142"/>
      <c r="RWF2018" s="142"/>
      <c r="RWG2018" s="142"/>
      <c r="RWH2018" s="142"/>
      <c r="RWI2018" s="142"/>
      <c r="RWJ2018" s="142"/>
      <c r="RWK2018" s="142"/>
      <c r="RWL2018" s="142"/>
      <c r="RWM2018" s="142"/>
      <c r="RWN2018" s="142"/>
      <c r="RWO2018" s="142"/>
      <c r="RWP2018" s="142"/>
      <c r="RWQ2018" s="142"/>
      <c r="RWR2018" s="142"/>
      <c r="RWS2018" s="142"/>
      <c r="RWT2018" s="142"/>
      <c r="RWU2018" s="142"/>
      <c r="RWV2018" s="142"/>
      <c r="RWW2018" s="142"/>
      <c r="RWX2018" s="142"/>
      <c r="RWY2018" s="142"/>
      <c r="RWZ2018" s="142"/>
      <c r="RXA2018" s="142"/>
      <c r="RXB2018" s="142"/>
      <c r="RXC2018" s="142"/>
      <c r="RXD2018" s="142"/>
      <c r="RXE2018" s="142"/>
      <c r="RXF2018" s="142"/>
      <c r="RXG2018" s="142"/>
      <c r="RXH2018" s="142"/>
      <c r="RXI2018" s="142"/>
      <c r="RXJ2018" s="142"/>
      <c r="RXK2018" s="142"/>
      <c r="RXL2018" s="142"/>
      <c r="RXM2018" s="142"/>
      <c r="RXN2018" s="142"/>
      <c r="RXO2018" s="142"/>
      <c r="RXP2018" s="142"/>
      <c r="RXQ2018" s="142"/>
      <c r="RXR2018" s="142"/>
      <c r="RXS2018" s="142"/>
      <c r="RXT2018" s="142"/>
      <c r="RXU2018" s="142"/>
      <c r="RXV2018" s="142"/>
      <c r="RXW2018" s="142"/>
      <c r="RXX2018" s="142"/>
      <c r="RXY2018" s="142"/>
      <c r="RXZ2018" s="142"/>
      <c r="RYA2018" s="142"/>
      <c r="RYB2018" s="142"/>
      <c r="RYC2018" s="142"/>
      <c r="RYD2018" s="142"/>
      <c r="RYE2018" s="142"/>
      <c r="RYF2018" s="142"/>
      <c r="RYG2018" s="142"/>
      <c r="RYH2018" s="142"/>
      <c r="RYI2018" s="142"/>
      <c r="RYJ2018" s="142"/>
      <c r="RYK2018" s="142"/>
      <c r="RYL2018" s="142"/>
      <c r="RYM2018" s="142"/>
      <c r="RYN2018" s="142"/>
      <c r="RYO2018" s="142"/>
      <c r="RYP2018" s="142"/>
      <c r="RYQ2018" s="142"/>
      <c r="RYR2018" s="142"/>
      <c r="RYS2018" s="142"/>
      <c r="RYT2018" s="142"/>
      <c r="RYU2018" s="142"/>
      <c r="RYV2018" s="142"/>
      <c r="RYW2018" s="142"/>
      <c r="RYX2018" s="142"/>
      <c r="RYY2018" s="142"/>
      <c r="RYZ2018" s="142"/>
      <c r="RZA2018" s="142"/>
      <c r="RZB2018" s="142"/>
      <c r="RZC2018" s="142"/>
      <c r="RZD2018" s="142"/>
      <c r="RZE2018" s="142"/>
      <c r="RZF2018" s="142"/>
      <c r="RZG2018" s="142"/>
      <c r="RZH2018" s="142"/>
      <c r="RZI2018" s="142"/>
      <c r="RZJ2018" s="142"/>
      <c r="RZK2018" s="142"/>
      <c r="RZL2018" s="142"/>
      <c r="RZM2018" s="142"/>
      <c r="RZN2018" s="142"/>
      <c r="RZO2018" s="142"/>
      <c r="RZP2018" s="142"/>
      <c r="RZQ2018" s="142"/>
      <c r="RZR2018" s="142"/>
      <c r="RZS2018" s="142"/>
      <c r="RZT2018" s="142"/>
      <c r="RZU2018" s="142"/>
      <c r="RZV2018" s="142"/>
      <c r="RZW2018" s="142"/>
      <c r="RZX2018" s="142"/>
      <c r="RZY2018" s="142"/>
      <c r="RZZ2018" s="142"/>
      <c r="SAA2018" s="142"/>
      <c r="SAB2018" s="142"/>
      <c r="SAC2018" s="142"/>
      <c r="SAD2018" s="142"/>
      <c r="SAE2018" s="142"/>
      <c r="SAF2018" s="142"/>
      <c r="SAG2018" s="142"/>
      <c r="SAH2018" s="142"/>
      <c r="SAI2018" s="142"/>
      <c r="SAJ2018" s="142"/>
      <c r="SAK2018" s="142"/>
      <c r="SAL2018" s="142"/>
      <c r="SAM2018" s="142"/>
      <c r="SAN2018" s="142"/>
      <c r="SAO2018" s="142"/>
      <c r="SAP2018" s="142"/>
      <c r="SAQ2018" s="142"/>
      <c r="SAR2018" s="142"/>
      <c r="SAS2018" s="142"/>
      <c r="SAT2018" s="142"/>
      <c r="SAU2018" s="142"/>
      <c r="SAV2018" s="142"/>
      <c r="SAW2018" s="142"/>
      <c r="SAX2018" s="142"/>
      <c r="SAY2018" s="142"/>
      <c r="SAZ2018" s="142"/>
      <c r="SBA2018" s="142"/>
      <c r="SBB2018" s="142"/>
      <c r="SBC2018" s="142"/>
      <c r="SBD2018" s="142"/>
      <c r="SBE2018" s="142"/>
      <c r="SBF2018" s="142"/>
      <c r="SBG2018" s="142"/>
      <c r="SBH2018" s="142"/>
      <c r="SBI2018" s="142"/>
      <c r="SBJ2018" s="142"/>
      <c r="SBK2018" s="142"/>
      <c r="SBL2018" s="142"/>
      <c r="SBM2018" s="142"/>
      <c r="SBN2018" s="142"/>
      <c r="SBO2018" s="142"/>
      <c r="SBP2018" s="142"/>
      <c r="SBQ2018" s="142"/>
      <c r="SBR2018" s="142"/>
      <c r="SBS2018" s="142"/>
      <c r="SBT2018" s="142"/>
      <c r="SBU2018" s="142"/>
      <c r="SBV2018" s="142"/>
      <c r="SBW2018" s="142"/>
      <c r="SBX2018" s="142"/>
      <c r="SBY2018" s="142"/>
      <c r="SBZ2018" s="142"/>
      <c r="SCA2018" s="142"/>
      <c r="SCB2018" s="142"/>
      <c r="SCC2018" s="142"/>
      <c r="SCD2018" s="142"/>
      <c r="SCE2018" s="142"/>
      <c r="SCF2018" s="142"/>
      <c r="SCG2018" s="142"/>
      <c r="SCH2018" s="142"/>
      <c r="SCI2018" s="142"/>
      <c r="SCJ2018" s="142"/>
      <c r="SCK2018" s="142"/>
      <c r="SCL2018" s="142"/>
      <c r="SCM2018" s="142"/>
      <c r="SCN2018" s="142"/>
      <c r="SCO2018" s="142"/>
      <c r="SCP2018" s="142"/>
      <c r="SCQ2018" s="142"/>
      <c r="SCR2018" s="142"/>
      <c r="SCS2018" s="142"/>
      <c r="SCT2018" s="142"/>
      <c r="SCU2018" s="142"/>
      <c r="SCV2018" s="142"/>
      <c r="SCW2018" s="142"/>
      <c r="SCX2018" s="142"/>
      <c r="SCY2018" s="142"/>
      <c r="SCZ2018" s="142"/>
      <c r="SDA2018" s="142"/>
      <c r="SDB2018" s="142"/>
      <c r="SDC2018" s="142"/>
      <c r="SDD2018" s="142"/>
      <c r="SDE2018" s="142"/>
      <c r="SDF2018" s="142"/>
      <c r="SDG2018" s="142"/>
      <c r="SDH2018" s="142"/>
      <c r="SDI2018" s="142"/>
      <c r="SDJ2018" s="142"/>
      <c r="SDK2018" s="142"/>
      <c r="SDL2018" s="142"/>
      <c r="SDM2018" s="142"/>
      <c r="SDN2018" s="142"/>
      <c r="SDO2018" s="142"/>
      <c r="SDP2018" s="142"/>
      <c r="SDQ2018" s="142"/>
      <c r="SDR2018" s="142"/>
      <c r="SDS2018" s="142"/>
      <c r="SDT2018" s="142"/>
      <c r="SDU2018" s="142"/>
      <c r="SDV2018" s="142"/>
      <c r="SDW2018" s="142"/>
      <c r="SDX2018" s="142"/>
      <c r="SDY2018" s="142"/>
      <c r="SDZ2018" s="142"/>
      <c r="SEA2018" s="142"/>
      <c r="SEB2018" s="142"/>
      <c r="SEC2018" s="142"/>
      <c r="SED2018" s="142"/>
      <c r="SEE2018" s="142"/>
      <c r="SEF2018" s="142"/>
      <c r="SEG2018" s="142"/>
      <c r="SEH2018" s="142"/>
      <c r="SEI2018" s="142"/>
      <c r="SEJ2018" s="142"/>
      <c r="SEK2018" s="142"/>
      <c r="SEL2018" s="142"/>
      <c r="SEM2018" s="142"/>
      <c r="SEN2018" s="142"/>
      <c r="SEO2018" s="142"/>
      <c r="SEP2018" s="142"/>
      <c r="SEQ2018" s="142"/>
      <c r="SER2018" s="142"/>
      <c r="SES2018" s="142"/>
      <c r="SET2018" s="142"/>
      <c r="SEU2018" s="142"/>
      <c r="SEV2018" s="142"/>
      <c r="SEW2018" s="142"/>
      <c r="SEX2018" s="142"/>
      <c r="SEY2018" s="142"/>
      <c r="SEZ2018" s="142"/>
      <c r="SFA2018" s="142"/>
      <c r="SFB2018" s="142"/>
      <c r="SFC2018" s="142"/>
      <c r="SFD2018" s="142"/>
      <c r="SFE2018" s="142"/>
      <c r="SFF2018" s="142"/>
      <c r="SFG2018" s="142"/>
      <c r="SFH2018" s="142"/>
      <c r="SFI2018" s="142"/>
      <c r="SFJ2018" s="142"/>
      <c r="SFK2018" s="142"/>
      <c r="SFL2018" s="142"/>
      <c r="SFM2018" s="142"/>
      <c r="SFN2018" s="142"/>
      <c r="SFO2018" s="142"/>
      <c r="SFP2018" s="142"/>
      <c r="SFQ2018" s="142"/>
      <c r="SFR2018" s="142"/>
      <c r="SFS2018" s="142"/>
      <c r="SFT2018" s="142"/>
      <c r="SFU2018" s="142"/>
      <c r="SFV2018" s="142"/>
      <c r="SFW2018" s="142"/>
      <c r="SFX2018" s="142"/>
      <c r="SFY2018" s="142"/>
      <c r="SFZ2018" s="142"/>
      <c r="SGA2018" s="142"/>
      <c r="SGB2018" s="142"/>
      <c r="SGC2018" s="142"/>
      <c r="SGD2018" s="142"/>
      <c r="SGE2018" s="142"/>
      <c r="SGF2018" s="142"/>
      <c r="SGG2018" s="142"/>
      <c r="SGH2018" s="142"/>
      <c r="SGI2018" s="142"/>
      <c r="SGJ2018" s="142"/>
      <c r="SGK2018" s="142"/>
      <c r="SGL2018" s="142"/>
      <c r="SGM2018" s="142"/>
      <c r="SGN2018" s="142"/>
      <c r="SGO2018" s="142"/>
      <c r="SGP2018" s="142"/>
      <c r="SGQ2018" s="142"/>
      <c r="SGR2018" s="142"/>
      <c r="SGS2018" s="142"/>
      <c r="SGT2018" s="142"/>
      <c r="SGU2018" s="142"/>
      <c r="SGV2018" s="142"/>
      <c r="SGW2018" s="142"/>
      <c r="SGX2018" s="142"/>
      <c r="SGY2018" s="142"/>
      <c r="SGZ2018" s="142"/>
      <c r="SHA2018" s="142"/>
      <c r="SHB2018" s="142"/>
      <c r="SHC2018" s="142"/>
      <c r="SHD2018" s="142"/>
      <c r="SHE2018" s="142"/>
      <c r="SHF2018" s="142"/>
      <c r="SHG2018" s="142"/>
      <c r="SHH2018" s="142"/>
      <c r="SHI2018" s="142"/>
      <c r="SHJ2018" s="142"/>
      <c r="SHK2018" s="142"/>
      <c r="SHL2018" s="142"/>
      <c r="SHM2018" s="142"/>
      <c r="SHN2018" s="142"/>
      <c r="SHO2018" s="142"/>
      <c r="SHP2018" s="142"/>
      <c r="SHQ2018" s="142"/>
      <c r="SHR2018" s="142"/>
      <c r="SHS2018" s="142"/>
      <c r="SHT2018" s="142"/>
      <c r="SHU2018" s="142"/>
      <c r="SHV2018" s="142"/>
      <c r="SHW2018" s="142"/>
      <c r="SHX2018" s="142"/>
      <c r="SHY2018" s="142"/>
      <c r="SHZ2018" s="142"/>
      <c r="SIA2018" s="142"/>
      <c r="SIB2018" s="142"/>
      <c r="SIC2018" s="142"/>
      <c r="SID2018" s="142"/>
      <c r="SIE2018" s="142"/>
      <c r="SIF2018" s="142"/>
      <c r="SIG2018" s="142"/>
      <c r="SIH2018" s="142"/>
      <c r="SII2018" s="142"/>
      <c r="SIJ2018" s="142"/>
      <c r="SIK2018" s="142"/>
      <c r="SIL2018" s="142"/>
      <c r="SIM2018" s="142"/>
      <c r="SIN2018" s="142"/>
      <c r="SIO2018" s="142"/>
      <c r="SIP2018" s="142"/>
      <c r="SIQ2018" s="142"/>
      <c r="SIR2018" s="142"/>
      <c r="SIS2018" s="142"/>
      <c r="SIT2018" s="142"/>
      <c r="SIU2018" s="142"/>
      <c r="SIV2018" s="142"/>
      <c r="SIW2018" s="142"/>
      <c r="SIX2018" s="142"/>
      <c r="SIY2018" s="142"/>
      <c r="SIZ2018" s="142"/>
      <c r="SJA2018" s="142"/>
      <c r="SJB2018" s="142"/>
      <c r="SJC2018" s="142"/>
      <c r="SJD2018" s="142"/>
      <c r="SJE2018" s="142"/>
      <c r="SJF2018" s="142"/>
      <c r="SJG2018" s="142"/>
      <c r="SJH2018" s="142"/>
      <c r="SJI2018" s="142"/>
      <c r="SJJ2018" s="142"/>
      <c r="SJK2018" s="142"/>
      <c r="SJL2018" s="142"/>
      <c r="SJM2018" s="142"/>
      <c r="SJN2018" s="142"/>
      <c r="SJO2018" s="142"/>
      <c r="SJP2018" s="142"/>
      <c r="SJQ2018" s="142"/>
      <c r="SJR2018" s="142"/>
      <c r="SJS2018" s="142"/>
      <c r="SJT2018" s="142"/>
      <c r="SJU2018" s="142"/>
      <c r="SJV2018" s="142"/>
      <c r="SJW2018" s="142"/>
      <c r="SJX2018" s="142"/>
      <c r="SJY2018" s="142"/>
      <c r="SJZ2018" s="142"/>
      <c r="SKA2018" s="142"/>
      <c r="SKB2018" s="142"/>
      <c r="SKC2018" s="142"/>
      <c r="SKD2018" s="142"/>
      <c r="SKE2018" s="142"/>
      <c r="SKF2018" s="142"/>
      <c r="SKG2018" s="142"/>
      <c r="SKH2018" s="142"/>
      <c r="SKI2018" s="142"/>
      <c r="SKJ2018" s="142"/>
      <c r="SKK2018" s="142"/>
      <c r="SKL2018" s="142"/>
      <c r="SKM2018" s="142"/>
      <c r="SKN2018" s="142"/>
      <c r="SKO2018" s="142"/>
      <c r="SKP2018" s="142"/>
      <c r="SKQ2018" s="142"/>
      <c r="SKR2018" s="142"/>
      <c r="SKS2018" s="142"/>
      <c r="SKT2018" s="142"/>
      <c r="SKU2018" s="142"/>
      <c r="SKV2018" s="142"/>
      <c r="SKW2018" s="142"/>
      <c r="SKX2018" s="142"/>
      <c r="SKY2018" s="142"/>
      <c r="SKZ2018" s="142"/>
      <c r="SLA2018" s="142"/>
      <c r="SLB2018" s="142"/>
      <c r="SLC2018" s="142"/>
      <c r="SLD2018" s="142"/>
      <c r="SLE2018" s="142"/>
      <c r="SLF2018" s="142"/>
      <c r="SLG2018" s="142"/>
      <c r="SLH2018" s="142"/>
      <c r="SLI2018" s="142"/>
      <c r="SLJ2018" s="142"/>
      <c r="SLK2018" s="142"/>
      <c r="SLL2018" s="142"/>
      <c r="SLM2018" s="142"/>
      <c r="SLN2018" s="142"/>
      <c r="SLO2018" s="142"/>
      <c r="SLP2018" s="142"/>
      <c r="SLQ2018" s="142"/>
      <c r="SLR2018" s="142"/>
      <c r="SLS2018" s="142"/>
      <c r="SLT2018" s="142"/>
      <c r="SLU2018" s="142"/>
      <c r="SLV2018" s="142"/>
      <c r="SLW2018" s="142"/>
      <c r="SLX2018" s="142"/>
      <c r="SLY2018" s="142"/>
      <c r="SLZ2018" s="142"/>
      <c r="SMA2018" s="142"/>
      <c r="SMB2018" s="142"/>
      <c r="SMC2018" s="142"/>
      <c r="SMD2018" s="142"/>
      <c r="SME2018" s="142"/>
      <c r="SMF2018" s="142"/>
      <c r="SMG2018" s="142"/>
      <c r="SMH2018" s="142"/>
      <c r="SMI2018" s="142"/>
      <c r="SMJ2018" s="142"/>
      <c r="SMK2018" s="142"/>
      <c r="SML2018" s="142"/>
      <c r="SMM2018" s="142"/>
      <c r="SMN2018" s="142"/>
      <c r="SMO2018" s="142"/>
      <c r="SMP2018" s="142"/>
      <c r="SMQ2018" s="142"/>
      <c r="SMR2018" s="142"/>
      <c r="SMS2018" s="142"/>
      <c r="SMT2018" s="142"/>
      <c r="SMU2018" s="142"/>
      <c r="SMV2018" s="142"/>
      <c r="SMW2018" s="142"/>
      <c r="SMX2018" s="142"/>
      <c r="SMY2018" s="142"/>
      <c r="SMZ2018" s="142"/>
      <c r="SNA2018" s="142"/>
      <c r="SNB2018" s="142"/>
      <c r="SNC2018" s="142"/>
      <c r="SND2018" s="142"/>
      <c r="SNE2018" s="142"/>
      <c r="SNF2018" s="142"/>
      <c r="SNG2018" s="142"/>
      <c r="SNH2018" s="142"/>
      <c r="SNI2018" s="142"/>
      <c r="SNJ2018" s="142"/>
      <c r="SNK2018" s="142"/>
      <c r="SNL2018" s="142"/>
      <c r="SNM2018" s="142"/>
      <c r="SNN2018" s="142"/>
      <c r="SNO2018" s="142"/>
      <c r="SNP2018" s="142"/>
      <c r="SNQ2018" s="142"/>
      <c r="SNR2018" s="142"/>
      <c r="SNS2018" s="142"/>
      <c r="SNT2018" s="142"/>
      <c r="SNU2018" s="142"/>
      <c r="SNV2018" s="142"/>
      <c r="SNW2018" s="142"/>
      <c r="SNX2018" s="142"/>
      <c r="SNY2018" s="142"/>
      <c r="SNZ2018" s="142"/>
      <c r="SOA2018" s="142"/>
      <c r="SOB2018" s="142"/>
      <c r="SOC2018" s="142"/>
      <c r="SOD2018" s="142"/>
      <c r="SOE2018" s="142"/>
      <c r="SOF2018" s="142"/>
      <c r="SOG2018" s="142"/>
      <c r="SOH2018" s="142"/>
      <c r="SOI2018" s="142"/>
      <c r="SOJ2018" s="142"/>
      <c r="SOK2018" s="142"/>
      <c r="SOL2018" s="142"/>
      <c r="SOM2018" s="142"/>
      <c r="SON2018" s="142"/>
      <c r="SOO2018" s="142"/>
      <c r="SOP2018" s="142"/>
      <c r="SOQ2018" s="142"/>
      <c r="SOR2018" s="142"/>
      <c r="SOS2018" s="142"/>
      <c r="SOT2018" s="142"/>
      <c r="SOU2018" s="142"/>
      <c r="SOV2018" s="142"/>
      <c r="SOW2018" s="142"/>
      <c r="SOX2018" s="142"/>
      <c r="SOY2018" s="142"/>
      <c r="SOZ2018" s="142"/>
      <c r="SPA2018" s="142"/>
      <c r="SPB2018" s="142"/>
      <c r="SPC2018" s="142"/>
      <c r="SPD2018" s="142"/>
      <c r="SPE2018" s="142"/>
      <c r="SPF2018" s="142"/>
      <c r="SPG2018" s="142"/>
      <c r="SPH2018" s="142"/>
      <c r="SPI2018" s="142"/>
      <c r="SPJ2018" s="142"/>
      <c r="SPK2018" s="142"/>
      <c r="SPL2018" s="142"/>
      <c r="SPM2018" s="142"/>
      <c r="SPN2018" s="142"/>
      <c r="SPO2018" s="142"/>
      <c r="SPP2018" s="142"/>
      <c r="SPQ2018" s="142"/>
      <c r="SPR2018" s="142"/>
      <c r="SPS2018" s="142"/>
      <c r="SPT2018" s="142"/>
      <c r="SPU2018" s="142"/>
      <c r="SPV2018" s="142"/>
      <c r="SPW2018" s="142"/>
      <c r="SPX2018" s="142"/>
      <c r="SPY2018" s="142"/>
      <c r="SPZ2018" s="142"/>
      <c r="SQA2018" s="142"/>
      <c r="SQB2018" s="142"/>
      <c r="SQC2018" s="142"/>
      <c r="SQD2018" s="142"/>
      <c r="SQE2018" s="142"/>
      <c r="SQF2018" s="142"/>
      <c r="SQG2018" s="142"/>
      <c r="SQH2018" s="142"/>
      <c r="SQI2018" s="142"/>
      <c r="SQJ2018" s="142"/>
      <c r="SQK2018" s="142"/>
      <c r="SQL2018" s="142"/>
      <c r="SQM2018" s="142"/>
      <c r="SQN2018" s="142"/>
      <c r="SQO2018" s="142"/>
      <c r="SQP2018" s="142"/>
      <c r="SQQ2018" s="142"/>
      <c r="SQR2018" s="142"/>
      <c r="SQS2018" s="142"/>
      <c r="SQT2018" s="142"/>
      <c r="SQU2018" s="142"/>
      <c r="SQV2018" s="142"/>
      <c r="SQW2018" s="142"/>
      <c r="SQX2018" s="142"/>
      <c r="SQY2018" s="142"/>
      <c r="SQZ2018" s="142"/>
      <c r="SRA2018" s="142"/>
      <c r="SRB2018" s="142"/>
      <c r="SRC2018" s="142"/>
      <c r="SRD2018" s="142"/>
      <c r="SRE2018" s="142"/>
      <c r="SRF2018" s="142"/>
      <c r="SRG2018" s="142"/>
      <c r="SRH2018" s="142"/>
      <c r="SRI2018" s="142"/>
      <c r="SRJ2018" s="142"/>
      <c r="SRK2018" s="142"/>
      <c r="SRL2018" s="142"/>
      <c r="SRM2018" s="142"/>
      <c r="SRN2018" s="142"/>
      <c r="SRO2018" s="142"/>
      <c r="SRP2018" s="142"/>
      <c r="SRQ2018" s="142"/>
      <c r="SRR2018" s="142"/>
      <c r="SRS2018" s="142"/>
      <c r="SRT2018" s="142"/>
      <c r="SRU2018" s="142"/>
      <c r="SRV2018" s="142"/>
      <c r="SRW2018" s="142"/>
      <c r="SRX2018" s="142"/>
      <c r="SRY2018" s="142"/>
      <c r="SRZ2018" s="142"/>
      <c r="SSA2018" s="142"/>
      <c r="SSB2018" s="142"/>
      <c r="SSC2018" s="142"/>
      <c r="SSD2018" s="142"/>
      <c r="SSE2018" s="142"/>
      <c r="SSF2018" s="142"/>
      <c r="SSG2018" s="142"/>
      <c r="SSH2018" s="142"/>
      <c r="SSI2018" s="142"/>
      <c r="SSJ2018" s="142"/>
      <c r="SSK2018" s="142"/>
      <c r="SSL2018" s="142"/>
      <c r="SSM2018" s="142"/>
      <c r="SSN2018" s="142"/>
      <c r="SSO2018" s="142"/>
      <c r="SSP2018" s="142"/>
      <c r="SSQ2018" s="142"/>
      <c r="SSR2018" s="142"/>
      <c r="SSS2018" s="142"/>
      <c r="SST2018" s="142"/>
      <c r="SSU2018" s="142"/>
      <c r="SSV2018" s="142"/>
      <c r="SSW2018" s="142"/>
      <c r="SSX2018" s="142"/>
      <c r="SSY2018" s="142"/>
      <c r="SSZ2018" s="142"/>
      <c r="STA2018" s="142"/>
      <c r="STB2018" s="142"/>
      <c r="STC2018" s="142"/>
      <c r="STD2018" s="142"/>
      <c r="STE2018" s="142"/>
      <c r="STF2018" s="142"/>
      <c r="STG2018" s="142"/>
      <c r="STH2018" s="142"/>
      <c r="STI2018" s="142"/>
      <c r="STJ2018" s="142"/>
      <c r="STK2018" s="142"/>
      <c r="STL2018" s="142"/>
      <c r="STM2018" s="142"/>
      <c r="STN2018" s="142"/>
      <c r="STO2018" s="142"/>
      <c r="STP2018" s="142"/>
      <c r="STQ2018" s="142"/>
      <c r="STR2018" s="142"/>
      <c r="STS2018" s="142"/>
      <c r="STT2018" s="142"/>
      <c r="STU2018" s="142"/>
      <c r="STV2018" s="142"/>
      <c r="STW2018" s="142"/>
      <c r="STX2018" s="142"/>
      <c r="STY2018" s="142"/>
      <c r="STZ2018" s="142"/>
      <c r="SUA2018" s="142"/>
      <c r="SUB2018" s="142"/>
      <c r="SUC2018" s="142"/>
      <c r="SUD2018" s="142"/>
      <c r="SUE2018" s="142"/>
      <c r="SUF2018" s="142"/>
      <c r="SUG2018" s="142"/>
      <c r="SUH2018" s="142"/>
      <c r="SUI2018" s="142"/>
      <c r="SUJ2018" s="142"/>
      <c r="SUK2018" s="142"/>
      <c r="SUL2018" s="142"/>
      <c r="SUM2018" s="142"/>
      <c r="SUN2018" s="142"/>
      <c r="SUO2018" s="142"/>
      <c r="SUP2018" s="142"/>
      <c r="SUQ2018" s="142"/>
      <c r="SUR2018" s="142"/>
      <c r="SUS2018" s="142"/>
      <c r="SUT2018" s="142"/>
      <c r="SUU2018" s="142"/>
      <c r="SUV2018" s="142"/>
      <c r="SUW2018" s="142"/>
      <c r="SUX2018" s="142"/>
      <c r="SUY2018" s="142"/>
      <c r="SUZ2018" s="142"/>
      <c r="SVA2018" s="142"/>
      <c r="SVB2018" s="142"/>
      <c r="SVC2018" s="142"/>
      <c r="SVD2018" s="142"/>
      <c r="SVE2018" s="142"/>
      <c r="SVF2018" s="142"/>
      <c r="SVG2018" s="142"/>
      <c r="SVH2018" s="142"/>
      <c r="SVI2018" s="142"/>
      <c r="SVJ2018" s="142"/>
      <c r="SVK2018" s="142"/>
      <c r="SVL2018" s="142"/>
      <c r="SVM2018" s="142"/>
      <c r="SVN2018" s="142"/>
      <c r="SVO2018" s="142"/>
      <c r="SVP2018" s="142"/>
      <c r="SVQ2018" s="142"/>
      <c r="SVR2018" s="142"/>
      <c r="SVS2018" s="142"/>
      <c r="SVT2018" s="142"/>
      <c r="SVU2018" s="142"/>
      <c r="SVV2018" s="142"/>
      <c r="SVW2018" s="142"/>
      <c r="SVX2018" s="142"/>
      <c r="SVY2018" s="142"/>
      <c r="SVZ2018" s="142"/>
      <c r="SWA2018" s="142"/>
      <c r="SWB2018" s="142"/>
      <c r="SWC2018" s="142"/>
      <c r="SWD2018" s="142"/>
      <c r="SWE2018" s="142"/>
      <c r="SWF2018" s="142"/>
      <c r="SWG2018" s="142"/>
      <c r="SWH2018" s="142"/>
      <c r="SWI2018" s="142"/>
      <c r="SWJ2018" s="142"/>
      <c r="SWK2018" s="142"/>
      <c r="SWL2018" s="142"/>
      <c r="SWM2018" s="142"/>
      <c r="SWN2018" s="142"/>
      <c r="SWO2018" s="142"/>
      <c r="SWP2018" s="142"/>
      <c r="SWQ2018" s="142"/>
      <c r="SWR2018" s="142"/>
      <c r="SWS2018" s="142"/>
      <c r="SWT2018" s="142"/>
      <c r="SWU2018" s="142"/>
      <c r="SWV2018" s="142"/>
      <c r="SWW2018" s="142"/>
      <c r="SWX2018" s="142"/>
      <c r="SWY2018" s="142"/>
      <c r="SWZ2018" s="142"/>
      <c r="SXA2018" s="142"/>
      <c r="SXB2018" s="142"/>
      <c r="SXC2018" s="142"/>
      <c r="SXD2018" s="142"/>
      <c r="SXE2018" s="142"/>
      <c r="SXF2018" s="142"/>
      <c r="SXG2018" s="142"/>
      <c r="SXH2018" s="142"/>
      <c r="SXI2018" s="142"/>
      <c r="SXJ2018" s="142"/>
      <c r="SXK2018" s="142"/>
      <c r="SXL2018" s="142"/>
      <c r="SXM2018" s="142"/>
      <c r="SXN2018" s="142"/>
      <c r="SXO2018" s="142"/>
      <c r="SXP2018" s="142"/>
      <c r="SXQ2018" s="142"/>
      <c r="SXR2018" s="142"/>
      <c r="SXS2018" s="142"/>
      <c r="SXT2018" s="142"/>
      <c r="SXU2018" s="142"/>
      <c r="SXV2018" s="142"/>
      <c r="SXW2018" s="142"/>
      <c r="SXX2018" s="142"/>
      <c r="SXY2018" s="142"/>
      <c r="SXZ2018" s="142"/>
      <c r="SYA2018" s="142"/>
      <c r="SYB2018" s="142"/>
      <c r="SYC2018" s="142"/>
      <c r="SYD2018" s="142"/>
      <c r="SYE2018" s="142"/>
      <c r="SYF2018" s="142"/>
      <c r="SYG2018" s="142"/>
      <c r="SYH2018" s="142"/>
      <c r="SYI2018" s="142"/>
      <c r="SYJ2018" s="142"/>
      <c r="SYK2018" s="142"/>
      <c r="SYL2018" s="142"/>
      <c r="SYM2018" s="142"/>
      <c r="SYN2018" s="142"/>
      <c r="SYO2018" s="142"/>
      <c r="SYP2018" s="142"/>
      <c r="SYQ2018" s="142"/>
      <c r="SYR2018" s="142"/>
      <c r="SYS2018" s="142"/>
      <c r="SYT2018" s="142"/>
      <c r="SYU2018" s="142"/>
      <c r="SYV2018" s="142"/>
      <c r="SYW2018" s="142"/>
      <c r="SYX2018" s="142"/>
      <c r="SYY2018" s="142"/>
      <c r="SYZ2018" s="142"/>
      <c r="SZA2018" s="142"/>
      <c r="SZB2018" s="142"/>
      <c r="SZC2018" s="142"/>
      <c r="SZD2018" s="142"/>
      <c r="SZE2018" s="142"/>
      <c r="SZF2018" s="142"/>
      <c r="SZG2018" s="142"/>
      <c r="SZH2018" s="142"/>
      <c r="SZI2018" s="142"/>
      <c r="SZJ2018" s="142"/>
      <c r="SZK2018" s="142"/>
      <c r="SZL2018" s="142"/>
      <c r="SZM2018" s="142"/>
      <c r="SZN2018" s="142"/>
      <c r="SZO2018" s="142"/>
      <c r="SZP2018" s="142"/>
      <c r="SZQ2018" s="142"/>
      <c r="SZR2018" s="142"/>
      <c r="SZS2018" s="142"/>
      <c r="SZT2018" s="142"/>
      <c r="SZU2018" s="142"/>
      <c r="SZV2018" s="142"/>
      <c r="SZW2018" s="142"/>
      <c r="SZX2018" s="142"/>
      <c r="SZY2018" s="142"/>
      <c r="SZZ2018" s="142"/>
      <c r="TAA2018" s="142"/>
      <c r="TAB2018" s="142"/>
      <c r="TAC2018" s="142"/>
      <c r="TAD2018" s="142"/>
      <c r="TAE2018" s="142"/>
      <c r="TAF2018" s="142"/>
      <c r="TAG2018" s="142"/>
      <c r="TAH2018" s="142"/>
      <c r="TAI2018" s="142"/>
      <c r="TAJ2018" s="142"/>
      <c r="TAK2018" s="142"/>
      <c r="TAL2018" s="142"/>
      <c r="TAM2018" s="142"/>
      <c r="TAN2018" s="142"/>
      <c r="TAO2018" s="142"/>
      <c r="TAP2018" s="142"/>
      <c r="TAQ2018" s="142"/>
      <c r="TAR2018" s="142"/>
      <c r="TAS2018" s="142"/>
      <c r="TAT2018" s="142"/>
      <c r="TAU2018" s="142"/>
      <c r="TAV2018" s="142"/>
      <c r="TAW2018" s="142"/>
      <c r="TAX2018" s="142"/>
      <c r="TAY2018" s="142"/>
      <c r="TAZ2018" s="142"/>
      <c r="TBA2018" s="142"/>
      <c r="TBB2018" s="142"/>
      <c r="TBC2018" s="142"/>
      <c r="TBD2018" s="142"/>
      <c r="TBE2018" s="142"/>
      <c r="TBF2018" s="142"/>
      <c r="TBG2018" s="142"/>
      <c r="TBH2018" s="142"/>
      <c r="TBI2018" s="142"/>
      <c r="TBJ2018" s="142"/>
      <c r="TBK2018" s="142"/>
      <c r="TBL2018" s="142"/>
      <c r="TBM2018" s="142"/>
      <c r="TBN2018" s="142"/>
      <c r="TBO2018" s="142"/>
      <c r="TBP2018" s="142"/>
      <c r="TBQ2018" s="142"/>
      <c r="TBR2018" s="142"/>
      <c r="TBS2018" s="142"/>
      <c r="TBT2018" s="142"/>
      <c r="TBU2018" s="142"/>
      <c r="TBV2018" s="142"/>
      <c r="TBW2018" s="142"/>
      <c r="TBX2018" s="142"/>
      <c r="TBY2018" s="142"/>
      <c r="TBZ2018" s="142"/>
      <c r="TCA2018" s="142"/>
      <c r="TCB2018" s="142"/>
      <c r="TCC2018" s="142"/>
      <c r="TCD2018" s="142"/>
      <c r="TCE2018" s="142"/>
      <c r="TCF2018" s="142"/>
      <c r="TCG2018" s="142"/>
      <c r="TCH2018" s="142"/>
      <c r="TCI2018" s="142"/>
      <c r="TCJ2018" s="142"/>
      <c r="TCK2018" s="142"/>
      <c r="TCL2018" s="142"/>
      <c r="TCM2018" s="142"/>
      <c r="TCN2018" s="142"/>
      <c r="TCO2018" s="142"/>
      <c r="TCP2018" s="142"/>
      <c r="TCQ2018" s="142"/>
      <c r="TCR2018" s="142"/>
      <c r="TCS2018" s="142"/>
      <c r="TCT2018" s="142"/>
      <c r="TCU2018" s="142"/>
      <c r="TCV2018" s="142"/>
      <c r="TCW2018" s="142"/>
      <c r="TCX2018" s="142"/>
      <c r="TCY2018" s="142"/>
      <c r="TCZ2018" s="142"/>
      <c r="TDA2018" s="142"/>
      <c r="TDB2018" s="142"/>
      <c r="TDC2018" s="142"/>
      <c r="TDD2018" s="142"/>
      <c r="TDE2018" s="142"/>
      <c r="TDF2018" s="142"/>
      <c r="TDG2018" s="142"/>
      <c r="TDH2018" s="142"/>
      <c r="TDI2018" s="142"/>
      <c r="TDJ2018" s="142"/>
      <c r="TDK2018" s="142"/>
      <c r="TDL2018" s="142"/>
      <c r="TDM2018" s="142"/>
      <c r="TDN2018" s="142"/>
      <c r="TDO2018" s="142"/>
      <c r="TDP2018" s="142"/>
      <c r="TDQ2018" s="142"/>
      <c r="TDR2018" s="142"/>
      <c r="TDS2018" s="142"/>
      <c r="TDT2018" s="142"/>
      <c r="TDU2018" s="142"/>
      <c r="TDV2018" s="142"/>
      <c r="TDW2018" s="142"/>
      <c r="TDX2018" s="142"/>
      <c r="TDY2018" s="142"/>
      <c r="TDZ2018" s="142"/>
      <c r="TEA2018" s="142"/>
      <c r="TEB2018" s="142"/>
      <c r="TEC2018" s="142"/>
      <c r="TED2018" s="142"/>
      <c r="TEE2018" s="142"/>
      <c r="TEF2018" s="142"/>
      <c r="TEG2018" s="142"/>
      <c r="TEH2018" s="142"/>
      <c r="TEI2018" s="142"/>
      <c r="TEJ2018" s="142"/>
      <c r="TEK2018" s="142"/>
      <c r="TEL2018" s="142"/>
      <c r="TEM2018" s="142"/>
      <c r="TEN2018" s="142"/>
      <c r="TEO2018" s="142"/>
      <c r="TEP2018" s="142"/>
      <c r="TEQ2018" s="142"/>
      <c r="TER2018" s="142"/>
      <c r="TES2018" s="142"/>
      <c r="TET2018" s="142"/>
      <c r="TEU2018" s="142"/>
      <c r="TEV2018" s="142"/>
      <c r="TEW2018" s="142"/>
      <c r="TEX2018" s="142"/>
      <c r="TEY2018" s="142"/>
      <c r="TEZ2018" s="142"/>
      <c r="TFA2018" s="142"/>
      <c r="TFB2018" s="142"/>
      <c r="TFC2018" s="142"/>
      <c r="TFD2018" s="142"/>
      <c r="TFE2018" s="142"/>
      <c r="TFF2018" s="142"/>
      <c r="TFG2018" s="142"/>
      <c r="TFH2018" s="142"/>
      <c r="TFI2018" s="142"/>
      <c r="TFJ2018" s="142"/>
      <c r="TFK2018" s="142"/>
      <c r="TFL2018" s="142"/>
      <c r="TFM2018" s="142"/>
      <c r="TFN2018" s="142"/>
      <c r="TFO2018" s="142"/>
      <c r="TFP2018" s="142"/>
      <c r="TFQ2018" s="142"/>
      <c r="TFR2018" s="142"/>
      <c r="TFS2018" s="142"/>
      <c r="TFT2018" s="142"/>
      <c r="TFU2018" s="142"/>
      <c r="TFV2018" s="142"/>
      <c r="TFW2018" s="142"/>
      <c r="TFX2018" s="142"/>
      <c r="TFY2018" s="142"/>
      <c r="TFZ2018" s="142"/>
      <c r="TGA2018" s="142"/>
      <c r="TGB2018" s="142"/>
      <c r="TGC2018" s="142"/>
      <c r="TGD2018" s="142"/>
      <c r="TGE2018" s="142"/>
      <c r="TGF2018" s="142"/>
      <c r="TGG2018" s="142"/>
      <c r="TGH2018" s="142"/>
      <c r="TGI2018" s="142"/>
      <c r="TGJ2018" s="142"/>
      <c r="TGK2018" s="142"/>
      <c r="TGL2018" s="142"/>
      <c r="TGM2018" s="142"/>
      <c r="TGN2018" s="142"/>
      <c r="TGO2018" s="142"/>
      <c r="TGP2018" s="142"/>
      <c r="TGQ2018" s="142"/>
      <c r="TGR2018" s="142"/>
      <c r="TGS2018" s="142"/>
      <c r="TGT2018" s="142"/>
      <c r="TGU2018" s="142"/>
      <c r="TGV2018" s="142"/>
      <c r="TGW2018" s="142"/>
      <c r="TGX2018" s="142"/>
      <c r="TGY2018" s="142"/>
      <c r="TGZ2018" s="142"/>
      <c r="THA2018" s="142"/>
      <c r="THB2018" s="142"/>
      <c r="THC2018" s="142"/>
      <c r="THD2018" s="142"/>
      <c r="THE2018" s="142"/>
      <c r="THF2018" s="142"/>
      <c r="THG2018" s="142"/>
      <c r="THH2018" s="142"/>
      <c r="THI2018" s="142"/>
      <c r="THJ2018" s="142"/>
      <c r="THK2018" s="142"/>
      <c r="THL2018" s="142"/>
      <c r="THM2018" s="142"/>
      <c r="THN2018" s="142"/>
      <c r="THO2018" s="142"/>
      <c r="THP2018" s="142"/>
      <c r="THQ2018" s="142"/>
      <c r="THR2018" s="142"/>
      <c r="THS2018" s="142"/>
      <c r="THT2018" s="142"/>
      <c r="THU2018" s="142"/>
      <c r="THV2018" s="142"/>
      <c r="THW2018" s="142"/>
      <c r="THX2018" s="142"/>
      <c r="THY2018" s="142"/>
      <c r="THZ2018" s="142"/>
      <c r="TIA2018" s="142"/>
      <c r="TIB2018" s="142"/>
      <c r="TIC2018" s="142"/>
      <c r="TID2018" s="142"/>
      <c r="TIE2018" s="142"/>
      <c r="TIF2018" s="142"/>
      <c r="TIG2018" s="142"/>
      <c r="TIH2018" s="142"/>
      <c r="TII2018" s="142"/>
      <c r="TIJ2018" s="142"/>
      <c r="TIK2018" s="142"/>
      <c r="TIL2018" s="142"/>
      <c r="TIM2018" s="142"/>
      <c r="TIN2018" s="142"/>
      <c r="TIO2018" s="142"/>
      <c r="TIP2018" s="142"/>
      <c r="TIQ2018" s="142"/>
      <c r="TIR2018" s="142"/>
      <c r="TIS2018" s="142"/>
      <c r="TIT2018" s="142"/>
      <c r="TIU2018" s="142"/>
      <c r="TIV2018" s="142"/>
      <c r="TIW2018" s="142"/>
      <c r="TIX2018" s="142"/>
      <c r="TIY2018" s="142"/>
      <c r="TIZ2018" s="142"/>
      <c r="TJA2018" s="142"/>
      <c r="TJB2018" s="142"/>
      <c r="TJC2018" s="142"/>
      <c r="TJD2018" s="142"/>
      <c r="TJE2018" s="142"/>
      <c r="TJF2018" s="142"/>
      <c r="TJG2018" s="142"/>
      <c r="TJH2018" s="142"/>
      <c r="TJI2018" s="142"/>
      <c r="TJJ2018" s="142"/>
      <c r="TJK2018" s="142"/>
      <c r="TJL2018" s="142"/>
      <c r="TJM2018" s="142"/>
      <c r="TJN2018" s="142"/>
      <c r="TJO2018" s="142"/>
      <c r="TJP2018" s="142"/>
      <c r="TJQ2018" s="142"/>
      <c r="TJR2018" s="142"/>
      <c r="TJS2018" s="142"/>
      <c r="TJT2018" s="142"/>
      <c r="TJU2018" s="142"/>
      <c r="TJV2018" s="142"/>
      <c r="TJW2018" s="142"/>
      <c r="TJX2018" s="142"/>
      <c r="TJY2018" s="142"/>
      <c r="TJZ2018" s="142"/>
      <c r="TKA2018" s="142"/>
      <c r="TKB2018" s="142"/>
      <c r="TKC2018" s="142"/>
      <c r="TKD2018" s="142"/>
      <c r="TKE2018" s="142"/>
      <c r="TKF2018" s="142"/>
      <c r="TKG2018" s="142"/>
      <c r="TKH2018" s="142"/>
      <c r="TKI2018" s="142"/>
      <c r="TKJ2018" s="142"/>
      <c r="TKK2018" s="142"/>
      <c r="TKL2018" s="142"/>
      <c r="TKM2018" s="142"/>
      <c r="TKN2018" s="142"/>
      <c r="TKO2018" s="142"/>
      <c r="TKP2018" s="142"/>
      <c r="TKQ2018" s="142"/>
      <c r="TKR2018" s="142"/>
      <c r="TKS2018" s="142"/>
      <c r="TKT2018" s="142"/>
      <c r="TKU2018" s="142"/>
      <c r="TKV2018" s="142"/>
      <c r="TKW2018" s="142"/>
      <c r="TKX2018" s="142"/>
      <c r="TKY2018" s="142"/>
      <c r="TKZ2018" s="142"/>
      <c r="TLA2018" s="142"/>
      <c r="TLB2018" s="142"/>
      <c r="TLC2018" s="142"/>
      <c r="TLD2018" s="142"/>
      <c r="TLE2018" s="142"/>
      <c r="TLF2018" s="142"/>
      <c r="TLG2018" s="142"/>
      <c r="TLH2018" s="142"/>
      <c r="TLI2018" s="142"/>
      <c r="TLJ2018" s="142"/>
      <c r="TLK2018" s="142"/>
      <c r="TLL2018" s="142"/>
      <c r="TLM2018" s="142"/>
      <c r="TLN2018" s="142"/>
      <c r="TLO2018" s="142"/>
      <c r="TLP2018" s="142"/>
      <c r="TLQ2018" s="142"/>
      <c r="TLR2018" s="142"/>
      <c r="TLS2018" s="142"/>
      <c r="TLT2018" s="142"/>
      <c r="TLU2018" s="142"/>
      <c r="TLV2018" s="142"/>
      <c r="TLW2018" s="142"/>
      <c r="TLX2018" s="142"/>
      <c r="TLY2018" s="142"/>
      <c r="TLZ2018" s="142"/>
      <c r="TMA2018" s="142"/>
      <c r="TMB2018" s="142"/>
      <c r="TMC2018" s="142"/>
      <c r="TMD2018" s="142"/>
      <c r="TME2018" s="142"/>
      <c r="TMF2018" s="142"/>
      <c r="TMG2018" s="142"/>
      <c r="TMH2018" s="142"/>
      <c r="TMI2018" s="142"/>
      <c r="TMJ2018" s="142"/>
      <c r="TMK2018" s="142"/>
      <c r="TML2018" s="142"/>
      <c r="TMM2018" s="142"/>
      <c r="TMN2018" s="142"/>
      <c r="TMO2018" s="142"/>
      <c r="TMP2018" s="142"/>
      <c r="TMQ2018" s="142"/>
      <c r="TMR2018" s="142"/>
      <c r="TMS2018" s="142"/>
      <c r="TMT2018" s="142"/>
      <c r="TMU2018" s="142"/>
      <c r="TMV2018" s="142"/>
      <c r="TMW2018" s="142"/>
      <c r="TMX2018" s="142"/>
      <c r="TMY2018" s="142"/>
      <c r="TMZ2018" s="142"/>
      <c r="TNA2018" s="142"/>
      <c r="TNB2018" s="142"/>
      <c r="TNC2018" s="142"/>
      <c r="TND2018" s="142"/>
      <c r="TNE2018" s="142"/>
      <c r="TNF2018" s="142"/>
      <c r="TNG2018" s="142"/>
      <c r="TNH2018" s="142"/>
      <c r="TNI2018" s="142"/>
      <c r="TNJ2018" s="142"/>
      <c r="TNK2018" s="142"/>
      <c r="TNL2018" s="142"/>
      <c r="TNM2018" s="142"/>
      <c r="TNN2018" s="142"/>
      <c r="TNO2018" s="142"/>
      <c r="TNP2018" s="142"/>
      <c r="TNQ2018" s="142"/>
      <c r="TNR2018" s="142"/>
      <c r="TNS2018" s="142"/>
      <c r="TNT2018" s="142"/>
      <c r="TNU2018" s="142"/>
      <c r="TNV2018" s="142"/>
      <c r="TNW2018" s="142"/>
      <c r="TNX2018" s="142"/>
      <c r="TNY2018" s="142"/>
      <c r="TNZ2018" s="142"/>
      <c r="TOA2018" s="142"/>
      <c r="TOB2018" s="142"/>
      <c r="TOC2018" s="142"/>
      <c r="TOD2018" s="142"/>
      <c r="TOE2018" s="142"/>
      <c r="TOF2018" s="142"/>
      <c r="TOG2018" s="142"/>
      <c r="TOH2018" s="142"/>
      <c r="TOI2018" s="142"/>
      <c r="TOJ2018" s="142"/>
      <c r="TOK2018" s="142"/>
      <c r="TOL2018" s="142"/>
      <c r="TOM2018" s="142"/>
      <c r="TON2018" s="142"/>
      <c r="TOO2018" s="142"/>
      <c r="TOP2018" s="142"/>
      <c r="TOQ2018" s="142"/>
      <c r="TOR2018" s="142"/>
      <c r="TOS2018" s="142"/>
      <c r="TOT2018" s="142"/>
      <c r="TOU2018" s="142"/>
      <c r="TOV2018" s="142"/>
      <c r="TOW2018" s="142"/>
      <c r="TOX2018" s="142"/>
      <c r="TOY2018" s="142"/>
      <c r="TOZ2018" s="142"/>
      <c r="TPA2018" s="142"/>
      <c r="TPB2018" s="142"/>
      <c r="TPC2018" s="142"/>
      <c r="TPD2018" s="142"/>
      <c r="TPE2018" s="142"/>
      <c r="TPF2018" s="142"/>
      <c r="TPG2018" s="142"/>
      <c r="TPH2018" s="142"/>
      <c r="TPI2018" s="142"/>
      <c r="TPJ2018" s="142"/>
      <c r="TPK2018" s="142"/>
      <c r="TPL2018" s="142"/>
      <c r="TPM2018" s="142"/>
      <c r="TPN2018" s="142"/>
      <c r="TPO2018" s="142"/>
      <c r="TPP2018" s="142"/>
      <c r="TPQ2018" s="142"/>
      <c r="TPR2018" s="142"/>
      <c r="TPS2018" s="142"/>
      <c r="TPT2018" s="142"/>
      <c r="TPU2018" s="142"/>
      <c r="TPV2018" s="142"/>
      <c r="TPW2018" s="142"/>
      <c r="TPX2018" s="142"/>
      <c r="TPY2018" s="142"/>
      <c r="TPZ2018" s="142"/>
      <c r="TQA2018" s="142"/>
      <c r="TQB2018" s="142"/>
      <c r="TQC2018" s="142"/>
      <c r="TQD2018" s="142"/>
      <c r="TQE2018" s="142"/>
      <c r="TQF2018" s="142"/>
      <c r="TQG2018" s="142"/>
      <c r="TQH2018" s="142"/>
      <c r="TQI2018" s="142"/>
      <c r="TQJ2018" s="142"/>
      <c r="TQK2018" s="142"/>
      <c r="TQL2018" s="142"/>
      <c r="TQM2018" s="142"/>
      <c r="TQN2018" s="142"/>
      <c r="TQO2018" s="142"/>
      <c r="TQP2018" s="142"/>
      <c r="TQQ2018" s="142"/>
      <c r="TQR2018" s="142"/>
      <c r="TQS2018" s="142"/>
      <c r="TQT2018" s="142"/>
      <c r="TQU2018" s="142"/>
      <c r="TQV2018" s="142"/>
      <c r="TQW2018" s="142"/>
      <c r="TQX2018" s="142"/>
      <c r="TQY2018" s="142"/>
      <c r="TQZ2018" s="142"/>
      <c r="TRA2018" s="142"/>
      <c r="TRB2018" s="142"/>
      <c r="TRC2018" s="142"/>
      <c r="TRD2018" s="142"/>
      <c r="TRE2018" s="142"/>
      <c r="TRF2018" s="142"/>
      <c r="TRG2018" s="142"/>
      <c r="TRH2018" s="142"/>
      <c r="TRI2018" s="142"/>
      <c r="TRJ2018" s="142"/>
      <c r="TRK2018" s="142"/>
      <c r="TRL2018" s="142"/>
      <c r="TRM2018" s="142"/>
      <c r="TRN2018" s="142"/>
      <c r="TRO2018" s="142"/>
      <c r="TRP2018" s="142"/>
      <c r="TRQ2018" s="142"/>
      <c r="TRR2018" s="142"/>
      <c r="TRS2018" s="142"/>
      <c r="TRT2018" s="142"/>
      <c r="TRU2018" s="142"/>
      <c r="TRV2018" s="142"/>
      <c r="TRW2018" s="142"/>
      <c r="TRX2018" s="142"/>
      <c r="TRY2018" s="142"/>
      <c r="TRZ2018" s="142"/>
      <c r="TSA2018" s="142"/>
      <c r="TSB2018" s="142"/>
      <c r="TSC2018" s="142"/>
      <c r="TSD2018" s="142"/>
      <c r="TSE2018" s="142"/>
      <c r="TSF2018" s="142"/>
      <c r="TSG2018" s="142"/>
      <c r="TSH2018" s="142"/>
      <c r="TSI2018" s="142"/>
      <c r="TSJ2018" s="142"/>
      <c r="TSK2018" s="142"/>
      <c r="TSL2018" s="142"/>
      <c r="TSM2018" s="142"/>
      <c r="TSN2018" s="142"/>
      <c r="TSO2018" s="142"/>
      <c r="TSP2018" s="142"/>
      <c r="TSQ2018" s="142"/>
      <c r="TSR2018" s="142"/>
      <c r="TSS2018" s="142"/>
      <c r="TST2018" s="142"/>
      <c r="TSU2018" s="142"/>
      <c r="TSV2018" s="142"/>
      <c r="TSW2018" s="142"/>
      <c r="TSX2018" s="142"/>
      <c r="TSY2018" s="142"/>
      <c r="TSZ2018" s="142"/>
      <c r="TTA2018" s="142"/>
      <c r="TTB2018" s="142"/>
      <c r="TTC2018" s="142"/>
      <c r="TTD2018" s="142"/>
      <c r="TTE2018" s="142"/>
      <c r="TTF2018" s="142"/>
      <c r="TTG2018" s="142"/>
      <c r="TTH2018" s="142"/>
      <c r="TTI2018" s="142"/>
      <c r="TTJ2018" s="142"/>
      <c r="TTK2018" s="142"/>
      <c r="TTL2018" s="142"/>
      <c r="TTM2018" s="142"/>
      <c r="TTN2018" s="142"/>
      <c r="TTO2018" s="142"/>
      <c r="TTP2018" s="142"/>
      <c r="TTQ2018" s="142"/>
      <c r="TTR2018" s="142"/>
      <c r="TTS2018" s="142"/>
      <c r="TTT2018" s="142"/>
      <c r="TTU2018" s="142"/>
      <c r="TTV2018" s="142"/>
      <c r="TTW2018" s="142"/>
      <c r="TTX2018" s="142"/>
      <c r="TTY2018" s="142"/>
      <c r="TTZ2018" s="142"/>
      <c r="TUA2018" s="142"/>
      <c r="TUB2018" s="142"/>
      <c r="TUC2018" s="142"/>
      <c r="TUD2018" s="142"/>
      <c r="TUE2018" s="142"/>
      <c r="TUF2018" s="142"/>
      <c r="TUG2018" s="142"/>
      <c r="TUH2018" s="142"/>
      <c r="TUI2018" s="142"/>
      <c r="TUJ2018" s="142"/>
      <c r="TUK2018" s="142"/>
      <c r="TUL2018" s="142"/>
      <c r="TUM2018" s="142"/>
      <c r="TUN2018" s="142"/>
      <c r="TUO2018" s="142"/>
      <c r="TUP2018" s="142"/>
      <c r="TUQ2018" s="142"/>
      <c r="TUR2018" s="142"/>
      <c r="TUS2018" s="142"/>
      <c r="TUT2018" s="142"/>
      <c r="TUU2018" s="142"/>
      <c r="TUV2018" s="142"/>
      <c r="TUW2018" s="142"/>
      <c r="TUX2018" s="142"/>
      <c r="TUY2018" s="142"/>
      <c r="TUZ2018" s="142"/>
      <c r="TVA2018" s="142"/>
      <c r="TVB2018" s="142"/>
      <c r="TVC2018" s="142"/>
      <c r="TVD2018" s="142"/>
      <c r="TVE2018" s="142"/>
      <c r="TVF2018" s="142"/>
      <c r="TVG2018" s="142"/>
      <c r="TVH2018" s="142"/>
      <c r="TVI2018" s="142"/>
      <c r="TVJ2018" s="142"/>
      <c r="TVK2018" s="142"/>
      <c r="TVL2018" s="142"/>
      <c r="TVM2018" s="142"/>
      <c r="TVN2018" s="142"/>
      <c r="TVO2018" s="142"/>
      <c r="TVP2018" s="142"/>
      <c r="TVQ2018" s="142"/>
      <c r="TVR2018" s="142"/>
      <c r="TVS2018" s="142"/>
      <c r="TVT2018" s="142"/>
      <c r="TVU2018" s="142"/>
      <c r="TVV2018" s="142"/>
      <c r="TVW2018" s="142"/>
      <c r="TVX2018" s="142"/>
      <c r="TVY2018" s="142"/>
      <c r="TVZ2018" s="142"/>
      <c r="TWA2018" s="142"/>
      <c r="TWB2018" s="142"/>
      <c r="TWC2018" s="142"/>
      <c r="TWD2018" s="142"/>
      <c r="TWE2018" s="142"/>
      <c r="TWF2018" s="142"/>
      <c r="TWG2018" s="142"/>
      <c r="TWH2018" s="142"/>
      <c r="TWI2018" s="142"/>
      <c r="TWJ2018" s="142"/>
      <c r="TWK2018" s="142"/>
      <c r="TWL2018" s="142"/>
      <c r="TWM2018" s="142"/>
      <c r="TWN2018" s="142"/>
      <c r="TWO2018" s="142"/>
      <c r="TWP2018" s="142"/>
      <c r="TWQ2018" s="142"/>
      <c r="TWR2018" s="142"/>
      <c r="TWS2018" s="142"/>
      <c r="TWT2018" s="142"/>
      <c r="TWU2018" s="142"/>
      <c r="TWV2018" s="142"/>
      <c r="TWW2018" s="142"/>
      <c r="TWX2018" s="142"/>
      <c r="TWY2018" s="142"/>
      <c r="TWZ2018" s="142"/>
      <c r="TXA2018" s="142"/>
      <c r="TXB2018" s="142"/>
      <c r="TXC2018" s="142"/>
      <c r="TXD2018" s="142"/>
      <c r="TXE2018" s="142"/>
      <c r="TXF2018" s="142"/>
      <c r="TXG2018" s="142"/>
      <c r="TXH2018" s="142"/>
      <c r="TXI2018" s="142"/>
      <c r="TXJ2018" s="142"/>
      <c r="TXK2018" s="142"/>
      <c r="TXL2018" s="142"/>
      <c r="TXM2018" s="142"/>
      <c r="TXN2018" s="142"/>
      <c r="TXO2018" s="142"/>
      <c r="TXP2018" s="142"/>
      <c r="TXQ2018" s="142"/>
      <c r="TXR2018" s="142"/>
      <c r="TXS2018" s="142"/>
      <c r="TXT2018" s="142"/>
      <c r="TXU2018" s="142"/>
      <c r="TXV2018" s="142"/>
      <c r="TXW2018" s="142"/>
      <c r="TXX2018" s="142"/>
      <c r="TXY2018" s="142"/>
      <c r="TXZ2018" s="142"/>
      <c r="TYA2018" s="142"/>
      <c r="TYB2018" s="142"/>
      <c r="TYC2018" s="142"/>
      <c r="TYD2018" s="142"/>
      <c r="TYE2018" s="142"/>
      <c r="TYF2018" s="142"/>
      <c r="TYG2018" s="142"/>
      <c r="TYH2018" s="142"/>
      <c r="TYI2018" s="142"/>
      <c r="TYJ2018" s="142"/>
      <c r="TYK2018" s="142"/>
      <c r="TYL2018" s="142"/>
      <c r="TYM2018" s="142"/>
      <c r="TYN2018" s="142"/>
      <c r="TYO2018" s="142"/>
      <c r="TYP2018" s="142"/>
      <c r="TYQ2018" s="142"/>
      <c r="TYR2018" s="142"/>
      <c r="TYS2018" s="142"/>
      <c r="TYT2018" s="142"/>
      <c r="TYU2018" s="142"/>
      <c r="TYV2018" s="142"/>
      <c r="TYW2018" s="142"/>
      <c r="TYX2018" s="142"/>
      <c r="TYY2018" s="142"/>
      <c r="TYZ2018" s="142"/>
      <c r="TZA2018" s="142"/>
      <c r="TZB2018" s="142"/>
      <c r="TZC2018" s="142"/>
      <c r="TZD2018" s="142"/>
      <c r="TZE2018" s="142"/>
      <c r="TZF2018" s="142"/>
      <c r="TZG2018" s="142"/>
      <c r="TZH2018" s="142"/>
      <c r="TZI2018" s="142"/>
      <c r="TZJ2018" s="142"/>
      <c r="TZK2018" s="142"/>
      <c r="TZL2018" s="142"/>
      <c r="TZM2018" s="142"/>
      <c r="TZN2018" s="142"/>
      <c r="TZO2018" s="142"/>
      <c r="TZP2018" s="142"/>
      <c r="TZQ2018" s="142"/>
      <c r="TZR2018" s="142"/>
      <c r="TZS2018" s="142"/>
      <c r="TZT2018" s="142"/>
      <c r="TZU2018" s="142"/>
      <c r="TZV2018" s="142"/>
      <c r="TZW2018" s="142"/>
      <c r="TZX2018" s="142"/>
      <c r="TZY2018" s="142"/>
      <c r="TZZ2018" s="142"/>
      <c r="UAA2018" s="142"/>
      <c r="UAB2018" s="142"/>
      <c r="UAC2018" s="142"/>
      <c r="UAD2018" s="142"/>
      <c r="UAE2018" s="142"/>
      <c r="UAF2018" s="142"/>
      <c r="UAG2018" s="142"/>
      <c r="UAH2018" s="142"/>
      <c r="UAI2018" s="142"/>
      <c r="UAJ2018" s="142"/>
      <c r="UAK2018" s="142"/>
      <c r="UAL2018" s="142"/>
      <c r="UAM2018" s="142"/>
      <c r="UAN2018" s="142"/>
      <c r="UAO2018" s="142"/>
      <c r="UAP2018" s="142"/>
      <c r="UAQ2018" s="142"/>
      <c r="UAR2018" s="142"/>
      <c r="UAS2018" s="142"/>
      <c r="UAT2018" s="142"/>
      <c r="UAU2018" s="142"/>
      <c r="UAV2018" s="142"/>
      <c r="UAW2018" s="142"/>
      <c r="UAX2018" s="142"/>
      <c r="UAY2018" s="142"/>
      <c r="UAZ2018" s="142"/>
      <c r="UBA2018" s="142"/>
      <c r="UBB2018" s="142"/>
      <c r="UBC2018" s="142"/>
      <c r="UBD2018" s="142"/>
      <c r="UBE2018" s="142"/>
      <c r="UBF2018" s="142"/>
      <c r="UBG2018" s="142"/>
      <c r="UBH2018" s="142"/>
      <c r="UBI2018" s="142"/>
      <c r="UBJ2018" s="142"/>
      <c r="UBK2018" s="142"/>
      <c r="UBL2018" s="142"/>
      <c r="UBM2018" s="142"/>
      <c r="UBN2018" s="142"/>
      <c r="UBO2018" s="142"/>
      <c r="UBP2018" s="142"/>
      <c r="UBQ2018" s="142"/>
      <c r="UBR2018" s="142"/>
      <c r="UBS2018" s="142"/>
      <c r="UBT2018" s="142"/>
      <c r="UBU2018" s="142"/>
      <c r="UBV2018" s="142"/>
      <c r="UBW2018" s="142"/>
      <c r="UBX2018" s="142"/>
      <c r="UBY2018" s="142"/>
      <c r="UBZ2018" s="142"/>
      <c r="UCA2018" s="142"/>
      <c r="UCB2018" s="142"/>
      <c r="UCC2018" s="142"/>
      <c r="UCD2018" s="142"/>
      <c r="UCE2018" s="142"/>
      <c r="UCF2018" s="142"/>
      <c r="UCG2018" s="142"/>
      <c r="UCH2018" s="142"/>
      <c r="UCI2018" s="142"/>
      <c r="UCJ2018" s="142"/>
      <c r="UCK2018" s="142"/>
      <c r="UCL2018" s="142"/>
      <c r="UCM2018" s="142"/>
      <c r="UCN2018" s="142"/>
      <c r="UCO2018" s="142"/>
      <c r="UCP2018" s="142"/>
      <c r="UCQ2018" s="142"/>
      <c r="UCR2018" s="142"/>
      <c r="UCS2018" s="142"/>
      <c r="UCT2018" s="142"/>
      <c r="UCU2018" s="142"/>
      <c r="UCV2018" s="142"/>
      <c r="UCW2018" s="142"/>
      <c r="UCX2018" s="142"/>
      <c r="UCY2018" s="142"/>
      <c r="UCZ2018" s="142"/>
      <c r="UDA2018" s="142"/>
      <c r="UDB2018" s="142"/>
      <c r="UDC2018" s="142"/>
      <c r="UDD2018" s="142"/>
      <c r="UDE2018" s="142"/>
      <c r="UDF2018" s="142"/>
      <c r="UDG2018" s="142"/>
      <c r="UDH2018" s="142"/>
      <c r="UDI2018" s="142"/>
      <c r="UDJ2018" s="142"/>
      <c r="UDK2018" s="142"/>
      <c r="UDL2018" s="142"/>
      <c r="UDM2018" s="142"/>
      <c r="UDN2018" s="142"/>
      <c r="UDO2018" s="142"/>
      <c r="UDP2018" s="142"/>
      <c r="UDQ2018" s="142"/>
      <c r="UDR2018" s="142"/>
      <c r="UDS2018" s="142"/>
      <c r="UDT2018" s="142"/>
      <c r="UDU2018" s="142"/>
      <c r="UDV2018" s="142"/>
      <c r="UDW2018" s="142"/>
      <c r="UDX2018" s="142"/>
      <c r="UDY2018" s="142"/>
      <c r="UDZ2018" s="142"/>
      <c r="UEA2018" s="142"/>
      <c r="UEB2018" s="142"/>
      <c r="UEC2018" s="142"/>
      <c r="UED2018" s="142"/>
      <c r="UEE2018" s="142"/>
      <c r="UEF2018" s="142"/>
      <c r="UEG2018" s="142"/>
      <c r="UEH2018" s="142"/>
      <c r="UEI2018" s="142"/>
      <c r="UEJ2018" s="142"/>
      <c r="UEK2018" s="142"/>
      <c r="UEL2018" s="142"/>
      <c r="UEM2018" s="142"/>
      <c r="UEN2018" s="142"/>
      <c r="UEO2018" s="142"/>
      <c r="UEP2018" s="142"/>
      <c r="UEQ2018" s="142"/>
      <c r="UER2018" s="142"/>
      <c r="UES2018" s="142"/>
      <c r="UET2018" s="142"/>
      <c r="UEU2018" s="142"/>
      <c r="UEV2018" s="142"/>
      <c r="UEW2018" s="142"/>
      <c r="UEX2018" s="142"/>
      <c r="UEY2018" s="142"/>
      <c r="UEZ2018" s="142"/>
      <c r="UFA2018" s="142"/>
      <c r="UFB2018" s="142"/>
      <c r="UFC2018" s="142"/>
      <c r="UFD2018" s="142"/>
      <c r="UFE2018" s="142"/>
      <c r="UFF2018" s="142"/>
      <c r="UFG2018" s="142"/>
      <c r="UFH2018" s="142"/>
      <c r="UFI2018" s="142"/>
      <c r="UFJ2018" s="142"/>
      <c r="UFK2018" s="142"/>
      <c r="UFL2018" s="142"/>
      <c r="UFM2018" s="142"/>
      <c r="UFN2018" s="142"/>
      <c r="UFO2018" s="142"/>
      <c r="UFP2018" s="142"/>
      <c r="UFQ2018" s="142"/>
      <c r="UFR2018" s="142"/>
      <c r="UFS2018" s="142"/>
      <c r="UFT2018" s="142"/>
      <c r="UFU2018" s="142"/>
      <c r="UFV2018" s="142"/>
      <c r="UFW2018" s="142"/>
      <c r="UFX2018" s="142"/>
      <c r="UFY2018" s="142"/>
      <c r="UFZ2018" s="142"/>
      <c r="UGA2018" s="142"/>
      <c r="UGB2018" s="142"/>
      <c r="UGC2018" s="142"/>
      <c r="UGD2018" s="142"/>
      <c r="UGE2018" s="142"/>
      <c r="UGF2018" s="142"/>
      <c r="UGG2018" s="142"/>
      <c r="UGH2018" s="142"/>
      <c r="UGI2018" s="142"/>
      <c r="UGJ2018" s="142"/>
      <c r="UGK2018" s="142"/>
      <c r="UGL2018" s="142"/>
      <c r="UGM2018" s="142"/>
      <c r="UGN2018" s="142"/>
      <c r="UGO2018" s="142"/>
      <c r="UGP2018" s="142"/>
      <c r="UGQ2018" s="142"/>
      <c r="UGR2018" s="142"/>
      <c r="UGS2018" s="142"/>
      <c r="UGT2018" s="142"/>
      <c r="UGU2018" s="142"/>
      <c r="UGV2018" s="142"/>
      <c r="UGW2018" s="142"/>
      <c r="UGX2018" s="142"/>
      <c r="UGY2018" s="142"/>
      <c r="UGZ2018" s="142"/>
      <c r="UHA2018" s="142"/>
      <c r="UHB2018" s="142"/>
      <c r="UHC2018" s="142"/>
      <c r="UHD2018" s="142"/>
      <c r="UHE2018" s="142"/>
      <c r="UHF2018" s="142"/>
      <c r="UHG2018" s="142"/>
      <c r="UHH2018" s="142"/>
      <c r="UHI2018" s="142"/>
      <c r="UHJ2018" s="142"/>
      <c r="UHK2018" s="142"/>
      <c r="UHL2018" s="142"/>
      <c r="UHM2018" s="142"/>
      <c r="UHN2018" s="142"/>
      <c r="UHO2018" s="142"/>
      <c r="UHP2018" s="142"/>
      <c r="UHQ2018" s="142"/>
      <c r="UHR2018" s="142"/>
      <c r="UHS2018" s="142"/>
      <c r="UHT2018" s="142"/>
      <c r="UHU2018" s="142"/>
      <c r="UHV2018" s="142"/>
      <c r="UHW2018" s="142"/>
      <c r="UHX2018" s="142"/>
      <c r="UHY2018" s="142"/>
      <c r="UHZ2018" s="142"/>
      <c r="UIA2018" s="142"/>
      <c r="UIB2018" s="142"/>
      <c r="UIC2018" s="142"/>
      <c r="UID2018" s="142"/>
      <c r="UIE2018" s="142"/>
      <c r="UIF2018" s="142"/>
      <c r="UIG2018" s="142"/>
      <c r="UIH2018" s="142"/>
      <c r="UII2018" s="142"/>
      <c r="UIJ2018" s="142"/>
      <c r="UIK2018" s="142"/>
      <c r="UIL2018" s="142"/>
      <c r="UIM2018" s="142"/>
      <c r="UIN2018" s="142"/>
      <c r="UIO2018" s="142"/>
      <c r="UIP2018" s="142"/>
      <c r="UIQ2018" s="142"/>
      <c r="UIR2018" s="142"/>
      <c r="UIS2018" s="142"/>
      <c r="UIT2018" s="142"/>
      <c r="UIU2018" s="142"/>
      <c r="UIV2018" s="142"/>
      <c r="UIW2018" s="142"/>
      <c r="UIX2018" s="142"/>
      <c r="UIY2018" s="142"/>
      <c r="UIZ2018" s="142"/>
      <c r="UJA2018" s="142"/>
      <c r="UJB2018" s="142"/>
      <c r="UJC2018" s="142"/>
      <c r="UJD2018" s="142"/>
      <c r="UJE2018" s="142"/>
      <c r="UJF2018" s="142"/>
      <c r="UJG2018" s="142"/>
      <c r="UJH2018" s="142"/>
      <c r="UJI2018" s="142"/>
      <c r="UJJ2018" s="142"/>
      <c r="UJK2018" s="142"/>
      <c r="UJL2018" s="142"/>
      <c r="UJM2018" s="142"/>
      <c r="UJN2018" s="142"/>
      <c r="UJO2018" s="142"/>
      <c r="UJP2018" s="142"/>
      <c r="UJQ2018" s="142"/>
      <c r="UJR2018" s="142"/>
      <c r="UJS2018" s="142"/>
      <c r="UJT2018" s="142"/>
      <c r="UJU2018" s="142"/>
      <c r="UJV2018" s="142"/>
      <c r="UJW2018" s="142"/>
      <c r="UJX2018" s="142"/>
      <c r="UJY2018" s="142"/>
      <c r="UJZ2018" s="142"/>
      <c r="UKA2018" s="142"/>
      <c r="UKB2018" s="142"/>
      <c r="UKC2018" s="142"/>
      <c r="UKD2018" s="142"/>
      <c r="UKE2018" s="142"/>
      <c r="UKF2018" s="142"/>
      <c r="UKG2018" s="142"/>
      <c r="UKH2018" s="142"/>
      <c r="UKI2018" s="142"/>
      <c r="UKJ2018" s="142"/>
      <c r="UKK2018" s="142"/>
      <c r="UKL2018" s="142"/>
      <c r="UKM2018" s="142"/>
      <c r="UKN2018" s="142"/>
      <c r="UKO2018" s="142"/>
      <c r="UKP2018" s="142"/>
      <c r="UKQ2018" s="142"/>
      <c r="UKR2018" s="142"/>
      <c r="UKS2018" s="142"/>
      <c r="UKT2018" s="142"/>
      <c r="UKU2018" s="142"/>
      <c r="UKV2018" s="142"/>
      <c r="UKW2018" s="142"/>
      <c r="UKX2018" s="142"/>
      <c r="UKY2018" s="142"/>
      <c r="UKZ2018" s="142"/>
      <c r="ULA2018" s="142"/>
      <c r="ULB2018" s="142"/>
      <c r="ULC2018" s="142"/>
      <c r="ULD2018" s="142"/>
      <c r="ULE2018" s="142"/>
      <c r="ULF2018" s="142"/>
      <c r="ULG2018" s="142"/>
      <c r="ULH2018" s="142"/>
      <c r="ULI2018" s="142"/>
      <c r="ULJ2018" s="142"/>
      <c r="ULK2018" s="142"/>
      <c r="ULL2018" s="142"/>
      <c r="ULM2018" s="142"/>
      <c r="ULN2018" s="142"/>
      <c r="ULO2018" s="142"/>
      <c r="ULP2018" s="142"/>
      <c r="ULQ2018" s="142"/>
      <c r="ULR2018" s="142"/>
      <c r="ULS2018" s="142"/>
      <c r="ULT2018" s="142"/>
      <c r="ULU2018" s="142"/>
      <c r="ULV2018" s="142"/>
      <c r="ULW2018" s="142"/>
      <c r="ULX2018" s="142"/>
      <c r="ULY2018" s="142"/>
      <c r="ULZ2018" s="142"/>
      <c r="UMA2018" s="142"/>
      <c r="UMB2018" s="142"/>
      <c r="UMC2018" s="142"/>
      <c r="UMD2018" s="142"/>
      <c r="UME2018" s="142"/>
      <c r="UMF2018" s="142"/>
      <c r="UMG2018" s="142"/>
      <c r="UMH2018" s="142"/>
      <c r="UMI2018" s="142"/>
      <c r="UMJ2018" s="142"/>
      <c r="UMK2018" s="142"/>
      <c r="UML2018" s="142"/>
      <c r="UMM2018" s="142"/>
      <c r="UMN2018" s="142"/>
      <c r="UMO2018" s="142"/>
      <c r="UMP2018" s="142"/>
      <c r="UMQ2018" s="142"/>
      <c r="UMR2018" s="142"/>
      <c r="UMS2018" s="142"/>
      <c r="UMT2018" s="142"/>
      <c r="UMU2018" s="142"/>
      <c r="UMV2018" s="142"/>
      <c r="UMW2018" s="142"/>
      <c r="UMX2018" s="142"/>
      <c r="UMY2018" s="142"/>
      <c r="UMZ2018" s="142"/>
      <c r="UNA2018" s="142"/>
      <c r="UNB2018" s="142"/>
      <c r="UNC2018" s="142"/>
      <c r="UND2018" s="142"/>
      <c r="UNE2018" s="142"/>
      <c r="UNF2018" s="142"/>
      <c r="UNG2018" s="142"/>
      <c r="UNH2018" s="142"/>
      <c r="UNI2018" s="142"/>
      <c r="UNJ2018" s="142"/>
      <c r="UNK2018" s="142"/>
      <c r="UNL2018" s="142"/>
      <c r="UNM2018" s="142"/>
      <c r="UNN2018" s="142"/>
      <c r="UNO2018" s="142"/>
      <c r="UNP2018" s="142"/>
      <c r="UNQ2018" s="142"/>
      <c r="UNR2018" s="142"/>
      <c r="UNS2018" s="142"/>
      <c r="UNT2018" s="142"/>
      <c r="UNU2018" s="142"/>
      <c r="UNV2018" s="142"/>
      <c r="UNW2018" s="142"/>
      <c r="UNX2018" s="142"/>
      <c r="UNY2018" s="142"/>
      <c r="UNZ2018" s="142"/>
      <c r="UOA2018" s="142"/>
      <c r="UOB2018" s="142"/>
      <c r="UOC2018" s="142"/>
      <c r="UOD2018" s="142"/>
      <c r="UOE2018" s="142"/>
      <c r="UOF2018" s="142"/>
      <c r="UOG2018" s="142"/>
      <c r="UOH2018" s="142"/>
      <c r="UOI2018" s="142"/>
      <c r="UOJ2018" s="142"/>
      <c r="UOK2018" s="142"/>
      <c r="UOL2018" s="142"/>
      <c r="UOM2018" s="142"/>
      <c r="UON2018" s="142"/>
      <c r="UOO2018" s="142"/>
      <c r="UOP2018" s="142"/>
      <c r="UOQ2018" s="142"/>
      <c r="UOR2018" s="142"/>
      <c r="UOS2018" s="142"/>
      <c r="UOT2018" s="142"/>
      <c r="UOU2018" s="142"/>
      <c r="UOV2018" s="142"/>
      <c r="UOW2018" s="142"/>
      <c r="UOX2018" s="142"/>
      <c r="UOY2018" s="142"/>
      <c r="UOZ2018" s="142"/>
      <c r="UPA2018" s="142"/>
      <c r="UPB2018" s="142"/>
      <c r="UPC2018" s="142"/>
      <c r="UPD2018" s="142"/>
      <c r="UPE2018" s="142"/>
      <c r="UPF2018" s="142"/>
      <c r="UPG2018" s="142"/>
      <c r="UPH2018" s="142"/>
      <c r="UPI2018" s="142"/>
      <c r="UPJ2018" s="142"/>
      <c r="UPK2018" s="142"/>
      <c r="UPL2018" s="142"/>
      <c r="UPM2018" s="142"/>
      <c r="UPN2018" s="142"/>
      <c r="UPO2018" s="142"/>
      <c r="UPP2018" s="142"/>
      <c r="UPQ2018" s="142"/>
      <c r="UPR2018" s="142"/>
      <c r="UPS2018" s="142"/>
      <c r="UPT2018" s="142"/>
      <c r="UPU2018" s="142"/>
      <c r="UPV2018" s="142"/>
      <c r="UPW2018" s="142"/>
      <c r="UPX2018" s="142"/>
      <c r="UPY2018" s="142"/>
      <c r="UPZ2018" s="142"/>
      <c r="UQA2018" s="142"/>
      <c r="UQB2018" s="142"/>
      <c r="UQC2018" s="142"/>
      <c r="UQD2018" s="142"/>
      <c r="UQE2018" s="142"/>
      <c r="UQF2018" s="142"/>
      <c r="UQG2018" s="142"/>
      <c r="UQH2018" s="142"/>
      <c r="UQI2018" s="142"/>
      <c r="UQJ2018" s="142"/>
      <c r="UQK2018" s="142"/>
      <c r="UQL2018" s="142"/>
      <c r="UQM2018" s="142"/>
      <c r="UQN2018" s="142"/>
      <c r="UQO2018" s="142"/>
      <c r="UQP2018" s="142"/>
      <c r="UQQ2018" s="142"/>
      <c r="UQR2018" s="142"/>
      <c r="UQS2018" s="142"/>
      <c r="UQT2018" s="142"/>
      <c r="UQU2018" s="142"/>
      <c r="UQV2018" s="142"/>
      <c r="UQW2018" s="142"/>
      <c r="UQX2018" s="142"/>
      <c r="UQY2018" s="142"/>
      <c r="UQZ2018" s="142"/>
      <c r="URA2018" s="142"/>
      <c r="URB2018" s="142"/>
      <c r="URC2018" s="142"/>
      <c r="URD2018" s="142"/>
      <c r="URE2018" s="142"/>
      <c r="URF2018" s="142"/>
      <c r="URG2018" s="142"/>
      <c r="URH2018" s="142"/>
      <c r="URI2018" s="142"/>
      <c r="URJ2018" s="142"/>
      <c r="URK2018" s="142"/>
      <c r="URL2018" s="142"/>
      <c r="URM2018" s="142"/>
      <c r="URN2018" s="142"/>
      <c r="URO2018" s="142"/>
      <c r="URP2018" s="142"/>
      <c r="URQ2018" s="142"/>
      <c r="URR2018" s="142"/>
      <c r="URS2018" s="142"/>
      <c r="URT2018" s="142"/>
      <c r="URU2018" s="142"/>
      <c r="URV2018" s="142"/>
      <c r="URW2018" s="142"/>
      <c r="URX2018" s="142"/>
      <c r="URY2018" s="142"/>
      <c r="URZ2018" s="142"/>
      <c r="USA2018" s="142"/>
      <c r="USB2018" s="142"/>
      <c r="USC2018" s="142"/>
      <c r="USD2018" s="142"/>
      <c r="USE2018" s="142"/>
      <c r="USF2018" s="142"/>
      <c r="USG2018" s="142"/>
      <c r="USH2018" s="142"/>
      <c r="USI2018" s="142"/>
      <c r="USJ2018" s="142"/>
      <c r="USK2018" s="142"/>
      <c r="USL2018" s="142"/>
      <c r="USM2018" s="142"/>
      <c r="USN2018" s="142"/>
      <c r="USO2018" s="142"/>
      <c r="USP2018" s="142"/>
      <c r="USQ2018" s="142"/>
      <c r="USR2018" s="142"/>
      <c r="USS2018" s="142"/>
      <c r="UST2018" s="142"/>
      <c r="USU2018" s="142"/>
      <c r="USV2018" s="142"/>
      <c r="USW2018" s="142"/>
      <c r="USX2018" s="142"/>
      <c r="USY2018" s="142"/>
      <c r="USZ2018" s="142"/>
      <c r="UTA2018" s="142"/>
      <c r="UTB2018" s="142"/>
      <c r="UTC2018" s="142"/>
      <c r="UTD2018" s="142"/>
      <c r="UTE2018" s="142"/>
      <c r="UTF2018" s="142"/>
      <c r="UTG2018" s="142"/>
      <c r="UTH2018" s="142"/>
      <c r="UTI2018" s="142"/>
      <c r="UTJ2018" s="142"/>
      <c r="UTK2018" s="142"/>
      <c r="UTL2018" s="142"/>
      <c r="UTM2018" s="142"/>
      <c r="UTN2018" s="142"/>
      <c r="UTO2018" s="142"/>
      <c r="UTP2018" s="142"/>
      <c r="UTQ2018" s="142"/>
      <c r="UTR2018" s="142"/>
      <c r="UTS2018" s="142"/>
      <c r="UTT2018" s="142"/>
      <c r="UTU2018" s="142"/>
      <c r="UTV2018" s="142"/>
      <c r="UTW2018" s="142"/>
      <c r="UTX2018" s="142"/>
      <c r="UTY2018" s="142"/>
      <c r="UTZ2018" s="142"/>
      <c r="UUA2018" s="142"/>
      <c r="UUB2018" s="142"/>
      <c r="UUC2018" s="142"/>
      <c r="UUD2018" s="142"/>
      <c r="UUE2018" s="142"/>
      <c r="UUF2018" s="142"/>
      <c r="UUG2018" s="142"/>
      <c r="UUH2018" s="142"/>
      <c r="UUI2018" s="142"/>
      <c r="UUJ2018" s="142"/>
      <c r="UUK2018" s="142"/>
      <c r="UUL2018" s="142"/>
      <c r="UUM2018" s="142"/>
      <c r="UUN2018" s="142"/>
      <c r="UUO2018" s="142"/>
      <c r="UUP2018" s="142"/>
      <c r="UUQ2018" s="142"/>
      <c r="UUR2018" s="142"/>
      <c r="UUS2018" s="142"/>
      <c r="UUT2018" s="142"/>
      <c r="UUU2018" s="142"/>
      <c r="UUV2018" s="142"/>
      <c r="UUW2018" s="142"/>
      <c r="UUX2018" s="142"/>
      <c r="UUY2018" s="142"/>
      <c r="UUZ2018" s="142"/>
      <c r="UVA2018" s="142"/>
      <c r="UVB2018" s="142"/>
      <c r="UVC2018" s="142"/>
      <c r="UVD2018" s="142"/>
      <c r="UVE2018" s="142"/>
      <c r="UVF2018" s="142"/>
      <c r="UVG2018" s="142"/>
      <c r="UVH2018" s="142"/>
      <c r="UVI2018" s="142"/>
      <c r="UVJ2018" s="142"/>
      <c r="UVK2018" s="142"/>
      <c r="UVL2018" s="142"/>
      <c r="UVM2018" s="142"/>
      <c r="UVN2018" s="142"/>
      <c r="UVO2018" s="142"/>
      <c r="UVP2018" s="142"/>
      <c r="UVQ2018" s="142"/>
      <c r="UVR2018" s="142"/>
      <c r="UVS2018" s="142"/>
      <c r="UVT2018" s="142"/>
      <c r="UVU2018" s="142"/>
      <c r="UVV2018" s="142"/>
      <c r="UVW2018" s="142"/>
      <c r="UVX2018" s="142"/>
      <c r="UVY2018" s="142"/>
      <c r="UVZ2018" s="142"/>
      <c r="UWA2018" s="142"/>
      <c r="UWB2018" s="142"/>
      <c r="UWC2018" s="142"/>
      <c r="UWD2018" s="142"/>
      <c r="UWE2018" s="142"/>
      <c r="UWF2018" s="142"/>
      <c r="UWG2018" s="142"/>
      <c r="UWH2018" s="142"/>
      <c r="UWI2018" s="142"/>
      <c r="UWJ2018" s="142"/>
      <c r="UWK2018" s="142"/>
      <c r="UWL2018" s="142"/>
      <c r="UWM2018" s="142"/>
      <c r="UWN2018" s="142"/>
      <c r="UWO2018" s="142"/>
      <c r="UWP2018" s="142"/>
      <c r="UWQ2018" s="142"/>
      <c r="UWR2018" s="142"/>
      <c r="UWS2018" s="142"/>
      <c r="UWT2018" s="142"/>
      <c r="UWU2018" s="142"/>
      <c r="UWV2018" s="142"/>
      <c r="UWW2018" s="142"/>
      <c r="UWX2018" s="142"/>
      <c r="UWY2018" s="142"/>
      <c r="UWZ2018" s="142"/>
      <c r="UXA2018" s="142"/>
      <c r="UXB2018" s="142"/>
      <c r="UXC2018" s="142"/>
      <c r="UXD2018" s="142"/>
      <c r="UXE2018" s="142"/>
      <c r="UXF2018" s="142"/>
      <c r="UXG2018" s="142"/>
      <c r="UXH2018" s="142"/>
      <c r="UXI2018" s="142"/>
      <c r="UXJ2018" s="142"/>
      <c r="UXK2018" s="142"/>
      <c r="UXL2018" s="142"/>
      <c r="UXM2018" s="142"/>
      <c r="UXN2018" s="142"/>
      <c r="UXO2018" s="142"/>
      <c r="UXP2018" s="142"/>
      <c r="UXQ2018" s="142"/>
      <c r="UXR2018" s="142"/>
      <c r="UXS2018" s="142"/>
      <c r="UXT2018" s="142"/>
      <c r="UXU2018" s="142"/>
      <c r="UXV2018" s="142"/>
      <c r="UXW2018" s="142"/>
      <c r="UXX2018" s="142"/>
      <c r="UXY2018" s="142"/>
      <c r="UXZ2018" s="142"/>
      <c r="UYA2018" s="142"/>
      <c r="UYB2018" s="142"/>
      <c r="UYC2018" s="142"/>
      <c r="UYD2018" s="142"/>
      <c r="UYE2018" s="142"/>
      <c r="UYF2018" s="142"/>
      <c r="UYG2018" s="142"/>
      <c r="UYH2018" s="142"/>
      <c r="UYI2018" s="142"/>
      <c r="UYJ2018" s="142"/>
      <c r="UYK2018" s="142"/>
      <c r="UYL2018" s="142"/>
      <c r="UYM2018" s="142"/>
      <c r="UYN2018" s="142"/>
      <c r="UYO2018" s="142"/>
      <c r="UYP2018" s="142"/>
      <c r="UYQ2018" s="142"/>
      <c r="UYR2018" s="142"/>
      <c r="UYS2018" s="142"/>
      <c r="UYT2018" s="142"/>
      <c r="UYU2018" s="142"/>
      <c r="UYV2018" s="142"/>
      <c r="UYW2018" s="142"/>
      <c r="UYX2018" s="142"/>
      <c r="UYY2018" s="142"/>
      <c r="UYZ2018" s="142"/>
      <c r="UZA2018" s="142"/>
      <c r="UZB2018" s="142"/>
      <c r="UZC2018" s="142"/>
      <c r="UZD2018" s="142"/>
      <c r="UZE2018" s="142"/>
      <c r="UZF2018" s="142"/>
      <c r="UZG2018" s="142"/>
      <c r="UZH2018" s="142"/>
      <c r="UZI2018" s="142"/>
      <c r="UZJ2018" s="142"/>
      <c r="UZK2018" s="142"/>
      <c r="UZL2018" s="142"/>
      <c r="UZM2018" s="142"/>
      <c r="UZN2018" s="142"/>
      <c r="UZO2018" s="142"/>
      <c r="UZP2018" s="142"/>
      <c r="UZQ2018" s="142"/>
      <c r="UZR2018" s="142"/>
      <c r="UZS2018" s="142"/>
      <c r="UZT2018" s="142"/>
      <c r="UZU2018" s="142"/>
      <c r="UZV2018" s="142"/>
      <c r="UZW2018" s="142"/>
      <c r="UZX2018" s="142"/>
      <c r="UZY2018" s="142"/>
      <c r="UZZ2018" s="142"/>
      <c r="VAA2018" s="142"/>
      <c r="VAB2018" s="142"/>
      <c r="VAC2018" s="142"/>
      <c r="VAD2018" s="142"/>
      <c r="VAE2018" s="142"/>
      <c r="VAF2018" s="142"/>
      <c r="VAG2018" s="142"/>
      <c r="VAH2018" s="142"/>
      <c r="VAI2018" s="142"/>
      <c r="VAJ2018" s="142"/>
      <c r="VAK2018" s="142"/>
      <c r="VAL2018" s="142"/>
      <c r="VAM2018" s="142"/>
      <c r="VAN2018" s="142"/>
      <c r="VAO2018" s="142"/>
      <c r="VAP2018" s="142"/>
      <c r="VAQ2018" s="142"/>
      <c r="VAR2018" s="142"/>
      <c r="VAS2018" s="142"/>
      <c r="VAT2018" s="142"/>
      <c r="VAU2018" s="142"/>
      <c r="VAV2018" s="142"/>
      <c r="VAW2018" s="142"/>
      <c r="VAX2018" s="142"/>
      <c r="VAY2018" s="142"/>
      <c r="VAZ2018" s="142"/>
      <c r="VBA2018" s="142"/>
      <c r="VBB2018" s="142"/>
      <c r="VBC2018" s="142"/>
      <c r="VBD2018" s="142"/>
      <c r="VBE2018" s="142"/>
      <c r="VBF2018" s="142"/>
      <c r="VBG2018" s="142"/>
      <c r="VBH2018" s="142"/>
      <c r="VBI2018" s="142"/>
      <c r="VBJ2018" s="142"/>
      <c r="VBK2018" s="142"/>
      <c r="VBL2018" s="142"/>
      <c r="VBM2018" s="142"/>
      <c r="VBN2018" s="142"/>
      <c r="VBO2018" s="142"/>
      <c r="VBP2018" s="142"/>
      <c r="VBQ2018" s="142"/>
      <c r="VBR2018" s="142"/>
      <c r="VBS2018" s="142"/>
      <c r="VBT2018" s="142"/>
      <c r="VBU2018" s="142"/>
      <c r="VBV2018" s="142"/>
      <c r="VBW2018" s="142"/>
      <c r="VBX2018" s="142"/>
      <c r="VBY2018" s="142"/>
      <c r="VBZ2018" s="142"/>
      <c r="VCA2018" s="142"/>
      <c r="VCB2018" s="142"/>
      <c r="VCC2018" s="142"/>
      <c r="VCD2018" s="142"/>
      <c r="VCE2018" s="142"/>
      <c r="VCF2018" s="142"/>
      <c r="VCG2018" s="142"/>
      <c r="VCH2018" s="142"/>
      <c r="VCI2018" s="142"/>
      <c r="VCJ2018" s="142"/>
      <c r="VCK2018" s="142"/>
      <c r="VCL2018" s="142"/>
      <c r="VCM2018" s="142"/>
      <c r="VCN2018" s="142"/>
      <c r="VCO2018" s="142"/>
      <c r="VCP2018" s="142"/>
      <c r="VCQ2018" s="142"/>
      <c r="VCR2018" s="142"/>
      <c r="VCS2018" s="142"/>
      <c r="VCT2018" s="142"/>
      <c r="VCU2018" s="142"/>
      <c r="VCV2018" s="142"/>
      <c r="VCW2018" s="142"/>
      <c r="VCX2018" s="142"/>
      <c r="VCY2018" s="142"/>
      <c r="VCZ2018" s="142"/>
      <c r="VDA2018" s="142"/>
      <c r="VDB2018" s="142"/>
      <c r="VDC2018" s="142"/>
      <c r="VDD2018" s="142"/>
      <c r="VDE2018" s="142"/>
      <c r="VDF2018" s="142"/>
      <c r="VDG2018" s="142"/>
      <c r="VDH2018" s="142"/>
      <c r="VDI2018" s="142"/>
      <c r="VDJ2018" s="142"/>
      <c r="VDK2018" s="142"/>
      <c r="VDL2018" s="142"/>
      <c r="VDM2018" s="142"/>
      <c r="VDN2018" s="142"/>
      <c r="VDO2018" s="142"/>
      <c r="VDP2018" s="142"/>
      <c r="VDQ2018" s="142"/>
      <c r="VDR2018" s="142"/>
      <c r="VDS2018" s="142"/>
      <c r="VDT2018" s="142"/>
      <c r="VDU2018" s="142"/>
      <c r="VDV2018" s="142"/>
      <c r="VDW2018" s="142"/>
      <c r="VDX2018" s="142"/>
      <c r="VDY2018" s="142"/>
      <c r="VDZ2018" s="142"/>
      <c r="VEA2018" s="142"/>
      <c r="VEB2018" s="142"/>
      <c r="VEC2018" s="142"/>
      <c r="VED2018" s="142"/>
      <c r="VEE2018" s="142"/>
      <c r="VEF2018" s="142"/>
      <c r="VEG2018" s="142"/>
      <c r="VEH2018" s="142"/>
      <c r="VEI2018" s="142"/>
      <c r="VEJ2018" s="142"/>
      <c r="VEK2018" s="142"/>
      <c r="VEL2018" s="142"/>
      <c r="VEM2018" s="142"/>
      <c r="VEN2018" s="142"/>
      <c r="VEO2018" s="142"/>
      <c r="VEP2018" s="142"/>
      <c r="VEQ2018" s="142"/>
      <c r="VER2018" s="142"/>
      <c r="VES2018" s="142"/>
      <c r="VET2018" s="142"/>
      <c r="VEU2018" s="142"/>
      <c r="VEV2018" s="142"/>
      <c r="VEW2018" s="142"/>
      <c r="VEX2018" s="142"/>
      <c r="VEY2018" s="142"/>
      <c r="VEZ2018" s="142"/>
      <c r="VFA2018" s="142"/>
      <c r="VFB2018" s="142"/>
      <c r="VFC2018" s="142"/>
      <c r="VFD2018" s="142"/>
      <c r="VFE2018" s="142"/>
      <c r="VFF2018" s="142"/>
      <c r="VFG2018" s="142"/>
      <c r="VFH2018" s="142"/>
      <c r="VFI2018" s="142"/>
      <c r="VFJ2018" s="142"/>
      <c r="VFK2018" s="142"/>
      <c r="VFL2018" s="142"/>
      <c r="VFM2018" s="142"/>
      <c r="VFN2018" s="142"/>
      <c r="VFO2018" s="142"/>
      <c r="VFP2018" s="142"/>
      <c r="VFQ2018" s="142"/>
      <c r="VFR2018" s="142"/>
      <c r="VFS2018" s="142"/>
      <c r="VFT2018" s="142"/>
      <c r="VFU2018" s="142"/>
      <c r="VFV2018" s="142"/>
      <c r="VFW2018" s="142"/>
      <c r="VFX2018" s="142"/>
      <c r="VFY2018" s="142"/>
      <c r="VFZ2018" s="142"/>
      <c r="VGA2018" s="142"/>
      <c r="VGB2018" s="142"/>
      <c r="VGC2018" s="142"/>
      <c r="VGD2018" s="142"/>
      <c r="VGE2018" s="142"/>
      <c r="VGF2018" s="142"/>
      <c r="VGG2018" s="142"/>
      <c r="VGH2018" s="142"/>
      <c r="VGI2018" s="142"/>
      <c r="VGJ2018" s="142"/>
      <c r="VGK2018" s="142"/>
      <c r="VGL2018" s="142"/>
      <c r="VGM2018" s="142"/>
      <c r="VGN2018" s="142"/>
      <c r="VGO2018" s="142"/>
      <c r="VGP2018" s="142"/>
      <c r="VGQ2018" s="142"/>
      <c r="VGR2018" s="142"/>
      <c r="VGS2018" s="142"/>
      <c r="VGT2018" s="142"/>
      <c r="VGU2018" s="142"/>
      <c r="VGV2018" s="142"/>
      <c r="VGW2018" s="142"/>
      <c r="VGX2018" s="142"/>
      <c r="VGY2018" s="142"/>
      <c r="VGZ2018" s="142"/>
      <c r="VHA2018" s="142"/>
      <c r="VHB2018" s="142"/>
      <c r="VHC2018" s="142"/>
      <c r="VHD2018" s="142"/>
      <c r="VHE2018" s="142"/>
      <c r="VHF2018" s="142"/>
      <c r="VHG2018" s="142"/>
      <c r="VHH2018" s="142"/>
      <c r="VHI2018" s="142"/>
      <c r="VHJ2018" s="142"/>
      <c r="VHK2018" s="142"/>
      <c r="VHL2018" s="142"/>
      <c r="VHM2018" s="142"/>
      <c r="VHN2018" s="142"/>
      <c r="VHO2018" s="142"/>
      <c r="VHP2018" s="142"/>
      <c r="VHQ2018" s="142"/>
      <c r="VHR2018" s="142"/>
      <c r="VHS2018" s="142"/>
      <c r="VHT2018" s="142"/>
      <c r="VHU2018" s="142"/>
      <c r="VHV2018" s="142"/>
      <c r="VHW2018" s="142"/>
      <c r="VHX2018" s="142"/>
      <c r="VHY2018" s="142"/>
      <c r="VHZ2018" s="142"/>
      <c r="VIA2018" s="142"/>
      <c r="VIB2018" s="142"/>
      <c r="VIC2018" s="142"/>
      <c r="VID2018" s="142"/>
      <c r="VIE2018" s="142"/>
      <c r="VIF2018" s="142"/>
      <c r="VIG2018" s="142"/>
      <c r="VIH2018" s="142"/>
      <c r="VII2018" s="142"/>
      <c r="VIJ2018" s="142"/>
      <c r="VIK2018" s="142"/>
      <c r="VIL2018" s="142"/>
      <c r="VIM2018" s="142"/>
      <c r="VIN2018" s="142"/>
      <c r="VIO2018" s="142"/>
      <c r="VIP2018" s="142"/>
      <c r="VIQ2018" s="142"/>
      <c r="VIR2018" s="142"/>
      <c r="VIS2018" s="142"/>
      <c r="VIT2018" s="142"/>
      <c r="VIU2018" s="142"/>
      <c r="VIV2018" s="142"/>
      <c r="VIW2018" s="142"/>
      <c r="VIX2018" s="142"/>
      <c r="VIY2018" s="142"/>
      <c r="VIZ2018" s="142"/>
      <c r="VJA2018" s="142"/>
      <c r="VJB2018" s="142"/>
      <c r="VJC2018" s="142"/>
      <c r="VJD2018" s="142"/>
      <c r="VJE2018" s="142"/>
      <c r="VJF2018" s="142"/>
      <c r="VJG2018" s="142"/>
      <c r="VJH2018" s="142"/>
      <c r="VJI2018" s="142"/>
      <c r="VJJ2018" s="142"/>
      <c r="VJK2018" s="142"/>
      <c r="VJL2018" s="142"/>
      <c r="VJM2018" s="142"/>
      <c r="VJN2018" s="142"/>
      <c r="VJO2018" s="142"/>
      <c r="VJP2018" s="142"/>
      <c r="VJQ2018" s="142"/>
      <c r="VJR2018" s="142"/>
      <c r="VJS2018" s="142"/>
      <c r="VJT2018" s="142"/>
      <c r="VJU2018" s="142"/>
      <c r="VJV2018" s="142"/>
      <c r="VJW2018" s="142"/>
      <c r="VJX2018" s="142"/>
      <c r="VJY2018" s="142"/>
      <c r="VJZ2018" s="142"/>
      <c r="VKA2018" s="142"/>
      <c r="VKB2018" s="142"/>
      <c r="VKC2018" s="142"/>
      <c r="VKD2018" s="142"/>
      <c r="VKE2018" s="142"/>
      <c r="VKF2018" s="142"/>
      <c r="VKG2018" s="142"/>
      <c r="VKH2018" s="142"/>
      <c r="VKI2018" s="142"/>
      <c r="VKJ2018" s="142"/>
      <c r="VKK2018" s="142"/>
      <c r="VKL2018" s="142"/>
      <c r="VKM2018" s="142"/>
      <c r="VKN2018" s="142"/>
      <c r="VKO2018" s="142"/>
      <c r="VKP2018" s="142"/>
      <c r="VKQ2018" s="142"/>
      <c r="VKR2018" s="142"/>
      <c r="VKS2018" s="142"/>
      <c r="VKT2018" s="142"/>
      <c r="VKU2018" s="142"/>
      <c r="VKV2018" s="142"/>
      <c r="VKW2018" s="142"/>
      <c r="VKX2018" s="142"/>
      <c r="VKY2018" s="142"/>
      <c r="VKZ2018" s="142"/>
      <c r="VLA2018" s="142"/>
      <c r="VLB2018" s="142"/>
      <c r="VLC2018" s="142"/>
      <c r="VLD2018" s="142"/>
      <c r="VLE2018" s="142"/>
      <c r="VLF2018" s="142"/>
      <c r="VLG2018" s="142"/>
      <c r="VLH2018" s="142"/>
      <c r="VLI2018" s="142"/>
      <c r="VLJ2018" s="142"/>
      <c r="VLK2018" s="142"/>
      <c r="VLL2018" s="142"/>
      <c r="VLM2018" s="142"/>
      <c r="VLN2018" s="142"/>
      <c r="VLO2018" s="142"/>
      <c r="VLP2018" s="142"/>
      <c r="VLQ2018" s="142"/>
      <c r="VLR2018" s="142"/>
      <c r="VLS2018" s="142"/>
      <c r="VLT2018" s="142"/>
      <c r="VLU2018" s="142"/>
      <c r="VLV2018" s="142"/>
      <c r="VLW2018" s="142"/>
      <c r="VLX2018" s="142"/>
      <c r="VLY2018" s="142"/>
      <c r="VLZ2018" s="142"/>
      <c r="VMA2018" s="142"/>
      <c r="VMB2018" s="142"/>
      <c r="VMC2018" s="142"/>
      <c r="VMD2018" s="142"/>
      <c r="VME2018" s="142"/>
      <c r="VMF2018" s="142"/>
      <c r="VMG2018" s="142"/>
      <c r="VMH2018" s="142"/>
      <c r="VMI2018" s="142"/>
      <c r="VMJ2018" s="142"/>
      <c r="VMK2018" s="142"/>
      <c r="VML2018" s="142"/>
      <c r="VMM2018" s="142"/>
      <c r="VMN2018" s="142"/>
      <c r="VMO2018" s="142"/>
      <c r="VMP2018" s="142"/>
      <c r="VMQ2018" s="142"/>
      <c r="VMR2018" s="142"/>
      <c r="VMS2018" s="142"/>
      <c r="VMT2018" s="142"/>
      <c r="VMU2018" s="142"/>
      <c r="VMV2018" s="142"/>
      <c r="VMW2018" s="142"/>
      <c r="VMX2018" s="142"/>
      <c r="VMY2018" s="142"/>
      <c r="VMZ2018" s="142"/>
      <c r="VNA2018" s="142"/>
      <c r="VNB2018" s="142"/>
      <c r="VNC2018" s="142"/>
      <c r="VND2018" s="142"/>
      <c r="VNE2018" s="142"/>
      <c r="VNF2018" s="142"/>
      <c r="VNG2018" s="142"/>
      <c r="VNH2018" s="142"/>
      <c r="VNI2018" s="142"/>
      <c r="VNJ2018" s="142"/>
      <c r="VNK2018" s="142"/>
      <c r="VNL2018" s="142"/>
      <c r="VNM2018" s="142"/>
      <c r="VNN2018" s="142"/>
      <c r="VNO2018" s="142"/>
      <c r="VNP2018" s="142"/>
      <c r="VNQ2018" s="142"/>
      <c r="VNR2018" s="142"/>
      <c r="VNS2018" s="142"/>
      <c r="VNT2018" s="142"/>
      <c r="VNU2018" s="142"/>
      <c r="VNV2018" s="142"/>
      <c r="VNW2018" s="142"/>
      <c r="VNX2018" s="142"/>
      <c r="VNY2018" s="142"/>
      <c r="VNZ2018" s="142"/>
      <c r="VOA2018" s="142"/>
      <c r="VOB2018" s="142"/>
      <c r="VOC2018" s="142"/>
      <c r="VOD2018" s="142"/>
      <c r="VOE2018" s="142"/>
      <c r="VOF2018" s="142"/>
      <c r="VOG2018" s="142"/>
      <c r="VOH2018" s="142"/>
      <c r="VOI2018" s="142"/>
      <c r="VOJ2018" s="142"/>
      <c r="VOK2018" s="142"/>
      <c r="VOL2018" s="142"/>
      <c r="VOM2018" s="142"/>
      <c r="VON2018" s="142"/>
      <c r="VOO2018" s="142"/>
      <c r="VOP2018" s="142"/>
      <c r="VOQ2018" s="142"/>
      <c r="VOR2018" s="142"/>
      <c r="VOS2018" s="142"/>
      <c r="VOT2018" s="142"/>
      <c r="VOU2018" s="142"/>
      <c r="VOV2018" s="142"/>
      <c r="VOW2018" s="142"/>
      <c r="VOX2018" s="142"/>
      <c r="VOY2018" s="142"/>
      <c r="VOZ2018" s="142"/>
      <c r="VPA2018" s="142"/>
      <c r="VPB2018" s="142"/>
      <c r="VPC2018" s="142"/>
      <c r="VPD2018" s="142"/>
      <c r="VPE2018" s="142"/>
      <c r="VPF2018" s="142"/>
      <c r="VPG2018" s="142"/>
      <c r="VPH2018" s="142"/>
      <c r="VPI2018" s="142"/>
      <c r="VPJ2018" s="142"/>
      <c r="VPK2018" s="142"/>
      <c r="VPL2018" s="142"/>
      <c r="VPM2018" s="142"/>
      <c r="VPN2018" s="142"/>
      <c r="VPO2018" s="142"/>
      <c r="VPP2018" s="142"/>
      <c r="VPQ2018" s="142"/>
      <c r="VPR2018" s="142"/>
      <c r="VPS2018" s="142"/>
      <c r="VPT2018" s="142"/>
      <c r="VPU2018" s="142"/>
      <c r="VPV2018" s="142"/>
      <c r="VPW2018" s="142"/>
      <c r="VPX2018" s="142"/>
      <c r="VPY2018" s="142"/>
      <c r="VPZ2018" s="142"/>
      <c r="VQA2018" s="142"/>
      <c r="VQB2018" s="142"/>
      <c r="VQC2018" s="142"/>
      <c r="VQD2018" s="142"/>
      <c r="VQE2018" s="142"/>
      <c r="VQF2018" s="142"/>
      <c r="VQG2018" s="142"/>
      <c r="VQH2018" s="142"/>
      <c r="VQI2018" s="142"/>
      <c r="VQJ2018" s="142"/>
      <c r="VQK2018" s="142"/>
      <c r="VQL2018" s="142"/>
      <c r="VQM2018" s="142"/>
      <c r="VQN2018" s="142"/>
      <c r="VQO2018" s="142"/>
      <c r="VQP2018" s="142"/>
      <c r="VQQ2018" s="142"/>
      <c r="VQR2018" s="142"/>
      <c r="VQS2018" s="142"/>
      <c r="VQT2018" s="142"/>
      <c r="VQU2018" s="142"/>
      <c r="VQV2018" s="142"/>
      <c r="VQW2018" s="142"/>
      <c r="VQX2018" s="142"/>
      <c r="VQY2018" s="142"/>
      <c r="VQZ2018" s="142"/>
      <c r="VRA2018" s="142"/>
      <c r="VRB2018" s="142"/>
      <c r="VRC2018" s="142"/>
      <c r="VRD2018" s="142"/>
      <c r="VRE2018" s="142"/>
      <c r="VRF2018" s="142"/>
      <c r="VRG2018" s="142"/>
      <c r="VRH2018" s="142"/>
      <c r="VRI2018" s="142"/>
      <c r="VRJ2018" s="142"/>
      <c r="VRK2018" s="142"/>
      <c r="VRL2018" s="142"/>
      <c r="VRM2018" s="142"/>
      <c r="VRN2018" s="142"/>
      <c r="VRO2018" s="142"/>
      <c r="VRP2018" s="142"/>
      <c r="VRQ2018" s="142"/>
      <c r="VRR2018" s="142"/>
      <c r="VRS2018" s="142"/>
      <c r="VRT2018" s="142"/>
      <c r="VRU2018" s="142"/>
      <c r="VRV2018" s="142"/>
      <c r="VRW2018" s="142"/>
      <c r="VRX2018" s="142"/>
      <c r="VRY2018" s="142"/>
      <c r="VRZ2018" s="142"/>
      <c r="VSA2018" s="142"/>
      <c r="VSB2018" s="142"/>
      <c r="VSC2018" s="142"/>
      <c r="VSD2018" s="142"/>
      <c r="VSE2018" s="142"/>
      <c r="VSF2018" s="142"/>
      <c r="VSG2018" s="142"/>
      <c r="VSH2018" s="142"/>
      <c r="VSI2018" s="142"/>
      <c r="VSJ2018" s="142"/>
      <c r="VSK2018" s="142"/>
      <c r="VSL2018" s="142"/>
      <c r="VSM2018" s="142"/>
      <c r="VSN2018" s="142"/>
      <c r="VSO2018" s="142"/>
      <c r="VSP2018" s="142"/>
      <c r="VSQ2018" s="142"/>
      <c r="VSR2018" s="142"/>
      <c r="VSS2018" s="142"/>
      <c r="VST2018" s="142"/>
      <c r="VSU2018" s="142"/>
      <c r="VSV2018" s="142"/>
      <c r="VSW2018" s="142"/>
      <c r="VSX2018" s="142"/>
      <c r="VSY2018" s="142"/>
      <c r="VSZ2018" s="142"/>
      <c r="VTA2018" s="142"/>
      <c r="VTB2018" s="142"/>
      <c r="VTC2018" s="142"/>
      <c r="VTD2018" s="142"/>
      <c r="VTE2018" s="142"/>
      <c r="VTF2018" s="142"/>
      <c r="VTG2018" s="142"/>
      <c r="VTH2018" s="142"/>
      <c r="VTI2018" s="142"/>
      <c r="VTJ2018" s="142"/>
      <c r="VTK2018" s="142"/>
      <c r="VTL2018" s="142"/>
      <c r="VTM2018" s="142"/>
      <c r="VTN2018" s="142"/>
      <c r="VTO2018" s="142"/>
      <c r="VTP2018" s="142"/>
      <c r="VTQ2018" s="142"/>
      <c r="VTR2018" s="142"/>
      <c r="VTS2018" s="142"/>
      <c r="VTT2018" s="142"/>
      <c r="VTU2018" s="142"/>
      <c r="VTV2018" s="142"/>
      <c r="VTW2018" s="142"/>
      <c r="VTX2018" s="142"/>
      <c r="VTY2018" s="142"/>
      <c r="VTZ2018" s="142"/>
      <c r="VUA2018" s="142"/>
      <c r="VUB2018" s="142"/>
      <c r="VUC2018" s="142"/>
      <c r="VUD2018" s="142"/>
      <c r="VUE2018" s="142"/>
      <c r="VUF2018" s="142"/>
      <c r="VUG2018" s="142"/>
      <c r="VUH2018" s="142"/>
      <c r="VUI2018" s="142"/>
      <c r="VUJ2018" s="142"/>
      <c r="VUK2018" s="142"/>
      <c r="VUL2018" s="142"/>
      <c r="VUM2018" s="142"/>
      <c r="VUN2018" s="142"/>
      <c r="VUO2018" s="142"/>
      <c r="VUP2018" s="142"/>
      <c r="VUQ2018" s="142"/>
      <c r="VUR2018" s="142"/>
      <c r="VUS2018" s="142"/>
      <c r="VUT2018" s="142"/>
      <c r="VUU2018" s="142"/>
      <c r="VUV2018" s="142"/>
      <c r="VUW2018" s="142"/>
      <c r="VUX2018" s="142"/>
      <c r="VUY2018" s="142"/>
      <c r="VUZ2018" s="142"/>
      <c r="VVA2018" s="142"/>
      <c r="VVB2018" s="142"/>
      <c r="VVC2018" s="142"/>
      <c r="VVD2018" s="142"/>
      <c r="VVE2018" s="142"/>
      <c r="VVF2018" s="142"/>
      <c r="VVG2018" s="142"/>
      <c r="VVH2018" s="142"/>
      <c r="VVI2018" s="142"/>
      <c r="VVJ2018" s="142"/>
      <c r="VVK2018" s="142"/>
      <c r="VVL2018" s="142"/>
      <c r="VVM2018" s="142"/>
      <c r="VVN2018" s="142"/>
      <c r="VVO2018" s="142"/>
      <c r="VVP2018" s="142"/>
      <c r="VVQ2018" s="142"/>
      <c r="VVR2018" s="142"/>
      <c r="VVS2018" s="142"/>
      <c r="VVT2018" s="142"/>
      <c r="VVU2018" s="142"/>
      <c r="VVV2018" s="142"/>
      <c r="VVW2018" s="142"/>
      <c r="VVX2018" s="142"/>
      <c r="VVY2018" s="142"/>
      <c r="VVZ2018" s="142"/>
      <c r="VWA2018" s="142"/>
      <c r="VWB2018" s="142"/>
      <c r="VWC2018" s="142"/>
      <c r="VWD2018" s="142"/>
      <c r="VWE2018" s="142"/>
      <c r="VWF2018" s="142"/>
      <c r="VWG2018" s="142"/>
      <c r="VWH2018" s="142"/>
      <c r="VWI2018" s="142"/>
      <c r="VWJ2018" s="142"/>
      <c r="VWK2018" s="142"/>
      <c r="VWL2018" s="142"/>
      <c r="VWM2018" s="142"/>
      <c r="VWN2018" s="142"/>
      <c r="VWO2018" s="142"/>
      <c r="VWP2018" s="142"/>
      <c r="VWQ2018" s="142"/>
      <c r="VWR2018" s="142"/>
      <c r="VWS2018" s="142"/>
      <c r="VWT2018" s="142"/>
      <c r="VWU2018" s="142"/>
      <c r="VWV2018" s="142"/>
      <c r="VWW2018" s="142"/>
      <c r="VWX2018" s="142"/>
      <c r="VWY2018" s="142"/>
      <c r="VWZ2018" s="142"/>
      <c r="VXA2018" s="142"/>
      <c r="VXB2018" s="142"/>
      <c r="VXC2018" s="142"/>
      <c r="VXD2018" s="142"/>
      <c r="VXE2018" s="142"/>
      <c r="VXF2018" s="142"/>
      <c r="VXG2018" s="142"/>
      <c r="VXH2018" s="142"/>
      <c r="VXI2018" s="142"/>
      <c r="VXJ2018" s="142"/>
      <c r="VXK2018" s="142"/>
      <c r="VXL2018" s="142"/>
      <c r="VXM2018" s="142"/>
      <c r="VXN2018" s="142"/>
      <c r="VXO2018" s="142"/>
      <c r="VXP2018" s="142"/>
      <c r="VXQ2018" s="142"/>
      <c r="VXR2018" s="142"/>
      <c r="VXS2018" s="142"/>
      <c r="VXT2018" s="142"/>
      <c r="VXU2018" s="142"/>
      <c r="VXV2018" s="142"/>
      <c r="VXW2018" s="142"/>
      <c r="VXX2018" s="142"/>
      <c r="VXY2018" s="142"/>
      <c r="VXZ2018" s="142"/>
      <c r="VYA2018" s="142"/>
      <c r="VYB2018" s="142"/>
      <c r="VYC2018" s="142"/>
      <c r="VYD2018" s="142"/>
      <c r="VYE2018" s="142"/>
      <c r="VYF2018" s="142"/>
      <c r="VYG2018" s="142"/>
      <c r="VYH2018" s="142"/>
      <c r="VYI2018" s="142"/>
      <c r="VYJ2018" s="142"/>
      <c r="VYK2018" s="142"/>
      <c r="VYL2018" s="142"/>
      <c r="VYM2018" s="142"/>
      <c r="VYN2018" s="142"/>
      <c r="VYO2018" s="142"/>
      <c r="VYP2018" s="142"/>
      <c r="VYQ2018" s="142"/>
      <c r="VYR2018" s="142"/>
      <c r="VYS2018" s="142"/>
      <c r="VYT2018" s="142"/>
      <c r="VYU2018" s="142"/>
      <c r="VYV2018" s="142"/>
      <c r="VYW2018" s="142"/>
      <c r="VYX2018" s="142"/>
      <c r="VYY2018" s="142"/>
      <c r="VYZ2018" s="142"/>
      <c r="VZA2018" s="142"/>
      <c r="VZB2018" s="142"/>
      <c r="VZC2018" s="142"/>
      <c r="VZD2018" s="142"/>
      <c r="VZE2018" s="142"/>
      <c r="VZF2018" s="142"/>
      <c r="VZG2018" s="142"/>
      <c r="VZH2018" s="142"/>
      <c r="VZI2018" s="142"/>
      <c r="VZJ2018" s="142"/>
      <c r="VZK2018" s="142"/>
      <c r="VZL2018" s="142"/>
      <c r="VZM2018" s="142"/>
      <c r="VZN2018" s="142"/>
      <c r="VZO2018" s="142"/>
      <c r="VZP2018" s="142"/>
      <c r="VZQ2018" s="142"/>
      <c r="VZR2018" s="142"/>
      <c r="VZS2018" s="142"/>
      <c r="VZT2018" s="142"/>
      <c r="VZU2018" s="142"/>
      <c r="VZV2018" s="142"/>
      <c r="VZW2018" s="142"/>
      <c r="VZX2018" s="142"/>
      <c r="VZY2018" s="142"/>
      <c r="VZZ2018" s="142"/>
      <c r="WAA2018" s="142"/>
      <c r="WAB2018" s="142"/>
      <c r="WAC2018" s="142"/>
      <c r="WAD2018" s="142"/>
      <c r="WAE2018" s="142"/>
      <c r="WAF2018" s="142"/>
      <c r="WAG2018" s="142"/>
      <c r="WAH2018" s="142"/>
      <c r="WAI2018" s="142"/>
      <c r="WAJ2018" s="142"/>
      <c r="WAK2018" s="142"/>
      <c r="WAL2018" s="142"/>
      <c r="WAM2018" s="142"/>
      <c r="WAN2018" s="142"/>
      <c r="WAO2018" s="142"/>
      <c r="WAP2018" s="142"/>
      <c r="WAQ2018" s="142"/>
      <c r="WAR2018" s="142"/>
      <c r="WAS2018" s="142"/>
      <c r="WAT2018" s="142"/>
      <c r="WAU2018" s="142"/>
      <c r="WAV2018" s="142"/>
      <c r="WAW2018" s="142"/>
      <c r="WAX2018" s="142"/>
      <c r="WAY2018" s="142"/>
      <c r="WAZ2018" s="142"/>
      <c r="WBA2018" s="142"/>
      <c r="WBB2018" s="142"/>
      <c r="WBC2018" s="142"/>
      <c r="WBD2018" s="142"/>
      <c r="WBE2018" s="142"/>
      <c r="WBF2018" s="142"/>
      <c r="WBG2018" s="142"/>
      <c r="WBH2018" s="142"/>
      <c r="WBI2018" s="142"/>
      <c r="WBJ2018" s="142"/>
      <c r="WBK2018" s="142"/>
      <c r="WBL2018" s="142"/>
      <c r="WBM2018" s="142"/>
      <c r="WBN2018" s="142"/>
      <c r="WBO2018" s="142"/>
      <c r="WBP2018" s="142"/>
      <c r="WBQ2018" s="142"/>
      <c r="WBR2018" s="142"/>
      <c r="WBS2018" s="142"/>
      <c r="WBT2018" s="142"/>
      <c r="WBU2018" s="142"/>
      <c r="WBV2018" s="142"/>
      <c r="WBW2018" s="142"/>
      <c r="WBX2018" s="142"/>
      <c r="WBY2018" s="142"/>
      <c r="WBZ2018" s="142"/>
      <c r="WCA2018" s="142"/>
      <c r="WCB2018" s="142"/>
      <c r="WCC2018" s="142"/>
      <c r="WCD2018" s="142"/>
      <c r="WCE2018" s="142"/>
      <c r="WCF2018" s="142"/>
      <c r="WCG2018" s="142"/>
      <c r="WCH2018" s="142"/>
      <c r="WCI2018" s="142"/>
      <c r="WCJ2018" s="142"/>
      <c r="WCK2018" s="142"/>
      <c r="WCL2018" s="142"/>
      <c r="WCM2018" s="142"/>
      <c r="WCN2018" s="142"/>
      <c r="WCO2018" s="142"/>
      <c r="WCP2018" s="142"/>
      <c r="WCQ2018" s="142"/>
      <c r="WCR2018" s="142"/>
      <c r="WCS2018" s="142"/>
      <c r="WCT2018" s="142"/>
      <c r="WCU2018" s="142"/>
      <c r="WCV2018" s="142"/>
      <c r="WCW2018" s="142"/>
      <c r="WCX2018" s="142"/>
      <c r="WCY2018" s="142"/>
      <c r="WCZ2018" s="142"/>
      <c r="WDA2018" s="142"/>
      <c r="WDB2018" s="142"/>
      <c r="WDC2018" s="142"/>
      <c r="WDD2018" s="142"/>
      <c r="WDE2018" s="142"/>
      <c r="WDF2018" s="142"/>
      <c r="WDG2018" s="142"/>
      <c r="WDH2018" s="142"/>
      <c r="WDI2018" s="142"/>
      <c r="WDJ2018" s="142"/>
      <c r="WDK2018" s="142"/>
      <c r="WDL2018" s="142"/>
      <c r="WDM2018" s="142"/>
      <c r="WDN2018" s="142"/>
      <c r="WDO2018" s="142"/>
      <c r="WDP2018" s="142"/>
      <c r="WDQ2018" s="142"/>
      <c r="WDR2018" s="142"/>
      <c r="WDS2018" s="142"/>
      <c r="WDT2018" s="142"/>
      <c r="WDU2018" s="142"/>
      <c r="WDV2018" s="142"/>
      <c r="WDW2018" s="142"/>
      <c r="WDX2018" s="142"/>
      <c r="WDY2018" s="142"/>
      <c r="WDZ2018" s="142"/>
      <c r="WEA2018" s="142"/>
      <c r="WEB2018" s="142"/>
      <c r="WEC2018" s="142"/>
      <c r="WED2018" s="142"/>
      <c r="WEE2018" s="142"/>
      <c r="WEF2018" s="142"/>
      <c r="WEG2018" s="142"/>
      <c r="WEH2018" s="142"/>
      <c r="WEI2018" s="142"/>
      <c r="WEJ2018" s="142"/>
      <c r="WEK2018" s="142"/>
      <c r="WEL2018" s="142"/>
      <c r="WEM2018" s="142"/>
      <c r="WEN2018" s="142"/>
      <c r="WEO2018" s="142"/>
      <c r="WEP2018" s="142"/>
      <c r="WEQ2018" s="142"/>
      <c r="WER2018" s="142"/>
      <c r="WES2018" s="142"/>
      <c r="WET2018" s="142"/>
      <c r="WEU2018" s="142"/>
      <c r="WEV2018" s="142"/>
      <c r="WEW2018" s="142"/>
      <c r="WEX2018" s="142"/>
      <c r="WEY2018" s="142"/>
      <c r="WEZ2018" s="142"/>
      <c r="WFA2018" s="142"/>
      <c r="WFB2018" s="142"/>
      <c r="WFC2018" s="142"/>
      <c r="WFD2018" s="142"/>
      <c r="WFE2018" s="142"/>
      <c r="WFF2018" s="142"/>
      <c r="WFG2018" s="142"/>
      <c r="WFH2018" s="142"/>
      <c r="WFI2018" s="142"/>
      <c r="WFJ2018" s="142"/>
      <c r="WFK2018" s="142"/>
      <c r="WFL2018" s="142"/>
      <c r="WFM2018" s="142"/>
      <c r="WFN2018" s="142"/>
      <c r="WFO2018" s="142"/>
      <c r="WFP2018" s="142"/>
      <c r="WFQ2018" s="142"/>
      <c r="WFR2018" s="142"/>
      <c r="WFS2018" s="142"/>
      <c r="WFT2018" s="142"/>
      <c r="WFU2018" s="142"/>
      <c r="WFV2018" s="142"/>
      <c r="WFW2018" s="142"/>
      <c r="WFX2018" s="142"/>
      <c r="WFY2018" s="142"/>
      <c r="WFZ2018" s="142"/>
      <c r="WGA2018" s="142"/>
      <c r="WGB2018" s="142"/>
      <c r="WGC2018" s="142"/>
      <c r="WGD2018" s="142"/>
      <c r="WGE2018" s="142"/>
      <c r="WGF2018" s="142"/>
      <c r="WGG2018" s="142"/>
      <c r="WGH2018" s="142"/>
      <c r="WGI2018" s="142"/>
      <c r="WGJ2018" s="142"/>
      <c r="WGK2018" s="142"/>
      <c r="WGL2018" s="142"/>
      <c r="WGM2018" s="142"/>
      <c r="WGN2018" s="142"/>
      <c r="WGO2018" s="142"/>
      <c r="WGP2018" s="142"/>
      <c r="WGQ2018" s="142"/>
      <c r="WGR2018" s="142"/>
      <c r="WGS2018" s="142"/>
      <c r="WGT2018" s="142"/>
      <c r="WGU2018" s="142"/>
      <c r="WGV2018" s="142"/>
      <c r="WGW2018" s="142"/>
      <c r="WGX2018" s="142"/>
      <c r="WGY2018" s="142"/>
      <c r="WGZ2018" s="142"/>
      <c r="WHA2018" s="142"/>
      <c r="WHB2018" s="142"/>
      <c r="WHC2018" s="142"/>
      <c r="WHD2018" s="142"/>
      <c r="WHE2018" s="142"/>
      <c r="WHF2018" s="142"/>
      <c r="WHG2018" s="142"/>
      <c r="WHH2018" s="142"/>
      <c r="WHI2018" s="142"/>
      <c r="WHJ2018" s="142"/>
      <c r="WHK2018" s="142"/>
      <c r="WHL2018" s="142"/>
      <c r="WHM2018" s="142"/>
      <c r="WHN2018" s="142"/>
      <c r="WHO2018" s="142"/>
      <c r="WHP2018" s="142"/>
      <c r="WHQ2018" s="142"/>
      <c r="WHR2018" s="142"/>
      <c r="WHS2018" s="142"/>
      <c r="WHT2018" s="142"/>
      <c r="WHU2018" s="142"/>
      <c r="WHV2018" s="142"/>
      <c r="WHW2018" s="142"/>
      <c r="WHX2018" s="142"/>
      <c r="WHY2018" s="142"/>
      <c r="WHZ2018" s="142"/>
      <c r="WIA2018" s="142"/>
      <c r="WIB2018" s="142"/>
      <c r="WIC2018" s="142"/>
      <c r="WID2018" s="142"/>
      <c r="WIE2018" s="142"/>
      <c r="WIF2018" s="142"/>
      <c r="WIG2018" s="142"/>
      <c r="WIH2018" s="142"/>
      <c r="WII2018" s="142"/>
      <c r="WIJ2018" s="142"/>
      <c r="WIK2018" s="142"/>
      <c r="WIL2018" s="142"/>
      <c r="WIM2018" s="142"/>
      <c r="WIN2018" s="142"/>
      <c r="WIO2018" s="142"/>
      <c r="WIP2018" s="142"/>
      <c r="WIQ2018" s="142"/>
      <c r="WIR2018" s="142"/>
      <c r="WIS2018" s="142"/>
      <c r="WIT2018" s="142"/>
      <c r="WIU2018" s="142"/>
      <c r="WIV2018" s="142"/>
      <c r="WIW2018" s="142"/>
      <c r="WIX2018" s="142"/>
      <c r="WIY2018" s="142"/>
      <c r="WIZ2018" s="142"/>
      <c r="WJA2018" s="142"/>
      <c r="WJB2018" s="142"/>
      <c r="WJC2018" s="142"/>
      <c r="WJD2018" s="142"/>
      <c r="WJE2018" s="142"/>
      <c r="WJF2018" s="142"/>
      <c r="WJG2018" s="142"/>
      <c r="WJH2018" s="142"/>
      <c r="WJI2018" s="142"/>
      <c r="WJJ2018" s="142"/>
      <c r="WJK2018" s="142"/>
      <c r="WJL2018" s="142"/>
      <c r="WJM2018" s="142"/>
      <c r="WJN2018" s="142"/>
      <c r="WJO2018" s="142"/>
      <c r="WJP2018" s="142"/>
      <c r="WJQ2018" s="142"/>
      <c r="WJR2018" s="142"/>
      <c r="WJS2018" s="142"/>
      <c r="WJT2018" s="142"/>
      <c r="WJU2018" s="142"/>
      <c r="WJV2018" s="142"/>
      <c r="WJW2018" s="142"/>
      <c r="WJX2018" s="142"/>
      <c r="WJY2018" s="142"/>
      <c r="WJZ2018" s="142"/>
      <c r="WKA2018" s="142"/>
      <c r="WKB2018" s="142"/>
      <c r="WKC2018" s="142"/>
      <c r="WKD2018" s="142"/>
      <c r="WKE2018" s="142"/>
      <c r="WKF2018" s="142"/>
      <c r="WKG2018" s="142"/>
      <c r="WKH2018" s="142"/>
      <c r="WKI2018" s="142"/>
      <c r="WKJ2018" s="142"/>
      <c r="WKK2018" s="142"/>
      <c r="WKL2018" s="142"/>
      <c r="WKM2018" s="142"/>
      <c r="WKN2018" s="142"/>
      <c r="WKO2018" s="142"/>
      <c r="WKP2018" s="142"/>
      <c r="WKQ2018" s="142"/>
      <c r="WKR2018" s="142"/>
      <c r="WKS2018" s="142"/>
      <c r="WKT2018" s="142"/>
      <c r="WKU2018" s="142"/>
      <c r="WKV2018" s="142"/>
      <c r="WKW2018" s="142"/>
      <c r="WKX2018" s="142"/>
      <c r="WKY2018" s="142"/>
      <c r="WKZ2018" s="142"/>
      <c r="WLA2018" s="142"/>
      <c r="WLB2018" s="142"/>
      <c r="WLC2018" s="142"/>
      <c r="WLD2018" s="142"/>
      <c r="WLE2018" s="142"/>
      <c r="WLF2018" s="142"/>
      <c r="WLG2018" s="142"/>
      <c r="WLH2018" s="142"/>
      <c r="WLI2018" s="142"/>
      <c r="WLJ2018" s="142"/>
      <c r="WLK2018" s="142"/>
      <c r="WLL2018" s="142"/>
      <c r="WLM2018" s="142"/>
      <c r="WLN2018" s="142"/>
      <c r="WLO2018" s="142"/>
      <c r="WLP2018" s="142"/>
      <c r="WLQ2018" s="142"/>
      <c r="WLR2018" s="142"/>
      <c r="WLS2018" s="142"/>
      <c r="WLT2018" s="142"/>
      <c r="WLU2018" s="142"/>
      <c r="WLV2018" s="142"/>
      <c r="WLW2018" s="142"/>
      <c r="WLX2018" s="142"/>
      <c r="WLY2018" s="142"/>
      <c r="WLZ2018" s="142"/>
      <c r="WMA2018" s="142"/>
      <c r="WMB2018" s="142"/>
      <c r="WMC2018" s="142"/>
      <c r="WMD2018" s="142"/>
      <c r="WME2018" s="142"/>
      <c r="WMF2018" s="142"/>
      <c r="WMG2018" s="142"/>
      <c r="WMH2018" s="142"/>
      <c r="WMI2018" s="142"/>
      <c r="WMJ2018" s="142"/>
      <c r="WMK2018" s="142"/>
      <c r="WML2018" s="142"/>
      <c r="WMM2018" s="142"/>
      <c r="WMN2018" s="142"/>
      <c r="WMO2018" s="142"/>
      <c r="WMP2018" s="142"/>
      <c r="WMQ2018" s="142"/>
      <c r="WMR2018" s="142"/>
      <c r="WMS2018" s="142"/>
      <c r="WMT2018" s="142"/>
      <c r="WMU2018" s="142"/>
      <c r="WMV2018" s="142"/>
      <c r="WMW2018" s="142"/>
      <c r="WMX2018" s="142"/>
      <c r="WMY2018" s="142"/>
      <c r="WMZ2018" s="142"/>
      <c r="WNA2018" s="142"/>
      <c r="WNB2018" s="142"/>
      <c r="WNC2018" s="142"/>
      <c r="WND2018" s="142"/>
      <c r="WNE2018" s="142"/>
      <c r="WNF2018" s="142"/>
      <c r="WNG2018" s="142"/>
      <c r="WNH2018" s="142"/>
      <c r="WNI2018" s="142"/>
      <c r="WNJ2018" s="142"/>
      <c r="WNK2018" s="142"/>
      <c r="WNL2018" s="142"/>
      <c r="WNM2018" s="142"/>
      <c r="WNN2018" s="142"/>
      <c r="WNO2018" s="142"/>
      <c r="WNP2018" s="142"/>
      <c r="WNQ2018" s="142"/>
      <c r="WNR2018" s="142"/>
      <c r="WNS2018" s="142"/>
      <c r="WNT2018" s="142"/>
      <c r="WNU2018" s="142"/>
      <c r="WNV2018" s="142"/>
      <c r="WNW2018" s="142"/>
      <c r="WNX2018" s="142"/>
      <c r="WNY2018" s="142"/>
      <c r="WNZ2018" s="142"/>
      <c r="WOA2018" s="142"/>
      <c r="WOB2018" s="142"/>
      <c r="WOC2018" s="142"/>
      <c r="WOD2018" s="142"/>
      <c r="WOE2018" s="142"/>
      <c r="WOF2018" s="142"/>
      <c r="WOG2018" s="142"/>
      <c r="WOH2018" s="142"/>
      <c r="WOI2018" s="142"/>
      <c r="WOJ2018" s="142"/>
      <c r="WOK2018" s="142"/>
      <c r="WOL2018" s="142"/>
      <c r="WOM2018" s="142"/>
      <c r="WON2018" s="142"/>
      <c r="WOO2018" s="142"/>
      <c r="WOP2018" s="142"/>
      <c r="WOQ2018" s="142"/>
      <c r="WOR2018" s="142"/>
      <c r="WOS2018" s="142"/>
      <c r="WOT2018" s="142"/>
      <c r="WOU2018" s="142"/>
      <c r="WOV2018" s="142"/>
      <c r="WOW2018" s="142"/>
      <c r="WOX2018" s="142"/>
      <c r="WOY2018" s="142"/>
      <c r="WOZ2018" s="142"/>
      <c r="WPA2018" s="142"/>
      <c r="WPB2018" s="142"/>
      <c r="WPC2018" s="142"/>
      <c r="WPD2018" s="142"/>
      <c r="WPE2018" s="142"/>
      <c r="WPF2018" s="142"/>
      <c r="WPG2018" s="142"/>
      <c r="WPH2018" s="142"/>
      <c r="WPI2018" s="142"/>
      <c r="WPJ2018" s="142"/>
      <c r="WPK2018" s="142"/>
      <c r="WPL2018" s="142"/>
      <c r="WPM2018" s="142"/>
      <c r="WPN2018" s="142"/>
      <c r="WPO2018" s="142"/>
      <c r="WPP2018" s="142"/>
      <c r="WPQ2018" s="142"/>
      <c r="WPR2018" s="142"/>
      <c r="WPS2018" s="142"/>
      <c r="WPT2018" s="142"/>
      <c r="WPU2018" s="142"/>
      <c r="WPV2018" s="142"/>
      <c r="WPW2018" s="142"/>
      <c r="WPX2018" s="142"/>
      <c r="WPY2018" s="142"/>
      <c r="WPZ2018" s="142"/>
      <c r="WQA2018" s="142"/>
      <c r="WQB2018" s="142"/>
      <c r="WQC2018" s="142"/>
      <c r="WQD2018" s="142"/>
      <c r="WQE2018" s="142"/>
      <c r="WQF2018" s="142"/>
      <c r="WQG2018" s="142"/>
      <c r="WQH2018" s="142"/>
      <c r="WQI2018" s="142"/>
      <c r="WQJ2018" s="142"/>
      <c r="WQK2018" s="142"/>
      <c r="WQL2018" s="142"/>
      <c r="WQM2018" s="142"/>
      <c r="WQN2018" s="142"/>
      <c r="WQO2018" s="142"/>
      <c r="WQP2018" s="142"/>
      <c r="WQQ2018" s="142"/>
      <c r="WQR2018" s="142"/>
      <c r="WQS2018" s="142"/>
      <c r="WQT2018" s="142"/>
      <c r="WQU2018" s="142"/>
      <c r="WQV2018" s="142"/>
      <c r="WQW2018" s="142"/>
      <c r="WQX2018" s="142"/>
      <c r="WQY2018" s="142"/>
      <c r="WQZ2018" s="142"/>
      <c r="WRA2018" s="142"/>
      <c r="WRB2018" s="142"/>
      <c r="WRC2018" s="142"/>
      <c r="WRD2018" s="142"/>
      <c r="WRE2018" s="142"/>
      <c r="WRF2018" s="142"/>
      <c r="WRG2018" s="142"/>
      <c r="WRH2018" s="142"/>
      <c r="WRI2018" s="142"/>
      <c r="WRJ2018" s="142"/>
      <c r="WRK2018" s="142"/>
      <c r="WRL2018" s="142"/>
      <c r="WRM2018" s="142"/>
      <c r="WRN2018" s="142"/>
      <c r="WRO2018" s="142"/>
      <c r="WRP2018" s="142"/>
      <c r="WRQ2018" s="142"/>
      <c r="WRR2018" s="142"/>
      <c r="WRS2018" s="142"/>
      <c r="WRT2018" s="142"/>
      <c r="WRU2018" s="142"/>
      <c r="WRV2018" s="142"/>
      <c r="WRW2018" s="142"/>
      <c r="WRX2018" s="142"/>
      <c r="WRY2018" s="142"/>
      <c r="WRZ2018" s="142"/>
      <c r="WSA2018" s="142"/>
      <c r="WSB2018" s="142"/>
      <c r="WSC2018" s="142"/>
      <c r="WSD2018" s="142"/>
      <c r="WSE2018" s="142"/>
      <c r="WSF2018" s="142"/>
      <c r="WSG2018" s="142"/>
      <c r="WSH2018" s="142"/>
      <c r="WSI2018" s="142"/>
      <c r="WSJ2018" s="142"/>
      <c r="WSK2018" s="142"/>
      <c r="WSL2018" s="142"/>
      <c r="WSM2018" s="142"/>
      <c r="WSN2018" s="142"/>
      <c r="WSO2018" s="142"/>
      <c r="WSP2018" s="142"/>
      <c r="WSQ2018" s="142"/>
      <c r="WSR2018" s="142"/>
      <c r="WSS2018" s="142"/>
      <c r="WST2018" s="142"/>
      <c r="WSU2018" s="142"/>
      <c r="WSV2018" s="142"/>
      <c r="WSW2018" s="142"/>
      <c r="WSX2018" s="142"/>
      <c r="WSY2018" s="142"/>
      <c r="WSZ2018" s="142"/>
      <c r="WTA2018" s="142"/>
      <c r="WTB2018" s="142"/>
      <c r="WTC2018" s="142"/>
      <c r="WTD2018" s="142"/>
      <c r="WTE2018" s="142"/>
      <c r="WTF2018" s="142"/>
      <c r="WTG2018" s="142"/>
      <c r="WTH2018" s="142"/>
      <c r="WTI2018" s="142"/>
      <c r="WTJ2018" s="142"/>
      <c r="WTK2018" s="142"/>
      <c r="WTL2018" s="142"/>
      <c r="WTM2018" s="142"/>
      <c r="WTN2018" s="142"/>
      <c r="WTO2018" s="142"/>
      <c r="WTP2018" s="142"/>
      <c r="WTQ2018" s="142"/>
      <c r="WTR2018" s="142"/>
      <c r="WTS2018" s="142"/>
      <c r="WTT2018" s="142"/>
      <c r="WTU2018" s="142"/>
      <c r="WTV2018" s="142"/>
      <c r="WTW2018" s="142"/>
      <c r="WTX2018" s="142"/>
      <c r="WTY2018" s="142"/>
      <c r="WTZ2018" s="142"/>
      <c r="WUA2018" s="142"/>
      <c r="WUB2018" s="142"/>
      <c r="WUC2018" s="142"/>
      <c r="WUD2018" s="142"/>
      <c r="WUE2018" s="142"/>
      <c r="WUF2018" s="142"/>
      <c r="WUG2018" s="142"/>
      <c r="WUH2018" s="142"/>
      <c r="WUI2018" s="142"/>
      <c r="WUJ2018" s="142"/>
      <c r="WUK2018" s="142"/>
      <c r="WUL2018" s="142"/>
      <c r="WUM2018" s="142"/>
      <c r="WUN2018" s="142"/>
      <c r="WUO2018" s="142"/>
      <c r="WUP2018" s="142"/>
      <c r="WUQ2018" s="142"/>
      <c r="WUR2018" s="142"/>
      <c r="WUS2018" s="142"/>
      <c r="WUT2018" s="142"/>
      <c r="WUU2018" s="142"/>
      <c r="WUV2018" s="142"/>
      <c r="WUW2018" s="142"/>
      <c r="WUX2018" s="142"/>
      <c r="WUY2018" s="142"/>
      <c r="WUZ2018" s="142"/>
      <c r="WVA2018" s="142"/>
      <c r="WVB2018" s="142"/>
      <c r="WVC2018" s="142"/>
      <c r="WVD2018" s="142"/>
      <c r="WVE2018" s="142"/>
      <c r="WVF2018" s="142"/>
      <c r="WVG2018" s="142"/>
      <c r="WVH2018" s="142"/>
      <c r="WVI2018" s="142"/>
      <c r="WVJ2018" s="142"/>
      <c r="WVK2018" s="142"/>
      <c r="WVL2018" s="142"/>
      <c r="WVM2018" s="142"/>
      <c r="WVN2018" s="142"/>
      <c r="WVO2018" s="142"/>
      <c r="WVP2018" s="142"/>
      <c r="WVQ2018" s="142"/>
      <c r="WVR2018" s="142"/>
      <c r="WVS2018" s="142"/>
      <c r="WVT2018" s="142"/>
      <c r="WVU2018" s="142"/>
      <c r="WVV2018" s="142"/>
      <c r="WVW2018" s="142"/>
      <c r="WVX2018" s="142"/>
      <c r="WVY2018" s="142"/>
      <c r="WVZ2018" s="142"/>
      <c r="WWA2018" s="142"/>
      <c r="WWB2018" s="142"/>
      <c r="WWC2018" s="142"/>
      <c r="WWD2018" s="142"/>
      <c r="WWE2018" s="142"/>
      <c r="WWF2018" s="142"/>
      <c r="WWG2018" s="142"/>
      <c r="WWH2018" s="142"/>
      <c r="WWI2018" s="142"/>
      <c r="WWJ2018" s="142"/>
      <c r="WWK2018" s="142"/>
      <c r="WWL2018" s="142"/>
      <c r="WWM2018" s="142"/>
      <c r="WWN2018" s="142"/>
      <c r="WWO2018" s="142"/>
      <c r="WWP2018" s="142"/>
      <c r="WWQ2018" s="142"/>
      <c r="WWR2018" s="142"/>
      <c r="WWS2018" s="142"/>
      <c r="WWT2018" s="142"/>
      <c r="WWU2018" s="142"/>
      <c r="WWV2018" s="142"/>
      <c r="WWW2018" s="142"/>
      <c r="WWX2018" s="142"/>
      <c r="WWY2018" s="142"/>
      <c r="WWZ2018" s="142"/>
      <c r="WXA2018" s="142"/>
      <c r="WXB2018" s="142"/>
      <c r="WXC2018" s="142"/>
      <c r="WXD2018" s="142"/>
      <c r="WXE2018" s="142"/>
      <c r="WXF2018" s="142"/>
      <c r="WXG2018" s="142"/>
      <c r="WXH2018" s="142"/>
      <c r="WXI2018" s="142"/>
      <c r="WXJ2018" s="142"/>
      <c r="WXK2018" s="142"/>
      <c r="WXL2018" s="142"/>
      <c r="WXM2018" s="142"/>
      <c r="WXN2018" s="142"/>
      <c r="WXO2018" s="142"/>
      <c r="WXP2018" s="142"/>
      <c r="WXQ2018" s="142"/>
      <c r="WXR2018" s="142"/>
      <c r="WXS2018" s="142"/>
      <c r="WXT2018" s="142"/>
      <c r="WXU2018" s="142"/>
      <c r="WXV2018" s="142"/>
      <c r="WXW2018" s="142"/>
      <c r="WXX2018" s="142"/>
      <c r="WXY2018" s="142"/>
      <c r="WXZ2018" s="142"/>
      <c r="WYA2018" s="142"/>
      <c r="WYB2018" s="142"/>
      <c r="WYC2018" s="142"/>
      <c r="WYD2018" s="142"/>
      <c r="WYE2018" s="142"/>
      <c r="WYF2018" s="142"/>
      <c r="WYG2018" s="142"/>
      <c r="WYH2018" s="142"/>
      <c r="WYI2018" s="142"/>
      <c r="WYJ2018" s="142"/>
      <c r="WYK2018" s="142"/>
      <c r="WYL2018" s="142"/>
      <c r="WYM2018" s="142"/>
      <c r="WYN2018" s="142"/>
      <c r="WYO2018" s="142"/>
      <c r="WYP2018" s="142"/>
      <c r="WYQ2018" s="142"/>
      <c r="WYR2018" s="142"/>
      <c r="WYS2018" s="142"/>
      <c r="WYT2018" s="142"/>
      <c r="WYU2018" s="142"/>
      <c r="WYV2018" s="142"/>
      <c r="WYW2018" s="142"/>
      <c r="WYX2018" s="142"/>
      <c r="WYY2018" s="142"/>
      <c r="WYZ2018" s="142"/>
      <c r="WZA2018" s="142"/>
      <c r="WZB2018" s="142"/>
      <c r="WZC2018" s="142"/>
      <c r="WZD2018" s="142"/>
      <c r="WZE2018" s="142"/>
      <c r="WZF2018" s="142"/>
      <c r="WZG2018" s="142"/>
      <c r="WZH2018" s="142"/>
      <c r="WZI2018" s="142"/>
      <c r="WZJ2018" s="142"/>
      <c r="WZK2018" s="142"/>
      <c r="WZL2018" s="142"/>
      <c r="WZM2018" s="142"/>
      <c r="WZN2018" s="142"/>
      <c r="WZO2018" s="142"/>
      <c r="WZP2018" s="142"/>
      <c r="WZQ2018" s="142"/>
      <c r="WZR2018" s="142"/>
      <c r="WZS2018" s="142"/>
      <c r="WZT2018" s="142"/>
      <c r="WZU2018" s="142"/>
      <c r="WZV2018" s="142"/>
      <c r="WZW2018" s="142"/>
      <c r="WZX2018" s="142"/>
      <c r="WZY2018" s="142"/>
      <c r="WZZ2018" s="142"/>
      <c r="XAA2018" s="142"/>
      <c r="XAB2018" s="142"/>
      <c r="XAC2018" s="142"/>
      <c r="XAD2018" s="142"/>
      <c r="XAE2018" s="142"/>
      <c r="XAF2018" s="142"/>
      <c r="XAG2018" s="142"/>
      <c r="XAH2018" s="142"/>
      <c r="XAI2018" s="142"/>
      <c r="XAJ2018" s="142"/>
      <c r="XAK2018" s="142"/>
      <c r="XAL2018" s="142"/>
      <c r="XAM2018" s="142"/>
      <c r="XAN2018" s="142"/>
      <c r="XAO2018" s="142"/>
      <c r="XAP2018" s="142"/>
      <c r="XAQ2018" s="142"/>
      <c r="XAR2018" s="142"/>
      <c r="XAS2018" s="142"/>
      <c r="XAT2018" s="142"/>
      <c r="XAU2018" s="142"/>
      <c r="XAV2018" s="142"/>
      <c r="XAW2018" s="142"/>
      <c r="XAX2018" s="142"/>
      <c r="XAY2018" s="142"/>
      <c r="XAZ2018" s="142"/>
      <c r="XBA2018" s="142"/>
      <c r="XBB2018" s="142"/>
      <c r="XBC2018" s="142"/>
      <c r="XBD2018" s="142"/>
      <c r="XBE2018" s="142"/>
      <c r="XBF2018" s="142"/>
      <c r="XBG2018" s="142"/>
      <c r="XBH2018" s="142"/>
      <c r="XBI2018" s="142"/>
      <c r="XBJ2018" s="142"/>
      <c r="XBK2018" s="142"/>
      <c r="XBL2018" s="142"/>
      <c r="XBM2018" s="142"/>
      <c r="XBN2018" s="142"/>
      <c r="XBO2018" s="142"/>
      <c r="XBP2018" s="142"/>
      <c r="XBQ2018" s="142"/>
      <c r="XBR2018" s="142"/>
      <c r="XBS2018" s="142"/>
      <c r="XBT2018" s="142"/>
      <c r="XBU2018" s="142"/>
      <c r="XBV2018" s="142"/>
      <c r="XBW2018" s="142"/>
      <c r="XBX2018" s="142"/>
      <c r="XBY2018" s="142"/>
      <c r="XBZ2018" s="142"/>
      <c r="XCA2018" s="142"/>
      <c r="XCB2018" s="142"/>
      <c r="XCC2018" s="142"/>
      <c r="XCD2018" s="142"/>
      <c r="XCE2018" s="142"/>
      <c r="XCF2018" s="142"/>
      <c r="XCG2018" s="142"/>
      <c r="XCH2018" s="142"/>
      <c r="XCI2018" s="142"/>
      <c r="XCJ2018" s="142"/>
      <c r="XCK2018" s="142"/>
      <c r="XCL2018" s="142"/>
      <c r="XCM2018" s="142"/>
      <c r="XCN2018" s="142"/>
      <c r="XCO2018" s="142"/>
      <c r="XCP2018" s="142"/>
      <c r="XCQ2018" s="142"/>
      <c r="XCR2018" s="142"/>
      <c r="XCS2018" s="142"/>
      <c r="XCT2018" s="142"/>
      <c r="XCU2018" s="142"/>
      <c r="XCV2018" s="142"/>
      <c r="XCW2018" s="142"/>
      <c r="XCX2018" s="142"/>
      <c r="XCY2018" s="142"/>
      <c r="XCZ2018" s="142"/>
      <c r="XDA2018" s="142"/>
      <c r="XDB2018" s="142"/>
      <c r="XDC2018" s="142"/>
      <c r="XDD2018" s="142"/>
      <c r="XDE2018" s="142"/>
      <c r="XDF2018" s="142"/>
      <c r="XDG2018" s="142"/>
      <c r="XDH2018" s="142"/>
      <c r="XDI2018" s="142"/>
      <c r="XDJ2018" s="142"/>
      <c r="XDK2018" s="142"/>
      <c r="XDL2018" s="142"/>
      <c r="XDM2018" s="142"/>
      <c r="XDN2018" s="142"/>
      <c r="XDO2018" s="142"/>
      <c r="XDP2018" s="142"/>
      <c r="XDQ2018" s="142"/>
      <c r="XDR2018" s="142"/>
      <c r="XDS2018" s="142"/>
      <c r="XDT2018" s="142"/>
      <c r="XDU2018" s="142"/>
      <c r="XDV2018" s="142"/>
      <c r="XDW2018" s="142"/>
      <c r="XDX2018" s="142"/>
      <c r="XDY2018" s="142"/>
      <c r="XDZ2018" s="142"/>
      <c r="XEA2018" s="142"/>
      <c r="XEB2018" s="142"/>
      <c r="XEC2018" s="142"/>
      <c r="XED2018" s="142"/>
      <c r="XEE2018" s="142"/>
      <c r="XEF2018" s="142"/>
      <c r="XEG2018" s="142"/>
      <c r="XEH2018" s="142"/>
      <c r="XEI2018" s="142"/>
      <c r="XEJ2018" s="142"/>
      <c r="XEK2018" s="142"/>
      <c r="XEL2018" s="142"/>
      <c r="XEM2018" s="142"/>
      <c r="XEN2018" s="142"/>
      <c r="XEO2018" s="142"/>
      <c r="XEP2018" s="142"/>
      <c r="XEQ2018" s="142"/>
      <c r="XER2018" s="142"/>
      <c r="XES2018" s="142"/>
      <c r="XET2018" s="142"/>
      <c r="XEU2018" s="142"/>
      <c r="XEV2018" s="142"/>
      <c r="XEW2018" s="142"/>
      <c r="XEX2018" s="142"/>
      <c r="XEY2018" s="142"/>
      <c r="XEZ2018" s="142"/>
    </row>
    <row r="2019" spans="1:16380" s="114" customFormat="1" ht="37.5" hidden="1">
      <c r="A2019" s="1027">
        <f t="shared" si="278"/>
        <v>501</v>
      </c>
      <c r="B2019" s="1026" t="s">
        <v>3999</v>
      </c>
      <c r="C2019" s="1041" t="s">
        <v>271</v>
      </c>
      <c r="D2019" s="1041">
        <v>37709</v>
      </c>
      <c r="E2019" s="1041">
        <v>6900</v>
      </c>
      <c r="F2019" s="1042" t="s">
        <v>233</v>
      </c>
      <c r="G2019" s="1041">
        <v>1386</v>
      </c>
      <c r="H2019" s="1041">
        <v>10</v>
      </c>
      <c r="I2019" s="1018">
        <v>2</v>
      </c>
      <c r="J2019" s="1018">
        <v>117</v>
      </c>
      <c r="K2019" s="629" t="s">
        <v>3815</v>
      </c>
      <c r="L2019" s="962">
        <f t="shared" si="280"/>
        <v>2920768</v>
      </c>
      <c r="M2019" s="623">
        <v>2862400</v>
      </c>
      <c r="N2019" s="630"/>
      <c r="O2019" s="631">
        <v>28368</v>
      </c>
      <c r="P2019" s="948"/>
      <c r="Q2019" s="630">
        <v>30000</v>
      </c>
      <c r="R2019" s="957">
        <f t="shared" si="282"/>
        <v>414.84057971014494</v>
      </c>
      <c r="S2019" s="586">
        <f t="shared" si="279"/>
        <v>0</v>
      </c>
      <c r="T2019" s="754"/>
      <c r="U2019" s="1016"/>
      <c r="V2019" s="589"/>
      <c r="W2019" s="600"/>
      <c r="X2019" s="1016"/>
      <c r="Y2019" s="600">
        <f t="shared" si="272"/>
        <v>2920768</v>
      </c>
      <c r="Z2019" s="1016"/>
    </row>
    <row r="2020" spans="1:16380" s="114" customFormat="1" hidden="1">
      <c r="A2020" s="580">
        <f t="shared" si="278"/>
        <v>502</v>
      </c>
      <c r="B2020" s="709" t="s">
        <v>4349</v>
      </c>
      <c r="C2020" s="679" t="s">
        <v>271</v>
      </c>
      <c r="D2020" s="667">
        <v>11991</v>
      </c>
      <c r="E2020" s="667">
        <v>2412</v>
      </c>
      <c r="F2020" s="667" t="s">
        <v>316</v>
      </c>
      <c r="G2020" s="667">
        <v>1005</v>
      </c>
      <c r="H2020" s="667">
        <v>4</v>
      </c>
      <c r="I2020" s="667">
        <v>4</v>
      </c>
      <c r="J2020" s="667">
        <v>28</v>
      </c>
      <c r="K2020" s="667" t="s">
        <v>38</v>
      </c>
      <c r="L2020" s="596">
        <f t="shared" si="280"/>
        <v>4386810</v>
      </c>
      <c r="M2020" s="596">
        <v>4341600</v>
      </c>
      <c r="N2020" s="597"/>
      <c r="O2020" s="586">
        <v>15210</v>
      </c>
      <c r="P2020" s="586"/>
      <c r="Q2020" s="586">
        <v>30000</v>
      </c>
      <c r="R2020" s="594">
        <f t="shared" si="282"/>
        <v>1800</v>
      </c>
      <c r="S2020" s="586"/>
      <c r="T2020" s="754"/>
      <c r="U2020" s="1016"/>
      <c r="V2020" s="589"/>
      <c r="W2020" s="600"/>
      <c r="X2020" s="1016"/>
      <c r="Y2020" s="600">
        <f t="shared" si="272"/>
        <v>4386810</v>
      </c>
      <c r="Z2020" s="1016"/>
    </row>
    <row r="2021" spans="1:16380" s="114" customFormat="1" hidden="1">
      <c r="A2021" s="580">
        <f t="shared" si="278"/>
        <v>503</v>
      </c>
      <c r="B2021" s="709" t="s">
        <v>4350</v>
      </c>
      <c r="C2021" s="679" t="s">
        <v>271</v>
      </c>
      <c r="D2021" s="606">
        <v>22640</v>
      </c>
      <c r="E2021" s="606">
        <v>5328</v>
      </c>
      <c r="F2021" s="667" t="s">
        <v>316</v>
      </c>
      <c r="G2021" s="606">
        <v>2264</v>
      </c>
      <c r="H2021" s="606">
        <v>4</v>
      </c>
      <c r="I2021" s="606">
        <v>8</v>
      </c>
      <c r="J2021" s="606">
        <v>74</v>
      </c>
      <c r="K2021" s="667" t="s">
        <v>38</v>
      </c>
      <c r="L2021" s="596">
        <f t="shared" si="280"/>
        <v>9639184</v>
      </c>
      <c r="M2021" s="596">
        <v>9590400</v>
      </c>
      <c r="N2021" s="564"/>
      <c r="O2021" s="586">
        <v>18784</v>
      </c>
      <c r="P2021" s="586"/>
      <c r="Q2021" s="586">
        <v>30000</v>
      </c>
      <c r="R2021" s="594">
        <f t="shared" si="282"/>
        <v>1800</v>
      </c>
      <c r="S2021" s="586"/>
      <c r="T2021" s="754"/>
      <c r="U2021" s="1016"/>
      <c r="V2021" s="589"/>
      <c r="W2021" s="600"/>
      <c r="X2021" s="1016"/>
      <c r="Y2021" s="600">
        <f t="shared" si="272"/>
        <v>9639184</v>
      </c>
      <c r="Z2021" s="1016"/>
    </row>
    <row r="2022" spans="1:16380" s="114" customFormat="1" hidden="1">
      <c r="A2022" s="580">
        <f t="shared" si="278"/>
        <v>504</v>
      </c>
      <c r="B2022" s="709" t="s">
        <v>603</v>
      </c>
      <c r="C2022" s="679" t="s">
        <v>271</v>
      </c>
      <c r="D2022" s="1043">
        <v>10969</v>
      </c>
      <c r="E2022" s="1044">
        <v>2105</v>
      </c>
      <c r="F2022" s="1045" t="s">
        <v>222</v>
      </c>
      <c r="G2022" s="1046">
        <v>975</v>
      </c>
      <c r="H2022" s="1047">
        <v>4</v>
      </c>
      <c r="I2022" s="1046">
        <v>3</v>
      </c>
      <c r="J2022" s="1046">
        <v>19</v>
      </c>
      <c r="K2022" s="667" t="s">
        <v>38</v>
      </c>
      <c r="L2022" s="596">
        <f t="shared" si="280"/>
        <v>3833868</v>
      </c>
      <c r="M2022" s="596">
        <v>3789000</v>
      </c>
      <c r="N2022" s="564"/>
      <c r="O2022" s="586">
        <v>14868</v>
      </c>
      <c r="P2022" s="586"/>
      <c r="Q2022" s="586">
        <v>30000</v>
      </c>
      <c r="R2022" s="594">
        <f t="shared" si="282"/>
        <v>1800</v>
      </c>
      <c r="S2022" s="586"/>
      <c r="T2022" s="754"/>
      <c r="U2022" s="1016"/>
      <c r="V2022" s="589"/>
      <c r="W2022" s="600"/>
      <c r="X2022" s="1016"/>
      <c r="Y2022" s="600">
        <f t="shared" si="272"/>
        <v>3833868</v>
      </c>
      <c r="Z2022" s="1016"/>
    </row>
    <row r="2023" spans="1:16380" s="114" customFormat="1" hidden="1">
      <c r="A2023" s="580">
        <f t="shared" si="278"/>
        <v>505</v>
      </c>
      <c r="B2023" s="1363" t="s">
        <v>2526</v>
      </c>
      <c r="C2023" s="590" t="s">
        <v>271</v>
      </c>
      <c r="D2023" s="1048">
        <v>10252</v>
      </c>
      <c r="E2023" s="667">
        <v>580</v>
      </c>
      <c r="F2023" s="667" t="s">
        <v>222</v>
      </c>
      <c r="G2023" s="667">
        <v>997</v>
      </c>
      <c r="H2023" s="667">
        <v>4</v>
      </c>
      <c r="I2023" s="667">
        <v>3</v>
      </c>
      <c r="J2023" s="667">
        <v>18</v>
      </c>
      <c r="K2023" s="667" t="s">
        <v>38</v>
      </c>
      <c r="L2023" s="1350">
        <f>M2023+N2023+O2023+P2023+Q2023+M2024+N2024+O2024+Q2024</f>
        <v>7183108</v>
      </c>
      <c r="M2023" s="596">
        <v>4300000</v>
      </c>
      <c r="N2023" s="597"/>
      <c r="O2023" s="586">
        <v>14627</v>
      </c>
      <c r="P2023" s="586"/>
      <c r="Q2023" s="586">
        <v>30000</v>
      </c>
      <c r="R2023" s="594">
        <f t="shared" si="282"/>
        <v>7413.7931034482763</v>
      </c>
      <c r="S2023" s="586"/>
      <c r="T2023" s="754"/>
      <c r="U2023" s="1016"/>
      <c r="V2023" s="589"/>
      <c r="W2023" s="600"/>
      <c r="X2023" s="1016"/>
      <c r="Y2023" s="600">
        <f t="shared" si="272"/>
        <v>4344627</v>
      </c>
      <c r="Z2023" s="1016"/>
    </row>
    <row r="2024" spans="1:16380" s="114" customFormat="1" hidden="1">
      <c r="A2024" s="580"/>
      <c r="B2024" s="1363"/>
      <c r="C2024" s="590"/>
      <c r="D2024" s="1048"/>
      <c r="E2024" s="667"/>
      <c r="F2024" s="667"/>
      <c r="G2024" s="667"/>
      <c r="H2024" s="667"/>
      <c r="I2024" s="667"/>
      <c r="J2024" s="667"/>
      <c r="K2024" s="667" t="s">
        <v>33</v>
      </c>
      <c r="L2024" s="1350"/>
      <c r="M2024" s="596">
        <v>2791600</v>
      </c>
      <c r="N2024" s="597"/>
      <c r="O2024" s="586">
        <v>15114</v>
      </c>
      <c r="P2024" s="586"/>
      <c r="Q2024" s="586">
        <v>31767</v>
      </c>
      <c r="R2024" s="561">
        <f>M2024/G2023</f>
        <v>2800</v>
      </c>
      <c r="S2024" s="586"/>
      <c r="T2024" s="754"/>
      <c r="U2024" s="1016"/>
      <c r="V2024" s="589"/>
      <c r="W2024" s="600"/>
      <c r="X2024" s="1016"/>
      <c r="Y2024" s="600">
        <f t="shared" si="272"/>
        <v>2838481</v>
      </c>
      <c r="Z2024" s="1016"/>
    </row>
    <row r="2025" spans="1:16380" s="114" customFormat="1" hidden="1">
      <c r="A2025" s="580">
        <v>506</v>
      </c>
      <c r="B2025" s="709" t="s">
        <v>4327</v>
      </c>
      <c r="C2025" s="590" t="s">
        <v>271</v>
      </c>
      <c r="D2025" s="667">
        <v>14364</v>
      </c>
      <c r="E2025" s="667">
        <v>4140</v>
      </c>
      <c r="F2025" s="667" t="s">
        <v>222</v>
      </c>
      <c r="G2025" s="667">
        <v>1189</v>
      </c>
      <c r="H2025" s="667">
        <v>4</v>
      </c>
      <c r="I2025" s="667">
        <v>4</v>
      </c>
      <c r="J2025" s="667">
        <v>23</v>
      </c>
      <c r="K2025" s="667" t="s">
        <v>38</v>
      </c>
      <c r="L2025" s="1350">
        <f>M2025+N2025+O2025+P2025+Q2025+M2026+N2026+O2026+Q2026</f>
        <v>10883747</v>
      </c>
      <c r="M2025" s="596">
        <v>7452000</v>
      </c>
      <c r="N2025" s="597"/>
      <c r="O2025" s="586">
        <v>16007</v>
      </c>
      <c r="P2025" s="586"/>
      <c r="Q2025" s="586">
        <v>30000</v>
      </c>
      <c r="R2025" s="594">
        <f>M2025/E2025</f>
        <v>1800</v>
      </c>
      <c r="S2025" s="586"/>
      <c r="T2025" s="754"/>
      <c r="U2025" s="1016"/>
      <c r="V2025" s="589"/>
      <c r="W2025" s="600"/>
      <c r="X2025" s="1016"/>
      <c r="Y2025" s="600">
        <f t="shared" si="272"/>
        <v>7498007</v>
      </c>
      <c r="Z2025" s="1016"/>
    </row>
    <row r="2026" spans="1:16380" s="114" customFormat="1" hidden="1">
      <c r="A2026" s="580"/>
      <c r="B2026" s="709"/>
      <c r="C2026" s="667"/>
      <c r="D2026" s="667"/>
      <c r="E2026" s="667"/>
      <c r="F2026" s="667"/>
      <c r="G2026" s="667"/>
      <c r="H2026" s="667"/>
      <c r="I2026" s="667"/>
      <c r="J2026" s="667"/>
      <c r="K2026" s="667" t="s">
        <v>33</v>
      </c>
      <c r="L2026" s="1350"/>
      <c r="M2026" s="596">
        <v>3329200</v>
      </c>
      <c r="N2026" s="597"/>
      <c r="O2026" s="586">
        <v>16540</v>
      </c>
      <c r="P2026" s="586"/>
      <c r="Q2026" s="586">
        <v>40000</v>
      </c>
      <c r="R2026" s="561" t="e">
        <f>M2026/G2026</f>
        <v>#DIV/0!</v>
      </c>
      <c r="S2026" s="586"/>
      <c r="T2026" s="754"/>
      <c r="U2026" s="1016"/>
      <c r="V2026" s="589"/>
      <c r="W2026" s="600"/>
      <c r="X2026" s="1016"/>
      <c r="Y2026" s="600">
        <f t="shared" si="272"/>
        <v>3385740</v>
      </c>
      <c r="Z2026" s="1016"/>
    </row>
    <row r="2027" spans="1:16380" s="114" customFormat="1" hidden="1">
      <c r="A2027" s="580">
        <v>507</v>
      </c>
      <c r="B2027" s="591" t="s">
        <v>4328</v>
      </c>
      <c r="C2027" s="590" t="s">
        <v>271</v>
      </c>
      <c r="D2027" s="667">
        <v>14710</v>
      </c>
      <c r="E2027" s="667">
        <v>3402</v>
      </c>
      <c r="F2027" s="667" t="s">
        <v>222</v>
      </c>
      <c r="G2027" s="667">
        <v>1423</v>
      </c>
      <c r="H2027" s="667">
        <v>4</v>
      </c>
      <c r="I2027" s="667">
        <v>5</v>
      </c>
      <c r="J2027" s="667">
        <v>42</v>
      </c>
      <c r="K2027" s="667" t="s">
        <v>38</v>
      </c>
      <c r="L2027" s="1350">
        <f>M2027+N2027+O2027+P2027+Q2027+M2028+N2028+O2028+Q2028</f>
        <v>10210246</v>
      </c>
      <c r="M2027" s="596">
        <v>6123600</v>
      </c>
      <c r="N2027" s="597"/>
      <c r="O2027" s="586">
        <v>16123</v>
      </c>
      <c r="P2027" s="586"/>
      <c r="Q2027" s="586">
        <v>30000</v>
      </c>
      <c r="R2027" s="594">
        <f>M2027/E2027</f>
        <v>1800</v>
      </c>
      <c r="S2027" s="586"/>
      <c r="T2027" s="754"/>
      <c r="U2027" s="1016"/>
      <c r="V2027" s="589"/>
      <c r="W2027" s="600"/>
      <c r="X2027" s="1016"/>
      <c r="Y2027" s="600">
        <f t="shared" ref="Y2027:Y2078" si="283">M2027+N2027+O2027+P2027+Q2027</f>
        <v>6169723</v>
      </c>
      <c r="Z2027" s="1016"/>
    </row>
    <row r="2028" spans="1:16380" s="114" customFormat="1" hidden="1">
      <c r="A2028" s="580"/>
      <c r="B2028" s="591"/>
      <c r="C2028" s="667">
        <v>3402</v>
      </c>
      <c r="D2028" s="667" t="s">
        <v>222</v>
      </c>
      <c r="E2028" s="667"/>
      <c r="F2028" s="667"/>
      <c r="G2028" s="667"/>
      <c r="H2028" s="667">
        <v>42</v>
      </c>
      <c r="I2028" s="667"/>
      <c r="J2028" s="667"/>
      <c r="K2028" s="667" t="s">
        <v>33</v>
      </c>
      <c r="L2028" s="1350"/>
      <c r="M2028" s="596">
        <v>3984400</v>
      </c>
      <c r="N2028" s="597"/>
      <c r="O2028" s="586">
        <v>16123</v>
      </c>
      <c r="P2028" s="586"/>
      <c r="Q2028" s="586">
        <v>40000</v>
      </c>
      <c r="R2028" s="561">
        <f>M2028/G2027</f>
        <v>2800</v>
      </c>
      <c r="S2028" s="586"/>
      <c r="T2028" s="754"/>
      <c r="U2028" s="1016"/>
      <c r="V2028" s="589"/>
      <c r="W2028" s="600"/>
      <c r="X2028" s="1016"/>
      <c r="Y2028" s="600">
        <f t="shared" si="283"/>
        <v>4040523</v>
      </c>
      <c r="Z2028" s="1016"/>
    </row>
    <row r="2029" spans="1:16380" s="114" customFormat="1" hidden="1">
      <c r="A2029" s="580">
        <v>508</v>
      </c>
      <c r="B2029" s="591" t="s">
        <v>4329</v>
      </c>
      <c r="C2029" s="590" t="s">
        <v>271</v>
      </c>
      <c r="D2029" s="667">
        <v>20261</v>
      </c>
      <c r="E2029" s="667">
        <v>3652</v>
      </c>
      <c r="F2029" s="667" t="s">
        <v>222</v>
      </c>
      <c r="G2029" s="667">
        <v>1784</v>
      </c>
      <c r="H2029" s="667">
        <v>5</v>
      </c>
      <c r="I2029" s="667">
        <v>5</v>
      </c>
      <c r="J2029" s="667">
        <v>48</v>
      </c>
      <c r="K2029" s="667" t="s">
        <v>38</v>
      </c>
      <c r="L2029" s="1350">
        <f>M2029+N2029+O2029+P2029+Q2029+M2030+N2030+O2030+Q2030</f>
        <v>11675029</v>
      </c>
      <c r="M2029" s="596">
        <v>6573600</v>
      </c>
      <c r="N2029" s="597"/>
      <c r="O2029" s="586">
        <v>18484</v>
      </c>
      <c r="P2029" s="586"/>
      <c r="Q2029" s="586">
        <v>30000</v>
      </c>
      <c r="R2029" s="594">
        <f>M2029/E2029</f>
        <v>1800</v>
      </c>
      <c r="S2029" s="586"/>
      <c r="T2029" s="754"/>
      <c r="U2029" s="1016"/>
      <c r="V2029" s="589"/>
      <c r="W2029" s="600"/>
      <c r="X2029" s="1016"/>
      <c r="Y2029" s="600">
        <f t="shared" si="283"/>
        <v>6622084</v>
      </c>
      <c r="Z2029" s="1016"/>
    </row>
    <row r="2030" spans="1:16380" s="114" customFormat="1" hidden="1">
      <c r="A2030" s="580"/>
      <c r="B2030" s="591"/>
      <c r="C2030" s="667"/>
      <c r="D2030" s="667"/>
      <c r="E2030" s="667"/>
      <c r="F2030" s="667"/>
      <c r="G2030" s="667"/>
      <c r="H2030" s="667"/>
      <c r="I2030" s="667"/>
      <c r="J2030" s="667"/>
      <c r="K2030" s="667" t="s">
        <v>33</v>
      </c>
      <c r="L2030" s="1350"/>
      <c r="M2030" s="596">
        <v>4995200</v>
      </c>
      <c r="N2030" s="597"/>
      <c r="O2030" s="586">
        <v>17745</v>
      </c>
      <c r="P2030" s="586"/>
      <c r="Q2030" s="586">
        <v>40000</v>
      </c>
      <c r="R2030" s="561">
        <f>M2030/G2029</f>
        <v>2800</v>
      </c>
      <c r="S2030" s="586"/>
      <c r="T2030" s="754"/>
      <c r="U2030" s="1016"/>
      <c r="V2030" s="589"/>
      <c r="W2030" s="600"/>
      <c r="X2030" s="1016"/>
      <c r="Y2030" s="600">
        <f t="shared" si="283"/>
        <v>5052945</v>
      </c>
      <c r="Z2030" s="1016"/>
    </row>
    <row r="2031" spans="1:16380" s="114" customFormat="1" hidden="1">
      <c r="A2031" s="580">
        <v>509</v>
      </c>
      <c r="B2031" s="591" t="s">
        <v>4330</v>
      </c>
      <c r="C2031" s="590" t="s">
        <v>271</v>
      </c>
      <c r="D2031" s="667">
        <v>18918</v>
      </c>
      <c r="E2031" s="667">
        <v>3702</v>
      </c>
      <c r="F2031" s="667" t="s">
        <v>222</v>
      </c>
      <c r="G2031" s="667">
        <v>1814</v>
      </c>
      <c r="H2031" s="667">
        <v>5</v>
      </c>
      <c r="I2031" s="667">
        <v>5</v>
      </c>
      <c r="J2031" s="667">
        <v>50</v>
      </c>
      <c r="K2031" s="667" t="s">
        <v>38</v>
      </c>
      <c r="L2031" s="1350">
        <f>M2031+N2031+O2031+P2031+Q2031+M2032+N2032+O2032+Q2032</f>
        <v>11848668</v>
      </c>
      <c r="M2031" s="596">
        <v>6663600</v>
      </c>
      <c r="N2031" s="597"/>
      <c r="O2031" s="586">
        <v>18484</v>
      </c>
      <c r="P2031" s="586"/>
      <c r="Q2031" s="586">
        <v>30000</v>
      </c>
      <c r="R2031" s="594">
        <f>M2031/E2031</f>
        <v>1800</v>
      </c>
      <c r="S2031" s="586"/>
      <c r="T2031" s="754"/>
      <c r="U2031" s="1016"/>
      <c r="V2031" s="589"/>
      <c r="W2031" s="600"/>
      <c r="X2031" s="1016"/>
      <c r="Y2031" s="600">
        <f t="shared" si="283"/>
        <v>6712084</v>
      </c>
      <c r="Z2031" s="1016"/>
    </row>
    <row r="2032" spans="1:16380" s="114" customFormat="1" hidden="1">
      <c r="A2032" s="580"/>
      <c r="B2032" s="591"/>
      <c r="C2032" s="667"/>
      <c r="D2032" s="667"/>
      <c r="E2032" s="667"/>
      <c r="F2032" s="667"/>
      <c r="G2032" s="667"/>
      <c r="H2032" s="667"/>
      <c r="I2032" s="667"/>
      <c r="J2032" s="667"/>
      <c r="K2032" s="667" t="s">
        <v>33</v>
      </c>
      <c r="L2032" s="1350"/>
      <c r="M2032" s="596">
        <v>5079200</v>
      </c>
      <c r="N2032" s="597"/>
      <c r="O2032" s="586">
        <v>17384</v>
      </c>
      <c r="P2032" s="586"/>
      <c r="Q2032" s="586">
        <v>40000</v>
      </c>
      <c r="R2032" s="561">
        <f>M2032/G2031</f>
        <v>2800</v>
      </c>
      <c r="S2032" s="586"/>
      <c r="T2032" s="754"/>
      <c r="U2032" s="1016"/>
      <c r="V2032" s="589"/>
      <c r="W2032" s="600"/>
      <c r="X2032" s="1016"/>
      <c r="Y2032" s="600">
        <f t="shared" si="283"/>
        <v>5136584</v>
      </c>
      <c r="Z2032" s="1016"/>
    </row>
    <row r="2033" spans="1:26" s="114" customFormat="1" hidden="1">
      <c r="A2033" s="580">
        <v>510</v>
      </c>
      <c r="B2033" s="591" t="s">
        <v>4331</v>
      </c>
      <c r="C2033" s="590" t="s">
        <v>271</v>
      </c>
      <c r="D2033" s="667">
        <v>38846</v>
      </c>
      <c r="E2033" s="667">
        <v>7686</v>
      </c>
      <c r="F2033" s="667" t="s">
        <v>222</v>
      </c>
      <c r="G2033" s="667">
        <v>3741.3</v>
      </c>
      <c r="H2033" s="667">
        <v>4</v>
      </c>
      <c r="I2033" s="667">
        <v>11</v>
      </c>
      <c r="J2033" s="667">
        <v>127</v>
      </c>
      <c r="K2033" s="667" t="s">
        <v>38</v>
      </c>
      <c r="L2033" s="596">
        <f>M2033+N2033+O2033+P2033+Q2033</f>
        <v>13889023</v>
      </c>
      <c r="M2033" s="596">
        <v>13834800</v>
      </c>
      <c r="N2033" s="597"/>
      <c r="O2033" s="586">
        <v>24223</v>
      </c>
      <c r="P2033" s="586"/>
      <c r="Q2033" s="586">
        <v>30000</v>
      </c>
      <c r="R2033" s="594">
        <f>M2033/E2033</f>
        <v>1800</v>
      </c>
      <c r="S2033" s="586"/>
      <c r="T2033" s="754"/>
      <c r="U2033" s="1016"/>
      <c r="V2033" s="589"/>
      <c r="W2033" s="600"/>
      <c r="X2033" s="1016"/>
      <c r="Y2033" s="600">
        <f t="shared" si="283"/>
        <v>13889023</v>
      </c>
      <c r="Z2033" s="1016"/>
    </row>
    <row r="2034" spans="1:26" s="114" customFormat="1" hidden="1">
      <c r="A2034" s="580">
        <v>511</v>
      </c>
      <c r="B2034" s="709" t="s">
        <v>4332</v>
      </c>
      <c r="C2034" s="610" t="s">
        <v>419</v>
      </c>
      <c r="D2034" s="606">
        <v>10068</v>
      </c>
      <c r="E2034" s="606">
        <v>2093.5</v>
      </c>
      <c r="F2034" s="667" t="s">
        <v>222</v>
      </c>
      <c r="G2034" s="606">
        <v>874</v>
      </c>
      <c r="H2034" s="606">
        <v>5</v>
      </c>
      <c r="I2034" s="606">
        <v>3</v>
      </c>
      <c r="J2034" s="606">
        <v>56</v>
      </c>
      <c r="K2034" s="667" t="s">
        <v>38</v>
      </c>
      <c r="L2034" s="1350">
        <f>M2034+N2034+O2034+P2034+Q2034+M2035+N2035+O2035+Q2035</f>
        <v>9047841</v>
      </c>
      <c r="M2034" s="596">
        <v>6500000</v>
      </c>
      <c r="N2034" s="597"/>
      <c r="O2034" s="586">
        <v>15633</v>
      </c>
      <c r="P2034" s="586"/>
      <c r="Q2034" s="586">
        <v>30000</v>
      </c>
      <c r="R2034" s="594">
        <f>M2034/E2034</f>
        <v>3104.8483401003105</v>
      </c>
      <c r="S2034" s="586"/>
      <c r="T2034" s="754"/>
      <c r="U2034" s="1016"/>
      <c r="V2034" s="589"/>
      <c r="W2034" s="600"/>
      <c r="X2034" s="1016"/>
      <c r="Y2034" s="600">
        <f t="shared" si="283"/>
        <v>6545633</v>
      </c>
      <c r="Z2034" s="1016"/>
    </row>
    <row r="2035" spans="1:26" s="114" customFormat="1" hidden="1">
      <c r="A2035" s="580"/>
      <c r="B2035" s="709"/>
      <c r="C2035" s="606"/>
      <c r="D2035" s="667"/>
      <c r="E2035" s="606"/>
      <c r="F2035" s="606"/>
      <c r="G2035" s="606"/>
      <c r="H2035" s="606"/>
      <c r="I2035" s="606"/>
      <c r="J2035" s="606"/>
      <c r="K2035" s="667" t="s">
        <v>33</v>
      </c>
      <c r="L2035" s="1350"/>
      <c r="M2035" s="596">
        <v>2447200</v>
      </c>
      <c r="N2035" s="597"/>
      <c r="O2035" s="586">
        <v>15008</v>
      </c>
      <c r="P2035" s="586"/>
      <c r="Q2035" s="586">
        <v>40000</v>
      </c>
      <c r="R2035" s="561">
        <f>M2035/G2034</f>
        <v>2800</v>
      </c>
      <c r="S2035" s="586"/>
      <c r="T2035" s="754"/>
      <c r="U2035" s="1016"/>
      <c r="V2035" s="589"/>
      <c r="W2035" s="600"/>
      <c r="X2035" s="1016"/>
      <c r="Y2035" s="600">
        <f t="shared" si="283"/>
        <v>2502208</v>
      </c>
      <c r="Z2035" s="1016"/>
    </row>
    <row r="2036" spans="1:26" s="114" customFormat="1" hidden="1">
      <c r="A2036" s="580">
        <v>512</v>
      </c>
      <c r="B2036" s="709" t="s">
        <v>4333</v>
      </c>
      <c r="C2036" s="610" t="s">
        <v>419</v>
      </c>
      <c r="D2036" s="667">
        <v>9902</v>
      </c>
      <c r="E2036" s="667">
        <v>2608</v>
      </c>
      <c r="F2036" s="667" t="s">
        <v>316</v>
      </c>
      <c r="G2036" s="667">
        <v>1146</v>
      </c>
      <c r="H2036" s="667">
        <v>4</v>
      </c>
      <c r="I2036" s="667">
        <v>4</v>
      </c>
      <c r="J2036" s="667">
        <v>62</v>
      </c>
      <c r="K2036" s="667" t="s">
        <v>38</v>
      </c>
      <c r="L2036" s="596">
        <f>M2036+N2036+O2036+P2036+Q2036</f>
        <v>6544509</v>
      </c>
      <c r="M2036" s="596">
        <v>6500000</v>
      </c>
      <c r="N2036" s="597"/>
      <c r="O2036" s="586">
        <v>14509</v>
      </c>
      <c r="P2036" s="586"/>
      <c r="Q2036" s="586">
        <v>30000</v>
      </c>
      <c r="R2036" s="594">
        <f>M2036/E2036</f>
        <v>2492.3312883435583</v>
      </c>
      <c r="S2036" s="586"/>
      <c r="T2036" s="754"/>
      <c r="U2036" s="1016"/>
      <c r="V2036" s="589"/>
      <c r="W2036" s="600"/>
      <c r="X2036" s="1016"/>
      <c r="Y2036" s="600">
        <f t="shared" si="283"/>
        <v>6544509</v>
      </c>
      <c r="Z2036" s="1016"/>
    </row>
    <row r="2037" spans="1:26" s="114" customFormat="1" hidden="1">
      <c r="A2037" s="580">
        <v>513</v>
      </c>
      <c r="B2037" s="709" t="s">
        <v>4334</v>
      </c>
      <c r="C2037" s="610" t="s">
        <v>419</v>
      </c>
      <c r="D2037" s="667">
        <v>12618</v>
      </c>
      <c r="E2037" s="667">
        <v>2004.38</v>
      </c>
      <c r="F2037" s="667" t="s">
        <v>222</v>
      </c>
      <c r="G2037" s="667">
        <v>1146</v>
      </c>
      <c r="H2037" s="667">
        <v>5</v>
      </c>
      <c r="I2037" s="667">
        <v>4</v>
      </c>
      <c r="J2037" s="667">
        <v>64</v>
      </c>
      <c r="K2037" s="667" t="s">
        <v>38</v>
      </c>
      <c r="L2037" s="1350">
        <f>M2037+N2037+O2037+P2037+Q2037+M2038+N2038+O2038+Q2038</f>
        <v>10210839</v>
      </c>
      <c r="M2037" s="596">
        <v>6900000</v>
      </c>
      <c r="N2037" s="597"/>
      <c r="O2037" s="586">
        <v>16346</v>
      </c>
      <c r="P2037" s="586"/>
      <c r="Q2037" s="586">
        <v>30000</v>
      </c>
      <c r="R2037" s="594">
        <f>M2037/E2037</f>
        <v>3442.4610103872519</v>
      </c>
      <c r="S2037" s="586"/>
      <c r="T2037" s="754"/>
      <c r="U2037" s="1016"/>
      <c r="V2037" s="589"/>
      <c r="W2037" s="600"/>
      <c r="X2037" s="1016"/>
      <c r="Y2037" s="600">
        <f t="shared" si="283"/>
        <v>6946346</v>
      </c>
      <c r="Z2037" s="1016"/>
    </row>
    <row r="2038" spans="1:26" s="114" customFormat="1" hidden="1">
      <c r="A2038" s="580"/>
      <c r="B2038" s="709"/>
      <c r="C2038" s="667"/>
      <c r="D2038" s="667"/>
      <c r="E2038" s="667"/>
      <c r="F2038" s="667"/>
      <c r="G2038" s="667"/>
      <c r="H2038" s="667"/>
      <c r="I2038" s="667"/>
      <c r="J2038" s="667"/>
      <c r="K2038" s="667" t="s">
        <v>33</v>
      </c>
      <c r="L2038" s="1350"/>
      <c r="M2038" s="596">
        <v>3208800</v>
      </c>
      <c r="N2038" s="597"/>
      <c r="O2038" s="586">
        <v>15693</v>
      </c>
      <c r="P2038" s="586"/>
      <c r="Q2038" s="586">
        <v>40000</v>
      </c>
      <c r="R2038" s="561">
        <f>M2038/G2037</f>
        <v>2800</v>
      </c>
      <c r="S2038" s="586"/>
      <c r="T2038" s="754"/>
      <c r="U2038" s="1016"/>
      <c r="V2038" s="589"/>
      <c r="W2038" s="600"/>
      <c r="X2038" s="1016"/>
      <c r="Y2038" s="600">
        <f t="shared" si="283"/>
        <v>3264493</v>
      </c>
      <c r="Z2038" s="1016"/>
    </row>
    <row r="2039" spans="1:26" s="114" customFormat="1" hidden="1">
      <c r="A2039" s="580">
        <v>514</v>
      </c>
      <c r="B2039" s="709" t="s">
        <v>4335</v>
      </c>
      <c r="C2039" s="610" t="s">
        <v>419</v>
      </c>
      <c r="D2039" s="1043">
        <v>4977</v>
      </c>
      <c r="E2039" s="1049">
        <v>2586.2999999999997</v>
      </c>
      <c r="F2039" s="1050" t="s">
        <v>371</v>
      </c>
      <c r="G2039" s="1049">
        <v>439</v>
      </c>
      <c r="H2039" s="634">
        <v>5</v>
      </c>
      <c r="I2039" s="634">
        <v>1</v>
      </c>
      <c r="J2039" s="1048">
        <v>26</v>
      </c>
      <c r="K2039" s="667" t="s">
        <v>38</v>
      </c>
      <c r="L2039" s="1350">
        <f>M2039+N2039+O2039+P2039+Q2039+M2040+N2040+O2040+Q2040</f>
        <v>5947693.9999999991</v>
      </c>
      <c r="M2039" s="596">
        <v>4655339.9999999991</v>
      </c>
      <c r="N2039" s="597"/>
      <c r="O2039" s="586">
        <v>14210</v>
      </c>
      <c r="P2039" s="586"/>
      <c r="Q2039" s="586">
        <v>19881</v>
      </c>
      <c r="R2039" s="594">
        <f>M2039/E2039</f>
        <v>1799.9999999999998</v>
      </c>
      <c r="S2039" s="586"/>
      <c r="T2039" s="754"/>
      <c r="U2039" s="1016"/>
      <c r="V2039" s="589"/>
      <c r="W2039" s="600"/>
      <c r="X2039" s="1016"/>
      <c r="Y2039" s="600">
        <f t="shared" si="283"/>
        <v>4689430.9999999991</v>
      </c>
      <c r="Z2039" s="1016"/>
    </row>
    <row r="2040" spans="1:26" s="114" customFormat="1" hidden="1">
      <c r="A2040" s="580"/>
      <c r="B2040" s="709"/>
      <c r="C2040" s="610"/>
      <c r="D2040" s="1043"/>
      <c r="E2040" s="1049"/>
      <c r="F2040" s="1050"/>
      <c r="G2040" s="1049"/>
      <c r="H2040" s="634"/>
      <c r="I2040" s="634"/>
      <c r="J2040" s="1048"/>
      <c r="K2040" s="667" t="s">
        <v>33</v>
      </c>
      <c r="L2040" s="1350"/>
      <c r="M2040" s="596">
        <v>1229200</v>
      </c>
      <c r="N2040" s="597"/>
      <c r="O2040" s="586">
        <v>13641</v>
      </c>
      <c r="P2040" s="586"/>
      <c r="Q2040" s="586">
        <v>15422</v>
      </c>
      <c r="R2040" s="561">
        <f>M2040/G2039</f>
        <v>2800</v>
      </c>
      <c r="S2040" s="586"/>
      <c r="T2040" s="754"/>
      <c r="U2040" s="1016"/>
      <c r="V2040" s="589"/>
      <c r="W2040" s="600"/>
      <c r="X2040" s="1016"/>
      <c r="Y2040" s="600">
        <f t="shared" si="283"/>
        <v>1258263</v>
      </c>
      <c r="Z2040" s="1016"/>
    </row>
    <row r="2041" spans="1:26" s="114" customFormat="1" hidden="1">
      <c r="A2041" s="580">
        <v>515</v>
      </c>
      <c r="B2041" s="591" t="s">
        <v>4336</v>
      </c>
      <c r="C2041" s="610" t="s">
        <v>419</v>
      </c>
      <c r="D2041" s="667">
        <v>11719</v>
      </c>
      <c r="E2041" s="667">
        <v>2506</v>
      </c>
      <c r="F2041" s="667" t="s">
        <v>222</v>
      </c>
      <c r="G2041" s="667">
        <v>1286</v>
      </c>
      <c r="H2041" s="667">
        <v>3</v>
      </c>
      <c r="I2041" s="667">
        <v>4</v>
      </c>
      <c r="J2041" s="667">
        <v>30</v>
      </c>
      <c r="K2041" s="667" t="s">
        <v>38</v>
      </c>
      <c r="L2041" s="1350">
        <f>M2041+N2041+O2041+P2041+Q2041+M2042+N2042+O2042+Q2042</f>
        <v>8208004</v>
      </c>
      <c r="M2041" s="596">
        <v>4510800</v>
      </c>
      <c r="N2041" s="597"/>
      <c r="O2041" s="586">
        <v>15046</v>
      </c>
      <c r="P2041" s="586"/>
      <c r="Q2041" s="586">
        <v>30000</v>
      </c>
      <c r="R2041" s="594">
        <f>M2041/E2041</f>
        <v>1800</v>
      </c>
      <c r="S2041" s="586"/>
      <c r="T2041" s="754"/>
      <c r="U2041" s="1016"/>
      <c r="V2041" s="589"/>
      <c r="W2041" s="600"/>
      <c r="X2041" s="1016"/>
      <c r="Y2041" s="600">
        <f t="shared" si="283"/>
        <v>4555846</v>
      </c>
      <c r="Z2041" s="1016"/>
    </row>
    <row r="2042" spans="1:26" s="114" customFormat="1" hidden="1">
      <c r="A2042" s="580"/>
      <c r="B2042" s="591"/>
      <c r="C2042" s="610"/>
      <c r="D2042" s="667"/>
      <c r="E2042" s="667"/>
      <c r="F2042" s="667"/>
      <c r="G2042" s="667"/>
      <c r="H2042" s="667"/>
      <c r="I2042" s="667"/>
      <c r="J2042" s="667"/>
      <c r="K2042" s="667" t="s">
        <v>33</v>
      </c>
      <c r="L2042" s="1350"/>
      <c r="M2042" s="596">
        <v>3600800</v>
      </c>
      <c r="N2042" s="597"/>
      <c r="O2042" s="586">
        <v>15046</v>
      </c>
      <c r="P2042" s="586"/>
      <c r="Q2042" s="586">
        <v>36312</v>
      </c>
      <c r="R2042" s="561">
        <f>M2042/G2041</f>
        <v>2800</v>
      </c>
      <c r="S2042" s="586"/>
      <c r="T2042" s="754"/>
      <c r="U2042" s="1016"/>
      <c r="V2042" s="589"/>
      <c r="W2042" s="600"/>
      <c r="X2042" s="1016"/>
      <c r="Y2042" s="600">
        <f t="shared" si="283"/>
        <v>3652158</v>
      </c>
      <c r="Z2042" s="1016"/>
    </row>
    <row r="2043" spans="1:26" s="114" customFormat="1" hidden="1">
      <c r="A2043" s="580">
        <v>516</v>
      </c>
      <c r="B2043" s="591" t="s">
        <v>4337</v>
      </c>
      <c r="C2043" s="590" t="s">
        <v>344</v>
      </c>
      <c r="D2043" s="667">
        <v>2307</v>
      </c>
      <c r="E2043" s="667">
        <v>651</v>
      </c>
      <c r="F2043" s="667" t="s">
        <v>222</v>
      </c>
      <c r="G2043" s="667">
        <v>386</v>
      </c>
      <c r="H2043" s="667">
        <v>2</v>
      </c>
      <c r="I2043" s="667">
        <v>2</v>
      </c>
      <c r="J2043" s="667">
        <v>8</v>
      </c>
      <c r="K2043" s="667" t="s">
        <v>38</v>
      </c>
      <c r="L2043" s="1350">
        <f>M2043+N2043+O2043+P2043+Q2043+M2044+N2044+O2044+Q2044</f>
        <v>2304960</v>
      </c>
      <c r="M2043" s="596">
        <v>1171800</v>
      </c>
      <c r="N2043" s="597"/>
      <c r="O2043" s="586">
        <v>12648</v>
      </c>
      <c r="P2043" s="586"/>
      <c r="Q2043" s="586">
        <v>14712</v>
      </c>
      <c r="R2043" s="594">
        <f>M2043/E2043</f>
        <v>1800</v>
      </c>
      <c r="S2043" s="586"/>
      <c r="T2043" s="754"/>
      <c r="U2043" s="1016"/>
      <c r="V2043" s="589"/>
      <c r="W2043" s="600"/>
      <c r="X2043" s="1016"/>
      <c r="Y2043" s="600">
        <f t="shared" si="283"/>
        <v>1199160</v>
      </c>
      <c r="Z2043" s="1016"/>
    </row>
    <row r="2044" spans="1:26" s="114" customFormat="1" hidden="1">
      <c r="A2044" s="580"/>
      <c r="B2044" s="591"/>
      <c r="C2044" s="590"/>
      <c r="D2044" s="667"/>
      <c r="E2044" s="667"/>
      <c r="F2044" s="667"/>
      <c r="G2044" s="667"/>
      <c r="H2044" s="667"/>
      <c r="I2044" s="667"/>
      <c r="J2044" s="667"/>
      <c r="K2044" s="667" t="s">
        <v>33</v>
      </c>
      <c r="L2044" s="1350"/>
      <c r="M2044" s="596">
        <v>1080800</v>
      </c>
      <c r="N2044" s="597"/>
      <c r="O2044" s="586">
        <v>13703</v>
      </c>
      <c r="P2044" s="586"/>
      <c r="Q2044" s="586">
        <v>11297</v>
      </c>
      <c r="R2044" s="561">
        <f>M2044/G2043</f>
        <v>2800</v>
      </c>
      <c r="S2044" s="586"/>
      <c r="T2044" s="754"/>
      <c r="U2044" s="1016"/>
      <c r="V2044" s="589"/>
      <c r="W2044" s="600"/>
      <c r="X2044" s="1016"/>
      <c r="Y2044" s="600">
        <f t="shared" si="283"/>
        <v>1105800</v>
      </c>
      <c r="Z2044" s="1016"/>
    </row>
    <row r="2045" spans="1:26" s="114" customFormat="1" hidden="1">
      <c r="A2045" s="580">
        <v>517</v>
      </c>
      <c r="B2045" s="591" t="s">
        <v>4338</v>
      </c>
      <c r="C2045" s="590" t="s">
        <v>344</v>
      </c>
      <c r="D2045" s="667">
        <v>1941</v>
      </c>
      <c r="E2045" s="667">
        <v>638</v>
      </c>
      <c r="F2045" s="667" t="s">
        <v>222</v>
      </c>
      <c r="G2045" s="667">
        <v>386</v>
      </c>
      <c r="H2045" s="667">
        <v>2</v>
      </c>
      <c r="I2045" s="667">
        <v>2</v>
      </c>
      <c r="J2045" s="667">
        <v>8</v>
      </c>
      <c r="K2045" s="667" t="s">
        <v>38</v>
      </c>
      <c r="L2045" s="1350">
        <f>M2045+N2045+O2045+P2045+Q2045+M2046+N2046+O2046+Q2046</f>
        <v>2276580</v>
      </c>
      <c r="M2045" s="596">
        <v>1148400</v>
      </c>
      <c r="N2045" s="597"/>
      <c r="O2045" s="586">
        <v>12239</v>
      </c>
      <c r="P2045" s="586"/>
      <c r="Q2045" s="586">
        <v>12378</v>
      </c>
      <c r="R2045" s="594">
        <f>M2045/E2045</f>
        <v>1800</v>
      </c>
      <c r="S2045" s="586"/>
      <c r="T2045" s="754"/>
      <c r="U2045" s="1016"/>
      <c r="V2045" s="589"/>
      <c r="W2045" s="600"/>
      <c r="X2045" s="1016"/>
      <c r="Y2045" s="600">
        <f t="shared" si="283"/>
        <v>1173017</v>
      </c>
      <c r="Z2045" s="1016"/>
    </row>
    <row r="2046" spans="1:26" s="114" customFormat="1" hidden="1">
      <c r="A2046" s="580"/>
      <c r="B2046" s="591"/>
      <c r="C2046" s="590"/>
      <c r="D2046" s="667"/>
      <c r="E2046" s="667"/>
      <c r="F2046" s="667"/>
      <c r="G2046" s="667"/>
      <c r="H2046" s="667"/>
      <c r="I2046" s="667"/>
      <c r="J2046" s="667"/>
      <c r="K2046" s="667" t="s">
        <v>33</v>
      </c>
      <c r="L2046" s="1350"/>
      <c r="M2046" s="596">
        <v>1080800</v>
      </c>
      <c r="N2046" s="597"/>
      <c r="O2046" s="586">
        <v>13259</v>
      </c>
      <c r="P2046" s="586"/>
      <c r="Q2046" s="586">
        <v>9504</v>
      </c>
      <c r="R2046" s="561">
        <f>M2046/G2045</f>
        <v>2800</v>
      </c>
      <c r="S2046" s="586"/>
      <c r="T2046" s="754"/>
      <c r="U2046" s="1016"/>
      <c r="V2046" s="589"/>
      <c r="W2046" s="600"/>
      <c r="X2046" s="1016"/>
      <c r="Y2046" s="600">
        <f t="shared" si="283"/>
        <v>1103563</v>
      </c>
      <c r="Z2046" s="1016"/>
    </row>
    <row r="2047" spans="1:26" s="114" customFormat="1" hidden="1">
      <c r="A2047" s="580">
        <v>518</v>
      </c>
      <c r="B2047" s="591" t="s">
        <v>4339</v>
      </c>
      <c r="C2047" s="590" t="s">
        <v>344</v>
      </c>
      <c r="D2047" s="667">
        <v>1891</v>
      </c>
      <c r="E2047" s="667">
        <v>641</v>
      </c>
      <c r="F2047" s="667" t="s">
        <v>222</v>
      </c>
      <c r="G2047" s="667">
        <v>363</v>
      </c>
      <c r="H2047" s="667">
        <v>2</v>
      </c>
      <c r="I2047" s="667">
        <v>2</v>
      </c>
      <c r="J2047" s="667">
        <v>8</v>
      </c>
      <c r="K2047" s="667" t="s">
        <v>38</v>
      </c>
      <c r="L2047" s="1350">
        <f>M2047+N2047+O2047+P2047+Q2047+M2048+N2048+O2048+Q2048</f>
        <v>2216899</v>
      </c>
      <c r="M2047" s="596">
        <v>1153800</v>
      </c>
      <c r="N2047" s="597"/>
      <c r="O2047" s="586">
        <v>12182</v>
      </c>
      <c r="P2047" s="586"/>
      <c r="Q2047" s="586">
        <v>12059</v>
      </c>
      <c r="R2047" s="594">
        <f>M2047/E2047</f>
        <v>1800</v>
      </c>
      <c r="S2047" s="586"/>
      <c r="T2047" s="754"/>
      <c r="U2047" s="1016"/>
      <c r="V2047" s="589"/>
      <c r="W2047" s="600"/>
      <c r="X2047" s="1016"/>
      <c r="Y2047" s="600">
        <f t="shared" si="283"/>
        <v>1178041</v>
      </c>
      <c r="Z2047" s="1016"/>
    </row>
    <row r="2048" spans="1:26" s="114" customFormat="1" hidden="1">
      <c r="A2048" s="580"/>
      <c r="B2048" s="591"/>
      <c r="C2048" s="590"/>
      <c r="D2048" s="667"/>
      <c r="E2048" s="667"/>
      <c r="F2048" s="667"/>
      <c r="G2048" s="667"/>
      <c r="H2048" s="667"/>
      <c r="I2048" s="667"/>
      <c r="J2048" s="667"/>
      <c r="K2048" s="667" t="s">
        <v>33</v>
      </c>
      <c r="L2048" s="1350"/>
      <c r="M2048" s="596">
        <v>1016400</v>
      </c>
      <c r="N2048" s="597"/>
      <c r="O2048" s="586">
        <v>13198</v>
      </c>
      <c r="P2048" s="586"/>
      <c r="Q2048" s="586">
        <v>9260</v>
      </c>
      <c r="R2048" s="561">
        <f>M2048/G2047</f>
        <v>2800</v>
      </c>
      <c r="S2048" s="586"/>
      <c r="T2048" s="754"/>
      <c r="U2048" s="1016"/>
      <c r="V2048" s="589"/>
      <c r="W2048" s="600"/>
      <c r="X2048" s="1016"/>
      <c r="Y2048" s="600">
        <f t="shared" si="283"/>
        <v>1038858</v>
      </c>
      <c r="Z2048" s="1016"/>
    </row>
    <row r="2049" spans="1:26" s="114" customFormat="1" hidden="1">
      <c r="A2049" s="580">
        <v>519</v>
      </c>
      <c r="B2049" s="591" t="s">
        <v>4340</v>
      </c>
      <c r="C2049" s="590" t="s">
        <v>344</v>
      </c>
      <c r="D2049" s="667">
        <v>1911</v>
      </c>
      <c r="E2049" s="667">
        <v>638</v>
      </c>
      <c r="F2049" s="667" t="s">
        <v>222</v>
      </c>
      <c r="G2049" s="667">
        <v>355</v>
      </c>
      <c r="H2049" s="667">
        <v>2</v>
      </c>
      <c r="I2049" s="667">
        <v>2</v>
      </c>
      <c r="J2049" s="667">
        <v>8</v>
      </c>
      <c r="K2049" s="667" t="s">
        <v>38</v>
      </c>
      <c r="L2049" s="1350">
        <f>M2049+N2049+O2049+P2049+Q2049+M2050+N2050+O2050+Q2050</f>
        <v>2189373</v>
      </c>
      <c r="M2049" s="596">
        <v>1148400</v>
      </c>
      <c r="N2049" s="597"/>
      <c r="O2049" s="586">
        <v>12205</v>
      </c>
      <c r="P2049" s="586"/>
      <c r="Q2049" s="586">
        <v>12187</v>
      </c>
      <c r="R2049" s="594">
        <f>M2049/E2049</f>
        <v>1800</v>
      </c>
      <c r="S2049" s="586"/>
      <c r="T2049" s="754"/>
      <c r="U2049" s="1016"/>
      <c r="V2049" s="589"/>
      <c r="W2049" s="600"/>
      <c r="X2049" s="1016"/>
      <c r="Y2049" s="600">
        <f t="shared" si="283"/>
        <v>1172792</v>
      </c>
      <c r="Z2049" s="1016"/>
    </row>
    <row r="2050" spans="1:26" s="114" customFormat="1" hidden="1">
      <c r="A2050" s="580"/>
      <c r="B2050" s="591"/>
      <c r="C2050" s="590"/>
      <c r="D2050" s="667"/>
      <c r="E2050" s="667"/>
      <c r="F2050" s="667"/>
      <c r="G2050" s="667"/>
      <c r="H2050" s="667"/>
      <c r="I2050" s="667"/>
      <c r="J2050" s="667"/>
      <c r="K2050" s="667" t="s">
        <v>33</v>
      </c>
      <c r="L2050" s="1350"/>
      <c r="M2050" s="596">
        <v>994000</v>
      </c>
      <c r="N2050" s="597"/>
      <c r="O2050" s="586">
        <v>13223</v>
      </c>
      <c r="P2050" s="586"/>
      <c r="Q2050" s="586">
        <v>9358</v>
      </c>
      <c r="R2050" s="561">
        <f>M2050/G2049</f>
        <v>2800</v>
      </c>
      <c r="S2050" s="586"/>
      <c r="T2050" s="754"/>
      <c r="U2050" s="1016"/>
      <c r="V2050" s="589"/>
      <c r="W2050" s="600"/>
      <c r="X2050" s="1016"/>
      <c r="Y2050" s="600">
        <f t="shared" si="283"/>
        <v>1016581</v>
      </c>
      <c r="Z2050" s="1016"/>
    </row>
    <row r="2051" spans="1:26" s="114" customFormat="1" hidden="1">
      <c r="A2051" s="580">
        <v>520</v>
      </c>
      <c r="B2051" s="591" t="s">
        <v>4341</v>
      </c>
      <c r="C2051" s="590" t="s">
        <v>344</v>
      </c>
      <c r="D2051" s="667">
        <v>2294</v>
      </c>
      <c r="E2051" s="667">
        <v>640</v>
      </c>
      <c r="F2051" s="667" t="s">
        <v>222</v>
      </c>
      <c r="G2051" s="667">
        <v>355</v>
      </c>
      <c r="H2051" s="667">
        <v>2</v>
      </c>
      <c r="I2051" s="667">
        <v>2</v>
      </c>
      <c r="J2051" s="667">
        <v>8</v>
      </c>
      <c r="K2051" s="667" t="s">
        <v>38</v>
      </c>
      <c r="L2051" s="1350">
        <f>M2051+N2051+O2051+P2051+Q2051+M2052+N2052+O2052+Q2052</f>
        <v>2198183</v>
      </c>
      <c r="M2051" s="596">
        <v>1152000</v>
      </c>
      <c r="N2051" s="597"/>
      <c r="O2051" s="586">
        <v>12634</v>
      </c>
      <c r="P2051" s="586"/>
      <c r="Q2051" s="586">
        <v>14629</v>
      </c>
      <c r="R2051" s="594">
        <f>M2051/E2051</f>
        <v>1800</v>
      </c>
      <c r="S2051" s="586"/>
      <c r="T2051" s="754"/>
      <c r="U2051" s="1016"/>
      <c r="V2051" s="589"/>
      <c r="W2051" s="600"/>
      <c r="X2051" s="1016"/>
      <c r="Y2051" s="600">
        <f t="shared" si="283"/>
        <v>1179263</v>
      </c>
      <c r="Z2051" s="1016"/>
    </row>
    <row r="2052" spans="1:26" s="114" customFormat="1" hidden="1">
      <c r="A2052" s="580"/>
      <c r="B2052" s="591"/>
      <c r="C2052" s="590"/>
      <c r="D2052" s="667"/>
      <c r="E2052" s="667"/>
      <c r="F2052" s="667"/>
      <c r="G2052" s="667"/>
      <c r="H2052" s="667"/>
      <c r="I2052" s="667"/>
      <c r="J2052" s="667"/>
      <c r="K2052" s="667" t="s">
        <v>33</v>
      </c>
      <c r="L2052" s="1350"/>
      <c r="M2052" s="596">
        <v>994000</v>
      </c>
      <c r="N2052" s="597"/>
      <c r="O2052" s="586">
        <v>13687</v>
      </c>
      <c r="P2052" s="586"/>
      <c r="Q2052" s="586">
        <v>11233</v>
      </c>
      <c r="R2052" s="561">
        <f>M2052/G2051</f>
        <v>2800</v>
      </c>
      <c r="S2052" s="586"/>
      <c r="T2052" s="754"/>
      <c r="U2052" s="1016"/>
      <c r="V2052" s="589"/>
      <c r="W2052" s="600"/>
      <c r="X2052" s="1016"/>
      <c r="Y2052" s="600">
        <f t="shared" si="283"/>
        <v>1018920</v>
      </c>
      <c r="Z2052" s="1016"/>
    </row>
    <row r="2053" spans="1:26" s="114" customFormat="1" hidden="1">
      <c r="A2053" s="580">
        <v>521</v>
      </c>
      <c r="B2053" s="591" t="s">
        <v>4342</v>
      </c>
      <c r="C2053" s="610" t="s">
        <v>419</v>
      </c>
      <c r="D2053" s="667">
        <v>3808</v>
      </c>
      <c r="E2053" s="667">
        <v>1302</v>
      </c>
      <c r="F2053" s="667" t="s">
        <v>222</v>
      </c>
      <c r="G2053" s="667">
        <v>576</v>
      </c>
      <c r="H2053" s="667">
        <v>3</v>
      </c>
      <c r="I2053" s="667">
        <v>2</v>
      </c>
      <c r="J2053" s="667">
        <v>24</v>
      </c>
      <c r="K2053" s="667" t="s">
        <v>38</v>
      </c>
      <c r="L2053" s="1350">
        <f>M2053+N2053+O2053+P2053+Q2053+M2054+N2054+O2054+Q2054</f>
        <v>4013742</v>
      </c>
      <c r="M2053" s="596">
        <v>2343600</v>
      </c>
      <c r="N2053" s="597"/>
      <c r="O2053" s="586">
        <v>15166</v>
      </c>
      <c r="P2053" s="586"/>
      <c r="Q2053" s="586">
        <v>15211</v>
      </c>
      <c r="R2053" s="594">
        <f>M2053/E2053</f>
        <v>1800</v>
      </c>
      <c r="S2053" s="586"/>
      <c r="T2053" s="754"/>
      <c r="U2053" s="1016"/>
      <c r="V2053" s="589"/>
      <c r="W2053" s="600"/>
      <c r="X2053" s="1016"/>
      <c r="Y2053" s="600">
        <f t="shared" si="283"/>
        <v>2373977</v>
      </c>
      <c r="Z2053" s="1016"/>
    </row>
    <row r="2054" spans="1:26" s="114" customFormat="1" hidden="1">
      <c r="A2054" s="580"/>
      <c r="B2054" s="591"/>
      <c r="C2054" s="610"/>
      <c r="D2054" s="667"/>
      <c r="E2054" s="667"/>
      <c r="F2054" s="667"/>
      <c r="G2054" s="667"/>
      <c r="H2054" s="667"/>
      <c r="I2054" s="667"/>
      <c r="J2054" s="667"/>
      <c r="K2054" s="667" t="s">
        <v>33</v>
      </c>
      <c r="L2054" s="1350"/>
      <c r="M2054" s="596">
        <v>1612800</v>
      </c>
      <c r="N2054" s="597"/>
      <c r="O2054" s="586">
        <v>15166</v>
      </c>
      <c r="P2054" s="586"/>
      <c r="Q2054" s="586">
        <v>11799</v>
      </c>
      <c r="R2054" s="561">
        <f>M2054/G2053</f>
        <v>2800</v>
      </c>
      <c r="S2054" s="586"/>
      <c r="T2054" s="754"/>
      <c r="U2054" s="1016"/>
      <c r="V2054" s="589"/>
      <c r="W2054" s="600"/>
      <c r="X2054" s="1016"/>
      <c r="Y2054" s="600">
        <f t="shared" si="283"/>
        <v>1639765</v>
      </c>
      <c r="Z2054" s="1016"/>
    </row>
    <row r="2055" spans="1:26" s="114" customFormat="1" hidden="1">
      <c r="A2055" s="580">
        <v>522</v>
      </c>
      <c r="B2055" s="709" t="s">
        <v>4343</v>
      </c>
      <c r="C2055" s="593" t="s">
        <v>271</v>
      </c>
      <c r="D2055" s="583">
        <v>10231</v>
      </c>
      <c r="E2055" s="570">
        <v>2607</v>
      </c>
      <c r="F2055" s="583" t="s">
        <v>233</v>
      </c>
      <c r="G2055" s="570">
        <v>513</v>
      </c>
      <c r="H2055" s="570">
        <v>9</v>
      </c>
      <c r="I2055" s="570">
        <v>1</v>
      </c>
      <c r="J2055" s="570">
        <v>52</v>
      </c>
      <c r="K2055" s="667" t="s">
        <v>38</v>
      </c>
      <c r="L2055" s="596">
        <f>M2055+N2055+O2055+P2055+Q2055</f>
        <v>4735189</v>
      </c>
      <c r="M2055" s="596">
        <v>4692600</v>
      </c>
      <c r="N2055" s="577"/>
      <c r="O2055" s="586">
        <v>20022</v>
      </c>
      <c r="P2055" s="586"/>
      <c r="Q2055" s="586">
        <v>22567</v>
      </c>
      <c r="R2055" s="594">
        <f>M2055/E2055</f>
        <v>1800</v>
      </c>
      <c r="S2055" s="586"/>
      <c r="T2055" s="754"/>
      <c r="U2055" s="1016"/>
      <c r="V2055" s="589"/>
      <c r="W2055" s="600"/>
      <c r="X2055" s="1016"/>
      <c r="Y2055" s="600">
        <f t="shared" si="283"/>
        <v>4735189</v>
      </c>
      <c r="Z2055" s="1016"/>
    </row>
    <row r="2056" spans="1:26" s="114" customFormat="1" hidden="1">
      <c r="A2056" s="580">
        <v>523</v>
      </c>
      <c r="B2056" s="709" t="s">
        <v>4344</v>
      </c>
      <c r="C2056" s="593" t="s">
        <v>271</v>
      </c>
      <c r="D2056" s="583">
        <v>6434</v>
      </c>
      <c r="E2056" s="570">
        <v>2371</v>
      </c>
      <c r="F2056" s="667" t="s">
        <v>222</v>
      </c>
      <c r="G2056" s="570">
        <v>583</v>
      </c>
      <c r="H2056" s="570">
        <v>5</v>
      </c>
      <c r="I2056" s="570">
        <v>2</v>
      </c>
      <c r="J2056" s="570">
        <v>34</v>
      </c>
      <c r="K2056" s="667" t="s">
        <v>38</v>
      </c>
      <c r="L2056" s="1350">
        <f>M2056+N2056+O2056+P2056+Q2056+M2057+N2057+O2057+Q2057</f>
        <v>5974486</v>
      </c>
      <c r="M2056" s="596">
        <v>4267800</v>
      </c>
      <c r="N2056" s="577"/>
      <c r="O2056" s="586">
        <v>14617</v>
      </c>
      <c r="P2056" s="586"/>
      <c r="Q2056" s="586">
        <v>25701</v>
      </c>
      <c r="R2056" s="594">
        <f>M2056/E2056</f>
        <v>1800</v>
      </c>
      <c r="S2056" s="586"/>
      <c r="T2056" s="754"/>
      <c r="U2056" s="1016"/>
      <c r="V2056" s="589"/>
      <c r="W2056" s="600"/>
      <c r="X2056" s="1016"/>
      <c r="Y2056" s="600">
        <f t="shared" si="283"/>
        <v>4308118</v>
      </c>
      <c r="Z2056" s="1016"/>
    </row>
    <row r="2057" spans="1:26" s="114" customFormat="1" hidden="1">
      <c r="A2057" s="580"/>
      <c r="B2057" s="709"/>
      <c r="C2057" s="593"/>
      <c r="D2057" s="583"/>
      <c r="E2057" s="570"/>
      <c r="F2057" s="667"/>
      <c r="G2057" s="570"/>
      <c r="H2057" s="570"/>
      <c r="I2057" s="570"/>
      <c r="J2057" s="570"/>
      <c r="K2057" s="667" t="s">
        <v>33</v>
      </c>
      <c r="L2057" s="1350"/>
      <c r="M2057" s="596">
        <v>1632400</v>
      </c>
      <c r="N2057" s="577"/>
      <c r="O2057" s="586">
        <v>14032</v>
      </c>
      <c r="P2057" s="586"/>
      <c r="Q2057" s="586">
        <v>19936</v>
      </c>
      <c r="R2057" s="561">
        <f>M2057/G2056</f>
        <v>2800</v>
      </c>
      <c r="S2057" s="586"/>
      <c r="T2057" s="754"/>
      <c r="U2057" s="1016"/>
      <c r="V2057" s="589"/>
      <c r="W2057" s="600"/>
      <c r="X2057" s="1016"/>
      <c r="Y2057" s="600">
        <f t="shared" si="283"/>
        <v>1666368</v>
      </c>
      <c r="Z2057" s="1016"/>
    </row>
    <row r="2058" spans="1:26" s="114" customFormat="1" hidden="1">
      <c r="A2058" s="580">
        <v>524</v>
      </c>
      <c r="B2058" s="709" t="s">
        <v>4356</v>
      </c>
      <c r="C2058" s="593" t="s">
        <v>271</v>
      </c>
      <c r="D2058" s="583">
        <v>12603</v>
      </c>
      <c r="E2058" s="570">
        <v>2386</v>
      </c>
      <c r="F2058" s="667" t="s">
        <v>222</v>
      </c>
      <c r="G2058" s="570">
        <v>1154</v>
      </c>
      <c r="H2058" s="570">
        <v>5</v>
      </c>
      <c r="I2058" s="570">
        <v>4</v>
      </c>
      <c r="J2058" s="570">
        <v>67</v>
      </c>
      <c r="K2058" s="667" t="s">
        <v>38</v>
      </c>
      <c r="L2058" s="1350">
        <f>M2058+N2058+O2058+P2058+Q2058+M2059+N2059+O2059+Q2059</f>
        <v>9832283</v>
      </c>
      <c r="M2058" s="596">
        <v>6500000</v>
      </c>
      <c r="N2058" s="577"/>
      <c r="O2058" s="586">
        <v>16342</v>
      </c>
      <c r="P2058" s="586"/>
      <c r="Q2058" s="586">
        <v>30000</v>
      </c>
      <c r="R2058" s="594">
        <f>M2058/E2058</f>
        <v>2724.224643755239</v>
      </c>
      <c r="S2058" s="586"/>
      <c r="T2058" s="754"/>
      <c r="U2058" s="1016"/>
      <c r="V2058" s="589"/>
      <c r="W2058" s="600"/>
      <c r="X2058" s="1016"/>
      <c r="Y2058" s="600">
        <f t="shared" si="283"/>
        <v>6546342</v>
      </c>
      <c r="Z2058" s="1016"/>
    </row>
    <row r="2059" spans="1:26" s="114" customFormat="1" hidden="1">
      <c r="A2059" s="580"/>
      <c r="B2059" s="709"/>
      <c r="C2059" s="593"/>
      <c r="D2059" s="583"/>
      <c r="E2059" s="570"/>
      <c r="F2059" s="667"/>
      <c r="G2059" s="570"/>
      <c r="H2059" s="570"/>
      <c r="I2059" s="570"/>
      <c r="J2059" s="570"/>
      <c r="K2059" s="667" t="s">
        <v>33</v>
      </c>
      <c r="L2059" s="1350"/>
      <c r="M2059" s="596">
        <v>3231200</v>
      </c>
      <c r="N2059" s="577"/>
      <c r="O2059" s="586">
        <v>15689</v>
      </c>
      <c r="P2059" s="586"/>
      <c r="Q2059" s="586">
        <v>39052</v>
      </c>
      <c r="R2059" s="561">
        <f>M2059/G2058</f>
        <v>2800</v>
      </c>
      <c r="S2059" s="586"/>
      <c r="T2059" s="754"/>
      <c r="U2059" s="1016"/>
      <c r="V2059" s="589"/>
      <c r="W2059" s="600"/>
      <c r="X2059" s="1016"/>
      <c r="Y2059" s="600">
        <f t="shared" si="283"/>
        <v>3285941</v>
      </c>
      <c r="Z2059" s="1016"/>
    </row>
    <row r="2060" spans="1:26" s="114" customFormat="1" hidden="1">
      <c r="A2060" s="580">
        <v>525</v>
      </c>
      <c r="B2060" s="709" t="s">
        <v>2631</v>
      </c>
      <c r="C2060" s="593" t="s">
        <v>271</v>
      </c>
      <c r="D2060" s="583">
        <v>13525</v>
      </c>
      <c r="E2060" s="594">
        <v>2856</v>
      </c>
      <c r="F2060" s="667" t="s">
        <v>222</v>
      </c>
      <c r="G2060" s="570">
        <v>1146</v>
      </c>
      <c r="H2060" s="570">
        <v>5</v>
      </c>
      <c r="I2060" s="570">
        <v>4</v>
      </c>
      <c r="J2060" s="570">
        <v>77</v>
      </c>
      <c r="K2060" s="667" t="s">
        <v>38</v>
      </c>
      <c r="L2060" s="1350">
        <f>M2060+N2060+O2060+P2060+Q2060+M2061+N2061+O2061+Q2061</f>
        <v>9811336</v>
      </c>
      <c r="M2060" s="596">
        <v>6500000</v>
      </c>
      <c r="N2060" s="577"/>
      <c r="O2060" s="586">
        <v>16600</v>
      </c>
      <c r="P2060" s="586"/>
      <c r="Q2060" s="586">
        <v>30000</v>
      </c>
      <c r="R2060" s="594">
        <f>M2060/E2060</f>
        <v>2275.9103641456581</v>
      </c>
      <c r="S2060" s="586"/>
      <c r="T2060" s="754"/>
      <c r="U2060" s="1016"/>
      <c r="V2060" s="589"/>
      <c r="W2060" s="600"/>
      <c r="X2060" s="1016"/>
      <c r="Y2060" s="600">
        <f t="shared" si="283"/>
        <v>6546600</v>
      </c>
      <c r="Z2060" s="1016"/>
    </row>
    <row r="2061" spans="1:26" s="114" customFormat="1" hidden="1">
      <c r="A2061" s="580"/>
      <c r="B2061" s="591"/>
      <c r="C2061" s="593"/>
      <c r="D2061" s="583"/>
      <c r="E2061" s="594"/>
      <c r="F2061" s="667"/>
      <c r="G2061" s="594"/>
      <c r="H2061" s="594"/>
      <c r="I2061" s="594"/>
      <c r="J2061" s="594"/>
      <c r="K2061" s="667" t="s">
        <v>33</v>
      </c>
      <c r="L2061" s="1350"/>
      <c r="M2061" s="596">
        <v>3208800</v>
      </c>
      <c r="N2061" s="597"/>
      <c r="O2061" s="586">
        <v>15936</v>
      </c>
      <c r="P2061" s="586"/>
      <c r="Q2061" s="586">
        <v>40000</v>
      </c>
      <c r="R2061" s="561">
        <f>M2061/G2060</f>
        <v>2800</v>
      </c>
      <c r="S2061" s="586"/>
      <c r="T2061" s="754"/>
      <c r="U2061" s="1016"/>
      <c r="V2061" s="589"/>
      <c r="W2061" s="600"/>
      <c r="X2061" s="1016"/>
      <c r="Y2061" s="600">
        <f t="shared" si="283"/>
        <v>3264736</v>
      </c>
      <c r="Z2061" s="1016"/>
    </row>
    <row r="2062" spans="1:26" s="114" customFormat="1" hidden="1">
      <c r="A2062" s="580">
        <v>526</v>
      </c>
      <c r="B2062" s="709" t="s">
        <v>4355</v>
      </c>
      <c r="C2062" s="593" t="s">
        <v>271</v>
      </c>
      <c r="D2062" s="583">
        <v>13665</v>
      </c>
      <c r="E2062" s="570">
        <v>2420</v>
      </c>
      <c r="F2062" s="667" t="s">
        <v>222</v>
      </c>
      <c r="G2062" s="570">
        <v>1146</v>
      </c>
      <c r="H2062" s="570">
        <v>5</v>
      </c>
      <c r="I2062" s="570">
        <v>4</v>
      </c>
      <c r="J2062" s="570">
        <v>60</v>
      </c>
      <c r="K2062" s="667" t="s">
        <v>38</v>
      </c>
      <c r="L2062" s="1350">
        <f>M2062+N2062+O2062+P2062+Q2062+M2063+N2063+O2063+Q2063</f>
        <v>9811413</v>
      </c>
      <c r="M2062" s="596">
        <v>6500000</v>
      </c>
      <c r="N2062" s="577"/>
      <c r="O2062" s="586">
        <v>16639</v>
      </c>
      <c r="P2062" s="586"/>
      <c r="Q2062" s="586">
        <v>30000</v>
      </c>
      <c r="R2062" s="594">
        <f>M2062/E2062</f>
        <v>2685.9504132231405</v>
      </c>
      <c r="S2062" s="586"/>
      <c r="T2062" s="754"/>
      <c r="U2062" s="1016"/>
      <c r="V2062" s="589"/>
      <c r="W2062" s="600"/>
      <c r="X2062" s="1016"/>
      <c r="Y2062" s="600">
        <f t="shared" si="283"/>
        <v>6546639</v>
      </c>
      <c r="Z2062" s="1016"/>
    </row>
    <row r="2063" spans="1:26" s="114" customFormat="1" hidden="1">
      <c r="A2063" s="580"/>
      <c r="B2063" s="709"/>
      <c r="C2063" s="593"/>
      <c r="D2063" s="583"/>
      <c r="E2063" s="570"/>
      <c r="F2063" s="667"/>
      <c r="G2063" s="570"/>
      <c r="H2063" s="570"/>
      <c r="I2063" s="570"/>
      <c r="J2063" s="570"/>
      <c r="K2063" s="606" t="s">
        <v>377</v>
      </c>
      <c r="L2063" s="1350"/>
      <c r="M2063" s="596">
        <v>3208800</v>
      </c>
      <c r="N2063" s="577"/>
      <c r="O2063" s="586">
        <v>15974</v>
      </c>
      <c r="P2063" s="586"/>
      <c r="Q2063" s="586">
        <v>40000</v>
      </c>
      <c r="R2063" s="561">
        <f>M2063/G2062</f>
        <v>2800</v>
      </c>
      <c r="S2063" s="586"/>
      <c r="T2063" s="754"/>
      <c r="U2063" s="1016"/>
      <c r="V2063" s="589"/>
      <c r="W2063" s="600"/>
      <c r="X2063" s="1016"/>
      <c r="Y2063" s="600">
        <f t="shared" si="283"/>
        <v>3264774</v>
      </c>
      <c r="Z2063" s="1016"/>
    </row>
    <row r="2064" spans="1:26" s="114" customFormat="1" hidden="1">
      <c r="A2064" s="580">
        <v>527</v>
      </c>
      <c r="B2064" s="709" t="s">
        <v>4354</v>
      </c>
      <c r="C2064" s="593" t="s">
        <v>271</v>
      </c>
      <c r="D2064" s="583">
        <v>14206</v>
      </c>
      <c r="E2064" s="570">
        <v>2378.4</v>
      </c>
      <c r="F2064" s="667" t="s">
        <v>222</v>
      </c>
      <c r="G2064" s="570">
        <v>1127</v>
      </c>
      <c r="H2064" s="570">
        <v>5</v>
      </c>
      <c r="I2064" s="570">
        <v>4</v>
      </c>
      <c r="J2064" s="570">
        <v>76</v>
      </c>
      <c r="K2064" s="667" t="s">
        <v>38</v>
      </c>
      <c r="L2064" s="1350">
        <f>M2064+N2064+O2064+P2064+Q2064+M2065+N2065+O2065+Q2065</f>
        <v>9758510</v>
      </c>
      <c r="M2064" s="596">
        <v>6500000</v>
      </c>
      <c r="N2064" s="577"/>
      <c r="O2064" s="586">
        <v>16791</v>
      </c>
      <c r="P2064" s="586"/>
      <c r="Q2064" s="586">
        <v>30000</v>
      </c>
      <c r="R2064" s="594">
        <f>M2064/E2064</f>
        <v>2732.9297006390848</v>
      </c>
      <c r="S2064" s="586"/>
      <c r="T2064" s="754"/>
      <c r="U2064" s="1016"/>
      <c r="V2064" s="589"/>
      <c r="W2064" s="600"/>
      <c r="X2064" s="1016"/>
      <c r="Y2064" s="600">
        <f t="shared" si="283"/>
        <v>6546791</v>
      </c>
      <c r="Z2064" s="1016"/>
    </row>
    <row r="2065" spans="1:220" s="114" customFormat="1" hidden="1">
      <c r="A2065" s="580"/>
      <c r="B2065" s="709"/>
      <c r="C2065" s="593"/>
      <c r="D2065" s="583"/>
      <c r="E2065" s="570"/>
      <c r="F2065" s="667"/>
      <c r="G2065" s="570"/>
      <c r="H2065" s="570"/>
      <c r="I2065" s="570"/>
      <c r="J2065" s="570"/>
      <c r="K2065" s="606" t="s">
        <v>377</v>
      </c>
      <c r="L2065" s="1350"/>
      <c r="M2065" s="596">
        <v>3155600</v>
      </c>
      <c r="N2065" s="577"/>
      <c r="O2065" s="586">
        <v>16119</v>
      </c>
      <c r="P2065" s="586"/>
      <c r="Q2065" s="586">
        <v>40000</v>
      </c>
      <c r="R2065" s="561">
        <f>M2065/G2064</f>
        <v>2800</v>
      </c>
      <c r="S2065" s="586"/>
      <c r="T2065" s="754"/>
      <c r="U2065" s="1016"/>
      <c r="V2065" s="589"/>
      <c r="W2065" s="600"/>
      <c r="X2065" s="1016"/>
      <c r="Y2065" s="600">
        <f t="shared" si="283"/>
        <v>3211719</v>
      </c>
      <c r="Z2065" s="1016"/>
    </row>
    <row r="2066" spans="1:220" s="114" customFormat="1" hidden="1">
      <c r="A2066" s="580">
        <v>528</v>
      </c>
      <c r="B2066" s="709" t="s">
        <v>4353</v>
      </c>
      <c r="C2066" s="593" t="s">
        <v>271</v>
      </c>
      <c r="D2066" s="583">
        <v>9741</v>
      </c>
      <c r="E2066" s="570">
        <v>1795.2</v>
      </c>
      <c r="F2066" s="667" t="s">
        <v>222</v>
      </c>
      <c r="G2066" s="570">
        <v>887</v>
      </c>
      <c r="H2066" s="570">
        <v>5</v>
      </c>
      <c r="I2066" s="570">
        <v>3</v>
      </c>
      <c r="J2066" s="570">
        <v>60</v>
      </c>
      <c r="K2066" s="667" t="s">
        <v>38</v>
      </c>
      <c r="L2066" s="1350">
        <f>M2066+N2066+O2066+P2066+Q2066+M2067+N2067+O2067+Q2067</f>
        <v>5790525</v>
      </c>
      <c r="M2066" s="596">
        <v>3231360</v>
      </c>
      <c r="N2066" s="577"/>
      <c r="O2066" s="586">
        <v>15542</v>
      </c>
      <c r="P2066" s="586"/>
      <c r="Q2066" s="586">
        <v>14920</v>
      </c>
      <c r="R2066" s="594">
        <f>M2066/E2066</f>
        <v>1800</v>
      </c>
      <c r="S2066" s="586"/>
      <c r="T2066" s="754"/>
      <c r="U2066" s="1016"/>
      <c r="V2066" s="589"/>
      <c r="W2066" s="600"/>
      <c r="X2066" s="1016"/>
      <c r="Y2066" s="600">
        <f t="shared" si="283"/>
        <v>3261822</v>
      </c>
      <c r="Z2066" s="1016"/>
    </row>
    <row r="2067" spans="1:220" s="114" customFormat="1" hidden="1">
      <c r="A2067" s="580"/>
      <c r="B2067" s="709"/>
      <c r="C2067" s="593"/>
      <c r="D2067" s="583"/>
      <c r="E2067" s="570"/>
      <c r="F2067" s="667"/>
      <c r="G2067" s="570"/>
      <c r="H2067" s="570"/>
      <c r="I2067" s="570"/>
      <c r="J2067" s="570"/>
      <c r="K2067" s="606" t="s">
        <v>377</v>
      </c>
      <c r="L2067" s="1350"/>
      <c r="M2067" s="596">
        <v>2483600</v>
      </c>
      <c r="N2067" s="577"/>
      <c r="O2067" s="586">
        <v>14920</v>
      </c>
      <c r="P2067" s="586"/>
      <c r="Q2067" s="586">
        <v>30183</v>
      </c>
      <c r="R2067" s="561">
        <f>M2067/G2066</f>
        <v>2800</v>
      </c>
      <c r="S2067" s="586"/>
      <c r="T2067" s="754"/>
      <c r="U2067" s="1016"/>
      <c r="V2067" s="589"/>
      <c r="W2067" s="600"/>
      <c r="X2067" s="1016"/>
      <c r="Y2067" s="600">
        <f t="shared" si="283"/>
        <v>2528703</v>
      </c>
      <c r="Z2067" s="1016"/>
    </row>
    <row r="2068" spans="1:220" s="114" customFormat="1" hidden="1">
      <c r="A2068" s="580">
        <v>529</v>
      </c>
      <c r="B2068" s="709" t="s">
        <v>4352</v>
      </c>
      <c r="C2068" s="593" t="s">
        <v>271</v>
      </c>
      <c r="D2068" s="583">
        <v>14111</v>
      </c>
      <c r="E2068" s="570">
        <v>3031</v>
      </c>
      <c r="F2068" s="667" t="s">
        <v>222</v>
      </c>
      <c r="G2068" s="570">
        <v>1144</v>
      </c>
      <c r="H2068" s="570">
        <v>5</v>
      </c>
      <c r="I2068" s="570">
        <v>4</v>
      </c>
      <c r="J2068" s="570">
        <v>80</v>
      </c>
      <c r="K2068" s="667" t="s">
        <v>38</v>
      </c>
      <c r="L2068" s="1350">
        <f>M2068+N2068+O2068+P2068+Q2068+M2069+N2069+O2069+Q2069</f>
        <v>8761857</v>
      </c>
      <c r="M2068" s="596">
        <v>5455800</v>
      </c>
      <c r="N2068" s="577"/>
      <c r="O2068" s="586">
        <v>16764</v>
      </c>
      <c r="P2068" s="586"/>
      <c r="Q2068" s="586">
        <v>30000</v>
      </c>
      <c r="R2068" s="594">
        <f>M2068/E2068</f>
        <v>1800</v>
      </c>
      <c r="S2068" s="586"/>
      <c r="T2068" s="754"/>
      <c r="U2068" s="1016"/>
      <c r="V2068" s="589"/>
      <c r="W2068" s="600"/>
      <c r="X2068" s="1016"/>
      <c r="Y2068" s="600">
        <f t="shared" si="283"/>
        <v>5502564</v>
      </c>
      <c r="Z2068" s="1016"/>
    </row>
    <row r="2069" spans="1:220" s="114" customFormat="1" hidden="1">
      <c r="A2069" s="580"/>
      <c r="B2069" s="709"/>
      <c r="C2069" s="593"/>
      <c r="D2069" s="583"/>
      <c r="E2069" s="570"/>
      <c r="F2069" s="667"/>
      <c r="G2069" s="570"/>
      <c r="H2069" s="570"/>
      <c r="I2069" s="570"/>
      <c r="J2069" s="570"/>
      <c r="K2069" s="606" t="s">
        <v>377</v>
      </c>
      <c r="L2069" s="1350"/>
      <c r="M2069" s="596">
        <v>3203200</v>
      </c>
      <c r="N2069" s="577"/>
      <c r="O2069" s="586">
        <v>16093</v>
      </c>
      <c r="P2069" s="586"/>
      <c r="Q2069" s="586">
        <v>40000</v>
      </c>
      <c r="R2069" s="561">
        <f>M2069/G2068</f>
        <v>2800</v>
      </c>
      <c r="S2069" s="586"/>
      <c r="T2069" s="754"/>
      <c r="U2069" s="1016"/>
      <c r="V2069" s="589"/>
      <c r="W2069" s="600"/>
      <c r="X2069" s="1016"/>
      <c r="Y2069" s="600">
        <f t="shared" si="283"/>
        <v>3259293</v>
      </c>
      <c r="Z2069" s="1016"/>
    </row>
    <row r="2070" spans="1:220" s="114" customFormat="1" hidden="1">
      <c r="A2070" s="580">
        <v>530</v>
      </c>
      <c r="B2070" s="709" t="s">
        <v>4351</v>
      </c>
      <c r="C2070" s="593" t="s">
        <v>271</v>
      </c>
      <c r="D2070" s="583">
        <v>10374</v>
      </c>
      <c r="E2070" s="570">
        <v>2500</v>
      </c>
      <c r="F2070" s="667" t="s">
        <v>233</v>
      </c>
      <c r="G2070" s="570">
        <v>499</v>
      </c>
      <c r="H2070" s="570">
        <v>9</v>
      </c>
      <c r="I2070" s="570">
        <v>1</v>
      </c>
      <c r="J2070" s="570">
        <v>50</v>
      </c>
      <c r="K2070" s="667" t="s">
        <v>38</v>
      </c>
      <c r="L2070" s="596">
        <f>M2070+N2070+O2070+P2070+Q2070</f>
        <v>7037715</v>
      </c>
      <c r="M2070" s="596">
        <v>7000000</v>
      </c>
      <c r="N2070" s="577"/>
      <c r="O2070" s="586">
        <v>19578</v>
      </c>
      <c r="P2070" s="586"/>
      <c r="Q2070" s="586">
        <v>18137</v>
      </c>
      <c r="R2070" s="594">
        <f t="shared" ref="R2070:R2075" si="284">M2070/E2070</f>
        <v>2800</v>
      </c>
      <c r="S2070" s="586"/>
      <c r="T2070" s="754"/>
      <c r="U2070" s="1016"/>
      <c r="V2070" s="589"/>
      <c r="W2070" s="600"/>
      <c r="X2070" s="1016"/>
      <c r="Y2070" s="600">
        <f t="shared" si="283"/>
        <v>7037715</v>
      </c>
      <c r="Z2070" s="1016"/>
    </row>
    <row r="2071" spans="1:220" s="114" customFormat="1" hidden="1">
      <c r="A2071" s="580">
        <f>A2070+1</f>
        <v>531</v>
      </c>
      <c r="B2071" s="709" t="s">
        <v>677</v>
      </c>
      <c r="C2071" s="593" t="s">
        <v>271</v>
      </c>
      <c r="D2071" s="583">
        <v>9151</v>
      </c>
      <c r="E2071" s="570">
        <v>2500</v>
      </c>
      <c r="F2071" s="583" t="s">
        <v>233</v>
      </c>
      <c r="G2071" s="570">
        <v>509</v>
      </c>
      <c r="H2071" s="570">
        <v>9</v>
      </c>
      <c r="I2071" s="570">
        <v>1</v>
      </c>
      <c r="J2071" s="570">
        <v>50</v>
      </c>
      <c r="K2071" s="667" t="s">
        <v>38</v>
      </c>
      <c r="L2071" s="596">
        <f>M2071+N2071+O2071+P2071+Q2071</f>
        <v>7035298</v>
      </c>
      <c r="M2071" s="596">
        <v>7000000</v>
      </c>
      <c r="N2071" s="577"/>
      <c r="O2071" s="586">
        <v>19298</v>
      </c>
      <c r="P2071" s="586"/>
      <c r="Q2071" s="586">
        <v>16000</v>
      </c>
      <c r="R2071" s="594">
        <f t="shared" si="284"/>
        <v>2800</v>
      </c>
      <c r="S2071" s="586"/>
      <c r="T2071" s="754"/>
      <c r="U2071" s="1016"/>
      <c r="V2071" s="589"/>
      <c r="W2071" s="600"/>
      <c r="X2071" s="1016"/>
      <c r="Y2071" s="600">
        <f t="shared" si="283"/>
        <v>7035298</v>
      </c>
      <c r="Z2071" s="1016"/>
    </row>
    <row r="2072" spans="1:220" s="114" customFormat="1" hidden="1">
      <c r="A2072" s="580">
        <f t="shared" ref="A2072:A2075" si="285">A2071+1</f>
        <v>532</v>
      </c>
      <c r="B2072" s="709" t="s">
        <v>678</v>
      </c>
      <c r="C2072" s="593" t="s">
        <v>271</v>
      </c>
      <c r="D2072" s="583">
        <v>10825</v>
      </c>
      <c r="E2072" s="570">
        <v>2500</v>
      </c>
      <c r="F2072" s="583" t="s">
        <v>233</v>
      </c>
      <c r="G2072" s="570">
        <v>510</v>
      </c>
      <c r="H2072" s="570">
        <v>9</v>
      </c>
      <c r="I2072" s="570">
        <v>1</v>
      </c>
      <c r="J2072" s="570">
        <v>52</v>
      </c>
      <c r="K2072" s="667" t="s">
        <v>38</v>
      </c>
      <c r="L2072" s="596">
        <f>M2072+N2072+O2072+P2072+Q2072</f>
        <v>7037818</v>
      </c>
      <c r="M2072" s="596">
        <v>7000000</v>
      </c>
      <c r="N2072" s="577"/>
      <c r="O2072" s="586">
        <v>19681</v>
      </c>
      <c r="P2072" s="586"/>
      <c r="Q2072" s="586">
        <v>18137</v>
      </c>
      <c r="R2072" s="594">
        <f t="shared" si="284"/>
        <v>2800</v>
      </c>
      <c r="S2072" s="586"/>
      <c r="T2072" s="754"/>
      <c r="U2072" s="1016"/>
      <c r="V2072" s="589"/>
      <c r="W2072" s="600"/>
      <c r="X2072" s="1016"/>
      <c r="Y2072" s="600">
        <f t="shared" si="283"/>
        <v>7037818</v>
      </c>
      <c r="Z2072" s="1016"/>
    </row>
    <row r="2073" spans="1:220" s="114" customFormat="1" hidden="1">
      <c r="A2073" s="580">
        <f t="shared" si="285"/>
        <v>533</v>
      </c>
      <c r="B2073" s="591" t="s">
        <v>4345</v>
      </c>
      <c r="C2073" s="580" t="s">
        <v>221</v>
      </c>
      <c r="D2073" s="606">
        <v>20974</v>
      </c>
      <c r="E2073" s="606">
        <v>3300</v>
      </c>
      <c r="F2073" s="583" t="s">
        <v>233</v>
      </c>
      <c r="G2073" s="606">
        <v>540</v>
      </c>
      <c r="H2073" s="583">
        <v>12</v>
      </c>
      <c r="I2073" s="583">
        <v>1</v>
      </c>
      <c r="J2073" s="606">
        <v>80</v>
      </c>
      <c r="K2073" s="667" t="s">
        <v>38</v>
      </c>
      <c r="L2073" s="596">
        <f>M2073+N2073+O2073+P2073+Q2073</f>
        <v>8052310</v>
      </c>
      <c r="M2073" s="596">
        <v>8000000</v>
      </c>
      <c r="N2073" s="586"/>
      <c r="O2073" s="586">
        <v>22310</v>
      </c>
      <c r="P2073" s="586"/>
      <c r="Q2073" s="586">
        <v>30000</v>
      </c>
      <c r="R2073" s="594">
        <f t="shared" si="284"/>
        <v>2424.242424242424</v>
      </c>
      <c r="S2073" s="586"/>
      <c r="T2073" s="754"/>
      <c r="U2073" s="1016"/>
      <c r="V2073" s="589"/>
      <c r="W2073" s="600"/>
      <c r="X2073" s="1016"/>
      <c r="Y2073" s="600">
        <f t="shared" si="283"/>
        <v>8052310</v>
      </c>
      <c r="Z2073" s="1016"/>
    </row>
    <row r="2074" spans="1:220" s="114" customFormat="1" hidden="1">
      <c r="A2074" s="580">
        <f t="shared" si="285"/>
        <v>534</v>
      </c>
      <c r="B2074" s="591" t="s">
        <v>4346</v>
      </c>
      <c r="C2074" s="580" t="s">
        <v>221</v>
      </c>
      <c r="D2074" s="583">
        <v>18563</v>
      </c>
      <c r="E2074" s="583">
        <v>3300</v>
      </c>
      <c r="F2074" s="583" t="s">
        <v>233</v>
      </c>
      <c r="G2074" s="583">
        <v>540</v>
      </c>
      <c r="H2074" s="583">
        <v>12</v>
      </c>
      <c r="I2074" s="583">
        <v>1</v>
      </c>
      <c r="J2074" s="583">
        <v>78</v>
      </c>
      <c r="K2074" s="667" t="s">
        <v>38</v>
      </c>
      <c r="L2074" s="596">
        <f>M2074+N2074+O2074+P2074+Q2074</f>
        <v>8041456</v>
      </c>
      <c r="M2074" s="596">
        <v>8000000</v>
      </c>
      <c r="N2074" s="628"/>
      <c r="O2074" s="586">
        <v>21456</v>
      </c>
      <c r="P2074" s="586"/>
      <c r="Q2074" s="586">
        <v>20000</v>
      </c>
      <c r="R2074" s="594">
        <f t="shared" si="284"/>
        <v>2424.242424242424</v>
      </c>
      <c r="S2074" s="586"/>
      <c r="T2074" s="754"/>
      <c r="U2074" s="1016"/>
      <c r="V2074" s="589"/>
      <c r="W2074" s="600"/>
      <c r="X2074" s="1016"/>
      <c r="Y2074" s="600">
        <f t="shared" si="283"/>
        <v>8041456</v>
      </c>
      <c r="Z2074" s="1016"/>
    </row>
    <row r="2075" spans="1:220" s="114" customFormat="1" hidden="1">
      <c r="A2075" s="580">
        <f t="shared" si="285"/>
        <v>535</v>
      </c>
      <c r="B2075" s="591" t="s">
        <v>4347</v>
      </c>
      <c r="C2075" s="580" t="s">
        <v>221</v>
      </c>
      <c r="D2075" s="583">
        <v>14112</v>
      </c>
      <c r="E2075" s="583">
        <v>2846</v>
      </c>
      <c r="F2075" s="667" t="s">
        <v>222</v>
      </c>
      <c r="G2075" s="583">
        <v>1178</v>
      </c>
      <c r="H2075" s="583">
        <v>5</v>
      </c>
      <c r="I2075" s="583">
        <v>4</v>
      </c>
      <c r="J2075" s="583">
        <v>69</v>
      </c>
      <c r="K2075" s="667" t="s">
        <v>38</v>
      </c>
      <c r="L2075" s="1350">
        <f>M2075+N2075+O2075+P2075+Q2075+M2076+N2076+O2076+Q2076</f>
        <v>10201258</v>
      </c>
      <c r="M2075" s="596">
        <v>6800000</v>
      </c>
      <c r="N2075" s="628"/>
      <c r="O2075" s="586">
        <v>16764</v>
      </c>
      <c r="P2075" s="586"/>
      <c r="Q2075" s="586">
        <v>30000</v>
      </c>
      <c r="R2075" s="594">
        <f t="shared" si="284"/>
        <v>2389.3183415319745</v>
      </c>
      <c r="S2075" s="586"/>
      <c r="T2075" s="754"/>
      <c r="U2075" s="1016"/>
      <c r="V2075" s="589"/>
      <c r="W2075" s="600"/>
      <c r="X2075" s="1016"/>
      <c r="Y2075" s="600">
        <f t="shared" si="283"/>
        <v>6846764</v>
      </c>
      <c r="Z2075" s="1016"/>
    </row>
    <row r="2076" spans="1:220" s="114" customFormat="1" hidden="1">
      <c r="A2076" s="580"/>
      <c r="B2076" s="591"/>
      <c r="C2076" s="580"/>
      <c r="D2076" s="583"/>
      <c r="E2076" s="583"/>
      <c r="F2076" s="667"/>
      <c r="G2076" s="583"/>
      <c r="H2076" s="583"/>
      <c r="I2076" s="583"/>
      <c r="J2076" s="583"/>
      <c r="K2076" s="606" t="s">
        <v>377</v>
      </c>
      <c r="L2076" s="1350"/>
      <c r="M2076" s="596">
        <v>3298400</v>
      </c>
      <c r="N2076" s="628"/>
      <c r="O2076" s="586">
        <v>16094</v>
      </c>
      <c r="P2076" s="586"/>
      <c r="Q2076" s="586">
        <v>40000</v>
      </c>
      <c r="R2076" s="561">
        <f>M2076/G2075</f>
        <v>2800</v>
      </c>
      <c r="S2076" s="586"/>
      <c r="T2076" s="754"/>
      <c r="U2076" s="1016"/>
      <c r="V2076" s="589"/>
      <c r="W2076" s="600"/>
      <c r="X2076" s="1016"/>
      <c r="Y2076" s="600">
        <f t="shared" si="283"/>
        <v>3354494</v>
      </c>
      <c r="Z2076" s="1016"/>
    </row>
    <row r="2077" spans="1:220" s="114" customFormat="1" hidden="1">
      <c r="A2077" s="580">
        <v>536</v>
      </c>
      <c r="B2077" s="591" t="s">
        <v>4348</v>
      </c>
      <c r="C2077" s="580" t="s">
        <v>221</v>
      </c>
      <c r="D2077" s="583">
        <v>28551</v>
      </c>
      <c r="E2077" s="583">
        <v>4362.8</v>
      </c>
      <c r="F2077" s="667" t="s">
        <v>222</v>
      </c>
      <c r="G2077" s="583">
        <v>2298</v>
      </c>
      <c r="H2077" s="583">
        <v>5</v>
      </c>
      <c r="I2077" s="583">
        <v>8</v>
      </c>
      <c r="J2077" s="583">
        <v>159</v>
      </c>
      <c r="K2077" s="667" t="s">
        <v>38</v>
      </c>
      <c r="L2077" s="1350">
        <f>M2077+N2077+O2077+P2077+Q2077+M2078+N2078+O2078+Q2078</f>
        <v>17545172</v>
      </c>
      <c r="M2077" s="596">
        <v>11000000</v>
      </c>
      <c r="N2077" s="628"/>
      <c r="O2077" s="586">
        <v>20802</v>
      </c>
      <c r="P2077" s="586"/>
      <c r="Q2077" s="586">
        <v>30000</v>
      </c>
      <c r="R2077" s="594">
        <f>M2077/E2077</f>
        <v>2521.3165856789219</v>
      </c>
      <c r="S2077" s="586"/>
      <c r="T2077" s="754"/>
      <c r="U2077" s="1016"/>
      <c r="V2077" s="589"/>
      <c r="W2077" s="600"/>
      <c r="X2077" s="1016"/>
      <c r="Y2077" s="600">
        <f t="shared" si="283"/>
        <v>11050802</v>
      </c>
      <c r="Z2077" s="1016"/>
    </row>
    <row r="2078" spans="1:220" s="114" customFormat="1" hidden="1">
      <c r="A2078" s="580"/>
      <c r="B2078" s="591"/>
      <c r="C2078" s="580"/>
      <c r="D2078" s="583"/>
      <c r="E2078" s="583"/>
      <c r="F2078" s="667"/>
      <c r="G2078" s="583"/>
      <c r="H2078" s="583"/>
      <c r="I2078" s="583"/>
      <c r="J2078" s="583"/>
      <c r="K2078" s="606" t="s">
        <v>377</v>
      </c>
      <c r="L2078" s="1350"/>
      <c r="M2078" s="596">
        <v>6434400</v>
      </c>
      <c r="N2078" s="628"/>
      <c r="O2078" s="586">
        <v>19970</v>
      </c>
      <c r="P2078" s="586"/>
      <c r="Q2078" s="586">
        <v>40000</v>
      </c>
      <c r="R2078" s="561">
        <f>M2078/G2077</f>
        <v>2800</v>
      </c>
      <c r="S2078" s="586"/>
      <c r="T2078" s="754"/>
      <c r="U2078" s="1016"/>
      <c r="V2078" s="589"/>
      <c r="W2078" s="600"/>
      <c r="X2078" s="1016"/>
      <c r="Y2078" s="600">
        <f t="shared" si="283"/>
        <v>6494370</v>
      </c>
      <c r="Z2078" s="1016"/>
    </row>
    <row r="2079" spans="1:220" s="92" customFormat="1" hidden="1">
      <c r="A2079" s="1349" t="s">
        <v>208</v>
      </c>
      <c r="B2079" s="1349"/>
      <c r="C2079" s="582" t="s">
        <v>28</v>
      </c>
      <c r="D2079" s="728">
        <f>SUM(D1460:D2078)</f>
        <v>10289921.099999998</v>
      </c>
      <c r="E2079" s="728">
        <f>SUM(E1460:E2078)</f>
        <v>1752052.5799999996</v>
      </c>
      <c r="F2079" s="582" t="s">
        <v>28</v>
      </c>
      <c r="G2079" s="728">
        <f>SUM(G1460:G2078)</f>
        <v>596518.60000000009</v>
      </c>
      <c r="H2079" s="582" t="s">
        <v>28</v>
      </c>
      <c r="I2079" s="582" t="s">
        <v>28</v>
      </c>
      <c r="J2079" s="729">
        <f>SUM(J1460:J2078)</f>
        <v>46656</v>
      </c>
      <c r="K2079" s="590" t="s">
        <v>28</v>
      </c>
      <c r="L2079" s="595">
        <f t="shared" ref="L2079:Q2079" si="286">SUM(L1460:L2078)</f>
        <v>2450252051.8300018</v>
      </c>
      <c r="M2079" s="595">
        <f t="shared" si="286"/>
        <v>2411585167.5500002</v>
      </c>
      <c r="N2079" s="600">
        <f t="shared" si="286"/>
        <v>18207612.5</v>
      </c>
      <c r="O2079" s="1051">
        <f t="shared" si="286"/>
        <v>7490414.0199999996</v>
      </c>
      <c r="P2079" s="1051">
        <f t="shared" si="286"/>
        <v>0</v>
      </c>
      <c r="Q2079" s="1051">
        <f t="shared" si="286"/>
        <v>12968857.76</v>
      </c>
      <c r="R2079" s="561" t="s">
        <v>28</v>
      </c>
      <c r="S2079" s="564" t="e">
        <f>'1.перечень МКД'!#REF!</f>
        <v>#REF!</v>
      </c>
      <c r="T2079" s="577" t="e">
        <f>L2079-S2079</f>
        <v>#REF!</v>
      </c>
      <c r="U2079" s="589"/>
      <c r="V2079" s="589"/>
      <c r="W2079" s="733"/>
      <c r="X2079" s="733"/>
      <c r="Y2079" s="600">
        <f>L2079-M2079-N2079-O2079-Q2079</f>
        <v>1.6409903764724731E-6</v>
      </c>
      <c r="Z2079" s="734"/>
      <c r="AA2079" s="523"/>
      <c r="AB2079" s="523"/>
      <c r="AC2079" s="524"/>
      <c r="AD2079" s="525"/>
      <c r="AE2079" s="525"/>
      <c r="AF2079" s="525"/>
      <c r="AG2079" s="526"/>
      <c r="AH2079" s="526"/>
      <c r="AI2079" s="526"/>
      <c r="AJ2079" s="527"/>
      <c r="AK2079" s="439"/>
      <c r="AL2079" s="123"/>
      <c r="AM2079" s="528"/>
      <c r="AN2079" s="522"/>
      <c r="AO2079" s="522"/>
      <c r="AP2079" s="522"/>
      <c r="AQ2079" s="523"/>
      <c r="AR2079" s="523"/>
      <c r="AS2079" s="523"/>
      <c r="AT2079" s="523"/>
      <c r="AU2079" s="524"/>
      <c r="AV2079" s="525"/>
      <c r="AW2079" s="525"/>
      <c r="AX2079" s="525"/>
      <c r="AY2079" s="526"/>
      <c r="AZ2079" s="526"/>
      <c r="BA2079" s="526"/>
      <c r="BB2079" s="527"/>
      <c r="BC2079" s="439"/>
      <c r="BD2079" s="123"/>
      <c r="BE2079" s="528"/>
      <c r="BF2079" s="522"/>
      <c r="BG2079" s="522"/>
      <c r="BH2079" s="522"/>
      <c r="BI2079" s="523"/>
      <c r="BJ2079" s="523"/>
      <c r="BK2079" s="523"/>
      <c r="BL2079" s="523"/>
      <c r="BM2079" s="524"/>
      <c r="BN2079" s="525"/>
      <c r="BO2079" s="525"/>
      <c r="BP2079" s="525"/>
      <c r="BQ2079" s="526"/>
      <c r="BR2079" s="526"/>
      <c r="BS2079" s="526"/>
      <c r="BT2079" s="527"/>
      <c r="BU2079" s="439"/>
      <c r="BV2079" s="123"/>
      <c r="BW2079" s="528"/>
      <c r="BX2079" s="522"/>
      <c r="BY2079" s="522"/>
      <c r="BZ2079" s="522"/>
      <c r="CA2079" s="523"/>
      <c r="CB2079" s="523"/>
      <c r="CC2079" s="523"/>
      <c r="CD2079" s="523"/>
      <c r="CE2079" s="524"/>
      <c r="CF2079" s="525"/>
      <c r="CG2079" s="525"/>
      <c r="CH2079" s="525"/>
      <c r="CI2079" s="526"/>
      <c r="CJ2079" s="526"/>
      <c r="CK2079" s="526"/>
      <c r="CL2079" s="527"/>
      <c r="CM2079" s="439"/>
      <c r="CN2079" s="123"/>
      <c r="CO2079" s="528"/>
      <c r="CP2079" s="522"/>
      <c r="CQ2079" s="522"/>
      <c r="CR2079" s="522"/>
      <c r="CS2079" s="523"/>
      <c r="CT2079" s="523"/>
      <c r="CU2079" s="523"/>
      <c r="CV2079" s="523"/>
      <c r="CW2079" s="524"/>
      <c r="CX2079" s="525"/>
      <c r="CY2079" s="525"/>
      <c r="CZ2079" s="525"/>
      <c r="DA2079" s="526"/>
      <c r="DB2079" s="526"/>
      <c r="DC2079" s="526"/>
      <c r="DD2079" s="527"/>
      <c r="DE2079" s="439"/>
      <c r="DF2079" s="123"/>
      <c r="DG2079" s="528"/>
      <c r="DH2079" s="522"/>
      <c r="DI2079" s="522"/>
      <c r="DJ2079" s="522"/>
      <c r="DK2079" s="523"/>
      <c r="DL2079" s="523"/>
      <c r="DM2079" s="523"/>
      <c r="DN2079" s="523"/>
      <c r="DO2079" s="524"/>
      <c r="DP2079" s="525"/>
      <c r="DQ2079" s="525"/>
      <c r="DR2079" s="525"/>
      <c r="DS2079" s="526"/>
      <c r="DT2079" s="526"/>
      <c r="DU2079" s="526"/>
      <c r="DV2079" s="527"/>
      <c r="DW2079" s="439"/>
      <c r="DX2079" s="123"/>
      <c r="DY2079" s="528"/>
      <c r="DZ2079" s="522"/>
      <c r="EA2079" s="522"/>
      <c r="EB2079" s="522"/>
      <c r="EC2079" s="523"/>
      <c r="ED2079" s="523"/>
      <c r="EE2079" s="523"/>
      <c r="EF2079" s="523"/>
      <c r="EG2079" s="524"/>
      <c r="EH2079" s="525"/>
      <c r="EI2079" s="525"/>
      <c r="EJ2079" s="525"/>
      <c r="EK2079" s="526"/>
      <c r="EL2079" s="526"/>
      <c r="EM2079" s="526"/>
      <c r="EN2079" s="527"/>
      <c r="EO2079" s="439"/>
      <c r="EP2079" s="123"/>
      <c r="EQ2079" s="528"/>
      <c r="ER2079" s="522"/>
      <c r="ES2079" s="522"/>
      <c r="ET2079" s="522"/>
      <c r="EU2079" s="523"/>
      <c r="EV2079" s="523"/>
      <c r="EW2079" s="523"/>
      <c r="EX2079" s="523"/>
      <c r="EY2079" s="524"/>
      <c r="EZ2079" s="525"/>
      <c r="FA2079" s="525"/>
      <c r="FB2079" s="525"/>
      <c r="FC2079" s="526"/>
      <c r="FD2079" s="526"/>
      <c r="FE2079" s="526"/>
      <c r="FF2079" s="527"/>
      <c r="FG2079" s="439"/>
      <c r="FH2079" s="123"/>
      <c r="FI2079" s="528"/>
      <c r="FJ2079" s="522"/>
      <c r="FK2079" s="522"/>
      <c r="FL2079" s="522"/>
      <c r="FM2079" s="523"/>
      <c r="FN2079" s="523"/>
      <c r="FO2079" s="523"/>
      <c r="FP2079" s="523"/>
      <c r="FQ2079" s="524"/>
      <c r="FR2079" s="525"/>
      <c r="FS2079" s="525"/>
      <c r="FT2079" s="525"/>
      <c r="FU2079" s="526"/>
      <c r="FV2079" s="526"/>
      <c r="FW2079" s="526"/>
      <c r="FX2079" s="527"/>
      <c r="FY2079" s="439"/>
      <c r="FZ2079" s="123"/>
      <c r="GA2079" s="528"/>
      <c r="GB2079" s="522"/>
      <c r="GC2079" s="522"/>
      <c r="GD2079" s="522"/>
      <c r="GE2079" s="523"/>
      <c r="GF2079" s="523"/>
      <c r="GG2079" s="523"/>
      <c r="GH2079" s="523"/>
      <c r="GI2079" s="524"/>
      <c r="GJ2079" s="525"/>
      <c r="GK2079" s="525"/>
      <c r="GL2079" s="525"/>
      <c r="GM2079" s="526"/>
      <c r="GN2079" s="526"/>
      <c r="GO2079" s="526"/>
      <c r="GP2079" s="527"/>
      <c r="GQ2079" s="439"/>
      <c r="GR2079" s="123"/>
      <c r="GS2079" s="528"/>
      <c r="GT2079" s="522"/>
      <c r="GU2079" s="522"/>
      <c r="GV2079" s="522"/>
      <c r="GW2079" s="523"/>
      <c r="GX2079" s="523"/>
      <c r="GY2079" s="523"/>
      <c r="GZ2079" s="523"/>
      <c r="HA2079" s="524"/>
      <c r="HB2079" s="525"/>
      <c r="HC2079" s="525"/>
      <c r="HD2079" s="525"/>
      <c r="HE2079" s="526"/>
      <c r="HF2079" s="526"/>
      <c r="HG2079" s="526"/>
      <c r="HH2079" s="527"/>
      <c r="HI2079" s="439"/>
      <c r="HJ2079" s="123"/>
      <c r="HK2079" s="528"/>
      <c r="HL2079" s="522"/>
    </row>
    <row r="2080" spans="1:220" s="92" customFormat="1" hidden="1">
      <c r="A2080" s="1345" t="s">
        <v>138</v>
      </c>
      <c r="B2080" s="1345"/>
      <c r="C2080" s="1345"/>
      <c r="D2080" s="1345"/>
      <c r="E2080" s="1345"/>
      <c r="F2080" s="1345"/>
      <c r="G2080" s="1345"/>
      <c r="H2080" s="1345"/>
      <c r="I2080" s="1345"/>
      <c r="J2080" s="1345"/>
      <c r="K2080" s="1345"/>
      <c r="L2080" s="1345"/>
      <c r="M2080" s="1345"/>
      <c r="N2080" s="1345"/>
      <c r="O2080" s="1345"/>
      <c r="P2080" s="1345"/>
      <c r="Q2080" s="1345"/>
      <c r="R2080" s="570"/>
      <c r="S2080" s="564"/>
      <c r="T2080" s="577"/>
      <c r="U2080" s="591"/>
      <c r="V2080" s="589"/>
      <c r="W2080" s="733"/>
      <c r="X2080" s="733"/>
      <c r="Y2080" s="734"/>
      <c r="Z2080" s="734"/>
      <c r="AA2080" s="523"/>
      <c r="AB2080" s="523"/>
      <c r="AC2080" s="524"/>
      <c r="AD2080" s="525"/>
      <c r="AE2080" s="525"/>
      <c r="AF2080" s="525"/>
      <c r="AG2080" s="526"/>
      <c r="AH2080" s="526"/>
      <c r="AI2080" s="526"/>
      <c r="AJ2080" s="527"/>
      <c r="AK2080" s="439"/>
      <c r="AL2080" s="123"/>
      <c r="AM2080" s="528"/>
      <c r="AN2080" s="522"/>
      <c r="AO2080" s="522"/>
      <c r="AP2080" s="522"/>
      <c r="AQ2080" s="523"/>
      <c r="AR2080" s="523"/>
      <c r="AS2080" s="523"/>
      <c r="AT2080" s="523"/>
      <c r="AU2080" s="524"/>
      <c r="AV2080" s="525"/>
      <c r="AW2080" s="525"/>
      <c r="AX2080" s="525"/>
      <c r="AY2080" s="526"/>
      <c r="AZ2080" s="526"/>
      <c r="BA2080" s="526"/>
      <c r="BB2080" s="527"/>
      <c r="BC2080" s="439"/>
      <c r="BD2080" s="123"/>
      <c r="BE2080" s="528"/>
      <c r="BF2080" s="522"/>
      <c r="BG2080" s="522"/>
      <c r="BH2080" s="522"/>
      <c r="BI2080" s="523"/>
      <c r="BJ2080" s="523"/>
      <c r="BK2080" s="523"/>
      <c r="BL2080" s="523"/>
      <c r="BM2080" s="524"/>
      <c r="BN2080" s="525"/>
      <c r="BO2080" s="525"/>
      <c r="BP2080" s="525"/>
      <c r="BQ2080" s="526"/>
      <c r="BR2080" s="526"/>
      <c r="BS2080" s="526"/>
      <c r="BT2080" s="527"/>
      <c r="BU2080" s="439"/>
      <c r="BV2080" s="123"/>
      <c r="BW2080" s="528"/>
      <c r="BX2080" s="522"/>
      <c r="BY2080" s="522"/>
      <c r="BZ2080" s="522"/>
      <c r="CA2080" s="523"/>
      <c r="CB2080" s="523"/>
      <c r="CC2080" s="523"/>
      <c r="CD2080" s="523"/>
      <c r="CE2080" s="524"/>
      <c r="CF2080" s="525"/>
      <c r="CG2080" s="525"/>
      <c r="CH2080" s="525"/>
      <c r="CI2080" s="526"/>
      <c r="CJ2080" s="526"/>
      <c r="CK2080" s="526"/>
      <c r="CL2080" s="527"/>
      <c r="CM2080" s="439"/>
      <c r="CN2080" s="123"/>
      <c r="CO2080" s="528"/>
      <c r="CP2080" s="522"/>
      <c r="CQ2080" s="522"/>
      <c r="CR2080" s="522"/>
      <c r="CS2080" s="523"/>
      <c r="CT2080" s="523"/>
      <c r="CU2080" s="523"/>
      <c r="CV2080" s="523"/>
      <c r="CW2080" s="524"/>
      <c r="CX2080" s="525"/>
      <c r="CY2080" s="525"/>
      <c r="CZ2080" s="525"/>
      <c r="DA2080" s="526"/>
      <c r="DB2080" s="526"/>
      <c r="DC2080" s="526"/>
      <c r="DD2080" s="527"/>
      <c r="DE2080" s="439"/>
      <c r="DF2080" s="123"/>
      <c r="DG2080" s="528"/>
      <c r="DH2080" s="522"/>
      <c r="DI2080" s="522"/>
      <c r="DJ2080" s="522"/>
      <c r="DK2080" s="523"/>
      <c r="DL2080" s="523"/>
      <c r="DM2080" s="523"/>
      <c r="DN2080" s="523"/>
      <c r="DO2080" s="524"/>
      <c r="DP2080" s="525"/>
      <c r="DQ2080" s="525"/>
      <c r="DR2080" s="525"/>
      <c r="DS2080" s="526"/>
      <c r="DT2080" s="526"/>
      <c r="DU2080" s="526"/>
      <c r="DV2080" s="527"/>
      <c r="DW2080" s="439"/>
      <c r="DX2080" s="123"/>
      <c r="DY2080" s="528"/>
      <c r="DZ2080" s="522"/>
      <c r="EA2080" s="522"/>
      <c r="EB2080" s="522"/>
      <c r="EC2080" s="523"/>
      <c r="ED2080" s="523"/>
      <c r="EE2080" s="523"/>
      <c r="EF2080" s="523"/>
      <c r="EG2080" s="524"/>
      <c r="EH2080" s="525"/>
      <c r="EI2080" s="525"/>
      <c r="EJ2080" s="525"/>
      <c r="EK2080" s="526"/>
      <c r="EL2080" s="526"/>
      <c r="EM2080" s="526"/>
      <c r="EN2080" s="527"/>
      <c r="EO2080" s="439"/>
      <c r="EP2080" s="123"/>
      <c r="EQ2080" s="528"/>
      <c r="ER2080" s="522"/>
      <c r="ES2080" s="522"/>
      <c r="ET2080" s="522"/>
      <c r="EU2080" s="523"/>
      <c r="EV2080" s="523"/>
      <c r="EW2080" s="523"/>
      <c r="EX2080" s="523"/>
      <c r="EY2080" s="524"/>
      <c r="EZ2080" s="525"/>
      <c r="FA2080" s="525"/>
      <c r="FB2080" s="525"/>
      <c r="FC2080" s="526"/>
      <c r="FD2080" s="526"/>
      <c r="FE2080" s="526"/>
      <c r="FF2080" s="527"/>
      <c r="FG2080" s="439"/>
      <c r="FH2080" s="123"/>
      <c r="FI2080" s="528"/>
      <c r="FJ2080" s="522"/>
      <c r="FK2080" s="522"/>
      <c r="FL2080" s="522"/>
      <c r="FM2080" s="523"/>
      <c r="FN2080" s="523"/>
      <c r="FO2080" s="523"/>
      <c r="FP2080" s="523"/>
      <c r="FQ2080" s="524"/>
      <c r="FR2080" s="525"/>
      <c r="FS2080" s="525"/>
      <c r="FT2080" s="525"/>
      <c r="FU2080" s="526"/>
      <c r="FV2080" s="526"/>
      <c r="FW2080" s="526"/>
      <c r="FX2080" s="527"/>
      <c r="FY2080" s="439"/>
      <c r="FZ2080" s="123"/>
      <c r="GA2080" s="528"/>
      <c r="GB2080" s="522"/>
      <c r="GC2080" s="522"/>
      <c r="GD2080" s="522"/>
      <c r="GE2080" s="523"/>
      <c r="GF2080" s="523"/>
      <c r="GG2080" s="523"/>
      <c r="GH2080" s="523"/>
      <c r="GI2080" s="524"/>
      <c r="GJ2080" s="525"/>
      <c r="GK2080" s="525"/>
      <c r="GL2080" s="525"/>
      <c r="GM2080" s="526"/>
      <c r="GN2080" s="526"/>
      <c r="GO2080" s="526"/>
      <c r="GP2080" s="527"/>
      <c r="GQ2080" s="439"/>
      <c r="GR2080" s="123"/>
      <c r="GS2080" s="528"/>
      <c r="GT2080" s="522"/>
      <c r="GU2080" s="522"/>
      <c r="GV2080" s="522"/>
      <c r="GW2080" s="523"/>
      <c r="GX2080" s="523"/>
      <c r="GY2080" s="523"/>
      <c r="GZ2080" s="523"/>
      <c r="HA2080" s="524"/>
      <c r="HB2080" s="525"/>
      <c r="HC2080" s="525"/>
      <c r="HD2080" s="525"/>
      <c r="HE2080" s="526"/>
      <c r="HF2080" s="526"/>
      <c r="HG2080" s="526"/>
      <c r="HH2080" s="527"/>
      <c r="HI2080" s="439"/>
      <c r="HJ2080" s="123"/>
      <c r="HK2080" s="528"/>
      <c r="HL2080" s="522"/>
    </row>
    <row r="2081" spans="1:220" s="92" customFormat="1" hidden="1">
      <c r="A2081" s="1358" t="s">
        <v>137</v>
      </c>
      <c r="B2081" s="1358"/>
      <c r="C2081" s="561" t="s">
        <v>28</v>
      </c>
      <c r="D2081" s="564">
        <f>D2087+D2122+D2193+D2199+D2202+D2206+D2209+D2243+D2247+D2251+D2272+D2276+D2292+D2297+D2300+D2306+D2309+D2324+D2328+D2333+D2338+D2347+D2350+D2353+D2357+D2362+D2365+D2369+D2373+D2377+D2384+D2388+D2431+D2440+D2448+D2453+D2463+D2434</f>
        <v>3316892.2096000002</v>
      </c>
      <c r="E2081" s="564">
        <f>E2087+E2122+E2193+E2199+E2202+E2206+E2209+E2243+E2247+E2251+E2272+E2276+E2292+E2297+E2300+E2306+E2309+E2324+E2328+E2333+E2338+E2347+E2350+E2353+E2357+E2362+E2365+E2369+E2373+E2377+E2384+E2388+E2431+E2440+E2448+E2453+E2463+E2434</f>
        <v>597382.33299999998</v>
      </c>
      <c r="F2081" s="561" t="s">
        <v>28</v>
      </c>
      <c r="G2081" s="564">
        <f>G2087+G2122+G2193+G2199+G2202+G2206+G2209+G2243+G2247+G2251+G2272+G2276+G2292+G2297+G2300+G2306+G2309+G2324+G2328+G2333+G2338+G2347+G2350+G2353+G2357+G2362+G2365+G2369+G2373+G2377+G2384+G2388+G2431+G2440+G2448+G2453+G2463+G2434</f>
        <v>307514.223</v>
      </c>
      <c r="H2081" s="561" t="s">
        <v>28</v>
      </c>
      <c r="I2081" s="561" t="s">
        <v>28</v>
      </c>
      <c r="J2081" s="564">
        <f>J2087+J2122+J2193+J2199+J2202+J2206+J2209+J2243+J2247+J2251+J2272+J2276+J2292+J2297+J2300+J2306+J2309+J2324+J2328+J2333+J2338+J2347+J2350+J2353+J2357+J2362+J2365+J2369+J2373+J2377+J2384+J2388+J2431+J2440+J2448+J2453+J2463+J2434</f>
        <v>17359</v>
      </c>
      <c r="K2081" s="577" t="s">
        <v>28</v>
      </c>
      <c r="L2081" s="563">
        <f t="shared" ref="L2081:Q2081" si="287">L2087+L2122+L2193+L2199+L2202+L2206+L2209+L2243+L2247+L2251+L2272+L2276+L2292+L2297+L2300+L2306+L2309+L2324+L2328+L2333+L2338+L2347+L2350+L2353+L2357+L2362+L2365+L2369+L2373+L2377+L2384+L2388+L2431+L2440+L2448+L2453+L2463+L2434</f>
        <v>832517805.33999991</v>
      </c>
      <c r="M2081" s="563">
        <f t="shared" si="287"/>
        <v>817832305.10000002</v>
      </c>
      <c r="N2081" s="564">
        <f t="shared" si="287"/>
        <v>7974169.8499999996</v>
      </c>
      <c r="O2081" s="565">
        <f t="shared" si="287"/>
        <v>1786846.5799999998</v>
      </c>
      <c r="P2081" s="564">
        <f t="shared" si="287"/>
        <v>0</v>
      </c>
      <c r="Q2081" s="564">
        <f t="shared" si="287"/>
        <v>4924483.8099999996</v>
      </c>
      <c r="R2081" s="582" t="s">
        <v>28</v>
      </c>
      <c r="S2081" s="575">
        <f>L2081-M2081-N2081-O2081-P2081-Q2081</f>
        <v>-1.0896474123001099E-7</v>
      </c>
      <c r="T2081" s="577" t="e">
        <f>L2081-U2081</f>
        <v>#REF!</v>
      </c>
      <c r="U2081" s="557" t="e">
        <f>'1.перечень МКД'!#REF!</f>
        <v>#REF!</v>
      </c>
      <c r="V2081" s="589"/>
      <c r="W2081" s="564"/>
      <c r="X2081" s="733"/>
      <c r="Y2081" s="734"/>
      <c r="Z2081" s="734"/>
      <c r="AA2081" s="523"/>
      <c r="AB2081" s="523"/>
      <c r="AC2081" s="524"/>
      <c r="AD2081" s="525"/>
      <c r="AE2081" s="525"/>
      <c r="AF2081" s="525"/>
      <c r="AG2081" s="526"/>
      <c r="AH2081" s="526"/>
      <c r="AI2081" s="526"/>
      <c r="AJ2081" s="527"/>
      <c r="AK2081" s="439"/>
      <c r="AL2081" s="123"/>
      <c r="AM2081" s="528"/>
      <c r="AN2081" s="522"/>
      <c r="AO2081" s="522"/>
      <c r="AP2081" s="522"/>
      <c r="AQ2081" s="523"/>
      <c r="AR2081" s="523"/>
      <c r="AS2081" s="523"/>
      <c r="AT2081" s="523"/>
      <c r="AU2081" s="524"/>
      <c r="AV2081" s="525"/>
      <c r="AW2081" s="525"/>
      <c r="AX2081" s="525"/>
      <c r="AY2081" s="526"/>
      <c r="AZ2081" s="526"/>
      <c r="BA2081" s="526"/>
      <c r="BB2081" s="527"/>
      <c r="BC2081" s="439"/>
      <c r="BD2081" s="123"/>
      <c r="BE2081" s="528"/>
      <c r="BF2081" s="522"/>
      <c r="BG2081" s="522"/>
      <c r="BH2081" s="522"/>
      <c r="BI2081" s="523"/>
      <c r="BJ2081" s="523"/>
      <c r="BK2081" s="523"/>
      <c r="BL2081" s="523"/>
      <c r="BM2081" s="524"/>
      <c r="BN2081" s="525"/>
      <c r="BO2081" s="525"/>
      <c r="BP2081" s="525"/>
      <c r="BQ2081" s="526"/>
      <c r="BR2081" s="526"/>
      <c r="BS2081" s="526"/>
      <c r="BT2081" s="527"/>
      <c r="BU2081" s="439"/>
      <c r="BV2081" s="123"/>
      <c r="BW2081" s="528"/>
      <c r="BX2081" s="522"/>
      <c r="BY2081" s="522"/>
      <c r="BZ2081" s="522"/>
      <c r="CA2081" s="523"/>
      <c r="CB2081" s="523"/>
      <c r="CC2081" s="523"/>
      <c r="CD2081" s="523"/>
      <c r="CE2081" s="524"/>
      <c r="CF2081" s="525"/>
      <c r="CG2081" s="525"/>
      <c r="CH2081" s="525"/>
      <c r="CI2081" s="526"/>
      <c r="CJ2081" s="526"/>
      <c r="CK2081" s="526"/>
      <c r="CL2081" s="527"/>
      <c r="CM2081" s="439"/>
      <c r="CN2081" s="123"/>
      <c r="CO2081" s="528"/>
      <c r="CP2081" s="522"/>
      <c r="CQ2081" s="522"/>
      <c r="CR2081" s="522"/>
      <c r="CS2081" s="523"/>
      <c r="CT2081" s="523"/>
      <c r="CU2081" s="523"/>
      <c r="CV2081" s="523"/>
      <c r="CW2081" s="524"/>
      <c r="CX2081" s="525"/>
      <c r="CY2081" s="525"/>
      <c r="CZ2081" s="525"/>
      <c r="DA2081" s="526"/>
      <c r="DB2081" s="526"/>
      <c r="DC2081" s="526"/>
      <c r="DD2081" s="527"/>
      <c r="DE2081" s="439"/>
      <c r="DF2081" s="123"/>
      <c r="DG2081" s="528"/>
      <c r="DH2081" s="522"/>
      <c r="DI2081" s="522"/>
      <c r="DJ2081" s="522"/>
      <c r="DK2081" s="523"/>
      <c r="DL2081" s="523"/>
      <c r="DM2081" s="523"/>
      <c r="DN2081" s="523"/>
      <c r="DO2081" s="524"/>
      <c r="DP2081" s="525"/>
      <c r="DQ2081" s="525"/>
      <c r="DR2081" s="525"/>
      <c r="DS2081" s="526"/>
      <c r="DT2081" s="526"/>
      <c r="DU2081" s="526"/>
      <c r="DV2081" s="527"/>
      <c r="DW2081" s="439"/>
      <c r="DX2081" s="123"/>
      <c r="DY2081" s="528"/>
      <c r="DZ2081" s="522"/>
      <c r="EA2081" s="522"/>
      <c r="EB2081" s="522"/>
      <c r="EC2081" s="523"/>
      <c r="ED2081" s="523"/>
      <c r="EE2081" s="523"/>
      <c r="EF2081" s="523"/>
      <c r="EG2081" s="524"/>
      <c r="EH2081" s="525"/>
      <c r="EI2081" s="525"/>
      <c r="EJ2081" s="525"/>
      <c r="EK2081" s="526"/>
      <c r="EL2081" s="526"/>
      <c r="EM2081" s="526"/>
      <c r="EN2081" s="527"/>
      <c r="EO2081" s="439"/>
      <c r="EP2081" s="123"/>
      <c r="EQ2081" s="528"/>
      <c r="ER2081" s="522"/>
      <c r="ES2081" s="522"/>
      <c r="ET2081" s="522"/>
      <c r="EU2081" s="523"/>
      <c r="EV2081" s="523"/>
      <c r="EW2081" s="523"/>
      <c r="EX2081" s="523"/>
      <c r="EY2081" s="524"/>
      <c r="EZ2081" s="525"/>
      <c r="FA2081" s="525"/>
      <c r="FB2081" s="525"/>
      <c r="FC2081" s="526"/>
      <c r="FD2081" s="526"/>
      <c r="FE2081" s="526"/>
      <c r="FF2081" s="527"/>
      <c r="FG2081" s="439"/>
      <c r="FH2081" s="123"/>
      <c r="FI2081" s="528"/>
      <c r="FJ2081" s="522"/>
      <c r="FK2081" s="522"/>
      <c r="FL2081" s="522"/>
      <c r="FM2081" s="523"/>
      <c r="FN2081" s="523"/>
      <c r="FO2081" s="523"/>
      <c r="FP2081" s="523"/>
      <c r="FQ2081" s="524"/>
      <c r="FR2081" s="525"/>
      <c r="FS2081" s="525"/>
      <c r="FT2081" s="525"/>
      <c r="FU2081" s="526"/>
      <c r="FV2081" s="526"/>
      <c r="FW2081" s="526"/>
      <c r="FX2081" s="527"/>
      <c r="FY2081" s="439"/>
      <c r="FZ2081" s="123"/>
      <c r="GA2081" s="528"/>
      <c r="GB2081" s="522"/>
      <c r="GC2081" s="522"/>
      <c r="GD2081" s="522"/>
      <c r="GE2081" s="523"/>
      <c r="GF2081" s="523"/>
      <c r="GG2081" s="523"/>
      <c r="GH2081" s="523"/>
      <c r="GI2081" s="524"/>
      <c r="GJ2081" s="525"/>
      <c r="GK2081" s="525"/>
      <c r="GL2081" s="525"/>
      <c r="GM2081" s="526"/>
      <c r="GN2081" s="526"/>
      <c r="GO2081" s="526"/>
      <c r="GP2081" s="527"/>
      <c r="GQ2081" s="439"/>
      <c r="GR2081" s="123"/>
      <c r="GS2081" s="528"/>
      <c r="GT2081" s="522"/>
      <c r="GU2081" s="522"/>
      <c r="GV2081" s="522"/>
      <c r="GW2081" s="523"/>
      <c r="GX2081" s="523"/>
      <c r="GY2081" s="523"/>
      <c r="GZ2081" s="523"/>
      <c r="HA2081" s="524"/>
      <c r="HB2081" s="525"/>
      <c r="HC2081" s="525"/>
      <c r="HD2081" s="525"/>
      <c r="HE2081" s="526"/>
      <c r="HF2081" s="526"/>
      <c r="HG2081" s="526"/>
      <c r="HH2081" s="527"/>
      <c r="HI2081" s="439"/>
      <c r="HJ2081" s="123"/>
      <c r="HK2081" s="528"/>
      <c r="HL2081" s="522"/>
    </row>
    <row r="2082" spans="1:220" s="28" customFormat="1" hidden="1">
      <c r="A2082" s="1347" t="s">
        <v>29</v>
      </c>
      <c r="B2082" s="1347"/>
      <c r="C2082" s="1347"/>
      <c r="D2082" s="1347"/>
      <c r="E2082" s="1347"/>
      <c r="F2082" s="1347"/>
      <c r="G2082" s="1347"/>
      <c r="H2082" s="1347"/>
      <c r="I2082" s="1347"/>
      <c r="J2082" s="1347"/>
      <c r="K2082" s="1347"/>
      <c r="L2082" s="1347"/>
      <c r="M2082" s="1347"/>
      <c r="N2082" s="1347"/>
      <c r="O2082" s="1347"/>
      <c r="P2082" s="1347"/>
      <c r="Q2082" s="1347"/>
      <c r="R2082" s="590"/>
      <c r="S2082" s="592"/>
      <c r="T2082" s="645"/>
      <c r="U2082" s="591"/>
      <c r="V2082" s="589"/>
      <c r="W2082" s="592"/>
      <c r="X2082" s="592"/>
      <c r="Y2082" s="592"/>
      <c r="Z2082" s="592"/>
    </row>
    <row r="2083" spans="1:220" s="71" customFormat="1" ht="37.5" hidden="1">
      <c r="A2083" s="606">
        <v>1</v>
      </c>
      <c r="B2083" s="581" t="s">
        <v>3616</v>
      </c>
      <c r="C2083" s="582" t="s">
        <v>217</v>
      </c>
      <c r="D2083" s="619">
        <v>7181.9999999999991</v>
      </c>
      <c r="E2083" s="619">
        <v>2565</v>
      </c>
      <c r="F2083" s="646" t="s">
        <v>233</v>
      </c>
      <c r="G2083" s="619">
        <v>540</v>
      </c>
      <c r="H2083" s="599">
        <v>9</v>
      </c>
      <c r="I2083" s="599">
        <v>1</v>
      </c>
      <c r="J2083" s="599">
        <v>36</v>
      </c>
      <c r="K2083" s="606" t="s">
        <v>219</v>
      </c>
      <c r="L2083" s="1052">
        <f>M2083+N2083+O2083+P2083+Q2083</f>
        <v>2085000</v>
      </c>
      <c r="M2083" s="585">
        <v>2000000</v>
      </c>
      <c r="N2083" s="597">
        <v>85000</v>
      </c>
      <c r="O2083" s="598"/>
      <c r="P2083" s="586"/>
      <c r="Q2083" s="586"/>
      <c r="R2083" s="582">
        <f>M2083/I2083</f>
        <v>2000000</v>
      </c>
      <c r="S2083" s="575">
        <f>L2083-M2083-N2083-O2083-P2083-Q2083</f>
        <v>0</v>
      </c>
      <c r="T2083" s="737"/>
      <c r="U2083" s="737"/>
      <c r="V2083" s="589"/>
      <c r="W2083" s="737"/>
      <c r="X2083" s="737"/>
      <c r="Y2083" s="737"/>
      <c r="Z2083" s="737"/>
    </row>
    <row r="2084" spans="1:220" s="86" customFormat="1" ht="37.5" hidden="1">
      <c r="A2084" s="1053">
        <f>A2083+1</f>
        <v>2</v>
      </c>
      <c r="B2084" s="976" t="s">
        <v>3916</v>
      </c>
      <c r="C2084" s="976" t="s">
        <v>296</v>
      </c>
      <c r="D2084" s="958">
        <v>19462.5</v>
      </c>
      <c r="E2084" s="958">
        <v>7785</v>
      </c>
      <c r="F2084" s="958" t="s">
        <v>233</v>
      </c>
      <c r="G2084" s="958">
        <v>2080</v>
      </c>
      <c r="H2084" s="957">
        <v>9</v>
      </c>
      <c r="I2084" s="957">
        <v>8</v>
      </c>
      <c r="J2084" s="957">
        <v>286</v>
      </c>
      <c r="K2084" s="632" t="s">
        <v>219</v>
      </c>
      <c r="L2084" s="966">
        <f>M2084+N2084+O2084+P2084+Q2084</f>
        <v>16233750</v>
      </c>
      <c r="M2084" s="607">
        <f>2000000*8</f>
        <v>16000000</v>
      </c>
      <c r="N2084" s="675">
        <f>85000*2.75</f>
        <v>233750</v>
      </c>
      <c r="O2084" s="631"/>
      <c r="P2084" s="630"/>
      <c r="Q2084" s="630"/>
      <c r="R2084" s="582">
        <f>M2084/I2084</f>
        <v>2000000</v>
      </c>
      <c r="S2084" s="575"/>
      <c r="T2084" s="737"/>
      <c r="U2084" s="737"/>
      <c r="V2084" s="589"/>
      <c r="W2084" s="737"/>
      <c r="X2084" s="737"/>
      <c r="Y2084" s="737"/>
      <c r="Z2084" s="737"/>
    </row>
    <row r="2085" spans="1:220" s="71" customFormat="1" hidden="1">
      <c r="A2085" s="606">
        <v>3</v>
      </c>
      <c r="B2085" s="592" t="s">
        <v>2758</v>
      </c>
      <c r="C2085" s="582" t="s">
        <v>217</v>
      </c>
      <c r="D2085" s="619">
        <v>35814</v>
      </c>
      <c r="E2085" s="619">
        <v>11938</v>
      </c>
      <c r="F2085" s="646" t="s">
        <v>233</v>
      </c>
      <c r="G2085" s="619">
        <v>5122</v>
      </c>
      <c r="H2085" s="599">
        <v>5</v>
      </c>
      <c r="I2085" s="599">
        <v>22</v>
      </c>
      <c r="J2085" s="599">
        <v>348</v>
      </c>
      <c r="K2085" s="590" t="s">
        <v>33</v>
      </c>
      <c r="L2085" s="1052">
        <f>M2085+N2085+O2085+P2085+Q2085</f>
        <v>10288560</v>
      </c>
      <c r="M2085" s="585">
        <v>10244000</v>
      </c>
      <c r="N2085" s="597"/>
      <c r="O2085" s="1054">
        <v>24660</v>
      </c>
      <c r="P2085" s="932"/>
      <c r="Q2085" s="586">
        <v>19900</v>
      </c>
      <c r="R2085" s="582">
        <f>M2085/G2085</f>
        <v>2000</v>
      </c>
      <c r="S2085" s="575">
        <f>L2085-M2085-N2085-O2085-P2085-Q2085</f>
        <v>0</v>
      </c>
      <c r="T2085" s="737"/>
      <c r="U2085" s="737"/>
      <c r="V2085" s="589"/>
      <c r="W2085" s="737"/>
      <c r="X2085" s="737"/>
      <c r="Y2085" s="737"/>
      <c r="Z2085" s="737"/>
    </row>
    <row r="2086" spans="1:220" s="71" customFormat="1" hidden="1">
      <c r="A2086" s="606">
        <v>4</v>
      </c>
      <c r="B2086" s="592" t="s">
        <v>2760</v>
      </c>
      <c r="C2086" s="582" t="s">
        <v>217</v>
      </c>
      <c r="D2086" s="619">
        <v>22896</v>
      </c>
      <c r="E2086" s="619">
        <v>7632</v>
      </c>
      <c r="F2086" s="646" t="s">
        <v>233</v>
      </c>
      <c r="G2086" s="619">
        <v>3574</v>
      </c>
      <c r="H2086" s="599">
        <v>5</v>
      </c>
      <c r="I2086" s="599">
        <v>15</v>
      </c>
      <c r="J2086" s="599">
        <v>233</v>
      </c>
      <c r="K2086" s="606" t="s">
        <v>33</v>
      </c>
      <c r="L2086" s="1052">
        <f>M2086+N2086+O2086+P2086+Q2086</f>
        <v>7190196</v>
      </c>
      <c r="M2086" s="585">
        <v>7148000</v>
      </c>
      <c r="N2086" s="586"/>
      <c r="O2086" s="1054">
        <v>22296</v>
      </c>
      <c r="P2086" s="586"/>
      <c r="Q2086" s="586">
        <v>19900</v>
      </c>
      <c r="R2086" s="582">
        <f>M2086/G2086</f>
        <v>2000</v>
      </c>
      <c r="S2086" s="575">
        <f>L2086-M2086-N2086-O2086-P2086-Q2086</f>
        <v>0</v>
      </c>
      <c r="T2086" s="737"/>
      <c r="U2086" s="737"/>
      <c r="V2086" s="589"/>
      <c r="W2086" s="737"/>
      <c r="X2086" s="737"/>
      <c r="Y2086" s="737"/>
      <c r="Z2086" s="737"/>
    </row>
    <row r="2087" spans="1:220" s="28" customFormat="1" hidden="1">
      <c r="A2087" s="1349" t="s">
        <v>116</v>
      </c>
      <c r="B2087" s="1349"/>
      <c r="C2087" s="586" t="s">
        <v>28</v>
      </c>
      <c r="D2087" s="586">
        <f>SUM(D2083:D2086)</f>
        <v>85354.5</v>
      </c>
      <c r="E2087" s="586">
        <f>SUM(E2083:E2086)</f>
        <v>29920</v>
      </c>
      <c r="F2087" s="646" t="s">
        <v>28</v>
      </c>
      <c r="G2087" s="586">
        <f>SUM(G2083:G2086)</f>
        <v>11316</v>
      </c>
      <c r="H2087" s="582" t="s">
        <v>28</v>
      </c>
      <c r="I2087" s="582" t="s">
        <v>28</v>
      </c>
      <c r="J2087" s="586">
        <f>SUM(J2083:J2086)</f>
        <v>903</v>
      </c>
      <c r="K2087" s="590" t="s">
        <v>28</v>
      </c>
      <c r="L2087" s="584">
        <f t="shared" ref="L2087:Q2087" si="288">SUM(L2083:L2086)</f>
        <v>35797506</v>
      </c>
      <c r="M2087" s="585">
        <f t="shared" si="288"/>
        <v>35392000</v>
      </c>
      <c r="N2087" s="586">
        <f t="shared" si="288"/>
        <v>318750</v>
      </c>
      <c r="O2087" s="587">
        <f t="shared" si="288"/>
        <v>46956</v>
      </c>
      <c r="P2087" s="586">
        <f t="shared" si="288"/>
        <v>0</v>
      </c>
      <c r="Q2087" s="586">
        <f t="shared" si="288"/>
        <v>39800</v>
      </c>
      <c r="R2087" s="582" t="s">
        <v>28</v>
      </c>
      <c r="S2087" s="1055">
        <f>L2087-M2087-N2087-O2087-P2087-Q2087</f>
        <v>0</v>
      </c>
      <c r="T2087" s="592"/>
      <c r="U2087" s="591"/>
      <c r="V2087" s="589"/>
      <c r="W2087" s="592"/>
      <c r="X2087" s="592"/>
      <c r="Y2087" s="592"/>
      <c r="Z2087" s="592"/>
    </row>
    <row r="2088" spans="1:220" s="28" customFormat="1" hidden="1">
      <c r="A2088" s="1347" t="s">
        <v>35</v>
      </c>
      <c r="B2088" s="1347"/>
      <c r="C2088" s="1347"/>
      <c r="D2088" s="1347"/>
      <c r="E2088" s="1347"/>
      <c r="F2088" s="1347"/>
      <c r="G2088" s="1347"/>
      <c r="H2088" s="1347"/>
      <c r="I2088" s="1347"/>
      <c r="J2088" s="1347"/>
      <c r="K2088" s="1347"/>
      <c r="L2088" s="1347"/>
      <c r="M2088" s="1347"/>
      <c r="N2088" s="1347"/>
      <c r="O2088" s="1347"/>
      <c r="P2088" s="1347"/>
      <c r="Q2088" s="1347"/>
      <c r="R2088" s="590"/>
      <c r="S2088" s="592"/>
      <c r="T2088" s="645"/>
      <c r="U2088" s="591"/>
      <c r="V2088" s="589"/>
      <c r="W2088" s="592"/>
      <c r="X2088" s="592"/>
      <c r="Y2088" s="592"/>
      <c r="Z2088" s="592"/>
    </row>
    <row r="2089" spans="1:220" s="90" customFormat="1" ht="37.5" hidden="1">
      <c r="A2089" s="667">
        <v>1</v>
      </c>
      <c r="B2089" s="592" t="s">
        <v>3619</v>
      </c>
      <c r="C2089" s="1056" t="s">
        <v>221</v>
      </c>
      <c r="D2089" s="619">
        <v>15197</v>
      </c>
      <c r="E2089" s="619">
        <v>2662</v>
      </c>
      <c r="F2089" s="619" t="s">
        <v>227</v>
      </c>
      <c r="G2089" s="619">
        <v>571</v>
      </c>
      <c r="H2089" s="599">
        <v>9</v>
      </c>
      <c r="I2089" s="599">
        <v>1</v>
      </c>
      <c r="J2089" s="599">
        <v>51</v>
      </c>
      <c r="K2089" s="590" t="s">
        <v>219</v>
      </c>
      <c r="L2089" s="584">
        <f t="shared" ref="L2089:L2111" si="289">M2089+N2089+O2089+P2089+Q2089</f>
        <v>2085000</v>
      </c>
      <c r="M2089" s="596">
        <v>2000000</v>
      </c>
      <c r="N2089" s="597">
        <v>85000</v>
      </c>
      <c r="O2089" s="736"/>
      <c r="P2089" s="597"/>
      <c r="Q2089" s="586"/>
      <c r="R2089" s="582">
        <f>M2089/I2089</f>
        <v>2000000</v>
      </c>
      <c r="S2089" s="575">
        <f t="shared" ref="S2089:S2106" si="290">L2089-M2089-N2089-O2089-P2089-Q2089</f>
        <v>0</v>
      </c>
      <c r="T2089" s="645"/>
      <c r="U2089" s="737"/>
      <c r="V2089" s="589"/>
      <c r="W2089" s="748"/>
      <c r="X2089" s="748"/>
      <c r="Y2089" s="748"/>
      <c r="Z2089" s="748"/>
    </row>
    <row r="2090" spans="1:220" s="90" customFormat="1" hidden="1">
      <c r="A2090" s="667">
        <f>A2089+1</f>
        <v>2</v>
      </c>
      <c r="B2090" s="592" t="s">
        <v>1816</v>
      </c>
      <c r="C2090" s="582" t="s">
        <v>221</v>
      </c>
      <c r="D2090" s="619">
        <v>64338</v>
      </c>
      <c r="E2090" s="619">
        <v>9554.35</v>
      </c>
      <c r="F2090" s="619" t="s">
        <v>223</v>
      </c>
      <c r="G2090" s="619">
        <v>3193.3</v>
      </c>
      <c r="H2090" s="599">
        <v>9</v>
      </c>
      <c r="I2090" s="599">
        <v>7</v>
      </c>
      <c r="J2090" s="599">
        <v>239</v>
      </c>
      <c r="K2090" s="590" t="s">
        <v>226</v>
      </c>
      <c r="L2090" s="746">
        <f t="shared" si="289"/>
        <v>28768497</v>
      </c>
      <c r="M2090" s="745">
        <v>28663050</v>
      </c>
      <c r="N2090" s="762">
        <v>49099</v>
      </c>
      <c r="O2090" s="1054">
        <v>26498</v>
      </c>
      <c r="P2090" s="762"/>
      <c r="Q2090" s="586">
        <v>29850</v>
      </c>
      <c r="R2090" s="599">
        <f>M2090/E2090</f>
        <v>3000</v>
      </c>
      <c r="S2090" s="575">
        <f t="shared" si="290"/>
        <v>0</v>
      </c>
      <c r="T2090" s="645"/>
      <c r="U2090" s="737"/>
      <c r="V2090" s="589"/>
      <c r="W2090" s="748"/>
      <c r="X2090" s="748"/>
      <c r="Y2090" s="748"/>
      <c r="Z2090" s="748"/>
    </row>
    <row r="2091" spans="1:220" s="246" customFormat="1" hidden="1">
      <c r="A2091" s="667">
        <f t="shared" ref="A2091:A2106" si="291">A2090+1</f>
        <v>3</v>
      </c>
      <c r="B2091" s="592" t="s">
        <v>1820</v>
      </c>
      <c r="C2091" s="1056" t="s">
        <v>217</v>
      </c>
      <c r="D2091" s="619">
        <v>10371</v>
      </c>
      <c r="E2091" s="619">
        <v>2022.53</v>
      </c>
      <c r="F2091" s="619" t="s">
        <v>223</v>
      </c>
      <c r="G2091" s="619">
        <v>875</v>
      </c>
      <c r="H2091" s="599">
        <v>5</v>
      </c>
      <c r="I2091" s="599">
        <v>4</v>
      </c>
      <c r="J2091" s="599">
        <v>65</v>
      </c>
      <c r="K2091" s="590" t="s">
        <v>38</v>
      </c>
      <c r="L2091" s="746">
        <f t="shared" si="289"/>
        <v>6142080</v>
      </c>
      <c r="M2091" s="745">
        <v>6067590</v>
      </c>
      <c r="N2091" s="762">
        <v>28293</v>
      </c>
      <c r="O2091" s="1054">
        <v>16347</v>
      </c>
      <c r="P2091" s="762"/>
      <c r="Q2091" s="586">
        <v>29850</v>
      </c>
      <c r="R2091" s="599">
        <f>M2091/E2091</f>
        <v>3000</v>
      </c>
      <c r="S2091" s="575">
        <f t="shared" si="290"/>
        <v>0</v>
      </c>
      <c r="T2091" s="575"/>
      <c r="U2091" s="591"/>
      <c r="V2091" s="589"/>
      <c r="W2091" s="591"/>
      <c r="X2091" s="591"/>
      <c r="Y2091" s="591"/>
      <c r="Z2091" s="591"/>
    </row>
    <row r="2092" spans="1:220" s="90" customFormat="1" hidden="1">
      <c r="A2092" s="667">
        <f t="shared" si="291"/>
        <v>4</v>
      </c>
      <c r="B2092" s="592" t="s">
        <v>1824</v>
      </c>
      <c r="C2092" s="1056" t="s">
        <v>217</v>
      </c>
      <c r="D2092" s="619">
        <v>15059</v>
      </c>
      <c r="E2092" s="619">
        <v>5757.58</v>
      </c>
      <c r="F2092" s="619" t="s">
        <v>223</v>
      </c>
      <c r="G2092" s="619">
        <v>1730</v>
      </c>
      <c r="H2092" s="599">
        <v>9</v>
      </c>
      <c r="I2092" s="599">
        <v>5</v>
      </c>
      <c r="J2092" s="599">
        <v>180</v>
      </c>
      <c r="K2092" s="590" t="s">
        <v>226</v>
      </c>
      <c r="L2092" s="584">
        <f t="shared" si="289"/>
        <v>17060652</v>
      </c>
      <c r="M2092" s="585">
        <v>17000000</v>
      </c>
      <c r="N2092" s="630">
        <v>30652</v>
      </c>
      <c r="O2092" s="1054"/>
      <c r="P2092" s="630"/>
      <c r="Q2092" s="586">
        <v>30000</v>
      </c>
      <c r="R2092" s="599">
        <f>M2092/E2092</f>
        <v>2952.6294033257027</v>
      </c>
      <c r="S2092" s="575">
        <f t="shared" si="290"/>
        <v>0</v>
      </c>
      <c r="T2092" s="645"/>
      <c r="U2092" s="737"/>
      <c r="V2092" s="589"/>
      <c r="W2092" s="748"/>
      <c r="X2092" s="748"/>
      <c r="Y2092" s="748"/>
      <c r="Z2092" s="748"/>
    </row>
    <row r="2093" spans="1:220" s="90" customFormat="1" ht="37.5" hidden="1">
      <c r="A2093" s="667">
        <f t="shared" si="291"/>
        <v>5</v>
      </c>
      <c r="B2093" s="592" t="s">
        <v>3917</v>
      </c>
      <c r="C2093" s="1056" t="s">
        <v>217</v>
      </c>
      <c r="D2093" s="619">
        <v>16938</v>
      </c>
      <c r="E2093" s="619">
        <v>2604.88</v>
      </c>
      <c r="F2093" s="619" t="s">
        <v>223</v>
      </c>
      <c r="G2093" s="619">
        <v>1414.5</v>
      </c>
      <c r="H2093" s="599">
        <v>5</v>
      </c>
      <c r="I2093" s="599">
        <v>6</v>
      </c>
      <c r="J2093" s="599">
        <v>90</v>
      </c>
      <c r="K2093" s="590" t="s">
        <v>237</v>
      </c>
      <c r="L2093" s="584">
        <f t="shared" si="289"/>
        <v>2305073</v>
      </c>
      <c r="M2093" s="596">
        <v>2250000</v>
      </c>
      <c r="N2093" s="675"/>
      <c r="O2093" s="1054">
        <v>15273</v>
      </c>
      <c r="P2093" s="675"/>
      <c r="Q2093" s="586">
        <v>39800</v>
      </c>
      <c r="R2093" s="582">
        <f>M2093/J2093</f>
        <v>25000</v>
      </c>
      <c r="S2093" s="575">
        <f t="shared" si="290"/>
        <v>0</v>
      </c>
      <c r="T2093" s="645"/>
      <c r="U2093" s="737"/>
      <c r="V2093" s="589"/>
      <c r="W2093" s="748"/>
      <c r="X2093" s="748"/>
      <c r="Y2093" s="748"/>
      <c r="Z2093" s="748"/>
    </row>
    <row r="2094" spans="1:220" s="90" customFormat="1" ht="37.5" hidden="1">
      <c r="A2094" s="667">
        <f t="shared" si="291"/>
        <v>6</v>
      </c>
      <c r="B2094" s="592" t="s">
        <v>1825</v>
      </c>
      <c r="C2094" s="1056" t="s">
        <v>217</v>
      </c>
      <c r="D2094" s="619">
        <v>15805</v>
      </c>
      <c r="E2094" s="619">
        <v>2631.61</v>
      </c>
      <c r="F2094" s="619" t="s">
        <v>223</v>
      </c>
      <c r="G2094" s="619">
        <v>1280</v>
      </c>
      <c r="H2094" s="599">
        <v>5</v>
      </c>
      <c r="I2094" s="599">
        <v>6</v>
      </c>
      <c r="J2094" s="599">
        <v>79</v>
      </c>
      <c r="K2094" s="590" t="s">
        <v>237</v>
      </c>
      <c r="L2094" s="584">
        <f t="shared" si="289"/>
        <v>2024832.94</v>
      </c>
      <c r="M2094" s="596">
        <v>1975000</v>
      </c>
      <c r="N2094" s="675"/>
      <c r="O2094" s="1054">
        <v>15514</v>
      </c>
      <c r="P2094" s="675"/>
      <c r="Q2094" s="586">
        <v>34318.94</v>
      </c>
      <c r="R2094" s="582">
        <f>M2094/J2094</f>
        <v>25000</v>
      </c>
      <c r="S2094" s="575">
        <f t="shared" si="290"/>
        <v>-5.8207660913467407E-11</v>
      </c>
      <c r="T2094" s="645"/>
      <c r="U2094" s="737"/>
      <c r="V2094" s="589"/>
      <c r="W2094" s="748"/>
      <c r="X2094" s="748"/>
      <c r="Y2094" s="748"/>
      <c r="Z2094" s="748"/>
    </row>
    <row r="2095" spans="1:220" s="90" customFormat="1" hidden="1">
      <c r="A2095" s="667">
        <f t="shared" si="291"/>
        <v>7</v>
      </c>
      <c r="B2095" s="592" t="s">
        <v>1828</v>
      </c>
      <c r="C2095" s="582" t="s">
        <v>221</v>
      </c>
      <c r="D2095" s="619">
        <v>18626</v>
      </c>
      <c r="E2095" s="619">
        <v>3140</v>
      </c>
      <c r="F2095" s="619" t="s">
        <v>223</v>
      </c>
      <c r="G2095" s="619">
        <v>899.4</v>
      </c>
      <c r="H2095" s="599">
        <v>9</v>
      </c>
      <c r="I2095" s="599">
        <v>2</v>
      </c>
      <c r="J2095" s="599">
        <v>101</v>
      </c>
      <c r="K2095" s="590" t="s">
        <v>224</v>
      </c>
      <c r="L2095" s="740">
        <f t="shared" si="289"/>
        <v>2272286.08</v>
      </c>
      <c r="M2095" s="741">
        <v>2222000</v>
      </c>
      <c r="N2095" s="753">
        <v>32991</v>
      </c>
      <c r="O2095" s="872"/>
      <c r="P2095" s="753"/>
      <c r="Q2095" s="586">
        <v>17295.080000000002</v>
      </c>
      <c r="R2095" s="744">
        <f>M2095/J2095</f>
        <v>22000</v>
      </c>
      <c r="S2095" s="575">
        <f t="shared" si="290"/>
        <v>7.2759576141834259E-11</v>
      </c>
      <c r="T2095" s="645"/>
      <c r="U2095" s="737"/>
      <c r="V2095" s="589"/>
      <c r="W2095" s="748"/>
      <c r="X2095" s="748"/>
      <c r="Y2095" s="748"/>
      <c r="Z2095" s="748"/>
    </row>
    <row r="2096" spans="1:220" s="90" customFormat="1" hidden="1">
      <c r="A2096" s="667">
        <f t="shared" si="291"/>
        <v>8</v>
      </c>
      <c r="B2096" s="592" t="s">
        <v>1831</v>
      </c>
      <c r="C2096" s="582" t="s">
        <v>221</v>
      </c>
      <c r="D2096" s="619">
        <v>19780</v>
      </c>
      <c r="E2096" s="619">
        <v>3690</v>
      </c>
      <c r="F2096" s="619" t="s">
        <v>223</v>
      </c>
      <c r="G2096" s="619">
        <v>731.86</v>
      </c>
      <c r="H2096" s="599">
        <v>9</v>
      </c>
      <c r="I2096" s="599">
        <v>1</v>
      </c>
      <c r="J2096" s="599">
        <v>152</v>
      </c>
      <c r="K2096" s="590" t="s">
        <v>33</v>
      </c>
      <c r="L2096" s="584">
        <f t="shared" si="289"/>
        <v>1509066</v>
      </c>
      <c r="M2096" s="585">
        <v>1463720</v>
      </c>
      <c r="N2096" s="586"/>
      <c r="O2096" s="1054">
        <v>25446</v>
      </c>
      <c r="P2096" s="586"/>
      <c r="Q2096" s="586">
        <v>19900</v>
      </c>
      <c r="R2096" s="582">
        <f>M2096/G2096</f>
        <v>2000</v>
      </c>
      <c r="S2096" s="575">
        <f t="shared" si="290"/>
        <v>0</v>
      </c>
      <c r="T2096" s="645"/>
      <c r="U2096" s="737"/>
      <c r="V2096" s="589"/>
      <c r="W2096" s="748"/>
      <c r="X2096" s="748"/>
      <c r="Y2096" s="748"/>
      <c r="Z2096" s="748"/>
    </row>
    <row r="2097" spans="1:26" s="90" customFormat="1" ht="37.5" hidden="1">
      <c r="A2097" s="667">
        <f t="shared" si="291"/>
        <v>9</v>
      </c>
      <c r="B2097" s="592" t="s">
        <v>1836</v>
      </c>
      <c r="C2097" s="1056" t="s">
        <v>217</v>
      </c>
      <c r="D2097" s="619">
        <v>16608</v>
      </c>
      <c r="E2097" s="619">
        <v>3266.1</v>
      </c>
      <c r="F2097" s="619" t="s">
        <v>223</v>
      </c>
      <c r="G2097" s="619">
        <v>1441</v>
      </c>
      <c r="H2097" s="599">
        <v>5</v>
      </c>
      <c r="I2097" s="599">
        <v>6</v>
      </c>
      <c r="J2097" s="599">
        <v>78</v>
      </c>
      <c r="K2097" s="590" t="s">
        <v>237</v>
      </c>
      <c r="L2097" s="584">
        <f t="shared" si="289"/>
        <v>2004992</v>
      </c>
      <c r="M2097" s="596">
        <v>1950000</v>
      </c>
      <c r="N2097" s="597"/>
      <c r="O2097" s="1054">
        <v>15192</v>
      </c>
      <c r="P2097" s="597"/>
      <c r="Q2097" s="586">
        <v>39800</v>
      </c>
      <c r="R2097" s="582">
        <f>M2097/J2097</f>
        <v>25000</v>
      </c>
      <c r="S2097" s="575">
        <f t="shared" si="290"/>
        <v>0</v>
      </c>
      <c r="T2097" s="645"/>
      <c r="U2097" s="709"/>
      <c r="V2097" s="589"/>
      <c r="W2097" s="601"/>
      <c r="X2097" s="601"/>
      <c r="Y2097" s="601"/>
      <c r="Z2097" s="748"/>
    </row>
    <row r="2098" spans="1:26" s="90" customFormat="1" hidden="1">
      <c r="A2098" s="667">
        <f t="shared" si="291"/>
        <v>10</v>
      </c>
      <c r="B2098" s="592" t="s">
        <v>1839</v>
      </c>
      <c r="C2098" s="582" t="s">
        <v>217</v>
      </c>
      <c r="D2098" s="619">
        <v>46878</v>
      </c>
      <c r="E2098" s="619">
        <v>7753.53</v>
      </c>
      <c r="F2098" s="619" t="s">
        <v>223</v>
      </c>
      <c r="G2098" s="619">
        <v>2161.5</v>
      </c>
      <c r="H2098" s="599">
        <v>9</v>
      </c>
      <c r="I2098" s="599">
        <v>6</v>
      </c>
      <c r="J2098" s="599">
        <v>216</v>
      </c>
      <c r="K2098" s="632" t="s">
        <v>226</v>
      </c>
      <c r="L2098" s="746">
        <f t="shared" si="289"/>
        <v>18100405</v>
      </c>
      <c r="M2098" s="1057">
        <v>18000000</v>
      </c>
      <c r="N2098" s="762">
        <v>46014</v>
      </c>
      <c r="O2098" s="1054">
        <v>24541</v>
      </c>
      <c r="P2098" s="762"/>
      <c r="Q2098" s="586">
        <v>29850</v>
      </c>
      <c r="R2098" s="599">
        <f>M2098/E2098</f>
        <v>2321.5232287745066</v>
      </c>
      <c r="S2098" s="575">
        <f t="shared" si="290"/>
        <v>0</v>
      </c>
      <c r="T2098" s="645"/>
      <c r="U2098" s="737"/>
      <c r="V2098" s="589"/>
      <c r="W2098" s="748"/>
      <c r="X2098" s="748"/>
      <c r="Y2098" s="748"/>
      <c r="Z2098" s="748"/>
    </row>
    <row r="2099" spans="1:26" s="90" customFormat="1" hidden="1">
      <c r="A2099" s="667">
        <f t="shared" si="291"/>
        <v>11</v>
      </c>
      <c r="B2099" s="592" t="s">
        <v>1842</v>
      </c>
      <c r="C2099" s="561" t="s">
        <v>217</v>
      </c>
      <c r="D2099" s="619">
        <v>5966</v>
      </c>
      <c r="E2099" s="619">
        <v>1425.42</v>
      </c>
      <c r="F2099" s="619" t="s">
        <v>223</v>
      </c>
      <c r="G2099" s="619">
        <v>470.6</v>
      </c>
      <c r="H2099" s="599">
        <v>5</v>
      </c>
      <c r="I2099" s="599">
        <v>2</v>
      </c>
      <c r="J2099" s="599">
        <v>30</v>
      </c>
      <c r="K2099" s="590" t="s">
        <v>259</v>
      </c>
      <c r="L2099" s="584">
        <f t="shared" si="289"/>
        <v>5042788</v>
      </c>
      <c r="M2099" s="596">
        <v>4988970</v>
      </c>
      <c r="N2099" s="630">
        <v>29986</v>
      </c>
      <c r="O2099" s="1054"/>
      <c r="P2099" s="630"/>
      <c r="Q2099" s="586">
        <v>23832</v>
      </c>
      <c r="R2099" s="599">
        <f>M2099/E2099</f>
        <v>3500</v>
      </c>
      <c r="S2099" s="575">
        <f t="shared" si="290"/>
        <v>0</v>
      </c>
      <c r="T2099" s="645"/>
      <c r="U2099" s="709"/>
      <c r="V2099" s="589"/>
      <c r="W2099" s="601"/>
      <c r="X2099" s="601"/>
      <c r="Y2099" s="601"/>
      <c r="Z2099" s="748"/>
    </row>
    <row r="2100" spans="1:26" s="90" customFormat="1" ht="37.5" hidden="1">
      <c r="A2100" s="667">
        <f t="shared" si="291"/>
        <v>12</v>
      </c>
      <c r="B2100" s="592" t="s">
        <v>1843</v>
      </c>
      <c r="C2100" s="1056" t="s">
        <v>217</v>
      </c>
      <c r="D2100" s="619">
        <v>33815</v>
      </c>
      <c r="E2100" s="619">
        <v>6915.92</v>
      </c>
      <c r="F2100" s="619" t="s">
        <v>223</v>
      </c>
      <c r="G2100" s="619">
        <v>1410.5</v>
      </c>
      <c r="H2100" s="599">
        <v>9</v>
      </c>
      <c r="I2100" s="599">
        <v>3</v>
      </c>
      <c r="J2100" s="599">
        <v>144</v>
      </c>
      <c r="K2100" s="590" t="s">
        <v>237</v>
      </c>
      <c r="L2100" s="584">
        <f t="shared" si="289"/>
        <v>3661482</v>
      </c>
      <c r="M2100" s="596">
        <v>3600000</v>
      </c>
      <c r="N2100" s="597"/>
      <c r="O2100" s="1054">
        <v>21682</v>
      </c>
      <c r="P2100" s="597"/>
      <c r="Q2100" s="586">
        <v>39800</v>
      </c>
      <c r="R2100" s="582">
        <f t="shared" ref="R2100:R2106" si="292">M2100/J2100</f>
        <v>25000</v>
      </c>
      <c r="S2100" s="575">
        <f t="shared" si="290"/>
        <v>0</v>
      </c>
      <c r="T2100" s="645"/>
      <c r="U2100" s="737"/>
      <c r="V2100" s="589"/>
      <c r="W2100" s="748"/>
      <c r="X2100" s="748"/>
      <c r="Y2100" s="748"/>
      <c r="Z2100" s="748"/>
    </row>
    <row r="2101" spans="1:26" s="90" customFormat="1" ht="37.5" hidden="1">
      <c r="A2101" s="667">
        <f t="shared" si="291"/>
        <v>13</v>
      </c>
      <c r="B2101" s="592" t="s">
        <v>1847</v>
      </c>
      <c r="C2101" s="1056" t="s">
        <v>217</v>
      </c>
      <c r="D2101" s="619">
        <v>19081</v>
      </c>
      <c r="E2101" s="619">
        <v>2862.04</v>
      </c>
      <c r="F2101" s="619" t="s">
        <v>223</v>
      </c>
      <c r="G2101" s="619">
        <v>1573</v>
      </c>
      <c r="H2101" s="599">
        <v>5</v>
      </c>
      <c r="I2101" s="599">
        <v>8</v>
      </c>
      <c r="J2101" s="599">
        <v>117</v>
      </c>
      <c r="K2101" s="590" t="s">
        <v>237</v>
      </c>
      <c r="L2101" s="584">
        <f t="shared" si="289"/>
        <v>2980049</v>
      </c>
      <c r="M2101" s="596">
        <v>2925000</v>
      </c>
      <c r="N2101" s="597"/>
      <c r="O2101" s="1054">
        <v>15249</v>
      </c>
      <c r="P2101" s="597"/>
      <c r="Q2101" s="586">
        <v>39800</v>
      </c>
      <c r="R2101" s="582">
        <f t="shared" si="292"/>
        <v>25000</v>
      </c>
      <c r="S2101" s="575">
        <f t="shared" si="290"/>
        <v>0</v>
      </c>
      <c r="T2101" s="645"/>
      <c r="U2101" s="709"/>
      <c r="V2101" s="589"/>
      <c r="W2101" s="601"/>
      <c r="X2101" s="601"/>
      <c r="Y2101" s="601"/>
      <c r="Z2101" s="748"/>
    </row>
    <row r="2102" spans="1:26" s="90" customFormat="1" hidden="1">
      <c r="A2102" s="667">
        <f t="shared" si="291"/>
        <v>14</v>
      </c>
      <c r="B2102" s="592" t="s">
        <v>1853</v>
      </c>
      <c r="C2102" s="582" t="s">
        <v>221</v>
      </c>
      <c r="D2102" s="619">
        <v>3744</v>
      </c>
      <c r="E2102" s="619">
        <v>780</v>
      </c>
      <c r="F2102" s="619" t="s">
        <v>222</v>
      </c>
      <c r="G2102" s="619">
        <v>428</v>
      </c>
      <c r="H2102" s="599">
        <v>2</v>
      </c>
      <c r="I2102" s="599">
        <v>2</v>
      </c>
      <c r="J2102" s="599">
        <v>6</v>
      </c>
      <c r="K2102" s="590" t="s">
        <v>224</v>
      </c>
      <c r="L2102" s="740">
        <f t="shared" si="289"/>
        <v>293329.53999999998</v>
      </c>
      <c r="M2102" s="1058">
        <v>268917</v>
      </c>
      <c r="N2102" s="753">
        <v>23522</v>
      </c>
      <c r="O2102" s="743"/>
      <c r="P2102" s="742"/>
      <c r="Q2102" s="586">
        <v>890.54</v>
      </c>
      <c r="R2102" s="744">
        <f t="shared" si="292"/>
        <v>44819.5</v>
      </c>
      <c r="S2102" s="575">
        <f t="shared" si="290"/>
        <v>-2.0918378140777349E-11</v>
      </c>
      <c r="T2102" s="645"/>
      <c r="U2102" s="709"/>
      <c r="V2102" s="589"/>
      <c r="W2102" s="601"/>
      <c r="X2102" s="601"/>
      <c r="Y2102" s="601"/>
      <c r="Z2102" s="748"/>
    </row>
    <row r="2103" spans="1:26" s="90" customFormat="1" hidden="1">
      <c r="A2103" s="667">
        <f t="shared" si="291"/>
        <v>15</v>
      </c>
      <c r="B2103" s="592" t="s">
        <v>1854</v>
      </c>
      <c r="C2103" s="582" t="s">
        <v>221</v>
      </c>
      <c r="D2103" s="619">
        <v>6669</v>
      </c>
      <c r="E2103" s="619">
        <v>1260</v>
      </c>
      <c r="F2103" s="619" t="s">
        <v>222</v>
      </c>
      <c r="G2103" s="619">
        <v>1049</v>
      </c>
      <c r="H2103" s="599">
        <v>3</v>
      </c>
      <c r="I2103" s="599">
        <v>3</v>
      </c>
      <c r="J2103" s="599">
        <v>33</v>
      </c>
      <c r="K2103" s="590" t="s">
        <v>224</v>
      </c>
      <c r="L2103" s="740">
        <f t="shared" si="289"/>
        <v>755114.57</v>
      </c>
      <c r="M2103" s="741">
        <v>726000</v>
      </c>
      <c r="N2103" s="753">
        <v>22844</v>
      </c>
      <c r="O2103" s="872"/>
      <c r="P2103" s="753"/>
      <c r="Q2103" s="586">
        <v>6270.57</v>
      </c>
      <c r="R2103" s="744">
        <f t="shared" si="292"/>
        <v>22000</v>
      </c>
      <c r="S2103" s="575">
        <f t="shared" si="290"/>
        <v>-5.0931703299283981E-11</v>
      </c>
      <c r="T2103" s="645"/>
      <c r="U2103" s="709"/>
      <c r="V2103" s="589"/>
      <c r="W2103" s="601"/>
      <c r="X2103" s="601"/>
      <c r="Y2103" s="601"/>
      <c r="Z2103" s="748"/>
    </row>
    <row r="2104" spans="1:26" s="90" customFormat="1" hidden="1">
      <c r="A2104" s="667">
        <f t="shared" si="291"/>
        <v>16</v>
      </c>
      <c r="B2104" s="592" t="s">
        <v>1855</v>
      </c>
      <c r="C2104" s="582" t="s">
        <v>221</v>
      </c>
      <c r="D2104" s="619">
        <v>6669</v>
      </c>
      <c r="E2104" s="619">
        <v>1260</v>
      </c>
      <c r="F2104" s="619" t="s">
        <v>222</v>
      </c>
      <c r="G2104" s="619">
        <v>1049</v>
      </c>
      <c r="H2104" s="599">
        <v>3</v>
      </c>
      <c r="I2104" s="599">
        <v>3</v>
      </c>
      <c r="J2104" s="599">
        <v>33</v>
      </c>
      <c r="K2104" s="590" t="s">
        <v>224</v>
      </c>
      <c r="L2104" s="740">
        <f t="shared" si="289"/>
        <v>755083.52</v>
      </c>
      <c r="M2104" s="741">
        <v>726000</v>
      </c>
      <c r="N2104" s="753">
        <v>22844</v>
      </c>
      <c r="O2104" s="872"/>
      <c r="P2104" s="753"/>
      <c r="Q2104" s="586">
        <v>6239.52</v>
      </c>
      <c r="R2104" s="744">
        <f t="shared" si="292"/>
        <v>22000</v>
      </c>
      <c r="S2104" s="575">
        <f t="shared" si="290"/>
        <v>1.8189894035458565E-11</v>
      </c>
      <c r="T2104" s="645"/>
      <c r="U2104" s="709"/>
      <c r="V2104" s="589"/>
      <c r="W2104" s="601"/>
      <c r="X2104" s="601"/>
      <c r="Y2104" s="601"/>
      <c r="Z2104" s="748"/>
    </row>
    <row r="2105" spans="1:26" s="90" customFormat="1" hidden="1">
      <c r="A2105" s="667">
        <f t="shared" si="291"/>
        <v>17</v>
      </c>
      <c r="B2105" s="592" t="s">
        <v>1856</v>
      </c>
      <c r="C2105" s="582" t="s">
        <v>221</v>
      </c>
      <c r="D2105" s="619">
        <v>2640</v>
      </c>
      <c r="E2105" s="619">
        <v>702</v>
      </c>
      <c r="F2105" s="619" t="s">
        <v>222</v>
      </c>
      <c r="G2105" s="619">
        <v>650</v>
      </c>
      <c r="H2105" s="599">
        <v>2</v>
      </c>
      <c r="I2105" s="599">
        <v>2</v>
      </c>
      <c r="J2105" s="599">
        <v>16</v>
      </c>
      <c r="K2105" s="590" t="s">
        <v>224</v>
      </c>
      <c r="L2105" s="740">
        <f t="shared" si="289"/>
        <v>399114.33</v>
      </c>
      <c r="M2105" s="1058">
        <v>367838</v>
      </c>
      <c r="N2105" s="753">
        <v>22461</v>
      </c>
      <c r="O2105" s="872"/>
      <c r="P2105" s="753"/>
      <c r="Q2105" s="586">
        <v>8815.33</v>
      </c>
      <c r="R2105" s="744">
        <f t="shared" si="292"/>
        <v>22989.875</v>
      </c>
      <c r="S2105" s="575">
        <f t="shared" si="290"/>
        <v>1.6370904631912708E-11</v>
      </c>
      <c r="T2105" s="645"/>
      <c r="U2105" s="709"/>
      <c r="V2105" s="589"/>
      <c r="W2105" s="601"/>
      <c r="X2105" s="601"/>
      <c r="Y2105" s="601"/>
      <c r="Z2105" s="748"/>
    </row>
    <row r="2106" spans="1:26" s="90" customFormat="1" ht="37.5" hidden="1">
      <c r="A2106" s="667">
        <f t="shared" si="291"/>
        <v>18</v>
      </c>
      <c r="B2106" s="592" t="s">
        <v>4094</v>
      </c>
      <c r="C2106" s="1056" t="s">
        <v>217</v>
      </c>
      <c r="D2106" s="619">
        <v>14267</v>
      </c>
      <c r="E2106" s="619">
        <v>2225</v>
      </c>
      <c r="F2106" s="619" t="s">
        <v>227</v>
      </c>
      <c r="G2106" s="619">
        <v>974.87</v>
      </c>
      <c r="H2106" s="599">
        <v>5</v>
      </c>
      <c r="I2106" s="599">
        <v>6</v>
      </c>
      <c r="J2106" s="599">
        <v>84</v>
      </c>
      <c r="K2106" s="590" t="s">
        <v>237</v>
      </c>
      <c r="L2106" s="584">
        <f t="shared" si="289"/>
        <v>4080547</v>
      </c>
      <c r="M2106" s="607">
        <v>4025620</v>
      </c>
      <c r="N2106" s="597"/>
      <c r="O2106" s="1054">
        <v>15127</v>
      </c>
      <c r="P2106" s="597"/>
      <c r="Q2106" s="586">
        <v>39800</v>
      </c>
      <c r="R2106" s="582">
        <f t="shared" si="292"/>
        <v>47924.047619047618</v>
      </c>
      <c r="S2106" s="575">
        <f t="shared" si="290"/>
        <v>0</v>
      </c>
      <c r="T2106" s="645"/>
      <c r="U2106" s="737"/>
      <c r="V2106" s="589"/>
      <c r="W2106" s="748"/>
      <c r="X2106" s="748"/>
      <c r="Y2106" s="748"/>
      <c r="Z2106" s="748"/>
    </row>
    <row r="2107" spans="1:26" s="91" customFormat="1" ht="37.5" hidden="1">
      <c r="A2107" s="667">
        <f t="shared" ref="A2107:A2121" si="293">A2106+1</f>
        <v>19</v>
      </c>
      <c r="B2107" s="592" t="s">
        <v>3920</v>
      </c>
      <c r="C2107" s="1056" t="s">
        <v>217</v>
      </c>
      <c r="D2107" s="619">
        <v>17925</v>
      </c>
      <c r="E2107" s="619">
        <v>2918.7</v>
      </c>
      <c r="F2107" s="619" t="s">
        <v>227</v>
      </c>
      <c r="G2107" s="619">
        <v>1195</v>
      </c>
      <c r="H2107" s="599">
        <v>5</v>
      </c>
      <c r="I2107" s="599">
        <v>4</v>
      </c>
      <c r="J2107" s="599">
        <v>89</v>
      </c>
      <c r="K2107" s="590" t="s">
        <v>4272</v>
      </c>
      <c r="L2107" s="584">
        <f t="shared" si="289"/>
        <v>8808195</v>
      </c>
      <c r="M2107" s="596">
        <v>8756100</v>
      </c>
      <c r="N2107" s="586">
        <v>32095</v>
      </c>
      <c r="O2107" s="587"/>
      <c r="P2107" s="586"/>
      <c r="Q2107" s="586">
        <v>20000</v>
      </c>
      <c r="R2107" s="582">
        <f t="shared" ref="R2107:R2114" si="294">M2107/E2107</f>
        <v>3000</v>
      </c>
      <c r="S2107" s="564"/>
      <c r="T2107" s="645"/>
      <c r="U2107" s="737"/>
      <c r="V2107" s="589"/>
      <c r="W2107" s="748"/>
      <c r="X2107" s="748"/>
      <c r="Y2107" s="748"/>
      <c r="Z2107" s="748"/>
    </row>
    <row r="2108" spans="1:26" s="91" customFormat="1" ht="37.5" hidden="1">
      <c r="A2108" s="667">
        <f t="shared" si="293"/>
        <v>20</v>
      </c>
      <c r="B2108" s="592" t="s">
        <v>2766</v>
      </c>
      <c r="C2108" s="582" t="s">
        <v>221</v>
      </c>
      <c r="D2108" s="619">
        <v>17588</v>
      </c>
      <c r="E2108" s="619">
        <v>2815.88</v>
      </c>
      <c r="F2108" s="619" t="s">
        <v>228</v>
      </c>
      <c r="G2108" s="619">
        <v>1357</v>
      </c>
      <c r="H2108" s="599">
        <v>5</v>
      </c>
      <c r="I2108" s="599">
        <v>6</v>
      </c>
      <c r="J2108" s="599">
        <v>100</v>
      </c>
      <c r="K2108" s="590" t="s">
        <v>4272</v>
      </c>
      <c r="L2108" s="746">
        <f t="shared" si="289"/>
        <v>6560329</v>
      </c>
      <c r="M2108" s="745">
        <v>6500000</v>
      </c>
      <c r="N2108" s="747">
        <v>30329</v>
      </c>
      <c r="O2108" s="736"/>
      <c r="P2108" s="747"/>
      <c r="Q2108" s="586">
        <v>30000</v>
      </c>
      <c r="R2108" s="599">
        <f t="shared" si="294"/>
        <v>2308.3370029972866</v>
      </c>
      <c r="S2108" s="592"/>
      <c r="T2108" s="645"/>
      <c r="U2108" s="1059"/>
      <c r="V2108" s="748"/>
      <c r="W2108" s="748"/>
      <c r="X2108" s="748"/>
      <c r="Y2108" s="748"/>
      <c r="Z2108" s="748"/>
    </row>
    <row r="2109" spans="1:26" s="115" customFormat="1" hidden="1">
      <c r="A2109" s="667">
        <f t="shared" si="293"/>
        <v>21</v>
      </c>
      <c r="B2109" s="592" t="s">
        <v>2768</v>
      </c>
      <c r="C2109" s="561" t="s">
        <v>217</v>
      </c>
      <c r="D2109" s="619">
        <v>32642</v>
      </c>
      <c r="E2109" s="619">
        <v>5857.58</v>
      </c>
      <c r="F2109" s="619" t="s">
        <v>223</v>
      </c>
      <c r="G2109" s="619">
        <v>1682</v>
      </c>
      <c r="H2109" s="599">
        <v>9</v>
      </c>
      <c r="I2109" s="599">
        <v>5</v>
      </c>
      <c r="J2109" s="599">
        <v>180</v>
      </c>
      <c r="K2109" s="590" t="s">
        <v>226</v>
      </c>
      <c r="L2109" s="746">
        <f t="shared" si="289"/>
        <v>17565553</v>
      </c>
      <c r="M2109" s="745">
        <v>17500000</v>
      </c>
      <c r="N2109" s="747">
        <v>35553</v>
      </c>
      <c r="O2109" s="743"/>
      <c r="P2109" s="747"/>
      <c r="Q2109" s="586">
        <v>30000</v>
      </c>
      <c r="R2109" s="599">
        <f t="shared" si="294"/>
        <v>2987.5819024238681</v>
      </c>
      <c r="S2109" s="592"/>
      <c r="T2109" s="645"/>
      <c r="U2109" s="1059"/>
      <c r="V2109" s="601"/>
      <c r="W2109" s="601"/>
      <c r="X2109" s="601"/>
      <c r="Y2109" s="601"/>
      <c r="Z2109" s="601"/>
    </row>
    <row r="2110" spans="1:26" s="91" customFormat="1" ht="37.5" hidden="1">
      <c r="A2110" s="667">
        <f t="shared" si="293"/>
        <v>22</v>
      </c>
      <c r="B2110" s="592" t="s">
        <v>2778</v>
      </c>
      <c r="C2110" s="582" t="s">
        <v>221</v>
      </c>
      <c r="D2110" s="619">
        <v>34241</v>
      </c>
      <c r="E2110" s="619">
        <v>5495.6</v>
      </c>
      <c r="F2110" s="619" t="s">
        <v>223</v>
      </c>
      <c r="G2110" s="619">
        <v>2880.5</v>
      </c>
      <c r="H2110" s="599">
        <v>5</v>
      </c>
      <c r="I2110" s="599">
        <v>12</v>
      </c>
      <c r="J2110" s="599">
        <v>193</v>
      </c>
      <c r="K2110" s="590" t="s">
        <v>4272</v>
      </c>
      <c r="L2110" s="746">
        <f t="shared" si="289"/>
        <v>17566278</v>
      </c>
      <c r="M2110" s="745">
        <v>17500000</v>
      </c>
      <c r="N2110" s="747">
        <v>36278</v>
      </c>
      <c r="O2110" s="736"/>
      <c r="P2110" s="747"/>
      <c r="Q2110" s="586">
        <v>30000</v>
      </c>
      <c r="R2110" s="599">
        <f t="shared" si="294"/>
        <v>3184.3656743576676</v>
      </c>
      <c r="S2110" s="592" t="s">
        <v>428</v>
      </c>
      <c r="T2110" s="645"/>
      <c r="U2110" s="1059"/>
      <c r="V2110" s="748"/>
      <c r="W2110" s="748"/>
      <c r="X2110" s="748"/>
      <c r="Y2110" s="748"/>
      <c r="Z2110" s="748"/>
    </row>
    <row r="2111" spans="1:26" s="91" customFormat="1" ht="37.5" hidden="1">
      <c r="A2111" s="667">
        <f t="shared" si="293"/>
        <v>23</v>
      </c>
      <c r="B2111" s="592" t="s">
        <v>2779</v>
      </c>
      <c r="C2111" s="582" t="s">
        <v>221</v>
      </c>
      <c r="D2111" s="619">
        <v>18119</v>
      </c>
      <c r="E2111" s="619">
        <v>3311.86</v>
      </c>
      <c r="F2111" s="619" t="s">
        <v>223</v>
      </c>
      <c r="G2111" s="619">
        <v>1283</v>
      </c>
      <c r="H2111" s="599">
        <v>5</v>
      </c>
      <c r="I2111" s="599">
        <v>6</v>
      </c>
      <c r="J2111" s="599">
        <v>58</v>
      </c>
      <c r="K2111" s="590" t="s">
        <v>4272</v>
      </c>
      <c r="L2111" s="746">
        <f t="shared" si="289"/>
        <v>9560583</v>
      </c>
      <c r="M2111" s="745">
        <v>9500000</v>
      </c>
      <c r="N2111" s="747">
        <v>30583</v>
      </c>
      <c r="O2111" s="736"/>
      <c r="P2111" s="747"/>
      <c r="Q2111" s="586">
        <v>30000</v>
      </c>
      <c r="R2111" s="599">
        <f t="shared" si="294"/>
        <v>2868.4787400433593</v>
      </c>
      <c r="S2111" s="592"/>
      <c r="T2111" s="645"/>
      <c r="U2111" s="1059"/>
      <c r="V2111" s="748"/>
      <c r="W2111" s="748"/>
      <c r="X2111" s="748"/>
      <c r="Y2111" s="748"/>
      <c r="Z2111" s="748"/>
    </row>
    <row r="2112" spans="1:26" s="115" customFormat="1" hidden="1">
      <c r="A2112" s="667">
        <f t="shared" si="293"/>
        <v>24</v>
      </c>
      <c r="B2112" s="592" t="s">
        <v>849</v>
      </c>
      <c r="C2112" s="561" t="s">
        <v>217</v>
      </c>
      <c r="D2112" s="619">
        <v>47262</v>
      </c>
      <c r="E2112" s="619">
        <v>5140</v>
      </c>
      <c r="F2112" s="619" t="s">
        <v>223</v>
      </c>
      <c r="G2112" s="619">
        <v>2085.1</v>
      </c>
      <c r="H2112" s="599">
        <v>9</v>
      </c>
      <c r="I2112" s="599">
        <v>5</v>
      </c>
      <c r="J2112" s="599">
        <v>180</v>
      </c>
      <c r="K2112" s="590" t="s">
        <v>226</v>
      </c>
      <c r="L2112" s="584">
        <v>14884500</v>
      </c>
      <c r="M2112" s="596">
        <v>14825500</v>
      </c>
      <c r="N2112" s="597">
        <v>59000</v>
      </c>
      <c r="O2112" s="736"/>
      <c r="P2112" s="597"/>
      <c r="Q2112" s="586"/>
      <c r="R2112" s="582">
        <f t="shared" si="294"/>
        <v>2884.3385214007781</v>
      </c>
      <c r="S2112" s="592"/>
      <c r="T2112" s="645"/>
      <c r="U2112" s="1059"/>
      <c r="V2112" s="601"/>
      <c r="W2112" s="601"/>
      <c r="X2112" s="601"/>
      <c r="Y2112" s="601"/>
      <c r="Z2112" s="601"/>
    </row>
    <row r="2113" spans="1:26" s="86" customFormat="1" hidden="1">
      <c r="A2113" s="667">
        <f t="shared" si="293"/>
        <v>25</v>
      </c>
      <c r="B2113" s="592" t="s">
        <v>3634</v>
      </c>
      <c r="C2113" s="593" t="s">
        <v>217</v>
      </c>
      <c r="D2113" s="646">
        <v>16704</v>
      </c>
      <c r="E2113" s="619">
        <v>2932</v>
      </c>
      <c r="F2113" s="619" t="s">
        <v>223</v>
      </c>
      <c r="G2113" s="739">
        <v>1402</v>
      </c>
      <c r="H2113" s="582">
        <v>5</v>
      </c>
      <c r="I2113" s="582">
        <v>6</v>
      </c>
      <c r="J2113" s="599">
        <v>90</v>
      </c>
      <c r="K2113" s="590" t="s">
        <v>226</v>
      </c>
      <c r="L2113" s="584">
        <f t="shared" ref="L2113:L2121" si="295">M2113+N2113+O2113+P2113+Q2113</f>
        <v>9561481</v>
      </c>
      <c r="M2113" s="585">
        <v>9500000</v>
      </c>
      <c r="N2113" s="586">
        <v>31481</v>
      </c>
      <c r="O2113" s="736"/>
      <c r="P2113" s="586"/>
      <c r="Q2113" s="586">
        <v>30000</v>
      </c>
      <c r="R2113" s="599">
        <f t="shared" si="294"/>
        <v>3240.1091405184175</v>
      </c>
      <c r="S2113" s="592"/>
      <c r="T2113" s="645"/>
      <c r="U2113" s="737"/>
      <c r="V2113" s="737"/>
      <c r="W2113" s="737"/>
      <c r="X2113" s="737"/>
      <c r="Y2113" s="737"/>
      <c r="Z2113" s="737"/>
    </row>
    <row r="2114" spans="1:26" s="86" customFormat="1" hidden="1">
      <c r="A2114" s="667">
        <f t="shared" si="293"/>
        <v>26</v>
      </c>
      <c r="B2114" s="592" t="s">
        <v>3637</v>
      </c>
      <c r="C2114" s="593" t="s">
        <v>217</v>
      </c>
      <c r="D2114" s="646">
        <v>19170</v>
      </c>
      <c r="E2114" s="619">
        <v>2696</v>
      </c>
      <c r="F2114" s="619" t="s">
        <v>223</v>
      </c>
      <c r="G2114" s="739">
        <v>1175.2</v>
      </c>
      <c r="H2114" s="582">
        <v>5</v>
      </c>
      <c r="I2114" s="582">
        <v>6</v>
      </c>
      <c r="J2114" s="599">
        <v>90</v>
      </c>
      <c r="K2114" s="590" t="s">
        <v>226</v>
      </c>
      <c r="L2114" s="584">
        <f t="shared" si="295"/>
        <v>9498722</v>
      </c>
      <c r="M2114" s="585">
        <v>9436000</v>
      </c>
      <c r="N2114" s="586">
        <v>32722</v>
      </c>
      <c r="O2114" s="736"/>
      <c r="P2114" s="586"/>
      <c r="Q2114" s="586">
        <v>30000</v>
      </c>
      <c r="R2114" s="599">
        <f t="shared" si="294"/>
        <v>3500</v>
      </c>
      <c r="S2114" s="592"/>
      <c r="T2114" s="645"/>
      <c r="U2114" s="737"/>
      <c r="V2114" s="737"/>
      <c r="W2114" s="737"/>
      <c r="X2114" s="737"/>
      <c r="Y2114" s="737"/>
      <c r="Z2114" s="737"/>
    </row>
    <row r="2115" spans="1:26" s="86" customFormat="1" ht="37.5" hidden="1">
      <c r="A2115" s="667">
        <f t="shared" si="293"/>
        <v>27</v>
      </c>
      <c r="B2115" s="592" t="s">
        <v>841</v>
      </c>
      <c r="C2115" s="593" t="s">
        <v>217</v>
      </c>
      <c r="D2115" s="646">
        <v>11479</v>
      </c>
      <c r="E2115" s="619">
        <v>1670</v>
      </c>
      <c r="F2115" s="619" t="s">
        <v>223</v>
      </c>
      <c r="G2115" s="739">
        <v>943</v>
      </c>
      <c r="H2115" s="582">
        <v>5</v>
      </c>
      <c r="I2115" s="582">
        <v>4</v>
      </c>
      <c r="J2115" s="599">
        <v>60</v>
      </c>
      <c r="K2115" s="735" t="s">
        <v>30</v>
      </c>
      <c r="L2115" s="584">
        <f t="shared" si="295"/>
        <v>1496977.5</v>
      </c>
      <c r="M2115" s="596">
        <v>1492500</v>
      </c>
      <c r="N2115" s="597"/>
      <c r="O2115" s="736">
        <v>4477.5</v>
      </c>
      <c r="P2115" s="597"/>
      <c r="Q2115" s="586"/>
      <c r="R2115" s="582">
        <f>M2115/J2115</f>
        <v>24875</v>
      </c>
      <c r="S2115" s="592"/>
      <c r="T2115" s="645"/>
      <c r="U2115" s="737"/>
      <c r="V2115" s="589"/>
      <c r="W2115" s="737"/>
      <c r="X2115" s="737"/>
      <c r="Y2115" s="737"/>
      <c r="Z2115" s="737"/>
    </row>
    <row r="2116" spans="1:26" s="86" customFormat="1" hidden="1">
      <c r="A2116" s="667">
        <f t="shared" si="293"/>
        <v>28</v>
      </c>
      <c r="B2116" s="592" t="s">
        <v>844</v>
      </c>
      <c r="C2116" s="593" t="s">
        <v>217</v>
      </c>
      <c r="D2116" s="646">
        <v>11593</v>
      </c>
      <c r="E2116" s="619">
        <v>2528.36</v>
      </c>
      <c r="F2116" s="619" t="s">
        <v>223</v>
      </c>
      <c r="G2116" s="739">
        <v>1042.1300000000001</v>
      </c>
      <c r="H2116" s="582">
        <v>5</v>
      </c>
      <c r="I2116" s="582">
        <v>4</v>
      </c>
      <c r="J2116" s="599">
        <v>60</v>
      </c>
      <c r="K2116" s="735" t="s">
        <v>226</v>
      </c>
      <c r="L2116" s="584">
        <f t="shared" si="295"/>
        <v>8853315.7999999989</v>
      </c>
      <c r="M2116" s="585">
        <v>8805013.6999999993</v>
      </c>
      <c r="N2116" s="586">
        <v>18602.099999999999</v>
      </c>
      <c r="O2116" s="736"/>
      <c r="P2116" s="586"/>
      <c r="Q2116" s="586">
        <v>29700</v>
      </c>
      <c r="R2116" s="599">
        <f>M2116/E2116</f>
        <v>3482.4999999999995</v>
      </c>
      <c r="S2116" s="592" t="s">
        <v>3608</v>
      </c>
      <c r="T2116" s="645"/>
      <c r="U2116" s="737"/>
      <c r="V2116" s="589"/>
      <c r="W2116" s="737"/>
      <c r="X2116" s="737"/>
      <c r="Y2116" s="737"/>
      <c r="Z2116" s="737"/>
    </row>
    <row r="2117" spans="1:26" s="86" customFormat="1" hidden="1">
      <c r="A2117" s="667">
        <f t="shared" si="293"/>
        <v>29</v>
      </c>
      <c r="B2117" s="592" t="s">
        <v>853</v>
      </c>
      <c r="C2117" s="744" t="s">
        <v>221</v>
      </c>
      <c r="D2117" s="646">
        <v>5616</v>
      </c>
      <c r="E2117" s="619">
        <v>1098</v>
      </c>
      <c r="F2117" s="619" t="s">
        <v>222</v>
      </c>
      <c r="G2117" s="739">
        <v>776</v>
      </c>
      <c r="H2117" s="582">
        <v>3</v>
      </c>
      <c r="I2117" s="582">
        <v>2</v>
      </c>
      <c r="J2117" s="599">
        <v>24</v>
      </c>
      <c r="K2117" s="735" t="s">
        <v>33</v>
      </c>
      <c r="L2117" s="584">
        <f t="shared" si="295"/>
        <v>2203219.2000000002</v>
      </c>
      <c r="M2117" s="585">
        <v>2170627.2000000002</v>
      </c>
      <c r="N2117" s="586">
        <v>32592</v>
      </c>
      <c r="O2117" s="587"/>
      <c r="P2117" s="586"/>
      <c r="Q2117" s="586"/>
      <c r="R2117" s="582">
        <f>M2117/G2117</f>
        <v>2797.2000000000003</v>
      </c>
      <c r="S2117" s="592"/>
      <c r="T2117" s="645"/>
      <c r="U2117" s="737"/>
      <c r="V2117" s="589"/>
      <c r="W2117" s="737"/>
      <c r="X2117" s="737"/>
      <c r="Y2117" s="737"/>
      <c r="Z2117" s="737"/>
    </row>
    <row r="2118" spans="1:26" s="91" customFormat="1" ht="37.5" hidden="1">
      <c r="A2118" s="667">
        <f t="shared" si="293"/>
        <v>30</v>
      </c>
      <c r="B2118" s="592" t="s">
        <v>3603</v>
      </c>
      <c r="C2118" s="744" t="s">
        <v>217</v>
      </c>
      <c r="D2118" s="646">
        <v>15050</v>
      </c>
      <c r="E2118" s="619">
        <v>2374.48</v>
      </c>
      <c r="F2118" s="619" t="s">
        <v>222</v>
      </c>
      <c r="G2118" s="739">
        <f>(20*I2118)*12*1.2</f>
        <v>1728</v>
      </c>
      <c r="H2118" s="582">
        <v>5</v>
      </c>
      <c r="I2118" s="582">
        <v>6</v>
      </c>
      <c r="J2118" s="599">
        <v>90</v>
      </c>
      <c r="K2118" s="735" t="s">
        <v>30</v>
      </c>
      <c r="L2118" s="740">
        <f t="shared" si="295"/>
        <v>1445453</v>
      </c>
      <c r="M2118" s="741">
        <v>1406250</v>
      </c>
      <c r="N2118" s="742"/>
      <c r="O2118" s="743">
        <v>5056.92</v>
      </c>
      <c r="P2118" s="742"/>
      <c r="Q2118" s="586">
        <v>34146.080000000002</v>
      </c>
      <c r="R2118" s="744">
        <f>M2118/J2118</f>
        <v>15625</v>
      </c>
      <c r="S2118" s="645"/>
      <c r="T2118" s="738"/>
      <c r="U2118" s="737"/>
      <c r="V2118" s="589"/>
      <c r="W2118" s="748"/>
      <c r="X2118" s="748"/>
      <c r="Y2118" s="748"/>
      <c r="Z2118" s="748"/>
    </row>
    <row r="2119" spans="1:26" s="115" customFormat="1" hidden="1">
      <c r="A2119" s="667">
        <f t="shared" si="293"/>
        <v>31</v>
      </c>
      <c r="B2119" s="592" t="s">
        <v>2762</v>
      </c>
      <c r="C2119" s="582" t="s">
        <v>217</v>
      </c>
      <c r="D2119" s="619">
        <v>17131.5</v>
      </c>
      <c r="E2119" s="619">
        <v>3267</v>
      </c>
      <c r="F2119" s="619" t="s">
        <v>223</v>
      </c>
      <c r="G2119" s="619">
        <v>878.1</v>
      </c>
      <c r="H2119" s="599">
        <v>9</v>
      </c>
      <c r="I2119" s="599">
        <v>2</v>
      </c>
      <c r="J2119" s="599">
        <v>72</v>
      </c>
      <c r="K2119" s="590" t="s">
        <v>246</v>
      </c>
      <c r="L2119" s="746">
        <f t="shared" si="295"/>
        <v>7562604</v>
      </c>
      <c r="M2119" s="745">
        <v>7500000</v>
      </c>
      <c r="N2119" s="747">
        <v>32604</v>
      </c>
      <c r="O2119" s="736"/>
      <c r="P2119" s="747"/>
      <c r="Q2119" s="586">
        <v>30000</v>
      </c>
      <c r="R2119" s="599">
        <f>M2119/E2119</f>
        <v>2295.684113865932</v>
      </c>
      <c r="S2119" s="592"/>
      <c r="T2119" s="645"/>
      <c r="U2119" s="1059"/>
      <c r="V2119" s="601"/>
      <c r="W2119" s="601"/>
      <c r="X2119" s="601"/>
      <c r="Y2119" s="601"/>
      <c r="Z2119" s="601"/>
    </row>
    <row r="2120" spans="1:26" s="91" customFormat="1" hidden="1">
      <c r="A2120" s="667">
        <f t="shared" si="293"/>
        <v>32</v>
      </c>
      <c r="B2120" s="592" t="s">
        <v>2791</v>
      </c>
      <c r="C2120" s="561" t="s">
        <v>217</v>
      </c>
      <c r="D2120" s="619">
        <v>15143</v>
      </c>
      <c r="E2120" s="619">
        <v>2260</v>
      </c>
      <c r="F2120" s="619" t="s">
        <v>223</v>
      </c>
      <c r="G2120" s="619">
        <v>652.4</v>
      </c>
      <c r="H2120" s="599">
        <v>9</v>
      </c>
      <c r="I2120" s="599">
        <v>2</v>
      </c>
      <c r="J2120" s="599">
        <v>72</v>
      </c>
      <c r="K2120" s="590" t="s">
        <v>259</v>
      </c>
      <c r="L2120" s="746">
        <f t="shared" si="295"/>
        <v>6841764</v>
      </c>
      <c r="M2120" s="745">
        <v>6780000</v>
      </c>
      <c r="N2120" s="747">
        <v>31764</v>
      </c>
      <c r="O2120" s="736"/>
      <c r="P2120" s="747"/>
      <c r="Q2120" s="586">
        <v>30000</v>
      </c>
      <c r="R2120" s="599">
        <f>M2120/E2120</f>
        <v>3000</v>
      </c>
      <c r="S2120" s="592" t="s">
        <v>425</v>
      </c>
      <c r="T2120" s="645"/>
      <c r="U2120" s="1059"/>
      <c r="V2120" s="748"/>
      <c r="W2120" s="748"/>
      <c r="X2120" s="748"/>
      <c r="Y2120" s="748"/>
      <c r="Z2120" s="748"/>
    </row>
    <row r="2121" spans="1:26" s="91" customFormat="1" hidden="1">
      <c r="A2121" s="667">
        <f t="shared" si="293"/>
        <v>33</v>
      </c>
      <c r="B2121" s="592" t="s">
        <v>2792</v>
      </c>
      <c r="C2121" s="561" t="s">
        <v>217</v>
      </c>
      <c r="D2121" s="619">
        <v>16718</v>
      </c>
      <c r="E2121" s="619">
        <v>2940</v>
      </c>
      <c r="F2121" s="619" t="s">
        <v>223</v>
      </c>
      <c r="G2121" s="619">
        <v>714.7</v>
      </c>
      <c r="H2121" s="599">
        <v>10</v>
      </c>
      <c r="I2121" s="599">
        <v>2</v>
      </c>
      <c r="J2121" s="599">
        <v>80</v>
      </c>
      <c r="K2121" s="590" t="s">
        <v>259</v>
      </c>
      <c r="L2121" s="746">
        <f t="shared" si="295"/>
        <v>8884627</v>
      </c>
      <c r="M2121" s="745">
        <v>8820000</v>
      </c>
      <c r="N2121" s="747">
        <v>34627</v>
      </c>
      <c r="O2121" s="736"/>
      <c r="P2121" s="747"/>
      <c r="Q2121" s="586">
        <v>30000</v>
      </c>
      <c r="R2121" s="599">
        <f>M2121/E2121</f>
        <v>3000</v>
      </c>
      <c r="S2121" s="592" t="s">
        <v>425</v>
      </c>
      <c r="T2121" s="645"/>
      <c r="U2121" s="1059"/>
      <c r="V2121" s="748"/>
      <c r="W2121" s="748"/>
      <c r="X2121" s="748"/>
      <c r="Y2121" s="748"/>
      <c r="Z2121" s="748"/>
    </row>
    <row r="2122" spans="1:26" s="28" customFormat="1" hidden="1">
      <c r="A2122" s="1349" t="s">
        <v>36</v>
      </c>
      <c r="B2122" s="1349"/>
      <c r="C2122" s="593" t="s">
        <v>28</v>
      </c>
      <c r="D2122" s="646">
        <f>SUM(D2089:D2121)</f>
        <v>628832.5</v>
      </c>
      <c r="E2122" s="646">
        <f>SUM(E2089:E2121)</f>
        <v>107818.42</v>
      </c>
      <c r="F2122" s="646" t="s">
        <v>28</v>
      </c>
      <c r="G2122" s="646">
        <f>SUM(G2089:G2121)</f>
        <v>41696.659999999989</v>
      </c>
      <c r="H2122" s="582" t="s">
        <v>28</v>
      </c>
      <c r="I2122" s="582" t="s">
        <v>28</v>
      </c>
      <c r="J2122" s="582">
        <f>SUM(J2089:J2121)</f>
        <v>3152</v>
      </c>
      <c r="K2122" s="590" t="s">
        <v>28</v>
      </c>
      <c r="L2122" s="584">
        <f>SUM(L2089:L2121)</f>
        <v>231533993.47999999</v>
      </c>
      <c r="M2122" s="585">
        <f>SUM(M2089:M2121)</f>
        <v>229711695.89999998</v>
      </c>
      <c r="N2122" s="586">
        <f>SUM(N2089:N2121)</f>
        <v>831936.1</v>
      </c>
      <c r="O2122" s="587">
        <f>SUM(O2089:O2121)</f>
        <v>200403.42</v>
      </c>
      <c r="P2122" s="586"/>
      <c r="Q2122" s="586">
        <f>SUM(Q2089:Q2121)</f>
        <v>789958.05999999994</v>
      </c>
      <c r="R2122" s="582" t="s">
        <v>28</v>
      </c>
      <c r="S2122" s="645">
        <f>L2122-M2122-N2122-O2122-P2122-Q2122</f>
        <v>1.3154931366443634E-8</v>
      </c>
      <c r="T2122" s="645"/>
      <c r="U2122" s="591"/>
      <c r="V2122" s="589"/>
      <c r="W2122" s="592"/>
      <c r="X2122" s="592"/>
      <c r="Y2122" s="592"/>
      <c r="Z2122" s="592"/>
    </row>
    <row r="2123" spans="1:26" s="28" customFormat="1" hidden="1">
      <c r="A2123" s="1347" t="s">
        <v>37</v>
      </c>
      <c r="B2123" s="1347"/>
      <c r="C2123" s="1347"/>
      <c r="D2123" s="1347"/>
      <c r="E2123" s="1347"/>
      <c r="F2123" s="1347"/>
      <c r="G2123" s="1347"/>
      <c r="H2123" s="1347"/>
      <c r="I2123" s="1347"/>
      <c r="J2123" s="1347"/>
      <c r="K2123" s="1347"/>
      <c r="L2123" s="1347"/>
      <c r="M2123" s="1347"/>
      <c r="N2123" s="1347"/>
      <c r="O2123" s="1347"/>
      <c r="P2123" s="1347"/>
      <c r="Q2123" s="1347"/>
      <c r="R2123" s="590"/>
      <c r="S2123" s="592"/>
      <c r="T2123" s="645"/>
      <c r="U2123" s="591"/>
      <c r="V2123" s="589"/>
      <c r="W2123" s="592"/>
      <c r="X2123" s="592"/>
      <c r="Y2123" s="592"/>
      <c r="Z2123" s="592"/>
    </row>
    <row r="2124" spans="1:26" s="92" customFormat="1" ht="37.5" hidden="1">
      <c r="A2124" s="667">
        <v>1</v>
      </c>
      <c r="B2124" s="592" t="s">
        <v>862</v>
      </c>
      <c r="C2124" s="593" t="s">
        <v>221</v>
      </c>
      <c r="D2124" s="619">
        <v>34393</v>
      </c>
      <c r="E2124" s="619">
        <v>5396</v>
      </c>
      <c r="F2124" s="619" t="s">
        <v>233</v>
      </c>
      <c r="G2124" s="619">
        <v>1319</v>
      </c>
      <c r="H2124" s="599">
        <v>9</v>
      </c>
      <c r="I2124" s="599">
        <v>4</v>
      </c>
      <c r="J2124" s="599">
        <v>144</v>
      </c>
      <c r="K2124" s="735" t="s">
        <v>219</v>
      </c>
      <c r="L2124" s="584">
        <f t="shared" ref="L2124:L2155" si="296">M2124+N2124+O2124+P2124+Q2124</f>
        <v>4106250</v>
      </c>
      <c r="M2124" s="596">
        <v>4000000</v>
      </c>
      <c r="N2124" s="675">
        <v>106250</v>
      </c>
      <c r="O2124" s="631"/>
      <c r="P2124" s="630"/>
      <c r="Q2124" s="630"/>
      <c r="R2124" s="582">
        <f>M2124/2</f>
        <v>2000000</v>
      </c>
      <c r="S2124" s="575">
        <f t="shared" ref="S2124:S2131" si="297">L2124-M2124-N2124-O2124-P2124-Q2124</f>
        <v>0</v>
      </c>
      <c r="T2124" s="1060"/>
      <c r="U2124" s="1061"/>
      <c r="V2124" s="589"/>
      <c r="W2124" s="799"/>
      <c r="X2124" s="799"/>
      <c r="Y2124" s="799"/>
      <c r="Z2124" s="799"/>
    </row>
    <row r="2125" spans="1:26" s="529" customFormat="1" ht="37.5" hidden="1">
      <c r="A2125" s="667">
        <f t="shared" ref="A2125:A2144" si="298">A2124+1</f>
        <v>2</v>
      </c>
      <c r="B2125" s="765" t="s">
        <v>877</v>
      </c>
      <c r="C2125" s="766" t="s">
        <v>221</v>
      </c>
      <c r="D2125" s="768">
        <v>20311</v>
      </c>
      <c r="E2125" s="768">
        <v>2610</v>
      </c>
      <c r="F2125" s="768" t="s">
        <v>233</v>
      </c>
      <c r="G2125" s="768">
        <v>753</v>
      </c>
      <c r="H2125" s="766">
        <v>9</v>
      </c>
      <c r="I2125" s="766">
        <v>2</v>
      </c>
      <c r="J2125" s="770">
        <v>72</v>
      </c>
      <c r="K2125" s="590" t="s">
        <v>219</v>
      </c>
      <c r="L2125" s="584">
        <f t="shared" si="296"/>
        <v>2085000</v>
      </c>
      <c r="M2125" s="596">
        <v>2000000</v>
      </c>
      <c r="N2125" s="675">
        <v>85000</v>
      </c>
      <c r="O2125" s="631"/>
      <c r="P2125" s="630"/>
      <c r="Q2125" s="630"/>
      <c r="R2125" s="582">
        <f>M2125</f>
        <v>2000000</v>
      </c>
      <c r="S2125" s="575">
        <f t="shared" si="297"/>
        <v>0</v>
      </c>
      <c r="T2125" s="1062"/>
      <c r="U2125" s="1061"/>
      <c r="V2125" s="589"/>
      <c r="W2125" s="771"/>
      <c r="X2125" s="771"/>
      <c r="Y2125" s="771"/>
      <c r="Z2125" s="771"/>
    </row>
    <row r="2126" spans="1:26" s="92" customFormat="1" ht="37.5" hidden="1">
      <c r="A2126" s="667">
        <f t="shared" si="298"/>
        <v>3</v>
      </c>
      <c r="B2126" s="765" t="s">
        <v>878</v>
      </c>
      <c r="C2126" s="774" t="s">
        <v>217</v>
      </c>
      <c r="D2126" s="768">
        <v>14152</v>
      </c>
      <c r="E2126" s="768">
        <v>3364</v>
      </c>
      <c r="F2126" s="768" t="s">
        <v>233</v>
      </c>
      <c r="G2126" s="768">
        <v>608</v>
      </c>
      <c r="H2126" s="766">
        <v>9</v>
      </c>
      <c r="I2126" s="766">
        <v>2</v>
      </c>
      <c r="J2126" s="766">
        <v>72</v>
      </c>
      <c r="K2126" s="590" t="s">
        <v>219</v>
      </c>
      <c r="L2126" s="584">
        <f t="shared" si="296"/>
        <v>2085000</v>
      </c>
      <c r="M2126" s="596">
        <v>2000000</v>
      </c>
      <c r="N2126" s="675">
        <v>85000</v>
      </c>
      <c r="O2126" s="631"/>
      <c r="P2126" s="630"/>
      <c r="Q2126" s="630"/>
      <c r="R2126" s="582">
        <f>M2126</f>
        <v>2000000</v>
      </c>
      <c r="S2126" s="575">
        <f t="shared" si="297"/>
        <v>0</v>
      </c>
      <c r="T2126" s="1060"/>
      <c r="U2126" s="1061"/>
      <c r="V2126" s="589"/>
      <c r="W2126" s="799"/>
      <c r="X2126" s="799"/>
      <c r="Y2126" s="799"/>
      <c r="Z2126" s="799"/>
    </row>
    <row r="2127" spans="1:26" s="92" customFormat="1" ht="37.5" hidden="1">
      <c r="A2127" s="667">
        <f t="shared" si="298"/>
        <v>4</v>
      </c>
      <c r="B2127" s="592" t="s">
        <v>1860</v>
      </c>
      <c r="C2127" s="593" t="s">
        <v>217</v>
      </c>
      <c r="D2127" s="619">
        <v>24192</v>
      </c>
      <c r="E2127" s="619">
        <v>3109</v>
      </c>
      <c r="F2127" s="619" t="s">
        <v>233</v>
      </c>
      <c r="G2127" s="619">
        <v>1014</v>
      </c>
      <c r="H2127" s="599">
        <v>9</v>
      </c>
      <c r="I2127" s="599">
        <v>3</v>
      </c>
      <c r="J2127" s="599">
        <v>108</v>
      </c>
      <c r="K2127" s="735" t="s">
        <v>219</v>
      </c>
      <c r="L2127" s="740">
        <f t="shared" si="296"/>
        <v>4106250</v>
      </c>
      <c r="M2127" s="1058">
        <v>4000000</v>
      </c>
      <c r="N2127" s="753">
        <v>106250</v>
      </c>
      <c r="O2127" s="872"/>
      <c r="P2127" s="753"/>
      <c r="Q2127" s="630"/>
      <c r="R2127" s="744">
        <v>2000000</v>
      </c>
      <c r="S2127" s="575">
        <f t="shared" si="297"/>
        <v>0</v>
      </c>
      <c r="T2127" s="1060"/>
      <c r="U2127" s="1061"/>
      <c r="V2127" s="589"/>
      <c r="W2127" s="799"/>
      <c r="X2127" s="799"/>
      <c r="Y2127" s="799"/>
      <c r="Z2127" s="799"/>
    </row>
    <row r="2128" spans="1:26" s="92" customFormat="1" ht="37.5" hidden="1">
      <c r="A2128" s="667">
        <f>A2127+1</f>
        <v>5</v>
      </c>
      <c r="B2128" s="592" t="s">
        <v>3624</v>
      </c>
      <c r="C2128" s="593" t="s">
        <v>221</v>
      </c>
      <c r="D2128" s="619">
        <v>23838</v>
      </c>
      <c r="E2128" s="619">
        <v>3840</v>
      </c>
      <c r="F2128" s="619" t="s">
        <v>233</v>
      </c>
      <c r="G2128" s="619">
        <v>1067</v>
      </c>
      <c r="H2128" s="599">
        <v>9</v>
      </c>
      <c r="I2128" s="599">
        <v>1</v>
      </c>
      <c r="J2128" s="599">
        <v>144</v>
      </c>
      <c r="K2128" s="735" t="s">
        <v>219</v>
      </c>
      <c r="L2128" s="740">
        <f t="shared" si="296"/>
        <v>2085000</v>
      </c>
      <c r="M2128" s="741">
        <v>2000000</v>
      </c>
      <c r="N2128" s="742">
        <v>85000</v>
      </c>
      <c r="O2128" s="743"/>
      <c r="P2128" s="742"/>
      <c r="Q2128" s="586"/>
      <c r="R2128" s="744">
        <v>2000000</v>
      </c>
      <c r="S2128" s="575">
        <f t="shared" si="297"/>
        <v>0</v>
      </c>
      <c r="T2128" s="1060"/>
      <c r="U2128" s="1061"/>
      <c r="V2128" s="589"/>
      <c r="W2128" s="799"/>
      <c r="X2128" s="799"/>
      <c r="Y2128" s="799"/>
      <c r="Z2128" s="799"/>
    </row>
    <row r="2129" spans="1:26" s="92" customFormat="1" ht="37.5" hidden="1">
      <c r="A2129" s="667">
        <f t="shared" si="298"/>
        <v>6</v>
      </c>
      <c r="B2129" s="592" t="s">
        <v>3625</v>
      </c>
      <c r="C2129" s="593" t="s">
        <v>221</v>
      </c>
      <c r="D2129" s="619">
        <v>24002</v>
      </c>
      <c r="E2129" s="619">
        <v>4168</v>
      </c>
      <c r="F2129" s="619" t="s">
        <v>233</v>
      </c>
      <c r="G2129" s="619">
        <v>1712</v>
      </c>
      <c r="H2129" s="599">
        <v>9</v>
      </c>
      <c r="I2129" s="599">
        <v>1</v>
      </c>
      <c r="J2129" s="599">
        <v>144</v>
      </c>
      <c r="K2129" s="735" t="s">
        <v>219</v>
      </c>
      <c r="L2129" s="740">
        <f t="shared" si="296"/>
        <v>2085000</v>
      </c>
      <c r="M2129" s="741">
        <v>2000000</v>
      </c>
      <c r="N2129" s="742">
        <v>85000</v>
      </c>
      <c r="O2129" s="743"/>
      <c r="P2129" s="742"/>
      <c r="Q2129" s="586"/>
      <c r="R2129" s="744">
        <v>2000000</v>
      </c>
      <c r="S2129" s="575">
        <f t="shared" si="297"/>
        <v>0</v>
      </c>
      <c r="T2129" s="1060"/>
      <c r="U2129" s="1061"/>
      <c r="V2129" s="589"/>
      <c r="W2129" s="799"/>
      <c r="X2129" s="799"/>
      <c r="Y2129" s="799"/>
      <c r="Z2129" s="799"/>
    </row>
    <row r="2130" spans="1:26" s="92" customFormat="1" ht="37.5" hidden="1">
      <c r="A2130" s="667">
        <f t="shared" si="298"/>
        <v>7</v>
      </c>
      <c r="B2130" s="592" t="s">
        <v>3626</v>
      </c>
      <c r="C2130" s="593" t="s">
        <v>221</v>
      </c>
      <c r="D2130" s="619">
        <v>23703</v>
      </c>
      <c r="E2130" s="619">
        <v>3996</v>
      </c>
      <c r="F2130" s="619" t="s">
        <v>233</v>
      </c>
      <c r="G2130" s="619">
        <v>1000</v>
      </c>
      <c r="H2130" s="599">
        <v>9</v>
      </c>
      <c r="I2130" s="599">
        <v>1</v>
      </c>
      <c r="J2130" s="599">
        <v>143</v>
      </c>
      <c r="K2130" s="735" t="s">
        <v>219</v>
      </c>
      <c r="L2130" s="740">
        <f t="shared" si="296"/>
        <v>2085000</v>
      </c>
      <c r="M2130" s="741">
        <v>2000000</v>
      </c>
      <c r="N2130" s="742">
        <v>85000</v>
      </c>
      <c r="O2130" s="743"/>
      <c r="P2130" s="742"/>
      <c r="Q2130" s="586"/>
      <c r="R2130" s="744">
        <v>2000000</v>
      </c>
      <c r="S2130" s="575">
        <f t="shared" si="297"/>
        <v>0</v>
      </c>
      <c r="T2130" s="1060"/>
      <c r="U2130" s="1061"/>
      <c r="V2130" s="589"/>
      <c r="W2130" s="799"/>
      <c r="X2130" s="799"/>
      <c r="Y2130" s="799"/>
      <c r="Z2130" s="799"/>
    </row>
    <row r="2131" spans="1:26" s="92" customFormat="1" ht="37.5" hidden="1">
      <c r="A2131" s="667">
        <f t="shared" si="298"/>
        <v>8</v>
      </c>
      <c r="B2131" s="592" t="s">
        <v>896</v>
      </c>
      <c r="C2131" s="593" t="s">
        <v>221</v>
      </c>
      <c r="D2131" s="619">
        <v>38158</v>
      </c>
      <c r="E2131" s="619">
        <v>7510</v>
      </c>
      <c r="F2131" s="619" t="s">
        <v>233</v>
      </c>
      <c r="G2131" s="619">
        <v>1097</v>
      </c>
      <c r="H2131" s="599">
        <v>9</v>
      </c>
      <c r="I2131" s="599">
        <v>1</v>
      </c>
      <c r="J2131" s="599">
        <v>102</v>
      </c>
      <c r="K2131" s="735" t="s">
        <v>219</v>
      </c>
      <c r="L2131" s="740">
        <f t="shared" si="296"/>
        <v>4106250</v>
      </c>
      <c r="M2131" s="741">
        <v>4000000</v>
      </c>
      <c r="N2131" s="742">
        <v>106250</v>
      </c>
      <c r="O2131" s="743"/>
      <c r="P2131" s="742"/>
      <c r="Q2131" s="586"/>
      <c r="R2131" s="744">
        <v>2000000</v>
      </c>
      <c r="S2131" s="575">
        <f t="shared" si="297"/>
        <v>0</v>
      </c>
      <c r="T2131" s="1060"/>
      <c r="U2131" s="1061"/>
      <c r="V2131" s="589"/>
      <c r="W2131" s="799"/>
      <c r="X2131" s="799"/>
      <c r="Y2131" s="799"/>
      <c r="Z2131" s="799"/>
    </row>
    <row r="2132" spans="1:26" s="92" customFormat="1" ht="37.5" hidden="1">
      <c r="A2132" s="667">
        <f t="shared" si="298"/>
        <v>9</v>
      </c>
      <c r="B2132" s="592" t="s">
        <v>3922</v>
      </c>
      <c r="C2132" s="593" t="s">
        <v>221</v>
      </c>
      <c r="D2132" s="619">
        <v>15946</v>
      </c>
      <c r="E2132" s="619">
        <v>3156</v>
      </c>
      <c r="F2132" s="619" t="s">
        <v>233</v>
      </c>
      <c r="G2132" s="619">
        <v>691</v>
      </c>
      <c r="H2132" s="599">
        <v>9</v>
      </c>
      <c r="I2132" s="599">
        <v>2</v>
      </c>
      <c r="J2132" s="599">
        <v>72</v>
      </c>
      <c r="K2132" s="735" t="s">
        <v>219</v>
      </c>
      <c r="L2132" s="740">
        <f t="shared" si="296"/>
        <v>4106250</v>
      </c>
      <c r="M2132" s="741">
        <v>4000000</v>
      </c>
      <c r="N2132" s="742">
        <v>106250</v>
      </c>
      <c r="O2132" s="743"/>
      <c r="P2132" s="742"/>
      <c r="Q2132" s="586"/>
      <c r="R2132" s="744">
        <f>M2132/I2132</f>
        <v>2000000</v>
      </c>
      <c r="S2132" s="575"/>
      <c r="T2132" s="1060"/>
      <c r="U2132" s="1061"/>
      <c r="V2132" s="589"/>
      <c r="W2132" s="799"/>
      <c r="X2132" s="799"/>
      <c r="Y2132" s="799"/>
      <c r="Z2132" s="799"/>
    </row>
    <row r="2133" spans="1:26" s="92" customFormat="1" ht="37.5" hidden="1">
      <c r="A2133" s="667">
        <f t="shared" si="298"/>
        <v>10</v>
      </c>
      <c r="B2133" s="592" t="s">
        <v>3923</v>
      </c>
      <c r="C2133" s="593" t="s">
        <v>221</v>
      </c>
      <c r="D2133" s="619">
        <v>24998</v>
      </c>
      <c r="E2133" s="619">
        <v>2407</v>
      </c>
      <c r="F2133" s="619" t="s">
        <v>233</v>
      </c>
      <c r="G2133" s="619">
        <v>897</v>
      </c>
      <c r="H2133" s="599">
        <v>9</v>
      </c>
      <c r="I2133" s="599">
        <v>2</v>
      </c>
      <c r="J2133" s="599">
        <v>64</v>
      </c>
      <c r="K2133" s="735" t="s">
        <v>219</v>
      </c>
      <c r="L2133" s="740">
        <f t="shared" si="296"/>
        <v>4106250</v>
      </c>
      <c r="M2133" s="741">
        <v>4000000</v>
      </c>
      <c r="N2133" s="742">
        <v>106250</v>
      </c>
      <c r="O2133" s="743"/>
      <c r="P2133" s="742"/>
      <c r="Q2133" s="586"/>
      <c r="R2133" s="744">
        <f>M2133/I2133</f>
        <v>2000000</v>
      </c>
      <c r="S2133" s="575"/>
      <c r="T2133" s="1060"/>
      <c r="U2133" s="1061"/>
      <c r="V2133" s="589"/>
      <c r="W2133" s="799"/>
      <c r="X2133" s="799"/>
      <c r="Y2133" s="799"/>
      <c r="Z2133" s="799"/>
    </row>
    <row r="2134" spans="1:26" s="92" customFormat="1" ht="37.5" hidden="1">
      <c r="A2134" s="667">
        <f t="shared" si="298"/>
        <v>11</v>
      </c>
      <c r="B2134" s="592" t="s">
        <v>3924</v>
      </c>
      <c r="C2134" s="593" t="s">
        <v>217</v>
      </c>
      <c r="D2134" s="619">
        <v>29763</v>
      </c>
      <c r="E2134" s="619">
        <v>5401.6</v>
      </c>
      <c r="F2134" s="619" t="s">
        <v>233</v>
      </c>
      <c r="G2134" s="619">
        <v>1279</v>
      </c>
      <c r="H2134" s="599">
        <v>9</v>
      </c>
      <c r="I2134" s="599">
        <v>4</v>
      </c>
      <c r="J2134" s="599">
        <v>144</v>
      </c>
      <c r="K2134" s="735" t="s">
        <v>219</v>
      </c>
      <c r="L2134" s="740">
        <f t="shared" si="296"/>
        <v>4106250</v>
      </c>
      <c r="M2134" s="741">
        <v>4000000</v>
      </c>
      <c r="N2134" s="742">
        <v>106250</v>
      </c>
      <c r="O2134" s="743"/>
      <c r="P2134" s="742"/>
      <c r="Q2134" s="586"/>
      <c r="R2134" s="744">
        <f>M2134/2</f>
        <v>2000000</v>
      </c>
      <c r="S2134" s="575"/>
      <c r="T2134" s="1060"/>
      <c r="U2134" s="1061"/>
      <c r="V2134" s="589"/>
      <c r="W2134" s="799"/>
      <c r="X2134" s="799"/>
      <c r="Y2134" s="799"/>
      <c r="Z2134" s="799"/>
    </row>
    <row r="2135" spans="1:26" s="92" customFormat="1" ht="37.5" hidden="1">
      <c r="A2135" s="667">
        <f t="shared" si="298"/>
        <v>12</v>
      </c>
      <c r="B2135" s="592" t="s">
        <v>4214</v>
      </c>
      <c r="C2135" s="593" t="s">
        <v>217</v>
      </c>
      <c r="D2135" s="619">
        <v>9983</v>
      </c>
      <c r="E2135" s="619">
        <v>1425</v>
      </c>
      <c r="F2135" s="619" t="s">
        <v>233</v>
      </c>
      <c r="G2135" s="619">
        <v>433</v>
      </c>
      <c r="H2135" s="599">
        <v>9</v>
      </c>
      <c r="I2135" s="599">
        <v>1</v>
      </c>
      <c r="J2135" s="599">
        <v>72</v>
      </c>
      <c r="K2135" s="735" t="s">
        <v>219</v>
      </c>
      <c r="L2135" s="740">
        <f t="shared" si="296"/>
        <v>2085000</v>
      </c>
      <c r="M2135" s="741">
        <v>2000000</v>
      </c>
      <c r="N2135" s="742">
        <v>85000</v>
      </c>
      <c r="O2135" s="743"/>
      <c r="P2135" s="742"/>
      <c r="Q2135" s="586"/>
      <c r="R2135" s="744">
        <f>M2135/I2135</f>
        <v>2000000</v>
      </c>
      <c r="S2135" s="575"/>
      <c r="T2135" s="1060"/>
      <c r="U2135" s="1061"/>
      <c r="V2135" s="589"/>
      <c r="W2135" s="799"/>
      <c r="X2135" s="799"/>
      <c r="Y2135" s="799"/>
      <c r="Z2135" s="799"/>
    </row>
    <row r="2136" spans="1:26" s="92" customFormat="1" ht="37.5" hidden="1">
      <c r="A2136" s="667">
        <f t="shared" si="298"/>
        <v>13</v>
      </c>
      <c r="B2136" s="592" t="s">
        <v>3925</v>
      </c>
      <c r="C2136" s="593" t="s">
        <v>217</v>
      </c>
      <c r="D2136" s="619">
        <v>31008</v>
      </c>
      <c r="E2136" s="619">
        <v>4592</v>
      </c>
      <c r="F2136" s="619" t="s">
        <v>233</v>
      </c>
      <c r="G2136" s="619">
        <v>1333</v>
      </c>
      <c r="H2136" s="599">
        <v>9</v>
      </c>
      <c r="I2136" s="599">
        <v>3</v>
      </c>
      <c r="J2136" s="599">
        <v>216</v>
      </c>
      <c r="K2136" s="735" t="s">
        <v>219</v>
      </c>
      <c r="L2136" s="740">
        <f t="shared" si="296"/>
        <v>6127500</v>
      </c>
      <c r="M2136" s="741">
        <v>6000000</v>
      </c>
      <c r="N2136" s="742">
        <v>127500</v>
      </c>
      <c r="O2136" s="743"/>
      <c r="P2136" s="742"/>
      <c r="Q2136" s="586"/>
      <c r="R2136" s="744">
        <f>M2136/I2136</f>
        <v>2000000</v>
      </c>
      <c r="S2136" s="575"/>
      <c r="T2136" s="1060"/>
      <c r="U2136" s="1061"/>
      <c r="V2136" s="589"/>
      <c r="W2136" s="799"/>
      <c r="X2136" s="799"/>
      <c r="Y2136" s="799"/>
      <c r="Z2136" s="799"/>
    </row>
    <row r="2137" spans="1:26" s="92" customFormat="1" ht="37.5" hidden="1">
      <c r="A2137" s="667">
        <f t="shared" si="298"/>
        <v>14</v>
      </c>
      <c r="B2137" s="592" t="s">
        <v>3926</v>
      </c>
      <c r="C2137" s="593" t="s">
        <v>221</v>
      </c>
      <c r="D2137" s="619">
        <v>38610</v>
      </c>
      <c r="E2137" s="619">
        <v>5703</v>
      </c>
      <c r="F2137" s="619" t="s">
        <v>233</v>
      </c>
      <c r="G2137" s="619">
        <v>1352</v>
      </c>
      <c r="H2137" s="599">
        <v>9</v>
      </c>
      <c r="I2137" s="599">
        <v>4</v>
      </c>
      <c r="J2137" s="599">
        <v>129</v>
      </c>
      <c r="K2137" s="735" t="s">
        <v>219</v>
      </c>
      <c r="L2137" s="740">
        <f t="shared" si="296"/>
        <v>4106250</v>
      </c>
      <c r="M2137" s="741">
        <v>4000000</v>
      </c>
      <c r="N2137" s="742">
        <v>106250</v>
      </c>
      <c r="O2137" s="743"/>
      <c r="P2137" s="742"/>
      <c r="Q2137" s="586"/>
      <c r="R2137" s="744">
        <f>M2137/2</f>
        <v>2000000</v>
      </c>
      <c r="S2137" s="575"/>
      <c r="T2137" s="1060"/>
      <c r="U2137" s="1061"/>
      <c r="V2137" s="589"/>
      <c r="W2137" s="799"/>
      <c r="X2137" s="799"/>
      <c r="Y2137" s="799"/>
      <c r="Z2137" s="799"/>
    </row>
    <row r="2138" spans="1:26" s="92" customFormat="1" ht="37.5" hidden="1">
      <c r="A2138" s="667">
        <f t="shared" si="298"/>
        <v>15</v>
      </c>
      <c r="B2138" s="592" t="s">
        <v>3927</v>
      </c>
      <c r="C2138" s="593" t="s">
        <v>221</v>
      </c>
      <c r="D2138" s="619">
        <v>22355</v>
      </c>
      <c r="E2138" s="619">
        <v>2944</v>
      </c>
      <c r="F2138" s="619" t="s">
        <v>233</v>
      </c>
      <c r="G2138" s="619">
        <v>898</v>
      </c>
      <c r="H2138" s="599">
        <v>9</v>
      </c>
      <c r="I2138" s="599">
        <v>2</v>
      </c>
      <c r="J2138" s="599">
        <v>80</v>
      </c>
      <c r="K2138" s="735" t="s">
        <v>219</v>
      </c>
      <c r="L2138" s="740">
        <f t="shared" si="296"/>
        <v>4106250</v>
      </c>
      <c r="M2138" s="741">
        <v>4000000</v>
      </c>
      <c r="N2138" s="742">
        <v>106250</v>
      </c>
      <c r="O2138" s="743"/>
      <c r="P2138" s="742"/>
      <c r="Q2138" s="586"/>
      <c r="R2138" s="744">
        <f>M2138/I2138</f>
        <v>2000000</v>
      </c>
      <c r="S2138" s="575"/>
      <c r="T2138" s="1060"/>
      <c r="U2138" s="1061"/>
      <c r="V2138" s="589"/>
      <c r="W2138" s="799"/>
      <c r="X2138" s="799"/>
      <c r="Y2138" s="799"/>
      <c r="Z2138" s="799"/>
    </row>
    <row r="2139" spans="1:26" s="92" customFormat="1" ht="37.5" hidden="1">
      <c r="A2139" s="667">
        <f t="shared" si="298"/>
        <v>16</v>
      </c>
      <c r="B2139" s="592" t="s">
        <v>3928</v>
      </c>
      <c r="C2139" s="593" t="s">
        <v>217</v>
      </c>
      <c r="D2139" s="619">
        <v>29576</v>
      </c>
      <c r="E2139" s="619">
        <v>5353.5</v>
      </c>
      <c r="F2139" s="619" t="s">
        <v>233</v>
      </c>
      <c r="G2139" s="619">
        <v>1500</v>
      </c>
      <c r="H2139" s="599">
        <v>9</v>
      </c>
      <c r="I2139" s="599">
        <v>4</v>
      </c>
      <c r="J2139" s="599">
        <v>144</v>
      </c>
      <c r="K2139" s="735" t="s">
        <v>219</v>
      </c>
      <c r="L2139" s="740">
        <f t="shared" si="296"/>
        <v>8148750</v>
      </c>
      <c r="M2139" s="741">
        <v>8000000</v>
      </c>
      <c r="N2139" s="742">
        <v>148750</v>
      </c>
      <c r="O2139" s="743"/>
      <c r="P2139" s="742"/>
      <c r="Q2139" s="586"/>
      <c r="R2139" s="744">
        <f>M2139/I2139</f>
        <v>2000000</v>
      </c>
      <c r="S2139" s="575"/>
      <c r="T2139" s="1060"/>
      <c r="U2139" s="1061"/>
      <c r="V2139" s="589"/>
      <c r="W2139" s="799"/>
      <c r="X2139" s="799"/>
      <c r="Y2139" s="799"/>
      <c r="Z2139" s="799"/>
    </row>
    <row r="2140" spans="1:26" s="92" customFormat="1" ht="37.5" hidden="1">
      <c r="A2140" s="667">
        <f t="shared" si="298"/>
        <v>17</v>
      </c>
      <c r="B2140" s="592" t="s">
        <v>3929</v>
      </c>
      <c r="C2140" s="593" t="s">
        <v>221</v>
      </c>
      <c r="D2140" s="619">
        <v>21294</v>
      </c>
      <c r="E2140" s="619">
        <v>2635</v>
      </c>
      <c r="F2140" s="619" t="s">
        <v>233</v>
      </c>
      <c r="G2140" s="619">
        <v>853</v>
      </c>
      <c r="H2140" s="599">
        <v>9</v>
      </c>
      <c r="I2140" s="599">
        <v>2</v>
      </c>
      <c r="J2140" s="599">
        <v>70</v>
      </c>
      <c r="K2140" s="735" t="s">
        <v>219</v>
      </c>
      <c r="L2140" s="740">
        <f t="shared" si="296"/>
        <v>4106250</v>
      </c>
      <c r="M2140" s="741">
        <v>4000000</v>
      </c>
      <c r="N2140" s="742">
        <v>106250</v>
      </c>
      <c r="O2140" s="743"/>
      <c r="P2140" s="742"/>
      <c r="Q2140" s="586"/>
      <c r="R2140" s="744">
        <f>M2140/I2140</f>
        <v>2000000</v>
      </c>
      <c r="S2140" s="575"/>
      <c r="T2140" s="1060"/>
      <c r="U2140" s="1061"/>
      <c r="V2140" s="589"/>
      <c r="W2140" s="799"/>
      <c r="X2140" s="799"/>
      <c r="Y2140" s="799"/>
      <c r="Z2140" s="799"/>
    </row>
    <row r="2141" spans="1:26" s="92" customFormat="1" ht="37.5" hidden="1">
      <c r="A2141" s="667">
        <f t="shared" si="298"/>
        <v>18</v>
      </c>
      <c r="B2141" s="592" t="s">
        <v>3930</v>
      </c>
      <c r="C2141" s="593" t="s">
        <v>221</v>
      </c>
      <c r="D2141" s="619">
        <v>19780</v>
      </c>
      <c r="E2141" s="619">
        <v>2635</v>
      </c>
      <c r="F2141" s="619" t="s">
        <v>233</v>
      </c>
      <c r="G2141" s="619">
        <v>842</v>
      </c>
      <c r="H2141" s="599">
        <v>9</v>
      </c>
      <c r="I2141" s="599">
        <v>2</v>
      </c>
      <c r="J2141" s="599">
        <v>72</v>
      </c>
      <c r="K2141" s="735" t="s">
        <v>219</v>
      </c>
      <c r="L2141" s="740">
        <f t="shared" si="296"/>
        <v>4106250</v>
      </c>
      <c r="M2141" s="741">
        <v>4000000</v>
      </c>
      <c r="N2141" s="742">
        <v>106250</v>
      </c>
      <c r="O2141" s="743"/>
      <c r="P2141" s="742"/>
      <c r="Q2141" s="586"/>
      <c r="R2141" s="744">
        <f>M2141/I2141</f>
        <v>2000000</v>
      </c>
      <c r="S2141" s="575"/>
      <c r="T2141" s="1060"/>
      <c r="U2141" s="1061"/>
      <c r="V2141" s="589"/>
      <c r="W2141" s="799"/>
      <c r="X2141" s="799"/>
      <c r="Y2141" s="799"/>
      <c r="Z2141" s="799"/>
    </row>
    <row r="2142" spans="1:26" s="92" customFormat="1" ht="37.5" hidden="1">
      <c r="A2142" s="667">
        <f t="shared" si="298"/>
        <v>19</v>
      </c>
      <c r="B2142" s="592" t="s">
        <v>3931</v>
      </c>
      <c r="C2142" s="593" t="s">
        <v>217</v>
      </c>
      <c r="D2142" s="619">
        <v>21207</v>
      </c>
      <c r="E2142" s="619">
        <v>4044</v>
      </c>
      <c r="F2142" s="619" t="s">
        <v>233</v>
      </c>
      <c r="G2142" s="619">
        <v>928</v>
      </c>
      <c r="H2142" s="599">
        <v>9</v>
      </c>
      <c r="I2142" s="599">
        <v>3</v>
      </c>
      <c r="J2142" s="599">
        <v>108</v>
      </c>
      <c r="K2142" s="735" t="s">
        <v>219</v>
      </c>
      <c r="L2142" s="740">
        <f t="shared" si="296"/>
        <v>6127500</v>
      </c>
      <c r="M2142" s="741">
        <v>6000000</v>
      </c>
      <c r="N2142" s="742">
        <v>127500</v>
      </c>
      <c r="O2142" s="743"/>
      <c r="P2142" s="742"/>
      <c r="Q2142" s="586"/>
      <c r="R2142" s="744">
        <f>M2142/I2142</f>
        <v>2000000</v>
      </c>
      <c r="S2142" s="575"/>
      <c r="T2142" s="1060"/>
      <c r="U2142" s="1061"/>
      <c r="V2142" s="589"/>
      <c r="W2142" s="799"/>
      <c r="X2142" s="799"/>
      <c r="Y2142" s="799"/>
      <c r="Z2142" s="799"/>
    </row>
    <row r="2143" spans="1:26" s="92" customFormat="1" ht="37.5" hidden="1">
      <c r="A2143" s="667">
        <f t="shared" si="298"/>
        <v>20</v>
      </c>
      <c r="B2143" s="592" t="s">
        <v>3932</v>
      </c>
      <c r="C2143" s="593" t="s">
        <v>221</v>
      </c>
      <c r="D2143" s="619">
        <v>35654</v>
      </c>
      <c r="E2143" s="619">
        <v>3220</v>
      </c>
      <c r="F2143" s="619" t="s">
        <v>222</v>
      </c>
      <c r="G2143" s="619">
        <v>2575</v>
      </c>
      <c r="H2143" s="599">
        <v>6</v>
      </c>
      <c r="I2143" s="599">
        <v>6</v>
      </c>
      <c r="J2143" s="599">
        <v>82</v>
      </c>
      <c r="K2143" s="735" t="s">
        <v>219</v>
      </c>
      <c r="L2143" s="740">
        <f t="shared" si="296"/>
        <v>4106250</v>
      </c>
      <c r="M2143" s="741">
        <v>4000000</v>
      </c>
      <c r="N2143" s="742">
        <v>106250</v>
      </c>
      <c r="O2143" s="743"/>
      <c r="P2143" s="742"/>
      <c r="Q2143" s="586"/>
      <c r="R2143" s="744">
        <f>M2143/2</f>
        <v>2000000</v>
      </c>
      <c r="S2143" s="575"/>
      <c r="T2143" s="1060"/>
      <c r="U2143" s="1061"/>
      <c r="V2143" s="589"/>
      <c r="W2143" s="799"/>
      <c r="X2143" s="799"/>
      <c r="Y2143" s="799"/>
      <c r="Z2143" s="799"/>
    </row>
    <row r="2144" spans="1:26" s="92" customFormat="1" hidden="1">
      <c r="A2144" s="667">
        <f t="shared" si="298"/>
        <v>21</v>
      </c>
      <c r="B2144" s="592" t="s">
        <v>1861</v>
      </c>
      <c r="C2144" s="593" t="s">
        <v>221</v>
      </c>
      <c r="D2144" s="619">
        <v>11388</v>
      </c>
      <c r="E2144" s="619">
        <v>1946</v>
      </c>
      <c r="F2144" s="619" t="s">
        <v>233</v>
      </c>
      <c r="G2144" s="619">
        <v>875</v>
      </c>
      <c r="H2144" s="599">
        <v>5</v>
      </c>
      <c r="I2144" s="599">
        <v>1</v>
      </c>
      <c r="J2144" s="599">
        <v>69</v>
      </c>
      <c r="K2144" s="590" t="s">
        <v>238</v>
      </c>
      <c r="L2144" s="595">
        <f t="shared" si="296"/>
        <v>2118475.7799999998</v>
      </c>
      <c r="M2144" s="596">
        <v>2070000</v>
      </c>
      <c r="N2144" s="630">
        <v>29925</v>
      </c>
      <c r="O2144" s="887"/>
      <c r="P2144" s="675"/>
      <c r="Q2144" s="586">
        <v>18550.78</v>
      </c>
      <c r="R2144" s="599">
        <f>M2144/J2144</f>
        <v>30000</v>
      </c>
      <c r="S2144" s="575">
        <f t="shared" ref="S2144:S2190" si="299">L2144-M2144-N2144-O2144-P2144-Q2144</f>
        <v>-2.0372681319713593E-10</v>
      </c>
      <c r="T2144" s="1060"/>
      <c r="U2144" s="1061"/>
      <c r="V2144" s="589"/>
      <c r="W2144" s="799"/>
      <c r="X2144" s="799"/>
      <c r="Y2144" s="799"/>
      <c r="Z2144" s="799"/>
    </row>
    <row r="2145" spans="1:26" s="92" customFormat="1" hidden="1">
      <c r="A2145" s="667">
        <f t="shared" ref="A2145:A2192" si="300">A2144+1</f>
        <v>22</v>
      </c>
      <c r="B2145" s="592" t="s">
        <v>1862</v>
      </c>
      <c r="C2145" s="593" t="s">
        <v>221</v>
      </c>
      <c r="D2145" s="619">
        <v>11295</v>
      </c>
      <c r="E2145" s="619">
        <v>1960</v>
      </c>
      <c r="F2145" s="619" t="s">
        <v>233</v>
      </c>
      <c r="G2145" s="619">
        <v>861</v>
      </c>
      <c r="H2145" s="599">
        <v>5</v>
      </c>
      <c r="I2145" s="599">
        <v>1</v>
      </c>
      <c r="J2145" s="599">
        <v>56</v>
      </c>
      <c r="K2145" s="590" t="s">
        <v>238</v>
      </c>
      <c r="L2145" s="595">
        <f t="shared" si="296"/>
        <v>1728426.78</v>
      </c>
      <c r="M2145" s="596">
        <v>1680000</v>
      </c>
      <c r="N2145" s="630">
        <v>29876</v>
      </c>
      <c r="O2145" s="887"/>
      <c r="P2145" s="675"/>
      <c r="Q2145" s="586">
        <v>18550.78</v>
      </c>
      <c r="R2145" s="599">
        <f>M2145/J2145</f>
        <v>30000</v>
      </c>
      <c r="S2145" s="575">
        <f t="shared" si="299"/>
        <v>2.9103830456733704E-11</v>
      </c>
      <c r="T2145" s="1060"/>
      <c r="U2145" s="1061"/>
      <c r="V2145" s="589"/>
      <c r="W2145" s="799"/>
      <c r="X2145" s="799"/>
      <c r="Y2145" s="799"/>
      <c r="Z2145" s="799"/>
    </row>
    <row r="2146" spans="1:26" s="92" customFormat="1" hidden="1">
      <c r="A2146" s="667">
        <f t="shared" si="300"/>
        <v>23</v>
      </c>
      <c r="B2146" s="592" t="s">
        <v>1863</v>
      </c>
      <c r="C2146" s="593" t="s">
        <v>221</v>
      </c>
      <c r="D2146" s="619">
        <v>12029</v>
      </c>
      <c r="E2146" s="619">
        <v>2407</v>
      </c>
      <c r="F2146" s="619" t="s">
        <v>233</v>
      </c>
      <c r="G2146" s="619">
        <v>887</v>
      </c>
      <c r="H2146" s="599">
        <v>5</v>
      </c>
      <c r="I2146" s="599">
        <v>4</v>
      </c>
      <c r="J2146" s="599">
        <v>60</v>
      </c>
      <c r="K2146" s="590" t="s">
        <v>33</v>
      </c>
      <c r="L2146" s="584">
        <f t="shared" si="296"/>
        <v>1992660</v>
      </c>
      <c r="M2146" s="585">
        <v>1951400</v>
      </c>
      <c r="N2146" s="630"/>
      <c r="O2146" s="631">
        <v>21360</v>
      </c>
      <c r="P2146" s="630"/>
      <c r="Q2146" s="586">
        <v>19900</v>
      </c>
      <c r="R2146" s="582">
        <f>M2146/G2146</f>
        <v>2200</v>
      </c>
      <c r="S2146" s="575">
        <f t="shared" si="299"/>
        <v>0</v>
      </c>
      <c r="T2146" s="1060"/>
      <c r="U2146" s="1061"/>
      <c r="V2146" s="589"/>
      <c r="W2146" s="799"/>
      <c r="X2146" s="799"/>
      <c r="Y2146" s="799"/>
      <c r="Z2146" s="799"/>
    </row>
    <row r="2147" spans="1:26" s="92" customFormat="1" hidden="1">
      <c r="A2147" s="667">
        <f t="shared" si="300"/>
        <v>24</v>
      </c>
      <c r="B2147" s="592" t="s">
        <v>1864</v>
      </c>
      <c r="C2147" s="593" t="s">
        <v>221</v>
      </c>
      <c r="D2147" s="619">
        <v>17890</v>
      </c>
      <c r="E2147" s="619">
        <v>3053</v>
      </c>
      <c r="F2147" s="619" t="s">
        <v>233</v>
      </c>
      <c r="G2147" s="619">
        <v>1395</v>
      </c>
      <c r="H2147" s="599">
        <v>5</v>
      </c>
      <c r="I2147" s="599">
        <v>6</v>
      </c>
      <c r="J2147" s="599">
        <v>92</v>
      </c>
      <c r="K2147" s="590" t="s">
        <v>33</v>
      </c>
      <c r="L2147" s="584">
        <f t="shared" si="296"/>
        <v>3111711</v>
      </c>
      <c r="M2147" s="585">
        <v>3069000</v>
      </c>
      <c r="N2147" s="630"/>
      <c r="O2147" s="631">
        <v>22811</v>
      </c>
      <c r="P2147" s="630"/>
      <c r="Q2147" s="586">
        <v>19900</v>
      </c>
      <c r="R2147" s="582">
        <f>M2147/G2147</f>
        <v>2200</v>
      </c>
      <c r="S2147" s="575">
        <f t="shared" si="299"/>
        <v>0</v>
      </c>
      <c r="T2147" s="1060"/>
      <c r="U2147" s="1061"/>
      <c r="V2147" s="589"/>
      <c r="W2147" s="799"/>
      <c r="X2147" s="799"/>
      <c r="Y2147" s="799"/>
      <c r="Z2147" s="799"/>
    </row>
    <row r="2148" spans="1:26" s="92" customFormat="1" hidden="1">
      <c r="A2148" s="667">
        <f t="shared" si="300"/>
        <v>25</v>
      </c>
      <c r="B2148" s="592" t="s">
        <v>1865</v>
      </c>
      <c r="C2148" s="593" t="s">
        <v>221</v>
      </c>
      <c r="D2148" s="619">
        <v>28503</v>
      </c>
      <c r="E2148" s="619">
        <v>3948</v>
      </c>
      <c r="F2148" s="619" t="s">
        <v>233</v>
      </c>
      <c r="G2148" s="619">
        <v>2150</v>
      </c>
      <c r="H2148" s="599">
        <v>5</v>
      </c>
      <c r="I2148" s="599">
        <v>10</v>
      </c>
      <c r="J2148" s="599">
        <v>132</v>
      </c>
      <c r="K2148" s="590" t="s">
        <v>33</v>
      </c>
      <c r="L2148" s="584">
        <f t="shared" si="296"/>
        <v>4773184</v>
      </c>
      <c r="M2148" s="585">
        <v>4730000</v>
      </c>
      <c r="N2148" s="630"/>
      <c r="O2148" s="631">
        <v>23284</v>
      </c>
      <c r="P2148" s="630"/>
      <c r="Q2148" s="586">
        <v>19900</v>
      </c>
      <c r="R2148" s="582">
        <f>M2148/G2148</f>
        <v>2200</v>
      </c>
      <c r="S2148" s="575">
        <f t="shared" si="299"/>
        <v>0</v>
      </c>
      <c r="T2148" s="1060"/>
      <c r="U2148" s="1061"/>
      <c r="V2148" s="589"/>
      <c r="W2148" s="799"/>
      <c r="X2148" s="799"/>
      <c r="Y2148" s="799"/>
      <c r="Z2148" s="799"/>
    </row>
    <row r="2149" spans="1:26" s="529" customFormat="1" hidden="1">
      <c r="A2149" s="667">
        <f t="shared" si="300"/>
        <v>26</v>
      </c>
      <c r="B2149" s="592" t="s">
        <v>1867</v>
      </c>
      <c r="C2149" s="593" t="s">
        <v>221</v>
      </c>
      <c r="D2149" s="619">
        <v>45278</v>
      </c>
      <c r="E2149" s="619">
        <v>5384</v>
      </c>
      <c r="F2149" s="619" t="s">
        <v>233</v>
      </c>
      <c r="G2149" s="619">
        <v>2000</v>
      </c>
      <c r="H2149" s="599">
        <v>9</v>
      </c>
      <c r="I2149" s="599">
        <v>6</v>
      </c>
      <c r="J2149" s="599">
        <v>215</v>
      </c>
      <c r="K2149" s="590" t="s">
        <v>33</v>
      </c>
      <c r="L2149" s="584">
        <f t="shared" si="296"/>
        <v>4448155</v>
      </c>
      <c r="M2149" s="585">
        <v>4400000</v>
      </c>
      <c r="N2149" s="630"/>
      <c r="O2149" s="631">
        <v>28255</v>
      </c>
      <c r="P2149" s="630"/>
      <c r="Q2149" s="586">
        <v>19900</v>
      </c>
      <c r="R2149" s="582">
        <f>M2149/G2149</f>
        <v>2200</v>
      </c>
      <c r="S2149" s="575">
        <f t="shared" si="299"/>
        <v>0</v>
      </c>
      <c r="T2149" s="1062"/>
      <c r="U2149" s="1061"/>
      <c r="V2149" s="589"/>
      <c r="W2149" s="771"/>
      <c r="X2149" s="771"/>
      <c r="Y2149" s="771"/>
      <c r="Z2149" s="771"/>
    </row>
    <row r="2150" spans="1:26" s="92" customFormat="1" ht="37.5" hidden="1">
      <c r="A2150" s="667">
        <f t="shared" si="300"/>
        <v>27</v>
      </c>
      <c r="B2150" s="592" t="s">
        <v>1868</v>
      </c>
      <c r="C2150" s="593" t="s">
        <v>221</v>
      </c>
      <c r="D2150" s="619">
        <v>24214</v>
      </c>
      <c r="E2150" s="619">
        <v>3326</v>
      </c>
      <c r="F2150" s="619" t="s">
        <v>222</v>
      </c>
      <c r="G2150" s="619">
        <v>2206</v>
      </c>
      <c r="H2150" s="599">
        <v>5</v>
      </c>
      <c r="I2150" s="599">
        <v>8</v>
      </c>
      <c r="J2150" s="599">
        <v>129</v>
      </c>
      <c r="K2150" s="590" t="s">
        <v>30</v>
      </c>
      <c r="L2150" s="584">
        <f t="shared" si="296"/>
        <v>3280667</v>
      </c>
      <c r="M2150" s="596">
        <v>3225000</v>
      </c>
      <c r="N2150" s="675"/>
      <c r="O2150" s="631">
        <v>15867</v>
      </c>
      <c r="P2150" s="675"/>
      <c r="Q2150" s="586">
        <v>39800</v>
      </c>
      <c r="R2150" s="582">
        <f>M2150/J2150</f>
        <v>25000</v>
      </c>
      <c r="S2150" s="575">
        <f t="shared" si="299"/>
        <v>0</v>
      </c>
      <c r="T2150" s="1060"/>
      <c r="U2150" s="1061"/>
      <c r="V2150" s="589"/>
      <c r="W2150" s="799"/>
      <c r="X2150" s="799"/>
      <c r="Y2150" s="799"/>
      <c r="Z2150" s="799"/>
    </row>
    <row r="2151" spans="1:26" s="92" customFormat="1" hidden="1">
      <c r="A2151" s="667">
        <f t="shared" si="300"/>
        <v>28</v>
      </c>
      <c r="B2151" s="592" t="s">
        <v>1869</v>
      </c>
      <c r="C2151" s="593" t="s">
        <v>221</v>
      </c>
      <c r="D2151" s="619">
        <v>31104</v>
      </c>
      <c r="E2151" s="619">
        <v>3708</v>
      </c>
      <c r="F2151" s="619" t="s">
        <v>233</v>
      </c>
      <c r="G2151" s="619">
        <v>1278</v>
      </c>
      <c r="H2151" s="599">
        <v>9</v>
      </c>
      <c r="I2151" s="599">
        <v>3</v>
      </c>
      <c r="J2151" s="599">
        <v>159</v>
      </c>
      <c r="K2151" s="590" t="s">
        <v>224</v>
      </c>
      <c r="L2151" s="740">
        <f t="shared" si="296"/>
        <v>3563081.16</v>
      </c>
      <c r="M2151" s="741">
        <v>3498000</v>
      </c>
      <c r="N2151" s="753">
        <v>37388</v>
      </c>
      <c r="O2151" s="872"/>
      <c r="P2151" s="753"/>
      <c r="Q2151" s="586">
        <v>27693.16</v>
      </c>
      <c r="R2151" s="744">
        <f>M2151/J2151</f>
        <v>22000</v>
      </c>
      <c r="S2151" s="575">
        <f t="shared" si="299"/>
        <v>1.4915713109076023E-10</v>
      </c>
      <c r="T2151" s="1060"/>
      <c r="U2151" s="1061"/>
      <c r="V2151" s="589"/>
      <c r="W2151" s="799"/>
      <c r="X2151" s="799"/>
      <c r="Y2151" s="799"/>
      <c r="Z2151" s="799"/>
    </row>
    <row r="2152" spans="1:26" s="92" customFormat="1" ht="37.5" hidden="1">
      <c r="A2152" s="667">
        <f t="shared" si="300"/>
        <v>29</v>
      </c>
      <c r="B2152" s="592" t="s">
        <v>1870</v>
      </c>
      <c r="C2152" s="593" t="s">
        <v>239</v>
      </c>
      <c r="D2152" s="619">
        <v>3667</v>
      </c>
      <c r="E2152" s="619">
        <v>528</v>
      </c>
      <c r="F2152" s="619" t="s">
        <v>222</v>
      </c>
      <c r="G2152" s="619">
        <v>474</v>
      </c>
      <c r="H2152" s="599">
        <v>3</v>
      </c>
      <c r="I2152" s="599">
        <v>1</v>
      </c>
      <c r="J2152" s="599">
        <v>9</v>
      </c>
      <c r="K2152" s="590" t="s">
        <v>30</v>
      </c>
      <c r="L2152" s="584">
        <f t="shared" si="296"/>
        <v>247332.47</v>
      </c>
      <c r="M2152" s="596">
        <v>225000</v>
      </c>
      <c r="N2152" s="675"/>
      <c r="O2152" s="631">
        <v>11202</v>
      </c>
      <c r="P2152" s="675"/>
      <c r="Q2152" s="586">
        <v>11130.47</v>
      </c>
      <c r="R2152" s="582">
        <f>M2152/J2152</f>
        <v>25000</v>
      </c>
      <c r="S2152" s="575">
        <f t="shared" si="299"/>
        <v>0</v>
      </c>
      <c r="T2152" s="1060"/>
      <c r="U2152" s="1061"/>
      <c r="V2152" s="589"/>
      <c r="W2152" s="799"/>
      <c r="X2152" s="799"/>
      <c r="Y2152" s="799"/>
      <c r="Z2152" s="799"/>
    </row>
    <row r="2153" spans="1:26" s="92" customFormat="1" ht="37.5" hidden="1">
      <c r="A2153" s="667">
        <f t="shared" si="300"/>
        <v>30</v>
      </c>
      <c r="B2153" s="592" t="s">
        <v>1871</v>
      </c>
      <c r="C2153" s="593" t="s">
        <v>239</v>
      </c>
      <c r="D2153" s="619">
        <v>8877</v>
      </c>
      <c r="E2153" s="619">
        <v>810</v>
      </c>
      <c r="F2153" s="619" t="s">
        <v>222</v>
      </c>
      <c r="G2153" s="619">
        <v>836</v>
      </c>
      <c r="H2153" s="599">
        <v>3</v>
      </c>
      <c r="I2153" s="599">
        <v>2</v>
      </c>
      <c r="J2153" s="599">
        <v>12</v>
      </c>
      <c r="K2153" s="590" t="s">
        <v>30</v>
      </c>
      <c r="L2153" s="584">
        <f t="shared" si="296"/>
        <v>339226.4</v>
      </c>
      <c r="M2153" s="596">
        <v>300000</v>
      </c>
      <c r="N2153" s="675"/>
      <c r="O2153" s="631">
        <v>11864</v>
      </c>
      <c r="P2153" s="675"/>
      <c r="Q2153" s="586">
        <v>27362.400000000001</v>
      </c>
      <c r="R2153" s="582">
        <f>M2153/J2153</f>
        <v>25000</v>
      </c>
      <c r="S2153" s="575">
        <f t="shared" si="299"/>
        <v>0</v>
      </c>
      <c r="T2153" s="1060"/>
      <c r="U2153" s="1061"/>
      <c r="V2153" s="589"/>
      <c r="W2153" s="799"/>
      <c r="X2153" s="799"/>
      <c r="Y2153" s="799"/>
      <c r="Z2153" s="799"/>
    </row>
    <row r="2154" spans="1:26" s="92" customFormat="1" hidden="1">
      <c r="A2154" s="667">
        <f t="shared" si="300"/>
        <v>31</v>
      </c>
      <c r="B2154" s="592" t="s">
        <v>1872</v>
      </c>
      <c r="C2154" s="593" t="s">
        <v>221</v>
      </c>
      <c r="D2154" s="619">
        <v>63984</v>
      </c>
      <c r="E2154" s="619">
        <v>14295</v>
      </c>
      <c r="F2154" s="619" t="s">
        <v>233</v>
      </c>
      <c r="G2154" s="619">
        <v>3523</v>
      </c>
      <c r="H2154" s="599">
        <v>9</v>
      </c>
      <c r="I2154" s="599">
        <v>8</v>
      </c>
      <c r="J2154" s="599">
        <v>283</v>
      </c>
      <c r="K2154" s="590" t="s">
        <v>33</v>
      </c>
      <c r="L2154" s="584">
        <f t="shared" si="296"/>
        <v>7801595</v>
      </c>
      <c r="M2154" s="585">
        <v>7750600</v>
      </c>
      <c r="N2154" s="586"/>
      <c r="O2154" s="631">
        <v>31095</v>
      </c>
      <c r="P2154" s="586"/>
      <c r="Q2154" s="586">
        <v>19900</v>
      </c>
      <c r="R2154" s="582">
        <f>M2154/G2154</f>
        <v>2200</v>
      </c>
      <c r="S2154" s="575">
        <f t="shared" si="299"/>
        <v>0</v>
      </c>
      <c r="T2154" s="1060"/>
      <c r="U2154" s="1061"/>
      <c r="V2154" s="589"/>
      <c r="W2154" s="799"/>
      <c r="X2154" s="799"/>
      <c r="Y2154" s="799"/>
      <c r="Z2154" s="799"/>
    </row>
    <row r="2155" spans="1:26" s="529" customFormat="1" ht="37.5" hidden="1">
      <c r="A2155" s="667">
        <f t="shared" si="300"/>
        <v>32</v>
      </c>
      <c r="B2155" s="592" t="s">
        <v>1874</v>
      </c>
      <c r="C2155" s="1063" t="s">
        <v>217</v>
      </c>
      <c r="D2155" s="1064">
        <v>11055</v>
      </c>
      <c r="E2155" s="1064">
        <v>2044</v>
      </c>
      <c r="F2155" s="768" t="s">
        <v>233</v>
      </c>
      <c r="G2155" s="1064">
        <v>837</v>
      </c>
      <c r="H2155" s="1065">
        <v>5</v>
      </c>
      <c r="I2155" s="1065">
        <v>3</v>
      </c>
      <c r="J2155" s="1066">
        <v>43</v>
      </c>
      <c r="K2155" s="1067" t="s">
        <v>236</v>
      </c>
      <c r="L2155" s="584">
        <f t="shared" si="296"/>
        <v>1882937</v>
      </c>
      <c r="M2155" s="585">
        <v>1841400</v>
      </c>
      <c r="N2155" s="586"/>
      <c r="O2155" s="631">
        <v>21637</v>
      </c>
      <c r="P2155" s="586"/>
      <c r="Q2155" s="586">
        <v>19900</v>
      </c>
      <c r="R2155" s="582">
        <f>M2155/G2155</f>
        <v>2200</v>
      </c>
      <c r="S2155" s="575">
        <f t="shared" si="299"/>
        <v>0</v>
      </c>
      <c r="T2155" s="1062"/>
      <c r="U2155" s="1061"/>
      <c r="V2155" s="589"/>
      <c r="W2155" s="771"/>
      <c r="X2155" s="771"/>
      <c r="Y2155" s="771"/>
      <c r="Z2155" s="771"/>
    </row>
    <row r="2156" spans="1:26" s="92" customFormat="1" ht="37.5" hidden="1">
      <c r="A2156" s="667">
        <f t="shared" si="300"/>
        <v>33</v>
      </c>
      <c r="B2156" s="592" t="s">
        <v>1875</v>
      </c>
      <c r="C2156" s="593" t="s">
        <v>221</v>
      </c>
      <c r="D2156" s="619">
        <v>24760</v>
      </c>
      <c r="E2156" s="619">
        <v>4104</v>
      </c>
      <c r="F2156" s="619" t="s">
        <v>233</v>
      </c>
      <c r="G2156" s="619">
        <v>917</v>
      </c>
      <c r="H2156" s="599">
        <v>9</v>
      </c>
      <c r="I2156" s="599">
        <v>2</v>
      </c>
      <c r="J2156" s="599">
        <v>79</v>
      </c>
      <c r="K2156" s="590" t="s">
        <v>236</v>
      </c>
      <c r="L2156" s="584">
        <f t="shared" ref="L2156:L2187" si="301">M2156+N2156+O2156+P2156+Q2156</f>
        <v>2068395</v>
      </c>
      <c r="M2156" s="585">
        <v>2017400</v>
      </c>
      <c r="N2156" s="586"/>
      <c r="O2156" s="631">
        <v>31095</v>
      </c>
      <c r="P2156" s="586"/>
      <c r="Q2156" s="586">
        <v>19900</v>
      </c>
      <c r="R2156" s="582">
        <f>M2156/G2156</f>
        <v>2200</v>
      </c>
      <c r="S2156" s="575">
        <f t="shared" si="299"/>
        <v>0</v>
      </c>
      <c r="T2156" s="1060"/>
      <c r="U2156" s="1061"/>
      <c r="V2156" s="589"/>
      <c r="W2156" s="799"/>
      <c r="X2156" s="799"/>
      <c r="Y2156" s="799"/>
      <c r="Z2156" s="799"/>
    </row>
    <row r="2157" spans="1:26" s="92" customFormat="1" hidden="1">
      <c r="A2157" s="667">
        <f t="shared" si="300"/>
        <v>34</v>
      </c>
      <c r="B2157" s="592" t="s">
        <v>1876</v>
      </c>
      <c r="C2157" s="593" t="s">
        <v>221</v>
      </c>
      <c r="D2157" s="619">
        <v>12964</v>
      </c>
      <c r="E2157" s="619">
        <v>1446</v>
      </c>
      <c r="F2157" s="619" t="s">
        <v>233</v>
      </c>
      <c r="G2157" s="619">
        <v>926</v>
      </c>
      <c r="H2157" s="599">
        <v>5</v>
      </c>
      <c r="I2157" s="599">
        <v>4</v>
      </c>
      <c r="J2157" s="599">
        <v>40</v>
      </c>
      <c r="K2157" s="590" t="s">
        <v>33</v>
      </c>
      <c r="L2157" s="584">
        <f t="shared" si="301"/>
        <v>2079327</v>
      </c>
      <c r="M2157" s="585">
        <v>2037200</v>
      </c>
      <c r="N2157" s="586"/>
      <c r="O2157" s="631">
        <v>22227</v>
      </c>
      <c r="P2157" s="586"/>
      <c r="Q2157" s="586">
        <v>19900</v>
      </c>
      <c r="R2157" s="582">
        <f>M2157/G2157</f>
        <v>2200</v>
      </c>
      <c r="S2157" s="575">
        <f t="shared" si="299"/>
        <v>0</v>
      </c>
      <c r="T2157" s="1060"/>
      <c r="U2157" s="1061"/>
      <c r="V2157" s="589"/>
      <c r="W2157" s="799"/>
      <c r="X2157" s="799"/>
      <c r="Y2157" s="799"/>
      <c r="Z2157" s="799"/>
    </row>
    <row r="2158" spans="1:26" s="92" customFormat="1" ht="37.5" hidden="1">
      <c r="A2158" s="667">
        <f t="shared" si="300"/>
        <v>35</v>
      </c>
      <c r="B2158" s="592" t="s">
        <v>1877</v>
      </c>
      <c r="C2158" s="593" t="s">
        <v>221</v>
      </c>
      <c r="D2158" s="619">
        <v>20399</v>
      </c>
      <c r="E2158" s="619">
        <v>1691</v>
      </c>
      <c r="F2158" s="619" t="s">
        <v>227</v>
      </c>
      <c r="G2158" s="619">
        <v>1442</v>
      </c>
      <c r="H2158" s="599">
        <v>5</v>
      </c>
      <c r="I2158" s="599">
        <v>3</v>
      </c>
      <c r="J2158" s="599">
        <v>60</v>
      </c>
      <c r="K2158" s="590" t="s">
        <v>30</v>
      </c>
      <c r="L2158" s="584">
        <f t="shared" si="301"/>
        <v>1555359</v>
      </c>
      <c r="M2158" s="596">
        <v>1500000</v>
      </c>
      <c r="N2158" s="597"/>
      <c r="O2158" s="631">
        <v>15559</v>
      </c>
      <c r="P2158" s="597"/>
      <c r="Q2158" s="586">
        <v>39800</v>
      </c>
      <c r="R2158" s="582">
        <f>M2158/J2158</f>
        <v>25000</v>
      </c>
      <c r="S2158" s="575">
        <f t="shared" si="299"/>
        <v>0</v>
      </c>
      <c r="T2158" s="1060"/>
      <c r="U2158" s="1061"/>
      <c r="V2158" s="589"/>
      <c r="W2158" s="799"/>
      <c r="X2158" s="799"/>
      <c r="Y2158" s="799"/>
      <c r="Z2158" s="799"/>
    </row>
    <row r="2159" spans="1:26" s="92" customFormat="1" ht="37.5" hidden="1">
      <c r="A2159" s="667">
        <f t="shared" si="300"/>
        <v>36</v>
      </c>
      <c r="B2159" s="592" t="s">
        <v>1878</v>
      </c>
      <c r="C2159" s="593" t="s">
        <v>217</v>
      </c>
      <c r="D2159" s="619">
        <v>16521</v>
      </c>
      <c r="E2159" s="619">
        <v>3064</v>
      </c>
      <c r="F2159" s="619" t="s">
        <v>233</v>
      </c>
      <c r="G2159" s="619">
        <v>1224</v>
      </c>
      <c r="H2159" s="599">
        <v>5</v>
      </c>
      <c r="I2159" s="599">
        <v>6</v>
      </c>
      <c r="J2159" s="599">
        <v>89</v>
      </c>
      <c r="K2159" s="590" t="s">
        <v>30</v>
      </c>
      <c r="L2159" s="584">
        <f t="shared" si="301"/>
        <v>2279971</v>
      </c>
      <c r="M2159" s="596">
        <v>2225000</v>
      </c>
      <c r="N2159" s="597"/>
      <c r="O2159" s="631">
        <v>15171</v>
      </c>
      <c r="P2159" s="597"/>
      <c r="Q2159" s="586">
        <v>39800</v>
      </c>
      <c r="R2159" s="582">
        <f>M2159/J2159</f>
        <v>25000</v>
      </c>
      <c r="S2159" s="575">
        <f t="shared" si="299"/>
        <v>0</v>
      </c>
      <c r="T2159" s="1060"/>
      <c r="U2159" s="1061"/>
      <c r="V2159" s="589"/>
      <c r="W2159" s="799"/>
      <c r="X2159" s="799"/>
      <c r="Y2159" s="799"/>
      <c r="Z2159" s="799"/>
    </row>
    <row r="2160" spans="1:26" s="538" customFormat="1" hidden="1">
      <c r="A2160" s="667">
        <f t="shared" si="300"/>
        <v>37</v>
      </c>
      <c r="B2160" s="592" t="s">
        <v>1879</v>
      </c>
      <c r="C2160" s="593" t="s">
        <v>221</v>
      </c>
      <c r="D2160" s="619">
        <v>12194</v>
      </c>
      <c r="E2160" s="619">
        <v>1600</v>
      </c>
      <c r="F2160" s="619" t="s">
        <v>233</v>
      </c>
      <c r="G2160" s="619">
        <v>925</v>
      </c>
      <c r="H2160" s="599">
        <v>5</v>
      </c>
      <c r="I2160" s="599">
        <v>4</v>
      </c>
      <c r="J2160" s="599">
        <v>60</v>
      </c>
      <c r="K2160" s="590" t="s">
        <v>33</v>
      </c>
      <c r="L2160" s="584">
        <f t="shared" si="301"/>
        <v>2076321</v>
      </c>
      <c r="M2160" s="585">
        <v>2035000</v>
      </c>
      <c r="N2160" s="586"/>
      <c r="O2160" s="1054">
        <v>21421</v>
      </c>
      <c r="P2160" s="586"/>
      <c r="Q2160" s="586">
        <v>19900</v>
      </c>
      <c r="R2160" s="582">
        <f>M2160/G2160</f>
        <v>2200</v>
      </c>
      <c r="S2160" s="575">
        <f t="shared" si="299"/>
        <v>0</v>
      </c>
      <c r="T2160" s="842"/>
      <c r="U2160" s="843"/>
      <c r="V2160" s="589"/>
      <c r="W2160" s="842"/>
      <c r="X2160" s="842"/>
      <c r="Y2160" s="842"/>
      <c r="Z2160" s="842"/>
    </row>
    <row r="2161" spans="1:26" s="92" customFormat="1" hidden="1">
      <c r="A2161" s="667">
        <f t="shared" si="300"/>
        <v>38</v>
      </c>
      <c r="B2161" s="592" t="s">
        <v>1880</v>
      </c>
      <c r="C2161" s="593" t="s">
        <v>221</v>
      </c>
      <c r="D2161" s="619">
        <v>12283</v>
      </c>
      <c r="E2161" s="619">
        <v>1272</v>
      </c>
      <c r="F2161" s="619" t="s">
        <v>265</v>
      </c>
      <c r="G2161" s="619">
        <v>876</v>
      </c>
      <c r="H2161" s="599">
        <v>5</v>
      </c>
      <c r="I2161" s="599">
        <v>4</v>
      </c>
      <c r="J2161" s="599">
        <v>60</v>
      </c>
      <c r="K2161" s="590" t="s">
        <v>238</v>
      </c>
      <c r="L2161" s="595">
        <f t="shared" si="301"/>
        <v>1848943.78</v>
      </c>
      <c r="M2161" s="596">
        <v>1800000</v>
      </c>
      <c r="N2161" s="630">
        <v>30393</v>
      </c>
      <c r="O2161" s="598"/>
      <c r="P2161" s="597"/>
      <c r="Q2161" s="586">
        <v>18550.78</v>
      </c>
      <c r="R2161" s="599">
        <f>M2161/J2161</f>
        <v>30000</v>
      </c>
      <c r="S2161" s="575">
        <f t="shared" si="299"/>
        <v>2.9103830456733704E-11</v>
      </c>
      <c r="T2161" s="1060"/>
      <c r="U2161" s="1061"/>
      <c r="V2161" s="589"/>
      <c r="W2161" s="799"/>
      <c r="X2161" s="799"/>
      <c r="Y2161" s="799"/>
      <c r="Z2161" s="799"/>
    </row>
    <row r="2162" spans="1:26" s="92" customFormat="1" hidden="1">
      <c r="A2162" s="667">
        <f t="shared" si="300"/>
        <v>39</v>
      </c>
      <c r="B2162" s="592" t="s">
        <v>1881</v>
      </c>
      <c r="C2162" s="593" t="s">
        <v>221</v>
      </c>
      <c r="D2162" s="619">
        <v>13475</v>
      </c>
      <c r="E2162" s="619">
        <v>2550</v>
      </c>
      <c r="F2162" s="619" t="s">
        <v>233</v>
      </c>
      <c r="G2162" s="619">
        <v>919</v>
      </c>
      <c r="H2162" s="599">
        <v>9</v>
      </c>
      <c r="I2162" s="599">
        <v>1</v>
      </c>
      <c r="J2162" s="599">
        <v>52</v>
      </c>
      <c r="K2162" s="590" t="s">
        <v>33</v>
      </c>
      <c r="L2162" s="584">
        <f t="shared" si="301"/>
        <v>2066443</v>
      </c>
      <c r="M2162" s="585">
        <v>2021800</v>
      </c>
      <c r="N2162" s="586"/>
      <c r="O2162" s="631">
        <v>24743</v>
      </c>
      <c r="P2162" s="586"/>
      <c r="Q2162" s="586">
        <v>19900</v>
      </c>
      <c r="R2162" s="582">
        <f>M2162/G2162</f>
        <v>2200</v>
      </c>
      <c r="S2162" s="575">
        <f t="shared" si="299"/>
        <v>0</v>
      </c>
      <c r="T2162" s="1060"/>
      <c r="U2162" s="1061"/>
      <c r="V2162" s="589"/>
      <c r="W2162" s="799"/>
      <c r="X2162" s="799"/>
      <c r="Y2162" s="799"/>
      <c r="Z2162" s="799"/>
    </row>
    <row r="2163" spans="1:26" s="92" customFormat="1" hidden="1">
      <c r="A2163" s="667">
        <f t="shared" si="300"/>
        <v>40</v>
      </c>
      <c r="B2163" s="592" t="s">
        <v>1882</v>
      </c>
      <c r="C2163" s="593" t="s">
        <v>221</v>
      </c>
      <c r="D2163" s="619">
        <v>10957</v>
      </c>
      <c r="E2163" s="619">
        <v>1390</v>
      </c>
      <c r="F2163" s="619" t="s">
        <v>222</v>
      </c>
      <c r="G2163" s="619">
        <v>982</v>
      </c>
      <c r="H2163" s="599">
        <v>4</v>
      </c>
      <c r="I2163" s="599">
        <v>3</v>
      </c>
      <c r="J2163" s="599">
        <v>31</v>
      </c>
      <c r="K2163" s="735" t="s">
        <v>224</v>
      </c>
      <c r="L2163" s="740">
        <f t="shared" si="301"/>
        <v>722881.21</v>
      </c>
      <c r="M2163" s="741">
        <v>682000</v>
      </c>
      <c r="N2163" s="753">
        <v>32328</v>
      </c>
      <c r="O2163" s="743"/>
      <c r="P2163" s="742"/>
      <c r="Q2163" s="586">
        <v>8553.2099999999991</v>
      </c>
      <c r="R2163" s="744">
        <f t="shared" ref="R2163:R2173" si="302">M2163/J2163</f>
        <v>22000</v>
      </c>
      <c r="S2163" s="575">
        <f t="shared" si="299"/>
        <v>-3.637978807091713E-11</v>
      </c>
      <c r="T2163" s="1060"/>
      <c r="U2163" s="1061"/>
      <c r="V2163" s="589"/>
      <c r="W2163" s="799"/>
      <c r="X2163" s="799"/>
      <c r="Y2163" s="799"/>
      <c r="Z2163" s="799"/>
    </row>
    <row r="2164" spans="1:26" s="92" customFormat="1" hidden="1">
      <c r="A2164" s="667">
        <f t="shared" si="300"/>
        <v>41</v>
      </c>
      <c r="B2164" s="592" t="s">
        <v>1883</v>
      </c>
      <c r="C2164" s="593" t="s">
        <v>221</v>
      </c>
      <c r="D2164" s="619">
        <v>21780</v>
      </c>
      <c r="E2164" s="619">
        <v>2480</v>
      </c>
      <c r="F2164" s="619" t="s">
        <v>222</v>
      </c>
      <c r="G2164" s="619">
        <v>2059</v>
      </c>
      <c r="H2164" s="599">
        <v>4</v>
      </c>
      <c r="I2164" s="599">
        <v>6</v>
      </c>
      <c r="J2164" s="599">
        <v>50</v>
      </c>
      <c r="K2164" s="735" t="s">
        <v>224</v>
      </c>
      <c r="L2164" s="740">
        <f t="shared" si="301"/>
        <v>1154458.9099999999</v>
      </c>
      <c r="M2164" s="741">
        <v>1100000</v>
      </c>
      <c r="N2164" s="753">
        <v>37454</v>
      </c>
      <c r="O2164" s="743"/>
      <c r="P2164" s="742"/>
      <c r="Q2164" s="586">
        <v>17004.91</v>
      </c>
      <c r="R2164" s="744">
        <f t="shared" si="302"/>
        <v>22000</v>
      </c>
      <c r="S2164" s="575">
        <f t="shared" si="299"/>
        <v>-8.3673512563109398E-11</v>
      </c>
      <c r="T2164" s="1060"/>
      <c r="U2164" s="1061"/>
      <c r="V2164" s="589"/>
      <c r="W2164" s="799"/>
      <c r="X2164" s="799"/>
      <c r="Y2164" s="799"/>
      <c r="Z2164" s="799"/>
    </row>
    <row r="2165" spans="1:26" s="92" customFormat="1" ht="37.5" hidden="1">
      <c r="A2165" s="667">
        <f t="shared" si="300"/>
        <v>42</v>
      </c>
      <c r="B2165" s="592" t="s">
        <v>1884</v>
      </c>
      <c r="C2165" s="593" t="s">
        <v>221</v>
      </c>
      <c r="D2165" s="619">
        <v>5718</v>
      </c>
      <c r="E2165" s="619">
        <v>1158</v>
      </c>
      <c r="F2165" s="619" t="s">
        <v>222</v>
      </c>
      <c r="G2165" s="619">
        <v>826</v>
      </c>
      <c r="H2165" s="599">
        <v>3</v>
      </c>
      <c r="I2165" s="599">
        <v>3</v>
      </c>
      <c r="J2165" s="599">
        <v>24</v>
      </c>
      <c r="K2165" s="1068" t="s">
        <v>30</v>
      </c>
      <c r="L2165" s="740">
        <f t="shared" si="301"/>
        <v>544584.46</v>
      </c>
      <c r="M2165" s="741">
        <v>528000</v>
      </c>
      <c r="N2165" s="753"/>
      <c r="O2165" s="872">
        <v>11913</v>
      </c>
      <c r="P2165" s="753"/>
      <c r="Q2165" s="630">
        <v>4671.46</v>
      </c>
      <c r="R2165" s="744">
        <f t="shared" si="302"/>
        <v>22000</v>
      </c>
      <c r="S2165" s="575">
        <f t="shared" si="299"/>
        <v>-3.7289282772690058E-11</v>
      </c>
      <c r="T2165" s="1060"/>
      <c r="U2165" s="1061"/>
      <c r="V2165" s="589"/>
      <c r="W2165" s="799"/>
      <c r="X2165" s="799"/>
      <c r="Y2165" s="799"/>
      <c r="Z2165" s="799"/>
    </row>
    <row r="2166" spans="1:26" s="92" customFormat="1" hidden="1">
      <c r="A2166" s="667">
        <f t="shared" si="300"/>
        <v>43</v>
      </c>
      <c r="B2166" s="592" t="s">
        <v>1885</v>
      </c>
      <c r="C2166" s="593" t="s">
        <v>221</v>
      </c>
      <c r="D2166" s="619">
        <v>19632</v>
      </c>
      <c r="E2166" s="619">
        <v>2694</v>
      </c>
      <c r="F2166" s="619" t="s">
        <v>227</v>
      </c>
      <c r="G2166" s="619">
        <v>1823</v>
      </c>
      <c r="H2166" s="599">
        <v>5</v>
      </c>
      <c r="I2166" s="599">
        <v>4</v>
      </c>
      <c r="J2166" s="599">
        <v>67</v>
      </c>
      <c r="K2166" s="590" t="s">
        <v>238</v>
      </c>
      <c r="L2166" s="595">
        <f t="shared" si="301"/>
        <v>2064946.71</v>
      </c>
      <c r="M2166" s="596">
        <v>2010000</v>
      </c>
      <c r="N2166" s="630">
        <v>32222</v>
      </c>
      <c r="O2166" s="598"/>
      <c r="P2166" s="597"/>
      <c r="Q2166" s="586">
        <v>22724.71</v>
      </c>
      <c r="R2166" s="599">
        <f t="shared" si="302"/>
        <v>30000</v>
      </c>
      <c r="S2166" s="575">
        <f t="shared" si="299"/>
        <v>-3.637978807091713E-11</v>
      </c>
      <c r="T2166" s="1060"/>
      <c r="U2166" s="1061"/>
      <c r="V2166" s="589"/>
      <c r="W2166" s="799"/>
      <c r="X2166" s="799"/>
      <c r="Y2166" s="799"/>
      <c r="Z2166" s="799"/>
    </row>
    <row r="2167" spans="1:26" s="92" customFormat="1" ht="37.5" hidden="1">
      <c r="A2167" s="667">
        <f t="shared" si="300"/>
        <v>44</v>
      </c>
      <c r="B2167" s="592" t="s">
        <v>1886</v>
      </c>
      <c r="C2167" s="593" t="s">
        <v>221</v>
      </c>
      <c r="D2167" s="619">
        <v>13084</v>
      </c>
      <c r="E2167" s="619">
        <v>2538</v>
      </c>
      <c r="F2167" s="619" t="s">
        <v>222</v>
      </c>
      <c r="G2167" s="619">
        <v>1215</v>
      </c>
      <c r="H2167" s="599">
        <v>5</v>
      </c>
      <c r="I2167" s="599">
        <v>4</v>
      </c>
      <c r="J2167" s="599">
        <v>70</v>
      </c>
      <c r="K2167" s="590" t="s">
        <v>30</v>
      </c>
      <c r="L2167" s="584">
        <f t="shared" si="301"/>
        <v>1799147.94</v>
      </c>
      <c r="M2167" s="596">
        <v>1750000</v>
      </c>
      <c r="N2167" s="597"/>
      <c r="O2167" s="631">
        <v>14829</v>
      </c>
      <c r="P2167" s="597"/>
      <c r="Q2167" s="586">
        <v>34318.94</v>
      </c>
      <c r="R2167" s="582">
        <f t="shared" si="302"/>
        <v>25000</v>
      </c>
      <c r="S2167" s="575">
        <f t="shared" si="299"/>
        <v>-5.8207660913467407E-11</v>
      </c>
      <c r="T2167" s="1060"/>
      <c r="U2167" s="1061"/>
      <c r="V2167" s="589"/>
      <c r="W2167" s="799"/>
      <c r="X2167" s="799"/>
      <c r="Y2167" s="799"/>
      <c r="Z2167" s="799"/>
    </row>
    <row r="2168" spans="1:26" s="92" customFormat="1" ht="37.5" hidden="1">
      <c r="A2168" s="667">
        <f t="shared" si="300"/>
        <v>45</v>
      </c>
      <c r="B2168" s="592" t="s">
        <v>1887</v>
      </c>
      <c r="C2168" s="593" t="s">
        <v>221</v>
      </c>
      <c r="D2168" s="619">
        <v>13322</v>
      </c>
      <c r="E2168" s="619">
        <v>2642</v>
      </c>
      <c r="F2168" s="619" t="s">
        <v>222</v>
      </c>
      <c r="G2168" s="619">
        <v>1221</v>
      </c>
      <c r="H2168" s="599">
        <v>5</v>
      </c>
      <c r="I2168" s="599">
        <v>4</v>
      </c>
      <c r="J2168" s="599">
        <v>70</v>
      </c>
      <c r="K2168" s="590" t="s">
        <v>237</v>
      </c>
      <c r="L2168" s="584">
        <f t="shared" si="301"/>
        <v>1799207.94</v>
      </c>
      <c r="M2168" s="596">
        <v>1750000</v>
      </c>
      <c r="N2168" s="597"/>
      <c r="O2168" s="631">
        <v>14889</v>
      </c>
      <c r="P2168" s="597"/>
      <c r="Q2168" s="586">
        <v>34318.94</v>
      </c>
      <c r="R2168" s="582">
        <f t="shared" si="302"/>
        <v>25000</v>
      </c>
      <c r="S2168" s="575">
        <f t="shared" si="299"/>
        <v>-5.8207660913467407E-11</v>
      </c>
      <c r="T2168" s="1060"/>
      <c r="U2168" s="1061"/>
      <c r="V2168" s="589"/>
      <c r="W2168" s="799"/>
      <c r="X2168" s="799"/>
      <c r="Y2168" s="799"/>
      <c r="Z2168" s="799"/>
    </row>
    <row r="2169" spans="1:26" s="92" customFormat="1" ht="37.5" hidden="1">
      <c r="A2169" s="667">
        <f t="shared" si="300"/>
        <v>46</v>
      </c>
      <c r="B2169" s="592" t="s">
        <v>1888</v>
      </c>
      <c r="C2169" s="593" t="s">
        <v>221</v>
      </c>
      <c r="D2169" s="619">
        <v>13084</v>
      </c>
      <c r="E2169" s="619">
        <v>2538</v>
      </c>
      <c r="F2169" s="619" t="s">
        <v>222</v>
      </c>
      <c r="G2169" s="619">
        <v>1188</v>
      </c>
      <c r="H2169" s="599">
        <v>5</v>
      </c>
      <c r="I2169" s="599">
        <v>4</v>
      </c>
      <c r="J2169" s="599">
        <v>70</v>
      </c>
      <c r="K2169" s="590" t="s">
        <v>30</v>
      </c>
      <c r="L2169" s="584">
        <f t="shared" si="301"/>
        <v>1799147.94</v>
      </c>
      <c r="M2169" s="596">
        <v>1750000</v>
      </c>
      <c r="N2169" s="597"/>
      <c r="O2169" s="631">
        <v>14829</v>
      </c>
      <c r="P2169" s="597"/>
      <c r="Q2169" s="586">
        <v>34318.94</v>
      </c>
      <c r="R2169" s="582">
        <f t="shared" si="302"/>
        <v>25000</v>
      </c>
      <c r="S2169" s="575">
        <f t="shared" si="299"/>
        <v>-5.8207660913467407E-11</v>
      </c>
      <c r="T2169" s="1060"/>
      <c r="U2169" s="1061"/>
      <c r="V2169" s="589"/>
      <c r="W2169" s="799"/>
      <c r="X2169" s="799"/>
      <c r="Y2169" s="799"/>
      <c r="Z2169" s="799"/>
    </row>
    <row r="2170" spans="1:26" s="92" customFormat="1" hidden="1">
      <c r="A2170" s="667">
        <f t="shared" si="300"/>
        <v>47</v>
      </c>
      <c r="B2170" s="592" t="s">
        <v>1889</v>
      </c>
      <c r="C2170" s="593" t="s">
        <v>221</v>
      </c>
      <c r="D2170" s="619">
        <v>5340</v>
      </c>
      <c r="E2170" s="619">
        <v>1128</v>
      </c>
      <c r="F2170" s="619" t="s">
        <v>222</v>
      </c>
      <c r="G2170" s="619">
        <v>586</v>
      </c>
      <c r="H2170" s="599">
        <v>4</v>
      </c>
      <c r="I2170" s="599">
        <v>2</v>
      </c>
      <c r="J2170" s="599">
        <v>32</v>
      </c>
      <c r="K2170" s="590" t="s">
        <v>224</v>
      </c>
      <c r="L2170" s="740">
        <f t="shared" si="301"/>
        <v>737506.49</v>
      </c>
      <c r="M2170" s="741">
        <v>704000</v>
      </c>
      <c r="N2170" s="753">
        <v>29202</v>
      </c>
      <c r="O2170" s="743"/>
      <c r="P2170" s="742"/>
      <c r="Q2170" s="586">
        <v>4304.49</v>
      </c>
      <c r="R2170" s="744">
        <f t="shared" si="302"/>
        <v>22000</v>
      </c>
      <c r="S2170" s="575">
        <f t="shared" si="299"/>
        <v>-9.0949470177292824E-12</v>
      </c>
      <c r="T2170" s="1060"/>
      <c r="U2170" s="1061"/>
      <c r="V2170" s="589"/>
      <c r="W2170" s="799"/>
      <c r="X2170" s="799"/>
      <c r="Y2170" s="799"/>
      <c r="Z2170" s="799"/>
    </row>
    <row r="2171" spans="1:26" s="92" customFormat="1" ht="37.5" hidden="1">
      <c r="A2171" s="667">
        <f t="shared" si="300"/>
        <v>48</v>
      </c>
      <c r="B2171" s="592" t="s">
        <v>1890</v>
      </c>
      <c r="C2171" s="593" t="s">
        <v>221</v>
      </c>
      <c r="D2171" s="619">
        <v>12546</v>
      </c>
      <c r="E2171" s="619">
        <v>2420</v>
      </c>
      <c r="F2171" s="619" t="s">
        <v>222</v>
      </c>
      <c r="G2171" s="619">
        <v>1152</v>
      </c>
      <c r="H2171" s="599">
        <v>5</v>
      </c>
      <c r="I2171" s="599">
        <v>4</v>
      </c>
      <c r="J2171" s="599">
        <v>75</v>
      </c>
      <c r="K2171" s="590" t="s">
        <v>237</v>
      </c>
      <c r="L2171" s="584">
        <f t="shared" si="301"/>
        <v>1924012.94</v>
      </c>
      <c r="M2171" s="596">
        <v>1875000</v>
      </c>
      <c r="N2171" s="597"/>
      <c r="O2171" s="631">
        <v>14694</v>
      </c>
      <c r="P2171" s="597"/>
      <c r="Q2171" s="586">
        <v>34318.94</v>
      </c>
      <c r="R2171" s="582">
        <f t="shared" si="302"/>
        <v>25000</v>
      </c>
      <c r="S2171" s="575">
        <f t="shared" si="299"/>
        <v>-5.8207660913467407E-11</v>
      </c>
      <c r="T2171" s="1060"/>
      <c r="U2171" s="1061"/>
      <c r="V2171" s="589"/>
      <c r="W2171" s="799"/>
      <c r="X2171" s="799"/>
      <c r="Y2171" s="799"/>
      <c r="Z2171" s="799"/>
    </row>
    <row r="2172" spans="1:26" s="92" customFormat="1" ht="37.5" hidden="1">
      <c r="A2172" s="667">
        <f t="shared" si="300"/>
        <v>49</v>
      </c>
      <c r="B2172" s="592" t="s">
        <v>1891</v>
      </c>
      <c r="C2172" s="593" t="s">
        <v>221</v>
      </c>
      <c r="D2172" s="619">
        <v>12330</v>
      </c>
      <c r="E2172" s="619">
        <v>2440</v>
      </c>
      <c r="F2172" s="619" t="s">
        <v>222</v>
      </c>
      <c r="G2172" s="619">
        <v>1145</v>
      </c>
      <c r="H2172" s="599">
        <v>5</v>
      </c>
      <c r="I2172" s="599">
        <v>4</v>
      </c>
      <c r="J2172" s="599">
        <v>78</v>
      </c>
      <c r="K2172" s="590" t="s">
        <v>30</v>
      </c>
      <c r="L2172" s="584">
        <f t="shared" si="301"/>
        <v>1998957.94</v>
      </c>
      <c r="M2172" s="596">
        <v>1950000</v>
      </c>
      <c r="N2172" s="597"/>
      <c r="O2172" s="631">
        <v>14639</v>
      </c>
      <c r="P2172" s="597"/>
      <c r="Q2172" s="586">
        <v>34318.94</v>
      </c>
      <c r="R2172" s="582">
        <f t="shared" si="302"/>
        <v>25000</v>
      </c>
      <c r="S2172" s="575">
        <f t="shared" si="299"/>
        <v>-5.8207660913467407E-11</v>
      </c>
      <c r="T2172" s="1060"/>
      <c r="U2172" s="1061"/>
      <c r="V2172" s="589"/>
      <c r="W2172" s="799"/>
      <c r="X2172" s="799"/>
      <c r="Y2172" s="799"/>
      <c r="Z2172" s="799"/>
    </row>
    <row r="2173" spans="1:26" s="92" customFormat="1" ht="37.5" hidden="1">
      <c r="A2173" s="667">
        <f t="shared" si="300"/>
        <v>50</v>
      </c>
      <c r="B2173" s="592" t="s">
        <v>1892</v>
      </c>
      <c r="C2173" s="593" t="s">
        <v>221</v>
      </c>
      <c r="D2173" s="619">
        <v>12484</v>
      </c>
      <c r="E2173" s="619">
        <v>2460</v>
      </c>
      <c r="F2173" s="619" t="s">
        <v>222</v>
      </c>
      <c r="G2173" s="619">
        <v>1147</v>
      </c>
      <c r="H2173" s="599">
        <v>5</v>
      </c>
      <c r="I2173" s="599">
        <v>4</v>
      </c>
      <c r="J2173" s="599">
        <v>79</v>
      </c>
      <c r="K2173" s="590" t="s">
        <v>30</v>
      </c>
      <c r="L2173" s="584">
        <f t="shared" si="301"/>
        <v>2023996.94</v>
      </c>
      <c r="M2173" s="596">
        <v>1975000</v>
      </c>
      <c r="N2173" s="597"/>
      <c r="O2173" s="631">
        <v>14678</v>
      </c>
      <c r="P2173" s="597"/>
      <c r="Q2173" s="586">
        <v>34318.94</v>
      </c>
      <c r="R2173" s="582">
        <f t="shared" si="302"/>
        <v>25000</v>
      </c>
      <c r="S2173" s="575">
        <f t="shared" si="299"/>
        <v>-5.8207660913467407E-11</v>
      </c>
      <c r="T2173" s="1060"/>
      <c r="U2173" s="1061"/>
      <c r="V2173" s="589"/>
      <c r="W2173" s="799"/>
      <c r="X2173" s="799"/>
      <c r="Y2173" s="799"/>
      <c r="Z2173" s="799"/>
    </row>
    <row r="2174" spans="1:26" s="92" customFormat="1" hidden="1">
      <c r="A2174" s="667">
        <f t="shared" si="300"/>
        <v>51</v>
      </c>
      <c r="B2174" s="592" t="s">
        <v>1893</v>
      </c>
      <c r="C2174" s="593" t="s">
        <v>221</v>
      </c>
      <c r="D2174" s="619">
        <v>14890</v>
      </c>
      <c r="E2174" s="619">
        <v>2500</v>
      </c>
      <c r="F2174" s="619" t="s">
        <v>227</v>
      </c>
      <c r="G2174" s="619">
        <v>846</v>
      </c>
      <c r="H2174" s="599">
        <v>5</v>
      </c>
      <c r="I2174" s="599">
        <v>1</v>
      </c>
      <c r="J2174" s="599">
        <v>69</v>
      </c>
      <c r="K2174" s="590" t="s">
        <v>33</v>
      </c>
      <c r="L2174" s="584">
        <f t="shared" si="301"/>
        <v>1902837</v>
      </c>
      <c r="M2174" s="585">
        <v>1861200</v>
      </c>
      <c r="N2174" s="586"/>
      <c r="O2174" s="631">
        <v>21737</v>
      </c>
      <c r="P2174" s="586"/>
      <c r="Q2174" s="586">
        <v>19900</v>
      </c>
      <c r="R2174" s="582">
        <f>M2174/G2174</f>
        <v>2200</v>
      </c>
      <c r="S2174" s="575">
        <f t="shared" si="299"/>
        <v>0</v>
      </c>
      <c r="T2174" s="1060"/>
      <c r="U2174" s="1061"/>
      <c r="V2174" s="589"/>
      <c r="W2174" s="799"/>
      <c r="X2174" s="799"/>
      <c r="Y2174" s="799"/>
      <c r="Z2174" s="799"/>
    </row>
    <row r="2175" spans="1:26" s="92" customFormat="1" ht="37.5" hidden="1">
      <c r="A2175" s="667">
        <f t="shared" si="300"/>
        <v>52</v>
      </c>
      <c r="B2175" s="592" t="s">
        <v>1895</v>
      </c>
      <c r="C2175" s="593" t="s">
        <v>221</v>
      </c>
      <c r="D2175" s="619">
        <v>22989</v>
      </c>
      <c r="E2175" s="619">
        <v>3850</v>
      </c>
      <c r="F2175" s="619" t="s">
        <v>233</v>
      </c>
      <c r="G2175" s="619">
        <v>993</v>
      </c>
      <c r="H2175" s="599">
        <v>9</v>
      </c>
      <c r="I2175" s="599">
        <v>1</v>
      </c>
      <c r="J2175" s="599">
        <v>144</v>
      </c>
      <c r="K2175" s="590" t="s">
        <v>236</v>
      </c>
      <c r="L2175" s="584">
        <f t="shared" si="301"/>
        <v>2230807</v>
      </c>
      <c r="M2175" s="585">
        <v>2184600</v>
      </c>
      <c r="N2175" s="586"/>
      <c r="O2175" s="631">
        <v>26307</v>
      </c>
      <c r="P2175" s="586"/>
      <c r="Q2175" s="586">
        <v>19900</v>
      </c>
      <c r="R2175" s="582">
        <f>M2175/G2175</f>
        <v>2200</v>
      </c>
      <c r="S2175" s="575">
        <f t="shared" si="299"/>
        <v>0</v>
      </c>
      <c r="T2175" s="1060"/>
      <c r="U2175" s="1061"/>
      <c r="V2175" s="589"/>
      <c r="W2175" s="799"/>
      <c r="X2175" s="799"/>
      <c r="Y2175" s="799"/>
      <c r="Z2175" s="799"/>
    </row>
    <row r="2176" spans="1:26" s="92" customFormat="1" ht="37.5" hidden="1">
      <c r="A2176" s="667">
        <f t="shared" si="300"/>
        <v>53</v>
      </c>
      <c r="B2176" s="592" t="s">
        <v>1896</v>
      </c>
      <c r="C2176" s="593" t="s">
        <v>221</v>
      </c>
      <c r="D2176" s="619">
        <v>10158</v>
      </c>
      <c r="E2176" s="619">
        <v>1300</v>
      </c>
      <c r="F2176" s="619" t="s">
        <v>233</v>
      </c>
      <c r="G2176" s="619">
        <v>907</v>
      </c>
      <c r="H2176" s="599">
        <v>4</v>
      </c>
      <c r="I2176" s="599">
        <v>3</v>
      </c>
      <c r="J2176" s="599">
        <v>36</v>
      </c>
      <c r="K2176" s="590" t="s">
        <v>30</v>
      </c>
      <c r="L2176" s="584">
        <f t="shared" si="301"/>
        <v>939768.4</v>
      </c>
      <c r="M2176" s="596">
        <v>900000</v>
      </c>
      <c r="N2176" s="597"/>
      <c r="O2176" s="631">
        <v>12406</v>
      </c>
      <c r="P2176" s="597"/>
      <c r="Q2176" s="586">
        <v>27362.400000000001</v>
      </c>
      <c r="R2176" s="582">
        <f>M2176/J2176</f>
        <v>25000</v>
      </c>
      <c r="S2176" s="575">
        <f t="shared" si="299"/>
        <v>0</v>
      </c>
      <c r="T2176" s="1060"/>
      <c r="U2176" s="1061"/>
      <c r="V2176" s="589"/>
      <c r="W2176" s="799"/>
      <c r="X2176" s="799"/>
      <c r="Y2176" s="799"/>
      <c r="Z2176" s="799"/>
    </row>
    <row r="2177" spans="1:26" s="92" customFormat="1" ht="37.5" hidden="1">
      <c r="A2177" s="667">
        <f t="shared" si="300"/>
        <v>54</v>
      </c>
      <c r="B2177" s="592" t="s">
        <v>1897</v>
      </c>
      <c r="C2177" s="593" t="s">
        <v>221</v>
      </c>
      <c r="D2177" s="619">
        <v>17150</v>
      </c>
      <c r="E2177" s="619">
        <v>2438</v>
      </c>
      <c r="F2177" s="619" t="s">
        <v>222</v>
      </c>
      <c r="G2177" s="619">
        <v>1225</v>
      </c>
      <c r="H2177" s="599">
        <v>5</v>
      </c>
      <c r="I2177" s="599">
        <v>4</v>
      </c>
      <c r="J2177" s="599">
        <v>70</v>
      </c>
      <c r="K2177" s="590" t="s">
        <v>30</v>
      </c>
      <c r="L2177" s="584">
        <f t="shared" si="301"/>
        <v>1805124</v>
      </c>
      <c r="M2177" s="596">
        <v>1750000</v>
      </c>
      <c r="N2177" s="597"/>
      <c r="O2177" s="631">
        <v>15324</v>
      </c>
      <c r="P2177" s="597"/>
      <c r="Q2177" s="586">
        <v>39800</v>
      </c>
      <c r="R2177" s="582">
        <f>M2177/J2177</f>
        <v>25000</v>
      </c>
      <c r="S2177" s="575">
        <f t="shared" si="299"/>
        <v>0</v>
      </c>
      <c r="T2177" s="1060"/>
      <c r="U2177" s="1061"/>
      <c r="V2177" s="589"/>
      <c r="W2177" s="799"/>
      <c r="X2177" s="799"/>
      <c r="Y2177" s="799"/>
      <c r="Z2177" s="799"/>
    </row>
    <row r="2178" spans="1:26" s="92" customFormat="1" ht="37.5" hidden="1">
      <c r="A2178" s="667">
        <f t="shared" si="300"/>
        <v>55</v>
      </c>
      <c r="B2178" s="592" t="s">
        <v>1898</v>
      </c>
      <c r="C2178" s="593" t="s">
        <v>221</v>
      </c>
      <c r="D2178" s="619">
        <v>6784</v>
      </c>
      <c r="E2178" s="619">
        <v>1151</v>
      </c>
      <c r="F2178" s="619" t="s">
        <v>222</v>
      </c>
      <c r="G2178" s="619">
        <v>588</v>
      </c>
      <c r="H2178" s="599">
        <v>5</v>
      </c>
      <c r="I2178" s="599">
        <v>2</v>
      </c>
      <c r="J2178" s="599">
        <v>40</v>
      </c>
      <c r="K2178" s="590" t="s">
        <v>30</v>
      </c>
      <c r="L2178" s="584">
        <f t="shared" si="301"/>
        <v>1035901.4</v>
      </c>
      <c r="M2178" s="596">
        <v>1000000</v>
      </c>
      <c r="N2178" s="597"/>
      <c r="O2178" s="631">
        <v>14568</v>
      </c>
      <c r="P2178" s="597"/>
      <c r="Q2178" s="586">
        <v>21333.4</v>
      </c>
      <c r="R2178" s="582">
        <f>M2178/J2178</f>
        <v>25000</v>
      </c>
      <c r="S2178" s="575">
        <f t="shared" si="299"/>
        <v>0</v>
      </c>
      <c r="T2178" s="1060"/>
      <c r="U2178" s="1061"/>
      <c r="V2178" s="589"/>
      <c r="W2178" s="799"/>
      <c r="X2178" s="799"/>
      <c r="Y2178" s="799"/>
      <c r="Z2178" s="799"/>
    </row>
    <row r="2179" spans="1:26" s="92" customFormat="1" ht="37.5" hidden="1">
      <c r="A2179" s="667">
        <f t="shared" si="300"/>
        <v>56</v>
      </c>
      <c r="B2179" s="592" t="s">
        <v>1899</v>
      </c>
      <c r="C2179" s="593" t="s">
        <v>221</v>
      </c>
      <c r="D2179" s="619">
        <v>10596</v>
      </c>
      <c r="E2179" s="619">
        <v>2440</v>
      </c>
      <c r="F2179" s="619" t="s">
        <v>222</v>
      </c>
      <c r="G2179" s="619">
        <v>984</v>
      </c>
      <c r="H2179" s="599">
        <v>5</v>
      </c>
      <c r="I2179" s="599">
        <v>4</v>
      </c>
      <c r="J2179" s="599">
        <v>69</v>
      </c>
      <c r="K2179" s="590" t="s">
        <v>237</v>
      </c>
      <c r="L2179" s="584">
        <f t="shared" si="301"/>
        <v>1767038.4</v>
      </c>
      <c r="M2179" s="596">
        <v>1725000</v>
      </c>
      <c r="N2179" s="597"/>
      <c r="O2179" s="631">
        <v>14676</v>
      </c>
      <c r="P2179" s="597"/>
      <c r="Q2179" s="586">
        <v>27362.400000000001</v>
      </c>
      <c r="R2179" s="582">
        <f>M2179/J2179</f>
        <v>25000</v>
      </c>
      <c r="S2179" s="575">
        <f t="shared" si="299"/>
        <v>-9.4587448984384537E-11</v>
      </c>
      <c r="T2179" s="1060"/>
      <c r="U2179" s="1061"/>
      <c r="V2179" s="589"/>
      <c r="W2179" s="799"/>
      <c r="X2179" s="799"/>
      <c r="Y2179" s="799"/>
      <c r="Z2179" s="799"/>
    </row>
    <row r="2180" spans="1:26" s="92" customFormat="1" ht="37.5" hidden="1">
      <c r="A2180" s="667">
        <f t="shared" si="300"/>
        <v>57</v>
      </c>
      <c r="B2180" s="592" t="s">
        <v>1900</v>
      </c>
      <c r="C2180" s="593" t="s">
        <v>221</v>
      </c>
      <c r="D2180" s="619">
        <v>22764</v>
      </c>
      <c r="E2180" s="619">
        <v>2400</v>
      </c>
      <c r="F2180" s="619" t="s">
        <v>222</v>
      </c>
      <c r="G2180" s="619">
        <v>1626</v>
      </c>
      <c r="H2180" s="599">
        <v>5</v>
      </c>
      <c r="I2180" s="599">
        <v>6</v>
      </c>
      <c r="J2180" s="599">
        <v>94</v>
      </c>
      <c r="K2180" s="590" t="s">
        <v>30</v>
      </c>
      <c r="L2180" s="584">
        <f t="shared" si="301"/>
        <v>2407066</v>
      </c>
      <c r="M2180" s="596">
        <v>2350000</v>
      </c>
      <c r="N2180" s="597"/>
      <c r="O2180" s="631">
        <v>17266</v>
      </c>
      <c r="P2180" s="597"/>
      <c r="Q2180" s="586">
        <v>39800</v>
      </c>
      <c r="R2180" s="582">
        <f>M2180/J2180</f>
        <v>25000</v>
      </c>
      <c r="S2180" s="575">
        <f t="shared" si="299"/>
        <v>0</v>
      </c>
      <c r="T2180" s="1060"/>
      <c r="U2180" s="1061"/>
      <c r="V2180" s="589"/>
      <c r="W2180" s="799"/>
      <c r="X2180" s="799"/>
      <c r="Y2180" s="799"/>
      <c r="Z2180" s="799"/>
    </row>
    <row r="2181" spans="1:26" s="92" customFormat="1" hidden="1">
      <c r="A2181" s="667">
        <f t="shared" si="300"/>
        <v>58</v>
      </c>
      <c r="B2181" s="592" t="s">
        <v>1901</v>
      </c>
      <c r="C2181" s="593" t="s">
        <v>217</v>
      </c>
      <c r="D2181" s="619">
        <v>24557</v>
      </c>
      <c r="E2181" s="619">
        <v>2164</v>
      </c>
      <c r="F2181" s="619" t="s">
        <v>233</v>
      </c>
      <c r="G2181" s="619">
        <v>1662</v>
      </c>
      <c r="H2181" s="599">
        <v>5</v>
      </c>
      <c r="I2181" s="599">
        <v>6</v>
      </c>
      <c r="J2181" s="599">
        <v>136</v>
      </c>
      <c r="K2181" s="590" t="s">
        <v>33</v>
      </c>
      <c r="L2181" s="584">
        <f t="shared" si="301"/>
        <v>3699135</v>
      </c>
      <c r="M2181" s="585">
        <v>3656400</v>
      </c>
      <c r="N2181" s="586"/>
      <c r="O2181" s="631">
        <v>22835</v>
      </c>
      <c r="P2181" s="586"/>
      <c r="Q2181" s="586">
        <v>19900</v>
      </c>
      <c r="R2181" s="582">
        <f>M2181/G2181</f>
        <v>2200</v>
      </c>
      <c r="S2181" s="575">
        <f t="shared" si="299"/>
        <v>0</v>
      </c>
      <c r="T2181" s="1060"/>
      <c r="U2181" s="1061"/>
      <c r="V2181" s="589"/>
      <c r="W2181" s="799"/>
      <c r="X2181" s="799"/>
      <c r="Y2181" s="799"/>
      <c r="Z2181" s="799"/>
    </row>
    <row r="2182" spans="1:26" s="92" customFormat="1" ht="37.5" hidden="1">
      <c r="A2182" s="667">
        <f t="shared" si="300"/>
        <v>59</v>
      </c>
      <c r="B2182" s="592" t="s">
        <v>1902</v>
      </c>
      <c r="C2182" s="593" t="s">
        <v>221</v>
      </c>
      <c r="D2182" s="619">
        <v>35798</v>
      </c>
      <c r="E2182" s="619">
        <v>2606</v>
      </c>
      <c r="F2182" s="619" t="s">
        <v>222</v>
      </c>
      <c r="G2182" s="619">
        <v>2557</v>
      </c>
      <c r="H2182" s="599">
        <v>5</v>
      </c>
      <c r="I2182" s="599">
        <v>6</v>
      </c>
      <c r="J2182" s="599">
        <v>98</v>
      </c>
      <c r="K2182" s="590" t="s">
        <v>237</v>
      </c>
      <c r="L2182" s="584">
        <f t="shared" si="301"/>
        <v>2506922</v>
      </c>
      <c r="M2182" s="596">
        <v>2450000</v>
      </c>
      <c r="N2182" s="597"/>
      <c r="O2182" s="631">
        <v>17122</v>
      </c>
      <c r="P2182" s="597"/>
      <c r="Q2182" s="586">
        <v>39800</v>
      </c>
      <c r="R2182" s="582">
        <f>M2182/J2182</f>
        <v>25000</v>
      </c>
      <c r="S2182" s="575">
        <f t="shared" si="299"/>
        <v>0</v>
      </c>
      <c r="T2182" s="1060"/>
      <c r="U2182" s="1061"/>
      <c r="V2182" s="589"/>
      <c r="W2182" s="799"/>
      <c r="X2182" s="799"/>
      <c r="Y2182" s="799"/>
      <c r="Z2182" s="799"/>
    </row>
    <row r="2183" spans="1:26" s="92" customFormat="1" ht="37.5" hidden="1">
      <c r="A2183" s="667">
        <f t="shared" si="300"/>
        <v>60</v>
      </c>
      <c r="B2183" s="592" t="s">
        <v>1903</v>
      </c>
      <c r="C2183" s="593" t="s">
        <v>221</v>
      </c>
      <c r="D2183" s="619">
        <v>8010</v>
      </c>
      <c r="E2183" s="619">
        <v>1010</v>
      </c>
      <c r="F2183" s="619" t="s">
        <v>222</v>
      </c>
      <c r="G2183" s="619">
        <v>890</v>
      </c>
      <c r="H2183" s="599">
        <v>3</v>
      </c>
      <c r="I2183" s="599">
        <v>3</v>
      </c>
      <c r="J2183" s="599">
        <v>36</v>
      </c>
      <c r="K2183" s="590" t="s">
        <v>30</v>
      </c>
      <c r="L2183" s="584">
        <f t="shared" si="301"/>
        <v>939117.4</v>
      </c>
      <c r="M2183" s="596">
        <v>900000</v>
      </c>
      <c r="N2183" s="597"/>
      <c r="O2183" s="631">
        <v>11755</v>
      </c>
      <c r="P2183" s="597"/>
      <c r="Q2183" s="586">
        <v>27362.400000000001</v>
      </c>
      <c r="R2183" s="582">
        <f>M2183/J2183</f>
        <v>25000</v>
      </c>
      <c r="S2183" s="575">
        <f t="shared" si="299"/>
        <v>0</v>
      </c>
      <c r="T2183" s="1060"/>
      <c r="U2183" s="1061"/>
      <c r="V2183" s="589"/>
      <c r="W2183" s="799"/>
      <c r="X2183" s="799"/>
      <c r="Y2183" s="799"/>
      <c r="Z2183" s="799"/>
    </row>
    <row r="2184" spans="1:26" s="92" customFormat="1" hidden="1">
      <c r="A2184" s="667">
        <f t="shared" si="300"/>
        <v>61</v>
      </c>
      <c r="B2184" s="592" t="s">
        <v>1904</v>
      </c>
      <c r="C2184" s="593" t="s">
        <v>221</v>
      </c>
      <c r="D2184" s="619">
        <v>16400</v>
      </c>
      <c r="E2184" s="619">
        <v>1512</v>
      </c>
      <c r="F2184" s="619" t="s">
        <v>233</v>
      </c>
      <c r="G2184" s="619">
        <v>1339</v>
      </c>
      <c r="H2184" s="599">
        <v>9</v>
      </c>
      <c r="I2184" s="599">
        <v>1</v>
      </c>
      <c r="J2184" s="599">
        <v>48</v>
      </c>
      <c r="K2184" s="590" t="s">
        <v>33</v>
      </c>
      <c r="L2184" s="584">
        <f t="shared" si="301"/>
        <v>2991261</v>
      </c>
      <c r="M2184" s="585">
        <v>2945800</v>
      </c>
      <c r="N2184" s="586"/>
      <c r="O2184" s="631">
        <v>25561</v>
      </c>
      <c r="P2184" s="586"/>
      <c r="Q2184" s="586">
        <v>19900</v>
      </c>
      <c r="R2184" s="582">
        <f>M2184/G2184</f>
        <v>2200</v>
      </c>
      <c r="S2184" s="575">
        <f t="shared" si="299"/>
        <v>0</v>
      </c>
      <c r="T2184" s="1060"/>
      <c r="U2184" s="1061"/>
      <c r="V2184" s="589"/>
      <c r="W2184" s="799"/>
      <c r="X2184" s="799"/>
      <c r="Y2184" s="799"/>
      <c r="Z2184" s="799"/>
    </row>
    <row r="2185" spans="1:26" s="92" customFormat="1" hidden="1">
      <c r="A2185" s="667">
        <f t="shared" si="300"/>
        <v>62</v>
      </c>
      <c r="B2185" s="592" t="s">
        <v>1905</v>
      </c>
      <c r="C2185" s="593" t="s">
        <v>221</v>
      </c>
      <c r="D2185" s="619">
        <v>26202</v>
      </c>
      <c r="E2185" s="619">
        <v>3740</v>
      </c>
      <c r="F2185" s="619" t="s">
        <v>222</v>
      </c>
      <c r="G2185" s="619">
        <v>2433</v>
      </c>
      <c r="H2185" s="599">
        <v>5</v>
      </c>
      <c r="I2185" s="599">
        <v>8</v>
      </c>
      <c r="J2185" s="599">
        <v>112</v>
      </c>
      <c r="K2185" s="590" t="s">
        <v>224</v>
      </c>
      <c r="L2185" s="740">
        <f t="shared" si="301"/>
        <v>2526636.91</v>
      </c>
      <c r="M2185" s="741">
        <v>2464000</v>
      </c>
      <c r="N2185" s="753">
        <v>35661</v>
      </c>
      <c r="O2185" s="743"/>
      <c r="P2185" s="742"/>
      <c r="Q2185" s="586">
        <v>26975.91</v>
      </c>
      <c r="R2185" s="744">
        <f t="shared" ref="R2185:R2190" si="303">M2185/J2185</f>
        <v>22000</v>
      </c>
      <c r="S2185" s="575">
        <f t="shared" si="299"/>
        <v>1.4915713109076023E-10</v>
      </c>
      <c r="T2185" s="1060"/>
      <c r="U2185" s="1061"/>
      <c r="V2185" s="589"/>
      <c r="W2185" s="799"/>
      <c r="X2185" s="799"/>
      <c r="Y2185" s="799"/>
      <c r="Z2185" s="799"/>
    </row>
    <row r="2186" spans="1:26" s="92" customFormat="1" ht="37.5" hidden="1">
      <c r="A2186" s="667">
        <f t="shared" si="300"/>
        <v>63</v>
      </c>
      <c r="B2186" s="592" t="s">
        <v>1906</v>
      </c>
      <c r="C2186" s="593" t="s">
        <v>221</v>
      </c>
      <c r="D2186" s="619">
        <v>2340</v>
      </c>
      <c r="E2186" s="619">
        <v>340</v>
      </c>
      <c r="F2186" s="619" t="s">
        <v>222</v>
      </c>
      <c r="G2186" s="619">
        <v>513</v>
      </c>
      <c r="H2186" s="599">
        <v>2</v>
      </c>
      <c r="I2186" s="599">
        <v>1</v>
      </c>
      <c r="J2186" s="599">
        <v>12</v>
      </c>
      <c r="K2186" s="590" t="s">
        <v>237</v>
      </c>
      <c r="L2186" s="584">
        <f t="shared" si="301"/>
        <v>321701.46999999997</v>
      </c>
      <c r="M2186" s="596">
        <v>300000</v>
      </c>
      <c r="N2186" s="597"/>
      <c r="O2186" s="631">
        <v>10571</v>
      </c>
      <c r="P2186" s="597"/>
      <c r="Q2186" s="586">
        <v>11130.47</v>
      </c>
      <c r="R2186" s="582">
        <f t="shared" si="303"/>
        <v>25000</v>
      </c>
      <c r="S2186" s="575">
        <f t="shared" si="299"/>
        <v>-2.7284841053187847E-11</v>
      </c>
      <c r="T2186" s="1060"/>
      <c r="U2186" s="1061"/>
      <c r="V2186" s="589"/>
      <c r="W2186" s="799"/>
      <c r="X2186" s="799"/>
      <c r="Y2186" s="799"/>
      <c r="Z2186" s="799"/>
    </row>
    <row r="2187" spans="1:26" s="92" customFormat="1" ht="37.5" hidden="1">
      <c r="A2187" s="667">
        <f t="shared" si="300"/>
        <v>64</v>
      </c>
      <c r="B2187" s="592" t="s">
        <v>1907</v>
      </c>
      <c r="C2187" s="593" t="s">
        <v>221</v>
      </c>
      <c r="D2187" s="619">
        <v>13256</v>
      </c>
      <c r="E2187" s="619">
        <v>2128</v>
      </c>
      <c r="F2187" s="619" t="s">
        <v>222</v>
      </c>
      <c r="G2187" s="619">
        <v>1196</v>
      </c>
      <c r="H2187" s="599">
        <v>5</v>
      </c>
      <c r="I2187" s="599">
        <v>4</v>
      </c>
      <c r="J2187" s="599">
        <v>70</v>
      </c>
      <c r="K2187" s="590" t="s">
        <v>30</v>
      </c>
      <c r="L2187" s="584">
        <f t="shared" si="301"/>
        <v>1799190.94</v>
      </c>
      <c r="M2187" s="596">
        <v>1750000</v>
      </c>
      <c r="N2187" s="597"/>
      <c r="O2187" s="631">
        <v>14872</v>
      </c>
      <c r="P2187" s="597"/>
      <c r="Q2187" s="586">
        <v>34318.94</v>
      </c>
      <c r="R2187" s="582">
        <f t="shared" si="303"/>
        <v>25000</v>
      </c>
      <c r="S2187" s="575">
        <f t="shared" si="299"/>
        <v>-5.8207660913467407E-11</v>
      </c>
      <c r="T2187" s="1060"/>
      <c r="U2187" s="1061"/>
      <c r="V2187" s="589"/>
      <c r="W2187" s="799"/>
      <c r="X2187" s="799"/>
      <c r="Y2187" s="799"/>
      <c r="Z2187" s="799"/>
    </row>
    <row r="2188" spans="1:26" s="92" customFormat="1" ht="37.5" hidden="1">
      <c r="A2188" s="667">
        <f t="shared" si="300"/>
        <v>65</v>
      </c>
      <c r="B2188" s="592" t="s">
        <v>1908</v>
      </c>
      <c r="C2188" s="593" t="s">
        <v>221</v>
      </c>
      <c r="D2188" s="619">
        <v>16786</v>
      </c>
      <c r="E2188" s="619">
        <v>2136</v>
      </c>
      <c r="F2188" s="619" t="s">
        <v>222</v>
      </c>
      <c r="G2188" s="619">
        <v>1199</v>
      </c>
      <c r="H2188" s="599">
        <v>5</v>
      </c>
      <c r="I2188" s="599">
        <v>4</v>
      </c>
      <c r="J2188" s="599">
        <v>69</v>
      </c>
      <c r="K2188" s="590" t="s">
        <v>30</v>
      </c>
      <c r="L2188" s="584">
        <f t="shared" ref="L2188:L2192" si="304">M2188+N2188+O2188+P2188+Q2188</f>
        <v>1780036</v>
      </c>
      <c r="M2188" s="596">
        <v>1725000</v>
      </c>
      <c r="N2188" s="597"/>
      <c r="O2188" s="631">
        <v>15236</v>
      </c>
      <c r="P2188" s="597"/>
      <c r="Q2188" s="586">
        <v>39800</v>
      </c>
      <c r="R2188" s="582">
        <f t="shared" si="303"/>
        <v>25000</v>
      </c>
      <c r="S2188" s="575">
        <f t="shared" si="299"/>
        <v>0</v>
      </c>
      <c r="T2188" s="1060"/>
      <c r="U2188" s="1061"/>
      <c r="V2188" s="589"/>
      <c r="W2188" s="799"/>
      <c r="X2188" s="799"/>
      <c r="Y2188" s="799"/>
      <c r="Z2188" s="799"/>
    </row>
    <row r="2189" spans="1:26" s="92" customFormat="1" hidden="1">
      <c r="A2189" s="667">
        <f t="shared" si="300"/>
        <v>66</v>
      </c>
      <c r="B2189" s="592" t="s">
        <v>1909</v>
      </c>
      <c r="C2189" s="593" t="s">
        <v>221</v>
      </c>
      <c r="D2189" s="619">
        <v>13456</v>
      </c>
      <c r="E2189" s="619">
        <v>1700</v>
      </c>
      <c r="F2189" s="619" t="s">
        <v>222</v>
      </c>
      <c r="G2189" s="619">
        <v>897</v>
      </c>
      <c r="H2189" s="599">
        <v>5</v>
      </c>
      <c r="I2189" s="599">
        <v>3</v>
      </c>
      <c r="J2189" s="599">
        <v>60</v>
      </c>
      <c r="K2189" s="590" t="s">
        <v>224</v>
      </c>
      <c r="L2189" s="740">
        <f t="shared" si="304"/>
        <v>1362489.48</v>
      </c>
      <c r="M2189" s="741">
        <v>1320000</v>
      </c>
      <c r="N2189" s="753">
        <v>33396</v>
      </c>
      <c r="O2189" s="743"/>
      <c r="P2189" s="742"/>
      <c r="Q2189" s="586">
        <v>9093.48</v>
      </c>
      <c r="R2189" s="744">
        <f t="shared" si="303"/>
        <v>22000</v>
      </c>
      <c r="S2189" s="575">
        <f t="shared" si="299"/>
        <v>-1.8189894035458565E-11</v>
      </c>
      <c r="T2189" s="1060"/>
      <c r="U2189" s="1061"/>
      <c r="V2189" s="589"/>
      <c r="W2189" s="799"/>
      <c r="X2189" s="799"/>
      <c r="Y2189" s="799"/>
      <c r="Z2189" s="799"/>
    </row>
    <row r="2190" spans="1:26" s="92" customFormat="1" hidden="1">
      <c r="A2190" s="667">
        <f t="shared" si="300"/>
        <v>67</v>
      </c>
      <c r="B2190" s="592" t="s">
        <v>1910</v>
      </c>
      <c r="C2190" s="593" t="s">
        <v>221</v>
      </c>
      <c r="D2190" s="619">
        <v>14516</v>
      </c>
      <c r="E2190" s="619">
        <v>2638</v>
      </c>
      <c r="F2190" s="619" t="s">
        <v>222</v>
      </c>
      <c r="G2190" s="619">
        <v>1348</v>
      </c>
      <c r="H2190" s="599">
        <v>5</v>
      </c>
      <c r="I2190" s="599">
        <v>4</v>
      </c>
      <c r="J2190" s="599">
        <v>56</v>
      </c>
      <c r="K2190" s="735" t="s">
        <v>224</v>
      </c>
      <c r="L2190" s="740">
        <f t="shared" si="304"/>
        <v>1279609.3600000001</v>
      </c>
      <c r="M2190" s="741">
        <v>1232000</v>
      </c>
      <c r="N2190" s="753">
        <v>33796</v>
      </c>
      <c r="O2190" s="743"/>
      <c r="P2190" s="742"/>
      <c r="Q2190" s="586">
        <v>13813.36</v>
      </c>
      <c r="R2190" s="744">
        <f t="shared" si="303"/>
        <v>22000</v>
      </c>
      <c r="S2190" s="575">
        <f t="shared" si="299"/>
        <v>1.0186340659856796E-10</v>
      </c>
      <c r="T2190" s="1060"/>
      <c r="U2190" s="1061"/>
      <c r="V2190" s="589"/>
      <c r="W2190" s="799"/>
      <c r="X2190" s="799"/>
      <c r="Y2190" s="799"/>
      <c r="Z2190" s="799"/>
    </row>
    <row r="2191" spans="1:26" s="92" customFormat="1" hidden="1">
      <c r="A2191" s="667">
        <f t="shared" si="300"/>
        <v>68</v>
      </c>
      <c r="B2191" s="592" t="s">
        <v>4084</v>
      </c>
      <c r="C2191" s="593" t="s">
        <v>221</v>
      </c>
      <c r="D2191" s="619">
        <v>18178.560000000001</v>
      </c>
      <c r="E2191" s="619">
        <v>3531.6000000000004</v>
      </c>
      <c r="F2191" s="619" t="s">
        <v>227</v>
      </c>
      <c r="G2191" s="619">
        <v>673.28000000000009</v>
      </c>
      <c r="H2191" s="599">
        <v>9</v>
      </c>
      <c r="I2191" s="599">
        <v>2</v>
      </c>
      <c r="J2191" s="599">
        <v>72</v>
      </c>
      <c r="K2191" s="735" t="s">
        <v>33</v>
      </c>
      <c r="L2191" s="740">
        <f t="shared" si="304"/>
        <v>1729258.0000000002</v>
      </c>
      <c r="M2191" s="741">
        <v>1683200.0000000002</v>
      </c>
      <c r="N2191" s="742"/>
      <c r="O2191" s="743">
        <v>26058</v>
      </c>
      <c r="P2191" s="742"/>
      <c r="Q2191" s="586">
        <v>20000</v>
      </c>
      <c r="R2191" s="744">
        <f>M2191/G2191</f>
        <v>2500</v>
      </c>
      <c r="S2191" s="575"/>
      <c r="T2191" s="1060"/>
      <c r="U2191" s="1061"/>
      <c r="V2191" s="589"/>
      <c r="W2191" s="799"/>
      <c r="X2191" s="799"/>
      <c r="Y2191" s="799"/>
      <c r="Z2191" s="799"/>
    </row>
    <row r="2192" spans="1:26" s="92" customFormat="1" hidden="1">
      <c r="A2192" s="667">
        <f t="shared" si="300"/>
        <v>69</v>
      </c>
      <c r="B2192" s="592" t="s">
        <v>4085</v>
      </c>
      <c r="C2192" s="593" t="s">
        <v>221</v>
      </c>
      <c r="D2192" s="619">
        <v>13668</v>
      </c>
      <c r="E2192" s="619">
        <v>2418</v>
      </c>
      <c r="F2192" s="619" t="s">
        <v>222</v>
      </c>
      <c r="G2192" s="619">
        <v>1186.328</v>
      </c>
      <c r="H2192" s="599">
        <v>5</v>
      </c>
      <c r="I2192" s="599">
        <v>4</v>
      </c>
      <c r="J2192" s="599">
        <v>80</v>
      </c>
      <c r="K2192" s="735" t="s">
        <v>224</v>
      </c>
      <c r="L2192" s="740">
        <f t="shared" si="304"/>
        <v>1813476</v>
      </c>
      <c r="M2192" s="741">
        <v>1760000</v>
      </c>
      <c r="N2192" s="742">
        <v>33476</v>
      </c>
      <c r="O2192" s="743"/>
      <c r="P2192" s="742"/>
      <c r="Q2192" s="586">
        <v>20000</v>
      </c>
      <c r="R2192" s="744">
        <f>M2192/J2192</f>
        <v>22000</v>
      </c>
      <c r="S2192" s="575"/>
      <c r="T2192" s="1060"/>
      <c r="U2192" s="1061"/>
      <c r="V2192" s="589"/>
      <c r="W2192" s="799"/>
      <c r="X2192" s="799"/>
      <c r="Y2192" s="799"/>
      <c r="Z2192" s="799"/>
    </row>
    <row r="2193" spans="1:26" s="28" customFormat="1" hidden="1">
      <c r="A2193" s="1349" t="s">
        <v>39</v>
      </c>
      <c r="B2193" s="1349"/>
      <c r="C2193" s="646" t="s">
        <v>28</v>
      </c>
      <c r="D2193" s="646">
        <f>SUM(D2124:D2192)</f>
        <v>1333578.56</v>
      </c>
      <c r="E2193" s="646">
        <f>SUM(E2124:E2192)</f>
        <v>202535.7</v>
      </c>
      <c r="F2193" s="646" t="s">
        <v>28</v>
      </c>
      <c r="G2193" s="646">
        <f>SUM(G2124:G2192)</f>
        <v>83108.607999999993</v>
      </c>
      <c r="H2193" s="582" t="s">
        <v>28</v>
      </c>
      <c r="I2193" s="582" t="s">
        <v>28</v>
      </c>
      <c r="J2193" s="646">
        <f>SUM(J2124:J2192)</f>
        <v>5898</v>
      </c>
      <c r="K2193" s="588" t="s">
        <v>28</v>
      </c>
      <c r="L2193" s="585">
        <f t="shared" ref="L2193:Q2193" si="305">SUM(L2124:L2192)</f>
        <v>178750936.55000001</v>
      </c>
      <c r="M2193" s="585">
        <f t="shared" si="305"/>
        <v>174408000</v>
      </c>
      <c r="N2193" s="586">
        <f t="shared" si="305"/>
        <v>2477617</v>
      </c>
      <c r="O2193" s="587">
        <f t="shared" si="305"/>
        <v>684356</v>
      </c>
      <c r="P2193" s="646">
        <f t="shared" si="305"/>
        <v>0</v>
      </c>
      <c r="Q2193" s="646">
        <f t="shared" si="305"/>
        <v>1180963.55</v>
      </c>
      <c r="R2193" s="582" t="s">
        <v>28</v>
      </c>
      <c r="S2193" s="645">
        <f>L2193-M2193-N2193-O2193-P2193-Q2193</f>
        <v>1.1874362826347351E-8</v>
      </c>
      <c r="T2193" s="1069"/>
      <c r="U2193" s="1061"/>
      <c r="V2193" s="589"/>
      <c r="W2193" s="592"/>
      <c r="X2193" s="592"/>
      <c r="Y2193" s="592"/>
      <c r="Z2193" s="592"/>
    </row>
    <row r="2194" spans="1:26" s="28" customFormat="1" hidden="1">
      <c r="A2194" s="1347" t="s">
        <v>42</v>
      </c>
      <c r="B2194" s="1347"/>
      <c r="C2194" s="1347"/>
      <c r="D2194" s="1347"/>
      <c r="E2194" s="1347"/>
      <c r="F2194" s="1347"/>
      <c r="G2194" s="1347"/>
      <c r="H2194" s="1347"/>
      <c r="I2194" s="1347"/>
      <c r="J2194" s="1347"/>
      <c r="K2194" s="1347"/>
      <c r="L2194" s="1347"/>
      <c r="M2194" s="1347"/>
      <c r="N2194" s="1347"/>
      <c r="O2194" s="1347"/>
      <c r="P2194" s="1347"/>
      <c r="Q2194" s="1347"/>
      <c r="R2194" s="590"/>
      <c r="S2194" s="592"/>
      <c r="T2194" s="645"/>
      <c r="U2194" s="591"/>
      <c r="V2194" s="589"/>
      <c r="W2194" s="592"/>
      <c r="X2194" s="592"/>
      <c r="Y2194" s="592"/>
      <c r="Z2194" s="592"/>
    </row>
    <row r="2195" spans="1:26" s="90" customFormat="1" ht="75" hidden="1">
      <c r="A2195" s="590">
        <v>1</v>
      </c>
      <c r="B2195" s="592" t="s">
        <v>1911</v>
      </c>
      <c r="C2195" s="594" t="s">
        <v>217</v>
      </c>
      <c r="D2195" s="619">
        <f>E2195*3</f>
        <v>1764</v>
      </c>
      <c r="E2195" s="619">
        <v>588</v>
      </c>
      <c r="F2195" s="646" t="s">
        <v>222</v>
      </c>
      <c r="G2195" s="619">
        <v>660.4</v>
      </c>
      <c r="H2195" s="599">
        <v>2</v>
      </c>
      <c r="I2195" s="599">
        <v>2</v>
      </c>
      <c r="J2195" s="599">
        <v>16</v>
      </c>
      <c r="K2195" s="590" t="s">
        <v>242</v>
      </c>
      <c r="L2195" s="584">
        <f>M2195+N2195+O2195+P2195+Q2195</f>
        <v>1529068.81</v>
      </c>
      <c r="M2195" s="585">
        <v>1492689</v>
      </c>
      <c r="N2195" s="630">
        <v>27785</v>
      </c>
      <c r="O2195" s="587"/>
      <c r="P2195" s="586"/>
      <c r="Q2195" s="586">
        <v>8594.81</v>
      </c>
      <c r="R2195" s="582">
        <f>M2195/G2195</f>
        <v>2260.2801332525742</v>
      </c>
      <c r="S2195" s="575">
        <f>L2195-M2195-N2195-O2195-P2195-Q2195</f>
        <v>5.6388671509921551E-11</v>
      </c>
      <c r="T2195" s="748"/>
      <c r="U2195" s="737"/>
      <c r="V2195" s="589"/>
      <c r="W2195" s="748"/>
      <c r="X2195" s="748"/>
      <c r="Y2195" s="748"/>
      <c r="Z2195" s="748"/>
    </row>
    <row r="2196" spans="1:26" s="90" customFormat="1" ht="37.5" hidden="1">
      <c r="A2196" s="590">
        <v>2</v>
      </c>
      <c r="B2196" s="592" t="s">
        <v>1912</v>
      </c>
      <c r="C2196" s="593" t="s">
        <v>221</v>
      </c>
      <c r="D2196" s="619">
        <f>E2196*3</f>
        <v>1608</v>
      </c>
      <c r="E2196" s="646">
        <v>536</v>
      </c>
      <c r="F2196" s="646" t="s">
        <v>222</v>
      </c>
      <c r="G2196" s="646">
        <v>676</v>
      </c>
      <c r="H2196" s="582">
        <v>2</v>
      </c>
      <c r="I2196" s="582">
        <v>2</v>
      </c>
      <c r="J2196" s="582">
        <v>8</v>
      </c>
      <c r="K2196" s="590" t="s">
        <v>244</v>
      </c>
      <c r="L2196" s="584">
        <f>M2196+N2196+O2196+P2196+Q2196</f>
        <v>986869.73</v>
      </c>
      <c r="M2196" s="585">
        <v>964800</v>
      </c>
      <c r="N2196" s="586"/>
      <c r="O2196" s="631">
        <v>11867</v>
      </c>
      <c r="P2196" s="586"/>
      <c r="Q2196" s="586">
        <v>10202.73</v>
      </c>
      <c r="R2196" s="599">
        <f>M2196/E2196</f>
        <v>1800</v>
      </c>
      <c r="S2196" s="575">
        <f>L2196-M2196-N2196-O2196-P2196-Q2196</f>
        <v>-1.8189894035458565E-11</v>
      </c>
      <c r="T2196" s="748"/>
      <c r="U2196" s="737"/>
      <c r="V2196" s="589"/>
      <c r="W2196" s="748"/>
      <c r="X2196" s="748"/>
      <c r="Y2196" s="748"/>
      <c r="Z2196" s="748"/>
    </row>
    <row r="2197" spans="1:26" s="90" customFormat="1" ht="75" hidden="1">
      <c r="A2197" s="590">
        <v>3</v>
      </c>
      <c r="B2197" s="592" t="s">
        <v>1913</v>
      </c>
      <c r="C2197" s="593" t="s">
        <v>221</v>
      </c>
      <c r="D2197" s="619">
        <f>E2197*3</f>
        <v>1764</v>
      </c>
      <c r="E2197" s="619">
        <v>588</v>
      </c>
      <c r="F2197" s="646" t="s">
        <v>222</v>
      </c>
      <c r="G2197" s="646">
        <v>633</v>
      </c>
      <c r="H2197" s="582">
        <v>2</v>
      </c>
      <c r="I2197" s="582">
        <v>2</v>
      </c>
      <c r="J2197" s="582">
        <v>16</v>
      </c>
      <c r="K2197" s="590" t="s">
        <v>242</v>
      </c>
      <c r="L2197" s="584">
        <f>M2197+N2197+O2197+P2197+Q2197</f>
        <v>1479619.81</v>
      </c>
      <c r="M2197" s="585">
        <v>1443240</v>
      </c>
      <c r="N2197" s="630">
        <v>27785</v>
      </c>
      <c r="O2197" s="587"/>
      <c r="P2197" s="586"/>
      <c r="Q2197" s="586">
        <v>8594.81</v>
      </c>
      <c r="R2197" s="582">
        <f>M2197/G2197</f>
        <v>2280</v>
      </c>
      <c r="S2197" s="575">
        <f>L2197-M2197-N2197-O2197-P2197-Q2197</f>
        <v>5.6388671509921551E-11</v>
      </c>
      <c r="T2197" s="748"/>
      <c r="U2197" s="737"/>
      <c r="V2197" s="589"/>
      <c r="W2197" s="748"/>
      <c r="X2197" s="748"/>
      <c r="Y2197" s="748"/>
      <c r="Z2197" s="748"/>
    </row>
    <row r="2198" spans="1:26" s="90" customFormat="1" ht="75" hidden="1">
      <c r="A2198" s="590">
        <v>4</v>
      </c>
      <c r="B2198" s="592" t="s">
        <v>1914</v>
      </c>
      <c r="C2198" s="593" t="s">
        <v>221</v>
      </c>
      <c r="D2198" s="619">
        <f>E2198*3</f>
        <v>1728</v>
      </c>
      <c r="E2198" s="619">
        <v>576</v>
      </c>
      <c r="F2198" s="646" t="s">
        <v>222</v>
      </c>
      <c r="G2198" s="646">
        <v>608</v>
      </c>
      <c r="H2198" s="582">
        <v>2</v>
      </c>
      <c r="I2198" s="582">
        <v>2</v>
      </c>
      <c r="J2198" s="582">
        <v>12</v>
      </c>
      <c r="K2198" s="590" t="s">
        <v>242</v>
      </c>
      <c r="L2198" s="584">
        <f>M2198+N2198+O2198+P2198+Q2198</f>
        <v>1422350.69</v>
      </c>
      <c r="M2198" s="585">
        <v>1386240</v>
      </c>
      <c r="N2198" s="630">
        <v>27692</v>
      </c>
      <c r="O2198" s="587"/>
      <c r="P2198" s="586"/>
      <c r="Q2198" s="586">
        <v>8418.69</v>
      </c>
      <c r="R2198" s="582">
        <f>M2198/G2198</f>
        <v>2280</v>
      </c>
      <c r="S2198" s="575">
        <f>L2198-M2198-N2198-O2198-P2198-Q2198</f>
        <v>-5.6388671509921551E-11</v>
      </c>
      <c r="T2198" s="748"/>
      <c r="U2198" s="737"/>
      <c r="V2198" s="589"/>
      <c r="W2198" s="748"/>
      <c r="X2198" s="748"/>
      <c r="Y2198" s="748"/>
      <c r="Z2198" s="748"/>
    </row>
    <row r="2199" spans="1:26" s="437" customFormat="1" hidden="1">
      <c r="A2199" s="1367" t="s">
        <v>43</v>
      </c>
      <c r="B2199" s="1367"/>
      <c r="C2199" s="593" t="s">
        <v>28</v>
      </c>
      <c r="D2199" s="779">
        <f>SUM(D2195:D2198)</f>
        <v>6864</v>
      </c>
      <c r="E2199" s="779">
        <f>SUM(E2195:E2198)</f>
        <v>2288</v>
      </c>
      <c r="F2199" s="646" t="s">
        <v>28</v>
      </c>
      <c r="G2199" s="779">
        <f>SUM(G2195:G2198)</f>
        <v>2577.4</v>
      </c>
      <c r="H2199" s="582" t="s">
        <v>28</v>
      </c>
      <c r="I2199" s="582" t="s">
        <v>28</v>
      </c>
      <c r="J2199" s="780">
        <f>SUM(J2195:J2198)</f>
        <v>52</v>
      </c>
      <c r="K2199" s="590" t="s">
        <v>28</v>
      </c>
      <c r="L2199" s="781">
        <f>SUM(L2195:L2198)</f>
        <v>5417909.04</v>
      </c>
      <c r="M2199" s="782">
        <f>SUM(M2195:M2198)</f>
        <v>5286969</v>
      </c>
      <c r="N2199" s="783">
        <f>SUM(N2195:N2198)</f>
        <v>83262</v>
      </c>
      <c r="O2199" s="784">
        <f>SUM(O2195:O2198)</f>
        <v>11867</v>
      </c>
      <c r="P2199" s="783"/>
      <c r="Q2199" s="783">
        <f>SUM(Q2195:Q2198)</f>
        <v>35811.040000000001</v>
      </c>
      <c r="R2199" s="582" t="s">
        <v>28</v>
      </c>
      <c r="S2199" s="645">
        <f>L2199-M2199-N2199-O2199-P2199-Q2199</f>
        <v>0</v>
      </c>
      <c r="T2199" s="645"/>
      <c r="U2199" s="702"/>
      <c r="V2199" s="589"/>
      <c r="W2199" s="785"/>
      <c r="X2199" s="785"/>
      <c r="Y2199" s="785"/>
      <c r="Z2199" s="785"/>
    </row>
    <row r="2200" spans="1:26" s="28" customFormat="1" hidden="1">
      <c r="A2200" s="1347" t="s">
        <v>44</v>
      </c>
      <c r="B2200" s="1347"/>
      <c r="C2200" s="1347"/>
      <c r="D2200" s="1347"/>
      <c r="E2200" s="1347"/>
      <c r="F2200" s="1347"/>
      <c r="G2200" s="1347"/>
      <c r="H2200" s="1347"/>
      <c r="I2200" s="1347"/>
      <c r="J2200" s="1347"/>
      <c r="K2200" s="1347"/>
      <c r="L2200" s="1347"/>
      <c r="M2200" s="1347"/>
      <c r="N2200" s="1347"/>
      <c r="O2200" s="1347"/>
      <c r="P2200" s="1347"/>
      <c r="Q2200" s="1347"/>
      <c r="R2200" s="590"/>
      <c r="S2200" s="592"/>
      <c r="T2200" s="645"/>
      <c r="U2200" s="591"/>
      <c r="V2200" s="589"/>
      <c r="W2200" s="592"/>
      <c r="X2200" s="592"/>
      <c r="Y2200" s="592"/>
      <c r="Z2200" s="592"/>
    </row>
    <row r="2201" spans="1:26" s="28" customFormat="1" hidden="1">
      <c r="A2201" s="590">
        <v>1</v>
      </c>
      <c r="B2201" s="592" t="s">
        <v>1915</v>
      </c>
      <c r="C2201" s="593" t="s">
        <v>221</v>
      </c>
      <c r="D2201" s="646">
        <v>1038</v>
      </c>
      <c r="E2201" s="646">
        <v>435.72</v>
      </c>
      <c r="F2201" s="646" t="s">
        <v>222</v>
      </c>
      <c r="G2201" s="646">
        <v>671</v>
      </c>
      <c r="H2201" s="582">
        <v>2</v>
      </c>
      <c r="I2201" s="582">
        <v>2</v>
      </c>
      <c r="J2201" s="582">
        <v>11</v>
      </c>
      <c r="K2201" s="590" t="s">
        <v>33</v>
      </c>
      <c r="L2201" s="595">
        <f>M2201+N2201+O2201+P2201+Q2201</f>
        <v>688118.59</v>
      </c>
      <c r="M2201" s="585">
        <v>656486</v>
      </c>
      <c r="N2201" s="630">
        <v>26575</v>
      </c>
      <c r="O2201" s="587"/>
      <c r="P2201" s="586"/>
      <c r="Q2201" s="586">
        <v>5057.59</v>
      </c>
      <c r="R2201" s="582">
        <f>M2201/G2201</f>
        <v>978.36959761549929</v>
      </c>
      <c r="S2201" s="575">
        <f>L2201-M2201-N2201-O2201-P2201-Q2201</f>
        <v>-3.2741809263825417E-11</v>
      </c>
      <c r="T2201" s="645"/>
      <c r="U2201" s="591"/>
      <c r="V2201" s="589"/>
      <c r="W2201" s="592"/>
      <c r="X2201" s="592"/>
      <c r="Y2201" s="592"/>
      <c r="Z2201" s="592"/>
    </row>
    <row r="2202" spans="1:26" s="28" customFormat="1" hidden="1">
      <c r="A2202" s="1349" t="s">
        <v>118</v>
      </c>
      <c r="B2202" s="1349"/>
      <c r="C2202" s="593" t="s">
        <v>28</v>
      </c>
      <c r="D2202" s="646">
        <f>SUM(D2201:D2201)</f>
        <v>1038</v>
      </c>
      <c r="E2202" s="646">
        <f>SUM(E2201:E2201)</f>
        <v>435.72</v>
      </c>
      <c r="F2202" s="646" t="s">
        <v>28</v>
      </c>
      <c r="G2202" s="646">
        <f>SUM(G2201:G2201)</f>
        <v>671</v>
      </c>
      <c r="H2202" s="582" t="s">
        <v>28</v>
      </c>
      <c r="I2202" s="582" t="s">
        <v>28</v>
      </c>
      <c r="J2202" s="582">
        <f>SUM(J2201:J2201)</f>
        <v>11</v>
      </c>
      <c r="K2202" s="590" t="s">
        <v>28</v>
      </c>
      <c r="L2202" s="584">
        <f>SUM(L2201:L2201)</f>
        <v>688118.59</v>
      </c>
      <c r="M2202" s="585">
        <f>SUM(M2201:M2201)</f>
        <v>656486</v>
      </c>
      <c r="N2202" s="586">
        <f>SUM(N2201:N2201)</f>
        <v>26575</v>
      </c>
      <c r="O2202" s="587"/>
      <c r="P2202" s="586"/>
      <c r="Q2202" s="586">
        <f>SUM(Q2201:Q2201)</f>
        <v>5057.59</v>
      </c>
      <c r="R2202" s="582" t="s">
        <v>28</v>
      </c>
      <c r="S2202" s="645">
        <f>L2202-M2202-N2202-O2202-P2202-Q2202</f>
        <v>-3.2741809263825417E-11</v>
      </c>
      <c r="T2202" s="645"/>
      <c r="U2202" s="591"/>
      <c r="V2202" s="589"/>
      <c r="W2202" s="592"/>
      <c r="X2202" s="592"/>
      <c r="Y2202" s="592"/>
      <c r="Z2202" s="592"/>
    </row>
    <row r="2203" spans="1:26" s="28" customFormat="1" hidden="1">
      <c r="A2203" s="1347" t="s">
        <v>45</v>
      </c>
      <c r="B2203" s="1347"/>
      <c r="C2203" s="1347"/>
      <c r="D2203" s="1347"/>
      <c r="E2203" s="1347"/>
      <c r="F2203" s="1347"/>
      <c r="G2203" s="1347"/>
      <c r="H2203" s="1347"/>
      <c r="I2203" s="1347"/>
      <c r="J2203" s="1347"/>
      <c r="K2203" s="1347"/>
      <c r="L2203" s="1347"/>
      <c r="M2203" s="1347"/>
      <c r="N2203" s="1347"/>
      <c r="O2203" s="1347"/>
      <c r="P2203" s="1347"/>
      <c r="Q2203" s="1347"/>
      <c r="R2203" s="590"/>
      <c r="S2203" s="592"/>
      <c r="T2203" s="645"/>
      <c r="U2203" s="591"/>
      <c r="V2203" s="589"/>
      <c r="W2203" s="592"/>
      <c r="X2203" s="592"/>
      <c r="Y2203" s="592"/>
      <c r="Z2203" s="592"/>
    </row>
    <row r="2204" spans="1:26" s="89" customFormat="1" hidden="1">
      <c r="A2204" s="590">
        <v>1</v>
      </c>
      <c r="B2204" s="1349" t="s">
        <v>3933</v>
      </c>
      <c r="C2204" s="593" t="s">
        <v>221</v>
      </c>
      <c r="D2204" s="646">
        <v>945</v>
      </c>
      <c r="E2204" s="646">
        <v>270</v>
      </c>
      <c r="F2204" s="646" t="s">
        <v>222</v>
      </c>
      <c r="G2204" s="646">
        <v>157.95000000000002</v>
      </c>
      <c r="H2204" s="582">
        <v>2</v>
      </c>
      <c r="I2204" s="582">
        <v>2</v>
      </c>
      <c r="J2204" s="582">
        <v>8</v>
      </c>
      <c r="K2204" s="1055" t="s">
        <v>259</v>
      </c>
      <c r="L2204" s="1357">
        <f>M2204+N2204+O2204+P2204+Q2204+M2205+N2205+O2205+Q2205</f>
        <v>1479968</v>
      </c>
      <c r="M2204" s="745">
        <v>945000</v>
      </c>
      <c r="N2204" s="747">
        <v>24614</v>
      </c>
      <c r="O2204" s="743"/>
      <c r="P2204" s="747"/>
      <c r="Q2204" s="586">
        <v>3214</v>
      </c>
      <c r="R2204" s="582">
        <f>M2204/G2204</f>
        <v>5982.9059829059825</v>
      </c>
      <c r="S2204" s="575">
        <f>L2204-M2204-N2204-O2204-P2204-Q2204</f>
        <v>507140</v>
      </c>
      <c r="T2204" s="645"/>
      <c r="U2204" s="591"/>
      <c r="V2204" s="589"/>
      <c r="W2204" s="592"/>
      <c r="X2204" s="592"/>
      <c r="Y2204" s="592"/>
      <c r="Z2204" s="592"/>
    </row>
    <row r="2205" spans="1:26" s="89" customFormat="1" hidden="1">
      <c r="A2205" s="590"/>
      <c r="B2205" s="1349"/>
      <c r="C2205" s="593"/>
      <c r="D2205" s="646"/>
      <c r="E2205" s="646"/>
      <c r="F2205" s="646"/>
      <c r="G2205" s="646"/>
      <c r="H2205" s="582"/>
      <c r="I2205" s="582"/>
      <c r="J2205" s="582"/>
      <c r="K2205" s="1055" t="s">
        <v>238</v>
      </c>
      <c r="L2205" s="1357"/>
      <c r="M2205" s="596">
        <v>480000</v>
      </c>
      <c r="N2205" s="586">
        <v>22945</v>
      </c>
      <c r="O2205" s="598"/>
      <c r="P2205" s="597"/>
      <c r="Q2205" s="586">
        <v>4195</v>
      </c>
      <c r="R2205" s="582">
        <f>M2205/J2204</f>
        <v>60000</v>
      </c>
      <c r="S2205" s="575">
        <f>L2205-M2205-N2205-O2205-P2205-Q2205</f>
        <v>-507140</v>
      </c>
      <c r="T2205" s="645"/>
      <c r="U2205" s="591"/>
      <c r="V2205" s="589"/>
      <c r="W2205" s="592"/>
      <c r="X2205" s="592"/>
      <c r="Y2205" s="592"/>
      <c r="Z2205" s="592"/>
    </row>
    <row r="2206" spans="1:26" s="28" customFormat="1" hidden="1">
      <c r="A2206" s="1349" t="s">
        <v>47</v>
      </c>
      <c r="B2206" s="1349"/>
      <c r="C2206" s="786" t="s">
        <v>28</v>
      </c>
      <c r="D2206" s="646">
        <f>SUM(D2204:D2205)</f>
        <v>945</v>
      </c>
      <c r="E2206" s="646">
        <f>SUM(E2204:E2205)</f>
        <v>270</v>
      </c>
      <c r="F2206" s="646" t="s">
        <v>28</v>
      </c>
      <c r="G2206" s="646">
        <f>SUM(G2204:G2205)</f>
        <v>157.95000000000002</v>
      </c>
      <c r="H2206" s="582" t="s">
        <v>28</v>
      </c>
      <c r="I2206" s="582" t="s">
        <v>28</v>
      </c>
      <c r="J2206" s="582">
        <f>SUM(J2204:J2205)</f>
        <v>8</v>
      </c>
      <c r="K2206" s="787" t="s">
        <v>28</v>
      </c>
      <c r="L2206" s="584">
        <f>SUM(L2204:L2205)</f>
        <v>1479968</v>
      </c>
      <c r="M2206" s="585">
        <f>SUM(M2204:M2205)</f>
        <v>1425000</v>
      </c>
      <c r="N2206" s="586">
        <f>SUM(N2204:N2205)</f>
        <v>47559</v>
      </c>
      <c r="O2206" s="587"/>
      <c r="P2206" s="586"/>
      <c r="Q2206" s="586">
        <f>SUM(Q2204:Q2205)</f>
        <v>7409</v>
      </c>
      <c r="R2206" s="582" t="s">
        <v>28</v>
      </c>
      <c r="S2206" s="645">
        <f>L2206-M2206-N2206-O2206-P2206-Q2206</f>
        <v>0</v>
      </c>
      <c r="T2206" s="645"/>
      <c r="U2206" s="591"/>
      <c r="V2206" s="589"/>
      <c r="W2206" s="592"/>
      <c r="X2206" s="592"/>
      <c r="Y2206" s="592"/>
      <c r="Z2206" s="592"/>
    </row>
    <row r="2207" spans="1:26" s="28" customFormat="1" hidden="1">
      <c r="A2207" s="1347" t="s">
        <v>48</v>
      </c>
      <c r="B2207" s="1347"/>
      <c r="C2207" s="1347"/>
      <c r="D2207" s="1347"/>
      <c r="E2207" s="1347"/>
      <c r="F2207" s="1347"/>
      <c r="G2207" s="1347"/>
      <c r="H2207" s="1347"/>
      <c r="I2207" s="1347"/>
      <c r="J2207" s="1347"/>
      <c r="K2207" s="1347"/>
      <c r="L2207" s="1347"/>
      <c r="M2207" s="1347"/>
      <c r="N2207" s="1347"/>
      <c r="O2207" s="1347"/>
      <c r="P2207" s="1347"/>
      <c r="Q2207" s="1347"/>
      <c r="R2207" s="590"/>
      <c r="S2207" s="592"/>
      <c r="T2207" s="645"/>
      <c r="U2207" s="591"/>
      <c r="V2207" s="589"/>
      <c r="W2207" s="592"/>
      <c r="X2207" s="592"/>
      <c r="Y2207" s="592"/>
      <c r="Z2207" s="592"/>
    </row>
    <row r="2208" spans="1:26" s="28" customFormat="1" ht="37.5" hidden="1">
      <c r="A2208" s="590">
        <v>1</v>
      </c>
      <c r="B2208" s="592" t="s">
        <v>1916</v>
      </c>
      <c r="C2208" s="593" t="s">
        <v>221</v>
      </c>
      <c r="D2208" s="646">
        <v>3544</v>
      </c>
      <c r="E2208" s="646">
        <v>708.8</v>
      </c>
      <c r="F2208" s="646" t="s">
        <v>230</v>
      </c>
      <c r="G2208" s="646">
        <v>611</v>
      </c>
      <c r="H2208" s="582">
        <v>2</v>
      </c>
      <c r="I2208" s="582">
        <v>2</v>
      </c>
      <c r="J2208" s="582">
        <v>39</v>
      </c>
      <c r="K2208" s="590" t="s">
        <v>30</v>
      </c>
      <c r="L2208" s="584">
        <f>M2208+N2208+O2208+Q2208</f>
        <v>605633.06999999995</v>
      </c>
      <c r="M2208" s="585">
        <v>583540</v>
      </c>
      <c r="N2208" s="586"/>
      <c r="O2208" s="631">
        <v>10963</v>
      </c>
      <c r="P2208" s="586"/>
      <c r="Q2208" s="597">
        <v>11130.07</v>
      </c>
      <c r="R2208" s="582">
        <f>M2208/J2208</f>
        <v>14962.564102564103</v>
      </c>
      <c r="S2208" s="575">
        <f>L2208-M2208-N2208-O2208-P2208-Q2208</f>
        <v>-5.0931703299283981E-11</v>
      </c>
      <c r="T2208" s="645"/>
      <c r="U2208" s="591"/>
      <c r="V2208" s="589"/>
      <c r="W2208" s="592"/>
      <c r="X2208" s="592"/>
      <c r="Y2208" s="592"/>
      <c r="Z2208" s="592"/>
    </row>
    <row r="2209" spans="1:26" s="28" customFormat="1" hidden="1">
      <c r="A2209" s="1349" t="s">
        <v>119</v>
      </c>
      <c r="B2209" s="1349"/>
      <c r="C2209" s="786" t="s">
        <v>28</v>
      </c>
      <c r="D2209" s="646">
        <f>SUM(D2208)</f>
        <v>3544</v>
      </c>
      <c r="E2209" s="646">
        <f>SUM(E2208)</f>
        <v>708.8</v>
      </c>
      <c r="F2209" s="646" t="s">
        <v>28</v>
      </c>
      <c r="G2209" s="646">
        <f>SUM(G2208)</f>
        <v>611</v>
      </c>
      <c r="H2209" s="582" t="s">
        <v>28</v>
      </c>
      <c r="I2209" s="582" t="s">
        <v>28</v>
      </c>
      <c r="J2209" s="582">
        <f>SUM(J2208)</f>
        <v>39</v>
      </c>
      <c r="K2209" s="787" t="s">
        <v>28</v>
      </c>
      <c r="L2209" s="584">
        <f>SUM(L2208)</f>
        <v>605633.06999999995</v>
      </c>
      <c r="M2209" s="585">
        <f>SUM(M2208)</f>
        <v>583540</v>
      </c>
      <c r="N2209" s="586"/>
      <c r="O2209" s="587">
        <f>SUM(O2208)</f>
        <v>10963</v>
      </c>
      <c r="P2209" s="586"/>
      <c r="Q2209" s="586">
        <f>SUM(Q2208)</f>
        <v>11130.07</v>
      </c>
      <c r="R2209" s="582" t="s">
        <v>28</v>
      </c>
      <c r="S2209" s="645">
        <f>L2209-M2209-N2209-O2209-P2209-Q2209</f>
        <v>-5.0931703299283981E-11</v>
      </c>
      <c r="T2209" s="645"/>
      <c r="U2209" s="591"/>
      <c r="V2209" s="589"/>
      <c r="W2209" s="592"/>
      <c r="X2209" s="592"/>
      <c r="Y2209" s="592"/>
      <c r="Z2209" s="592"/>
    </row>
    <row r="2210" spans="1:26" s="28" customFormat="1" hidden="1">
      <c r="A2210" s="1347" t="s">
        <v>49</v>
      </c>
      <c r="B2210" s="1347"/>
      <c r="C2210" s="1347"/>
      <c r="D2210" s="1347"/>
      <c r="E2210" s="1347"/>
      <c r="F2210" s="1347"/>
      <c r="G2210" s="1347"/>
      <c r="H2210" s="1347"/>
      <c r="I2210" s="1347"/>
      <c r="J2210" s="1347"/>
      <c r="K2210" s="1347"/>
      <c r="L2210" s="1347"/>
      <c r="M2210" s="1347"/>
      <c r="N2210" s="1347"/>
      <c r="O2210" s="1347"/>
      <c r="P2210" s="1347"/>
      <c r="Q2210" s="1347"/>
      <c r="R2210" s="590"/>
      <c r="S2210" s="592"/>
      <c r="T2210" s="645"/>
      <c r="U2210" s="591"/>
      <c r="V2210" s="589"/>
      <c r="W2210" s="592"/>
      <c r="X2210" s="592"/>
      <c r="Y2210" s="592"/>
      <c r="Z2210" s="592"/>
    </row>
    <row r="2211" spans="1:26" s="246" customFormat="1" ht="56.25" hidden="1">
      <c r="A2211" s="679">
        <v>1</v>
      </c>
      <c r="B2211" s="592" t="s">
        <v>1917</v>
      </c>
      <c r="C2211" s="593" t="s">
        <v>221</v>
      </c>
      <c r="D2211" s="789">
        <v>9100</v>
      </c>
      <c r="E2211" s="789">
        <v>3085.6</v>
      </c>
      <c r="F2211" s="593" t="s">
        <v>222</v>
      </c>
      <c r="G2211" s="1070">
        <v>2257</v>
      </c>
      <c r="H2211" s="582">
        <v>5</v>
      </c>
      <c r="I2211" s="582">
        <v>6</v>
      </c>
      <c r="J2211" s="744">
        <v>105</v>
      </c>
      <c r="K2211" s="590" t="s">
        <v>248</v>
      </c>
      <c r="L2211" s="584">
        <f t="shared" ref="L2211:L2242" si="306">M2211+N2211+O2211+Q2211</f>
        <v>6440234.2699999996</v>
      </c>
      <c r="M2211" s="623">
        <v>6386000</v>
      </c>
      <c r="N2211" s="630">
        <v>26178</v>
      </c>
      <c r="O2211" s="587"/>
      <c r="P2211" s="586"/>
      <c r="Q2211" s="586">
        <v>28056.27</v>
      </c>
      <c r="R2211" s="582">
        <f>M2211/G2211</f>
        <v>2829.4195835179444</v>
      </c>
      <c r="S2211" s="575">
        <f t="shared" ref="S2211:S2238" si="307">L2211-M2211-N2211-O2211-P2211-Q2211</f>
        <v>-4.4747139327228069E-10</v>
      </c>
      <c r="T2211" s="581"/>
      <c r="U2211" s="557"/>
      <c r="V2211" s="589"/>
      <c r="W2211" s="591"/>
      <c r="X2211" s="591"/>
      <c r="Y2211" s="591"/>
      <c r="Z2211" s="591"/>
    </row>
    <row r="2212" spans="1:26" s="246" customFormat="1" hidden="1">
      <c r="A2212" s="679">
        <f t="shared" ref="A2212:A2242" si="308">A2211+1</f>
        <v>2</v>
      </c>
      <c r="B2212" s="592" t="s">
        <v>1918</v>
      </c>
      <c r="C2212" s="593" t="s">
        <v>221</v>
      </c>
      <c r="D2212" s="789">
        <v>2899</v>
      </c>
      <c r="E2212" s="789">
        <v>809</v>
      </c>
      <c r="F2212" s="593" t="s">
        <v>222</v>
      </c>
      <c r="G2212" s="789">
        <v>595</v>
      </c>
      <c r="H2212" s="582">
        <v>2</v>
      </c>
      <c r="I2212" s="582">
        <v>2</v>
      </c>
      <c r="J2212" s="744">
        <v>12</v>
      </c>
      <c r="K2212" s="794" t="s">
        <v>224</v>
      </c>
      <c r="L2212" s="584">
        <f t="shared" si="306"/>
        <v>288853.15000000002</v>
      </c>
      <c r="M2212" s="585">
        <v>264000</v>
      </c>
      <c r="N2212" s="630">
        <v>22462</v>
      </c>
      <c r="O2212" s="587"/>
      <c r="P2212" s="586"/>
      <c r="Q2212" s="586">
        <v>2391.15</v>
      </c>
      <c r="R2212" s="582">
        <f>M2212/J2212</f>
        <v>22000</v>
      </c>
      <c r="S2212" s="575">
        <f t="shared" si="307"/>
        <v>2.319211489520967E-11</v>
      </c>
      <c r="T2212" s="581"/>
      <c r="U2212" s="557"/>
      <c r="V2212" s="589"/>
      <c r="W2212" s="591"/>
      <c r="X2212" s="591"/>
      <c r="Y2212" s="591"/>
      <c r="Z2212" s="591"/>
    </row>
    <row r="2213" spans="1:26" s="246" customFormat="1" ht="56.25" hidden="1">
      <c r="A2213" s="679">
        <f t="shared" si="308"/>
        <v>3</v>
      </c>
      <c r="B2213" s="616" t="s">
        <v>1919</v>
      </c>
      <c r="C2213" s="796" t="s">
        <v>221</v>
      </c>
      <c r="D2213" s="646">
        <v>6143</v>
      </c>
      <c r="E2213" s="646">
        <v>694</v>
      </c>
      <c r="F2213" s="593" t="s">
        <v>223</v>
      </c>
      <c r="G2213" s="646">
        <v>626</v>
      </c>
      <c r="H2213" s="582">
        <v>3</v>
      </c>
      <c r="I2213" s="582">
        <v>2</v>
      </c>
      <c r="J2213" s="582">
        <v>20</v>
      </c>
      <c r="K2213" s="792" t="s">
        <v>250</v>
      </c>
      <c r="L2213" s="584">
        <f t="shared" si="306"/>
        <v>2552191</v>
      </c>
      <c r="M2213" s="585">
        <v>2504000</v>
      </c>
      <c r="N2213" s="630">
        <v>29252</v>
      </c>
      <c r="O2213" s="587"/>
      <c r="P2213" s="586"/>
      <c r="Q2213" s="586">
        <v>18939</v>
      </c>
      <c r="R2213" s="582">
        <f t="shared" ref="R2213:R2223" si="309">M2213/G2213</f>
        <v>4000</v>
      </c>
      <c r="S2213" s="575">
        <f t="shared" si="307"/>
        <v>0</v>
      </c>
      <c r="T2213" s="581"/>
      <c r="U2213" s="557"/>
      <c r="V2213" s="589"/>
      <c r="W2213" s="591"/>
      <c r="X2213" s="591"/>
      <c r="Y2213" s="591"/>
      <c r="Z2213" s="591"/>
    </row>
    <row r="2214" spans="1:26" s="28" customFormat="1" ht="56.25" hidden="1">
      <c r="A2214" s="679">
        <f t="shared" si="308"/>
        <v>4</v>
      </c>
      <c r="B2214" s="616" t="s">
        <v>1920</v>
      </c>
      <c r="C2214" s="593" t="s">
        <v>221</v>
      </c>
      <c r="D2214" s="789">
        <v>11986</v>
      </c>
      <c r="E2214" s="789">
        <v>2542</v>
      </c>
      <c r="F2214" s="593" t="s">
        <v>222</v>
      </c>
      <c r="G2214" s="789">
        <v>1141</v>
      </c>
      <c r="H2214" s="582">
        <v>4</v>
      </c>
      <c r="I2214" s="582">
        <v>4</v>
      </c>
      <c r="J2214" s="744">
        <v>53</v>
      </c>
      <c r="K2214" s="590" t="s">
        <v>248</v>
      </c>
      <c r="L2214" s="584">
        <f t="shared" si="306"/>
        <v>3716049.12</v>
      </c>
      <c r="M2214" s="585">
        <v>3651200</v>
      </c>
      <c r="N2214" s="630">
        <v>27895</v>
      </c>
      <c r="O2214" s="587"/>
      <c r="P2214" s="586"/>
      <c r="Q2214" s="586">
        <v>36954.120000000003</v>
      </c>
      <c r="R2214" s="582">
        <f t="shared" si="309"/>
        <v>3200</v>
      </c>
      <c r="S2214" s="575">
        <f t="shared" si="307"/>
        <v>1.0913936421275139E-10</v>
      </c>
      <c r="T2214" s="592"/>
      <c r="U2214" s="557"/>
      <c r="V2214" s="589"/>
      <c r="W2214" s="592"/>
      <c r="X2214" s="592"/>
      <c r="Y2214" s="592"/>
      <c r="Z2214" s="592"/>
    </row>
    <row r="2215" spans="1:26" s="246" customFormat="1" ht="56.25" hidden="1">
      <c r="A2215" s="679">
        <f t="shared" si="308"/>
        <v>5</v>
      </c>
      <c r="B2215" s="616" t="s">
        <v>1921</v>
      </c>
      <c r="C2215" s="796" t="s">
        <v>221</v>
      </c>
      <c r="D2215" s="646">
        <v>14780</v>
      </c>
      <c r="E2215" s="646">
        <v>2414.1999999999998</v>
      </c>
      <c r="F2215" s="593" t="s">
        <v>223</v>
      </c>
      <c r="G2215" s="646">
        <v>907.8</v>
      </c>
      <c r="H2215" s="582">
        <v>5</v>
      </c>
      <c r="I2215" s="582">
        <v>4</v>
      </c>
      <c r="J2215" s="582">
        <v>70</v>
      </c>
      <c r="K2215" s="792" t="s">
        <v>250</v>
      </c>
      <c r="L2215" s="584">
        <f t="shared" si="306"/>
        <v>3679985</v>
      </c>
      <c r="M2215" s="585">
        <v>3631200</v>
      </c>
      <c r="N2215" s="630">
        <v>28885</v>
      </c>
      <c r="O2215" s="587"/>
      <c r="P2215" s="586"/>
      <c r="Q2215" s="586">
        <v>19900</v>
      </c>
      <c r="R2215" s="582">
        <f t="shared" si="309"/>
        <v>4000</v>
      </c>
      <c r="S2215" s="575">
        <f t="shared" si="307"/>
        <v>0</v>
      </c>
      <c r="T2215" s="581"/>
      <c r="U2215" s="557"/>
      <c r="V2215" s="589"/>
      <c r="W2215" s="591"/>
      <c r="X2215" s="591"/>
      <c r="Y2215" s="591"/>
      <c r="Z2215" s="591"/>
    </row>
    <row r="2216" spans="1:26" s="246" customFormat="1" ht="56.25" hidden="1">
      <c r="A2216" s="679">
        <f t="shared" si="308"/>
        <v>6</v>
      </c>
      <c r="B2216" s="616" t="s">
        <v>1922</v>
      </c>
      <c r="C2216" s="796" t="s">
        <v>221</v>
      </c>
      <c r="D2216" s="646">
        <v>5782</v>
      </c>
      <c r="E2216" s="646">
        <v>1203.7</v>
      </c>
      <c r="F2216" s="593" t="s">
        <v>222</v>
      </c>
      <c r="G2216" s="646">
        <v>950</v>
      </c>
      <c r="H2216" s="582">
        <v>3</v>
      </c>
      <c r="I2216" s="582">
        <v>3</v>
      </c>
      <c r="J2216" s="582">
        <v>36</v>
      </c>
      <c r="K2216" s="590" t="s">
        <v>248</v>
      </c>
      <c r="L2216" s="584">
        <f t="shared" si="306"/>
        <v>2897179.53</v>
      </c>
      <c r="M2216" s="585">
        <v>2850000</v>
      </c>
      <c r="N2216" s="630">
        <v>29353</v>
      </c>
      <c r="O2216" s="587"/>
      <c r="P2216" s="586"/>
      <c r="Q2216" s="586">
        <v>17826.53</v>
      </c>
      <c r="R2216" s="582">
        <f t="shared" si="309"/>
        <v>3000</v>
      </c>
      <c r="S2216" s="575">
        <f t="shared" si="307"/>
        <v>-2.0372681319713593E-10</v>
      </c>
      <c r="T2216" s="581"/>
      <c r="U2216" s="557"/>
      <c r="V2216" s="589"/>
      <c r="W2216" s="591"/>
      <c r="X2216" s="591"/>
      <c r="Y2216" s="591"/>
      <c r="Z2216" s="591"/>
    </row>
    <row r="2217" spans="1:26" s="246" customFormat="1" ht="56.25" hidden="1">
      <c r="A2217" s="679">
        <f t="shared" si="308"/>
        <v>7</v>
      </c>
      <c r="B2217" s="592" t="s">
        <v>1923</v>
      </c>
      <c r="C2217" s="796" t="s">
        <v>221</v>
      </c>
      <c r="D2217" s="789">
        <v>15747</v>
      </c>
      <c r="E2217" s="789">
        <v>2619</v>
      </c>
      <c r="F2217" s="744" t="s">
        <v>266</v>
      </c>
      <c r="G2217" s="789">
        <v>1265.4000000000001</v>
      </c>
      <c r="H2217" s="582">
        <v>5</v>
      </c>
      <c r="I2217" s="582">
        <v>4</v>
      </c>
      <c r="J2217" s="744">
        <v>70</v>
      </c>
      <c r="K2217" s="590" t="s">
        <v>248</v>
      </c>
      <c r="L2217" s="584">
        <f t="shared" si="306"/>
        <v>4118426.0000000005</v>
      </c>
      <c r="M2217" s="585">
        <v>4049280.0000000005</v>
      </c>
      <c r="N2217" s="630">
        <v>29346</v>
      </c>
      <c r="O2217" s="587"/>
      <c r="P2217" s="586"/>
      <c r="Q2217" s="586">
        <v>39800</v>
      </c>
      <c r="R2217" s="582">
        <f t="shared" si="309"/>
        <v>3200</v>
      </c>
      <c r="S2217" s="575">
        <f t="shared" si="307"/>
        <v>0</v>
      </c>
      <c r="T2217" s="582"/>
      <c r="U2217" s="557"/>
      <c r="V2217" s="589"/>
      <c r="W2217" s="591"/>
      <c r="X2217" s="591"/>
      <c r="Y2217" s="591"/>
      <c r="Z2217" s="591"/>
    </row>
    <row r="2218" spans="1:26" s="246" customFormat="1" ht="56.25" hidden="1">
      <c r="A2218" s="679">
        <f t="shared" si="308"/>
        <v>8</v>
      </c>
      <c r="B2218" s="592" t="s">
        <v>1924</v>
      </c>
      <c r="C2218" s="593" t="s">
        <v>221</v>
      </c>
      <c r="D2218" s="646">
        <v>16252</v>
      </c>
      <c r="E2218" s="646">
        <v>2752.4</v>
      </c>
      <c r="F2218" s="593" t="s">
        <v>223</v>
      </c>
      <c r="G2218" s="646">
        <v>1008</v>
      </c>
      <c r="H2218" s="582">
        <v>5</v>
      </c>
      <c r="I2218" s="582">
        <v>5</v>
      </c>
      <c r="J2218" s="582">
        <v>78</v>
      </c>
      <c r="K2218" s="792" t="s">
        <v>250</v>
      </c>
      <c r="L2218" s="584">
        <f t="shared" si="306"/>
        <v>4080253</v>
      </c>
      <c r="M2218" s="585">
        <v>4032000</v>
      </c>
      <c r="N2218" s="630">
        <v>28353</v>
      </c>
      <c r="O2218" s="587"/>
      <c r="P2218" s="586"/>
      <c r="Q2218" s="586">
        <v>19900</v>
      </c>
      <c r="R2218" s="582">
        <f t="shared" si="309"/>
        <v>4000</v>
      </c>
      <c r="S2218" s="575">
        <f t="shared" si="307"/>
        <v>0</v>
      </c>
      <c r="T2218" s="582"/>
      <c r="U2218" s="1071"/>
      <c r="V2218" s="589"/>
      <c r="W2218" s="591"/>
      <c r="X2218" s="591"/>
      <c r="Y2218" s="591"/>
      <c r="Z2218" s="591"/>
    </row>
    <row r="2219" spans="1:26" s="246" customFormat="1" ht="37.5" hidden="1">
      <c r="A2219" s="679">
        <f t="shared" si="308"/>
        <v>9</v>
      </c>
      <c r="B2219" s="592" t="s">
        <v>1925</v>
      </c>
      <c r="C2219" s="593" t="s">
        <v>221</v>
      </c>
      <c r="D2219" s="646">
        <v>2557</v>
      </c>
      <c r="E2219" s="646">
        <v>557</v>
      </c>
      <c r="F2219" s="593" t="s">
        <v>223</v>
      </c>
      <c r="G2219" s="646">
        <v>423.3</v>
      </c>
      <c r="H2219" s="582">
        <v>2</v>
      </c>
      <c r="I2219" s="582">
        <v>2</v>
      </c>
      <c r="J2219" s="582">
        <v>12</v>
      </c>
      <c r="K2219" s="590" t="s">
        <v>247</v>
      </c>
      <c r="L2219" s="584">
        <f t="shared" si="306"/>
        <v>1003285.26</v>
      </c>
      <c r="M2219" s="585">
        <v>973590</v>
      </c>
      <c r="N2219" s="586"/>
      <c r="O2219" s="631">
        <v>17237</v>
      </c>
      <c r="P2219" s="586"/>
      <c r="Q2219" s="586">
        <v>12458.26</v>
      </c>
      <c r="R2219" s="582">
        <f t="shared" si="309"/>
        <v>2300</v>
      </c>
      <c r="S2219" s="575">
        <f t="shared" si="307"/>
        <v>0</v>
      </c>
      <c r="T2219" s="581"/>
      <c r="U2219" s="557"/>
      <c r="V2219" s="589"/>
      <c r="W2219" s="591"/>
      <c r="X2219" s="591"/>
      <c r="Y2219" s="591"/>
      <c r="Z2219" s="591"/>
    </row>
    <row r="2220" spans="1:26" s="246" customFormat="1" ht="56.25" hidden="1">
      <c r="A2220" s="679">
        <f t="shared" si="308"/>
        <v>10</v>
      </c>
      <c r="B2220" s="592" t="s">
        <v>1926</v>
      </c>
      <c r="C2220" s="796" t="s">
        <v>229</v>
      </c>
      <c r="D2220" s="798">
        <v>1354</v>
      </c>
      <c r="E2220" s="646">
        <v>462.5</v>
      </c>
      <c r="F2220" s="593" t="s">
        <v>222</v>
      </c>
      <c r="G2220" s="646">
        <v>698.5</v>
      </c>
      <c r="H2220" s="582">
        <v>2</v>
      </c>
      <c r="I2220" s="582">
        <v>2</v>
      </c>
      <c r="J2220" s="582">
        <v>8</v>
      </c>
      <c r="K2220" s="590" t="s">
        <v>248</v>
      </c>
      <c r="L2220" s="584">
        <f t="shared" si="306"/>
        <v>1989465.98</v>
      </c>
      <c r="M2220" s="585">
        <v>1955800</v>
      </c>
      <c r="N2220" s="630">
        <v>27069</v>
      </c>
      <c r="O2220" s="587"/>
      <c r="P2220" s="586"/>
      <c r="Q2220" s="586">
        <v>6596.98</v>
      </c>
      <c r="R2220" s="582">
        <f t="shared" si="309"/>
        <v>2800</v>
      </c>
      <c r="S2220" s="575">
        <f t="shared" si="307"/>
        <v>-1.8189894035458565E-11</v>
      </c>
      <c r="T2220" s="581"/>
      <c r="U2220" s="557"/>
      <c r="V2220" s="589"/>
      <c r="W2220" s="591"/>
      <c r="X2220" s="591"/>
      <c r="Y2220" s="591"/>
      <c r="Z2220" s="591"/>
    </row>
    <row r="2221" spans="1:26" s="246" customFormat="1" ht="56.25" hidden="1">
      <c r="A2221" s="679">
        <f t="shared" si="308"/>
        <v>11</v>
      </c>
      <c r="B2221" s="592" t="s">
        <v>1927</v>
      </c>
      <c r="C2221" s="796" t="s">
        <v>229</v>
      </c>
      <c r="D2221" s="798">
        <v>1375</v>
      </c>
      <c r="E2221" s="646">
        <v>428.1</v>
      </c>
      <c r="F2221" s="593" t="s">
        <v>222</v>
      </c>
      <c r="G2221" s="646">
        <v>530</v>
      </c>
      <c r="H2221" s="582">
        <v>2</v>
      </c>
      <c r="I2221" s="582">
        <v>2</v>
      </c>
      <c r="J2221" s="582">
        <v>8</v>
      </c>
      <c r="K2221" s="590" t="s">
        <v>248</v>
      </c>
      <c r="L2221" s="584">
        <f t="shared" si="306"/>
        <v>1729823.3</v>
      </c>
      <c r="M2221" s="585">
        <v>1696000</v>
      </c>
      <c r="N2221" s="630">
        <v>27124</v>
      </c>
      <c r="O2221" s="587"/>
      <c r="P2221" s="586"/>
      <c r="Q2221" s="586">
        <v>6699.3</v>
      </c>
      <c r="R2221" s="582">
        <f t="shared" si="309"/>
        <v>3200</v>
      </c>
      <c r="S2221" s="575">
        <f t="shared" si="307"/>
        <v>4.638422979041934E-11</v>
      </c>
      <c r="T2221" s="581"/>
      <c r="U2221" s="557"/>
      <c r="V2221" s="589"/>
      <c r="W2221" s="591"/>
      <c r="X2221" s="591"/>
      <c r="Y2221" s="591"/>
      <c r="Z2221" s="591"/>
    </row>
    <row r="2222" spans="1:26" s="246" customFormat="1" ht="56.25" hidden="1">
      <c r="A2222" s="679">
        <f t="shared" si="308"/>
        <v>12</v>
      </c>
      <c r="B2222" s="592" t="s">
        <v>1928</v>
      </c>
      <c r="C2222" s="796" t="s">
        <v>221</v>
      </c>
      <c r="D2222" s="789">
        <v>36253</v>
      </c>
      <c r="E2222" s="789">
        <v>2866</v>
      </c>
      <c r="F2222" s="744" t="s">
        <v>223</v>
      </c>
      <c r="G2222" s="789">
        <v>1428</v>
      </c>
      <c r="H2222" s="582">
        <v>6</v>
      </c>
      <c r="I2222" s="582">
        <v>8</v>
      </c>
      <c r="J2222" s="744">
        <v>132</v>
      </c>
      <c r="K2222" s="792" t="s">
        <v>250</v>
      </c>
      <c r="L2222" s="584">
        <f t="shared" si="306"/>
        <v>5760617</v>
      </c>
      <c r="M2222" s="585">
        <v>5712000</v>
      </c>
      <c r="N2222" s="630">
        <v>28717</v>
      </c>
      <c r="O2222" s="587"/>
      <c r="P2222" s="586"/>
      <c r="Q2222" s="586">
        <v>19900</v>
      </c>
      <c r="R2222" s="582">
        <f t="shared" si="309"/>
        <v>4000</v>
      </c>
      <c r="S2222" s="575">
        <f t="shared" si="307"/>
        <v>0</v>
      </c>
      <c r="T2222" s="592"/>
      <c r="U2222" s="557"/>
      <c r="V2222" s="589"/>
      <c r="W2222" s="591"/>
      <c r="X2222" s="591"/>
      <c r="Y2222" s="591"/>
      <c r="Z2222" s="591"/>
    </row>
    <row r="2223" spans="1:26" s="246" customFormat="1" ht="56.25" hidden="1">
      <c r="A2223" s="679">
        <f t="shared" si="308"/>
        <v>13</v>
      </c>
      <c r="B2223" s="592" t="s">
        <v>1929</v>
      </c>
      <c r="C2223" s="796" t="s">
        <v>221</v>
      </c>
      <c r="D2223" s="798">
        <v>2079</v>
      </c>
      <c r="E2223" s="798">
        <v>535.1</v>
      </c>
      <c r="F2223" s="593" t="s">
        <v>222</v>
      </c>
      <c r="G2223" s="646">
        <v>672</v>
      </c>
      <c r="H2223" s="582">
        <v>2</v>
      </c>
      <c r="I2223" s="582">
        <v>2</v>
      </c>
      <c r="J2223" s="582">
        <v>8</v>
      </c>
      <c r="K2223" s="590" t="s">
        <v>248</v>
      </c>
      <c r="L2223" s="584">
        <f t="shared" si="306"/>
        <v>2189127.34</v>
      </c>
      <c r="M2223" s="585">
        <v>2150400</v>
      </c>
      <c r="N2223" s="630">
        <v>28598</v>
      </c>
      <c r="O2223" s="587"/>
      <c r="P2223" s="586"/>
      <c r="Q2223" s="586">
        <v>10129.34</v>
      </c>
      <c r="R2223" s="582">
        <f t="shared" si="309"/>
        <v>3200</v>
      </c>
      <c r="S2223" s="575">
        <f t="shared" si="307"/>
        <v>-1.4915713109076023E-10</v>
      </c>
      <c r="T2223" s="581"/>
      <c r="U2223" s="557"/>
      <c r="V2223" s="589"/>
      <c r="W2223" s="591"/>
      <c r="X2223" s="591"/>
      <c r="Y2223" s="591"/>
      <c r="Z2223" s="591"/>
    </row>
    <row r="2224" spans="1:26" s="246" customFormat="1" ht="37.5" hidden="1">
      <c r="A2224" s="679">
        <f t="shared" si="308"/>
        <v>14</v>
      </c>
      <c r="B2224" s="592" t="s">
        <v>1930</v>
      </c>
      <c r="C2224" s="593" t="s">
        <v>221</v>
      </c>
      <c r="D2224" s="789">
        <v>5204</v>
      </c>
      <c r="E2224" s="789">
        <v>1455</v>
      </c>
      <c r="F2224" s="593" t="s">
        <v>222</v>
      </c>
      <c r="G2224" s="789">
        <v>928</v>
      </c>
      <c r="H2224" s="582">
        <v>3</v>
      </c>
      <c r="I2224" s="582">
        <v>3</v>
      </c>
      <c r="J2224" s="744">
        <v>27</v>
      </c>
      <c r="K2224" s="794" t="s">
        <v>421</v>
      </c>
      <c r="L2224" s="584">
        <f t="shared" si="306"/>
        <v>616725.47</v>
      </c>
      <c r="M2224" s="585">
        <v>594000</v>
      </c>
      <c r="N2224" s="586"/>
      <c r="O2224" s="631">
        <v>11595</v>
      </c>
      <c r="P2224" s="586"/>
      <c r="Q2224" s="586">
        <v>11130.47</v>
      </c>
      <c r="R2224" s="582">
        <f>M2224/J2224</f>
        <v>22000</v>
      </c>
      <c r="S2224" s="575">
        <f t="shared" si="307"/>
        <v>-2.7284841053187847E-11</v>
      </c>
      <c r="T2224" s="592"/>
      <c r="U2224" s="557"/>
      <c r="V2224" s="589"/>
      <c r="W2224" s="591"/>
      <c r="X2224" s="591"/>
      <c r="Y2224" s="591"/>
      <c r="Z2224" s="591"/>
    </row>
    <row r="2225" spans="1:26" s="246" customFormat="1" ht="37.5" hidden="1">
      <c r="A2225" s="679">
        <f t="shared" si="308"/>
        <v>15</v>
      </c>
      <c r="B2225" s="788" t="s">
        <v>4117</v>
      </c>
      <c r="C2225" s="593" t="s">
        <v>221</v>
      </c>
      <c r="D2225" s="789">
        <v>2829</v>
      </c>
      <c r="E2225" s="789">
        <v>613</v>
      </c>
      <c r="F2225" s="593" t="s">
        <v>222</v>
      </c>
      <c r="G2225" s="789">
        <v>556</v>
      </c>
      <c r="H2225" s="744">
        <v>2</v>
      </c>
      <c r="I2225" s="744">
        <v>2</v>
      </c>
      <c r="J2225" s="744">
        <v>16</v>
      </c>
      <c r="K2225" s="794" t="s">
        <v>421</v>
      </c>
      <c r="L2225" s="584">
        <f t="shared" si="306"/>
        <v>368863</v>
      </c>
      <c r="M2225" s="585">
        <v>352000</v>
      </c>
      <c r="N2225" s="586"/>
      <c r="O2225" s="631">
        <v>10338</v>
      </c>
      <c r="P2225" s="586"/>
      <c r="Q2225" s="586">
        <v>6525</v>
      </c>
      <c r="R2225" s="582">
        <f>M2225/J2225</f>
        <v>22000</v>
      </c>
      <c r="S2225" s="575">
        <f t="shared" si="307"/>
        <v>0</v>
      </c>
      <c r="T2225" s="592"/>
      <c r="U2225" s="557"/>
      <c r="V2225" s="589"/>
      <c r="W2225" s="591"/>
      <c r="X2225" s="591"/>
      <c r="Y2225" s="591"/>
      <c r="Z2225" s="591"/>
    </row>
    <row r="2226" spans="1:26" s="246" customFormat="1" ht="37.5" hidden="1">
      <c r="A2226" s="679">
        <f t="shared" si="308"/>
        <v>16</v>
      </c>
      <c r="B2226" s="788" t="s">
        <v>4118</v>
      </c>
      <c r="C2226" s="593" t="s">
        <v>221</v>
      </c>
      <c r="D2226" s="789">
        <v>9684</v>
      </c>
      <c r="E2226" s="789">
        <v>1607</v>
      </c>
      <c r="F2226" s="742" t="s">
        <v>223</v>
      </c>
      <c r="G2226" s="789">
        <v>712.8</v>
      </c>
      <c r="H2226" s="744">
        <v>3</v>
      </c>
      <c r="I2226" s="744">
        <v>3</v>
      </c>
      <c r="J2226" s="744">
        <v>36</v>
      </c>
      <c r="K2226" s="590" t="s">
        <v>247</v>
      </c>
      <c r="L2226" s="584">
        <f t="shared" si="306"/>
        <v>1678791</v>
      </c>
      <c r="M2226" s="585">
        <v>1639440</v>
      </c>
      <c r="N2226" s="586"/>
      <c r="O2226" s="631">
        <v>19451</v>
      </c>
      <c r="P2226" s="586"/>
      <c r="Q2226" s="586">
        <v>19900</v>
      </c>
      <c r="R2226" s="582">
        <f>M2226/G2226</f>
        <v>2300</v>
      </c>
      <c r="S2226" s="575">
        <f t="shared" si="307"/>
        <v>0</v>
      </c>
      <c r="T2226" s="592"/>
      <c r="U2226" s="557"/>
      <c r="V2226" s="589"/>
      <c r="W2226" s="591"/>
      <c r="X2226" s="591"/>
      <c r="Y2226" s="591"/>
      <c r="Z2226" s="591"/>
    </row>
    <row r="2227" spans="1:26" s="246" customFormat="1" ht="37.5" hidden="1">
      <c r="A2227" s="679">
        <f t="shared" si="308"/>
        <v>17</v>
      </c>
      <c r="B2227" s="788" t="s">
        <v>4119</v>
      </c>
      <c r="C2227" s="593" t="s">
        <v>221</v>
      </c>
      <c r="D2227" s="789">
        <v>7780</v>
      </c>
      <c r="E2227" s="789">
        <v>1702.8</v>
      </c>
      <c r="F2227" s="742" t="s">
        <v>223</v>
      </c>
      <c r="G2227" s="789">
        <v>982.4</v>
      </c>
      <c r="H2227" s="744">
        <v>3</v>
      </c>
      <c r="I2227" s="744">
        <v>3</v>
      </c>
      <c r="J2227" s="744">
        <v>36</v>
      </c>
      <c r="K2227" s="590" t="s">
        <v>247</v>
      </c>
      <c r="L2227" s="584">
        <f t="shared" si="306"/>
        <v>2298464</v>
      </c>
      <c r="M2227" s="585">
        <v>2259520</v>
      </c>
      <c r="N2227" s="586"/>
      <c r="O2227" s="631">
        <v>19044</v>
      </c>
      <c r="P2227" s="742"/>
      <c r="Q2227" s="586">
        <v>19900</v>
      </c>
      <c r="R2227" s="582">
        <f>M2227/G2227</f>
        <v>2300</v>
      </c>
      <c r="S2227" s="575">
        <f t="shared" si="307"/>
        <v>0</v>
      </c>
      <c r="T2227" s="592"/>
      <c r="U2227" s="557"/>
      <c r="V2227" s="589"/>
      <c r="W2227" s="591"/>
      <c r="X2227" s="591"/>
      <c r="Y2227" s="591"/>
      <c r="Z2227" s="591"/>
    </row>
    <row r="2228" spans="1:26" s="246" customFormat="1" ht="37.5" hidden="1">
      <c r="A2228" s="679">
        <f t="shared" si="308"/>
        <v>18</v>
      </c>
      <c r="B2228" s="865" t="s">
        <v>4120</v>
      </c>
      <c r="C2228" s="593" t="s">
        <v>221</v>
      </c>
      <c r="D2228" s="789">
        <v>12181</v>
      </c>
      <c r="E2228" s="789">
        <v>1706.8</v>
      </c>
      <c r="F2228" s="593" t="s">
        <v>222</v>
      </c>
      <c r="G2228" s="789">
        <v>1019</v>
      </c>
      <c r="H2228" s="744">
        <v>5</v>
      </c>
      <c r="I2228" s="744">
        <v>4</v>
      </c>
      <c r="J2228" s="744">
        <v>80</v>
      </c>
      <c r="K2228" s="794" t="s">
        <v>421</v>
      </c>
      <c r="L2228" s="584">
        <f t="shared" si="306"/>
        <v>1785732.47</v>
      </c>
      <c r="M2228" s="585">
        <v>1760000</v>
      </c>
      <c r="N2228" s="586"/>
      <c r="O2228" s="631">
        <v>14602</v>
      </c>
      <c r="P2228" s="586"/>
      <c r="Q2228" s="586">
        <v>11130.47</v>
      </c>
      <c r="R2228" s="582">
        <f>M2228/J2228</f>
        <v>22000</v>
      </c>
      <c r="S2228" s="575">
        <f t="shared" si="307"/>
        <v>-2.7284841053187847E-11</v>
      </c>
      <c r="T2228" s="592"/>
      <c r="U2228" s="557"/>
      <c r="V2228" s="589"/>
      <c r="W2228" s="591"/>
      <c r="X2228" s="591"/>
      <c r="Y2228" s="591"/>
      <c r="Z2228" s="591"/>
    </row>
    <row r="2229" spans="1:26" s="246" customFormat="1" ht="37.5" hidden="1">
      <c r="A2229" s="679">
        <f t="shared" si="308"/>
        <v>19</v>
      </c>
      <c r="B2229" s="788" t="s">
        <v>4121</v>
      </c>
      <c r="C2229" s="593" t="s">
        <v>221</v>
      </c>
      <c r="D2229" s="789">
        <v>17859</v>
      </c>
      <c r="E2229" s="789">
        <v>1266</v>
      </c>
      <c r="F2229" s="742" t="s">
        <v>223</v>
      </c>
      <c r="G2229" s="1070">
        <v>1888</v>
      </c>
      <c r="H2229" s="744">
        <v>5</v>
      </c>
      <c r="I2229" s="744">
        <v>6</v>
      </c>
      <c r="J2229" s="744">
        <v>95</v>
      </c>
      <c r="K2229" s="590" t="s">
        <v>247</v>
      </c>
      <c r="L2229" s="584">
        <f t="shared" si="306"/>
        <v>4384387</v>
      </c>
      <c r="M2229" s="623">
        <v>4342400</v>
      </c>
      <c r="N2229" s="586"/>
      <c r="O2229" s="631">
        <v>22087</v>
      </c>
      <c r="P2229" s="586"/>
      <c r="Q2229" s="586">
        <v>19900</v>
      </c>
      <c r="R2229" s="582">
        <f>M2229/G2229</f>
        <v>2300</v>
      </c>
      <c r="S2229" s="575">
        <f t="shared" si="307"/>
        <v>0</v>
      </c>
      <c r="T2229" s="592"/>
      <c r="U2229" s="557"/>
      <c r="V2229" s="589"/>
      <c r="W2229" s="591"/>
      <c r="X2229" s="591"/>
      <c r="Y2229" s="591"/>
      <c r="Z2229" s="591"/>
    </row>
    <row r="2230" spans="1:26" s="246" customFormat="1" ht="37.5" hidden="1">
      <c r="A2230" s="679">
        <f t="shared" si="308"/>
        <v>20</v>
      </c>
      <c r="B2230" s="865" t="s">
        <v>4122</v>
      </c>
      <c r="C2230" s="593" t="s">
        <v>221</v>
      </c>
      <c r="D2230" s="789">
        <v>2817</v>
      </c>
      <c r="E2230" s="789">
        <v>611</v>
      </c>
      <c r="F2230" s="744" t="s">
        <v>230</v>
      </c>
      <c r="G2230" s="789">
        <v>563.4</v>
      </c>
      <c r="H2230" s="744">
        <v>2</v>
      </c>
      <c r="I2230" s="744">
        <v>2</v>
      </c>
      <c r="J2230" s="744">
        <v>16</v>
      </c>
      <c r="K2230" s="794" t="s">
        <v>421</v>
      </c>
      <c r="L2230" s="584">
        <f t="shared" si="306"/>
        <v>374146.47</v>
      </c>
      <c r="M2230" s="585">
        <v>352000</v>
      </c>
      <c r="N2230" s="586"/>
      <c r="O2230" s="631">
        <v>11016</v>
      </c>
      <c r="P2230" s="586"/>
      <c r="Q2230" s="586">
        <v>11130.47</v>
      </c>
      <c r="R2230" s="582">
        <f>M2230/J2230</f>
        <v>22000</v>
      </c>
      <c r="S2230" s="575">
        <f t="shared" si="307"/>
        <v>-2.7284841053187847E-11</v>
      </c>
      <c r="T2230" s="592"/>
      <c r="U2230" s="557"/>
      <c r="V2230" s="589"/>
      <c r="W2230" s="591"/>
      <c r="X2230" s="591"/>
      <c r="Y2230" s="591"/>
      <c r="Z2230" s="591"/>
    </row>
    <row r="2231" spans="1:26" s="246" customFormat="1" ht="56.25" hidden="1">
      <c r="A2231" s="679">
        <f t="shared" si="308"/>
        <v>21</v>
      </c>
      <c r="B2231" s="788" t="s">
        <v>4123</v>
      </c>
      <c r="C2231" s="593" t="s">
        <v>221</v>
      </c>
      <c r="D2231" s="789">
        <v>2026</v>
      </c>
      <c r="E2231" s="789">
        <v>521</v>
      </c>
      <c r="F2231" s="593" t="s">
        <v>222</v>
      </c>
      <c r="G2231" s="789">
        <v>481.8</v>
      </c>
      <c r="H2231" s="744">
        <v>2</v>
      </c>
      <c r="I2231" s="744">
        <v>2</v>
      </c>
      <c r="J2231" s="744">
        <v>8</v>
      </c>
      <c r="K2231" s="590" t="s">
        <v>248</v>
      </c>
      <c r="L2231" s="584">
        <f t="shared" si="306"/>
        <v>1483732.1</v>
      </c>
      <c r="M2231" s="585">
        <v>1445400</v>
      </c>
      <c r="N2231" s="630">
        <v>28461</v>
      </c>
      <c r="O2231" s="587"/>
      <c r="P2231" s="586"/>
      <c r="Q2231" s="586">
        <v>9871.1</v>
      </c>
      <c r="R2231" s="582">
        <f>M2231/G2231</f>
        <v>3000</v>
      </c>
      <c r="S2231" s="575">
        <f t="shared" si="307"/>
        <v>9.276845958083868E-11</v>
      </c>
      <c r="T2231" s="592"/>
      <c r="U2231" s="557"/>
      <c r="V2231" s="589"/>
      <c r="W2231" s="591"/>
      <c r="X2231" s="591"/>
      <c r="Y2231" s="591"/>
      <c r="Z2231" s="591"/>
    </row>
    <row r="2232" spans="1:26" s="246" customFormat="1" ht="37.5" hidden="1">
      <c r="A2232" s="679">
        <f t="shared" si="308"/>
        <v>22</v>
      </c>
      <c r="B2232" s="592" t="s">
        <v>4124</v>
      </c>
      <c r="C2232" s="593" t="s">
        <v>221</v>
      </c>
      <c r="D2232" s="646">
        <v>5955</v>
      </c>
      <c r="E2232" s="646">
        <v>1158.8</v>
      </c>
      <c r="F2232" s="593" t="s">
        <v>222</v>
      </c>
      <c r="G2232" s="646">
        <v>890</v>
      </c>
      <c r="H2232" s="582">
        <v>3</v>
      </c>
      <c r="I2232" s="582">
        <v>3</v>
      </c>
      <c r="J2232" s="582">
        <v>36</v>
      </c>
      <c r="K2232" s="794" t="s">
        <v>421</v>
      </c>
      <c r="L2232" s="584">
        <f t="shared" si="306"/>
        <v>820586.47</v>
      </c>
      <c r="M2232" s="585">
        <v>792000</v>
      </c>
      <c r="N2232" s="586"/>
      <c r="O2232" s="631">
        <v>17456</v>
      </c>
      <c r="P2232" s="586"/>
      <c r="Q2232" s="586">
        <v>11130.47</v>
      </c>
      <c r="R2232" s="582">
        <f>M2232/J2232</f>
        <v>22000</v>
      </c>
      <c r="S2232" s="575">
        <f t="shared" si="307"/>
        <v>-2.7284841053187847E-11</v>
      </c>
      <c r="T2232" s="592"/>
      <c r="U2232" s="557"/>
      <c r="V2232" s="589"/>
      <c r="W2232" s="591"/>
      <c r="X2232" s="591"/>
      <c r="Y2232" s="591"/>
      <c r="Z2232" s="591"/>
    </row>
    <row r="2233" spans="1:26" s="246" customFormat="1" ht="56.25" hidden="1">
      <c r="A2233" s="679">
        <f t="shared" si="308"/>
        <v>23</v>
      </c>
      <c r="B2233" s="788" t="s">
        <v>4125</v>
      </c>
      <c r="C2233" s="593" t="s">
        <v>221</v>
      </c>
      <c r="D2233" s="789">
        <v>15394</v>
      </c>
      <c r="E2233" s="789">
        <v>2797.74</v>
      </c>
      <c r="F2233" s="742" t="s">
        <v>223</v>
      </c>
      <c r="G2233" s="789">
        <v>1534.9480000000003</v>
      </c>
      <c r="H2233" s="744">
        <v>5</v>
      </c>
      <c r="I2233" s="744">
        <v>4</v>
      </c>
      <c r="J2233" s="744">
        <v>70</v>
      </c>
      <c r="K2233" s="792" t="s">
        <v>250</v>
      </c>
      <c r="L2233" s="584">
        <f t="shared" si="306"/>
        <v>6188869.0000000009</v>
      </c>
      <c r="M2233" s="585">
        <v>6139792.0000000009</v>
      </c>
      <c r="N2233" s="630">
        <v>29177</v>
      </c>
      <c r="O2233" s="587"/>
      <c r="P2233" s="742"/>
      <c r="Q2233" s="586">
        <v>19900</v>
      </c>
      <c r="R2233" s="582">
        <f>M2233/G2233</f>
        <v>3999.9999999999995</v>
      </c>
      <c r="S2233" s="575">
        <f t="shared" si="307"/>
        <v>0</v>
      </c>
      <c r="T2233" s="592"/>
      <c r="U2233" s="557"/>
      <c r="V2233" s="589"/>
      <c r="W2233" s="591"/>
      <c r="X2233" s="591"/>
      <c r="Y2233" s="591"/>
      <c r="Z2233" s="591"/>
    </row>
    <row r="2234" spans="1:26" s="246" customFormat="1" ht="37.5" hidden="1">
      <c r="A2234" s="679">
        <f t="shared" si="308"/>
        <v>24</v>
      </c>
      <c r="B2234" s="865" t="s">
        <v>4126</v>
      </c>
      <c r="C2234" s="593" t="s">
        <v>221</v>
      </c>
      <c r="D2234" s="789">
        <v>6519</v>
      </c>
      <c r="E2234" s="789">
        <v>1269.2</v>
      </c>
      <c r="F2234" s="593" t="s">
        <v>222</v>
      </c>
      <c r="G2234" s="789">
        <v>921</v>
      </c>
      <c r="H2234" s="744">
        <v>3</v>
      </c>
      <c r="I2234" s="744">
        <v>3</v>
      </c>
      <c r="J2234" s="744">
        <v>36</v>
      </c>
      <c r="K2234" s="794" t="s">
        <v>421</v>
      </c>
      <c r="L2234" s="584">
        <f t="shared" si="306"/>
        <v>814887.47</v>
      </c>
      <c r="M2234" s="585">
        <v>792000</v>
      </c>
      <c r="N2234" s="586"/>
      <c r="O2234" s="631">
        <v>11757</v>
      </c>
      <c r="P2234" s="586"/>
      <c r="Q2234" s="586">
        <v>11130.47</v>
      </c>
      <c r="R2234" s="582">
        <f>M2234/J2234</f>
        <v>22000</v>
      </c>
      <c r="S2234" s="575">
        <f t="shared" si="307"/>
        <v>-2.7284841053187847E-11</v>
      </c>
      <c r="T2234" s="592"/>
      <c r="U2234" s="557"/>
      <c r="V2234" s="589"/>
      <c r="W2234" s="591"/>
      <c r="X2234" s="591"/>
      <c r="Y2234" s="591"/>
      <c r="Z2234" s="591"/>
    </row>
    <row r="2235" spans="1:26" s="246" customFormat="1" ht="56.25" hidden="1">
      <c r="A2235" s="679">
        <f t="shared" si="308"/>
        <v>25</v>
      </c>
      <c r="B2235" s="581" t="s">
        <v>1931</v>
      </c>
      <c r="C2235" s="593" t="s">
        <v>229</v>
      </c>
      <c r="D2235" s="646">
        <v>1446</v>
      </c>
      <c r="E2235" s="646">
        <v>640</v>
      </c>
      <c r="F2235" s="744" t="s">
        <v>230</v>
      </c>
      <c r="G2235" s="789">
        <v>391</v>
      </c>
      <c r="H2235" s="744">
        <v>2</v>
      </c>
      <c r="I2235" s="744">
        <v>2</v>
      </c>
      <c r="J2235" s="744">
        <v>8</v>
      </c>
      <c r="K2235" s="590" t="s">
        <v>248</v>
      </c>
      <c r="L2235" s="584">
        <f t="shared" si="306"/>
        <v>1277180.23</v>
      </c>
      <c r="M2235" s="585">
        <v>1242825</v>
      </c>
      <c r="N2235" s="630">
        <v>27310</v>
      </c>
      <c r="O2235" s="587"/>
      <c r="P2235" s="586"/>
      <c r="Q2235" s="586">
        <v>7045.23</v>
      </c>
      <c r="R2235" s="582">
        <f>M2235/G2235</f>
        <v>3178.5805626598467</v>
      </c>
      <c r="S2235" s="575">
        <f t="shared" si="307"/>
        <v>-1.8189894035458565E-11</v>
      </c>
      <c r="T2235" s="592"/>
      <c r="U2235" s="557"/>
      <c r="V2235" s="589"/>
      <c r="W2235" s="591"/>
      <c r="X2235" s="591"/>
      <c r="Y2235" s="591"/>
      <c r="Z2235" s="591"/>
    </row>
    <row r="2236" spans="1:26" s="246" customFormat="1" ht="56.25" hidden="1">
      <c r="A2236" s="679">
        <f t="shared" si="308"/>
        <v>26</v>
      </c>
      <c r="B2236" s="865" t="s">
        <v>1932</v>
      </c>
      <c r="C2236" s="593" t="s">
        <v>221</v>
      </c>
      <c r="D2236" s="789">
        <v>2363</v>
      </c>
      <c r="E2236" s="789">
        <v>540</v>
      </c>
      <c r="F2236" s="593" t="s">
        <v>222</v>
      </c>
      <c r="G2236" s="789">
        <v>610</v>
      </c>
      <c r="H2236" s="744">
        <v>2</v>
      </c>
      <c r="I2236" s="744">
        <v>3</v>
      </c>
      <c r="J2236" s="744">
        <v>12</v>
      </c>
      <c r="K2236" s="590" t="s">
        <v>248</v>
      </c>
      <c r="L2236" s="584">
        <f t="shared" si="306"/>
        <v>1991716.05</v>
      </c>
      <c r="M2236" s="585">
        <v>1952000</v>
      </c>
      <c r="N2236" s="630">
        <v>28203</v>
      </c>
      <c r="O2236" s="587"/>
      <c r="P2236" s="586"/>
      <c r="Q2236" s="586">
        <v>11513.05</v>
      </c>
      <c r="R2236" s="582">
        <f>M2236/G2236</f>
        <v>3200</v>
      </c>
      <c r="S2236" s="575">
        <f t="shared" si="307"/>
        <v>4.7293724492192268E-11</v>
      </c>
      <c r="T2236" s="592"/>
      <c r="U2236" s="557"/>
      <c r="V2236" s="589"/>
      <c r="W2236" s="591"/>
      <c r="X2236" s="591"/>
      <c r="Y2236" s="591"/>
      <c r="Z2236" s="591"/>
    </row>
    <row r="2237" spans="1:26" s="246" customFormat="1" ht="56.25" hidden="1">
      <c r="A2237" s="679">
        <f t="shared" si="308"/>
        <v>27</v>
      </c>
      <c r="B2237" s="592" t="s">
        <v>1933</v>
      </c>
      <c r="C2237" s="593" t="s">
        <v>221</v>
      </c>
      <c r="D2237" s="646">
        <v>2574</v>
      </c>
      <c r="E2237" s="646">
        <v>451.6</v>
      </c>
      <c r="F2237" s="593" t="s">
        <v>223</v>
      </c>
      <c r="G2237" s="646">
        <v>632.94000000000005</v>
      </c>
      <c r="H2237" s="582">
        <v>2</v>
      </c>
      <c r="I2237" s="582">
        <v>2</v>
      </c>
      <c r="J2237" s="582">
        <v>12</v>
      </c>
      <c r="K2237" s="792" t="s">
        <v>250</v>
      </c>
      <c r="L2237" s="584">
        <f t="shared" si="306"/>
        <v>2573410.09</v>
      </c>
      <c r="M2237" s="585">
        <v>2531760</v>
      </c>
      <c r="N2237" s="630">
        <v>29109</v>
      </c>
      <c r="O2237" s="587"/>
      <c r="P2237" s="586"/>
      <c r="Q2237" s="586">
        <v>12541.09</v>
      </c>
      <c r="R2237" s="582">
        <f>M2237/G2237</f>
        <v>3999.9999999999995</v>
      </c>
      <c r="S2237" s="575">
        <f t="shared" si="307"/>
        <v>-1.4915713109076023E-10</v>
      </c>
      <c r="T2237" s="592"/>
      <c r="U2237" s="557"/>
      <c r="V2237" s="589"/>
      <c r="W2237" s="591"/>
      <c r="X2237" s="591"/>
      <c r="Y2237" s="591"/>
      <c r="Z2237" s="591"/>
    </row>
    <row r="2238" spans="1:26" s="246" customFormat="1" ht="37.5" hidden="1">
      <c r="A2238" s="679">
        <f t="shared" si="308"/>
        <v>28</v>
      </c>
      <c r="B2238" s="592" t="s">
        <v>4127</v>
      </c>
      <c r="C2238" s="593" t="s">
        <v>221</v>
      </c>
      <c r="D2238" s="646">
        <v>11354</v>
      </c>
      <c r="E2238" s="646">
        <v>2160</v>
      </c>
      <c r="F2238" s="593" t="s">
        <v>223</v>
      </c>
      <c r="G2238" s="646">
        <v>996</v>
      </c>
      <c r="H2238" s="582">
        <v>5</v>
      </c>
      <c r="I2238" s="582">
        <v>4</v>
      </c>
      <c r="J2238" s="582">
        <v>60</v>
      </c>
      <c r="K2238" s="792" t="s">
        <v>247</v>
      </c>
      <c r="L2238" s="584">
        <f t="shared" si="306"/>
        <v>2332550</v>
      </c>
      <c r="M2238" s="585">
        <v>2290800</v>
      </c>
      <c r="N2238" s="586"/>
      <c r="O2238" s="1054">
        <v>21750</v>
      </c>
      <c r="P2238" s="742"/>
      <c r="Q2238" s="586">
        <v>20000</v>
      </c>
      <c r="R2238" s="744">
        <f>M2238/G2238</f>
        <v>2300</v>
      </c>
      <c r="S2238" s="575">
        <f t="shared" si="307"/>
        <v>0</v>
      </c>
      <c r="T2238" s="592"/>
      <c r="U2238" s="557"/>
      <c r="V2238" s="589"/>
      <c r="W2238" s="591"/>
      <c r="X2238" s="591"/>
      <c r="Y2238" s="591"/>
      <c r="Z2238" s="591"/>
    </row>
    <row r="2239" spans="1:26" s="28" customFormat="1" ht="56.25" hidden="1">
      <c r="A2239" s="679">
        <f t="shared" si="308"/>
        <v>29</v>
      </c>
      <c r="B2239" s="788" t="s">
        <v>4128</v>
      </c>
      <c r="C2239" s="593" t="s">
        <v>221</v>
      </c>
      <c r="D2239" s="646">
        <v>5834</v>
      </c>
      <c r="E2239" s="646">
        <v>1045.2</v>
      </c>
      <c r="F2239" s="593" t="s">
        <v>222</v>
      </c>
      <c r="G2239" s="646">
        <v>907</v>
      </c>
      <c r="H2239" s="582">
        <v>3</v>
      </c>
      <c r="I2239" s="582">
        <v>3</v>
      </c>
      <c r="J2239" s="582">
        <v>36</v>
      </c>
      <c r="K2239" s="590" t="s">
        <v>248</v>
      </c>
      <c r="L2239" s="584">
        <f t="shared" si="306"/>
        <v>2768762</v>
      </c>
      <c r="M2239" s="585">
        <v>2721000</v>
      </c>
      <c r="N2239" s="586">
        <v>19195</v>
      </c>
      <c r="O2239" s="587"/>
      <c r="P2239" s="586"/>
      <c r="Q2239" s="586">
        <v>28567</v>
      </c>
      <c r="R2239" s="744">
        <f>M2239/G2239</f>
        <v>3000</v>
      </c>
      <c r="S2239" s="592"/>
      <c r="T2239" s="738"/>
      <c r="U2239" s="557"/>
      <c r="V2239" s="590"/>
      <c r="W2239" s="592"/>
      <c r="X2239" s="592"/>
      <c r="Y2239" s="592"/>
      <c r="Z2239" s="592"/>
    </row>
    <row r="2240" spans="1:26" s="28" customFormat="1" hidden="1">
      <c r="A2240" s="679">
        <f t="shared" si="308"/>
        <v>30</v>
      </c>
      <c r="B2240" s="788" t="s">
        <v>4129</v>
      </c>
      <c r="C2240" s="593" t="s">
        <v>221</v>
      </c>
      <c r="D2240" s="646">
        <v>9383</v>
      </c>
      <c r="E2240" s="646">
        <v>2112.3200000000002</v>
      </c>
      <c r="F2240" s="593" t="s">
        <v>223</v>
      </c>
      <c r="G2240" s="646">
        <v>1300</v>
      </c>
      <c r="H2240" s="582">
        <v>5</v>
      </c>
      <c r="I2240" s="582">
        <v>1</v>
      </c>
      <c r="J2240" s="582">
        <v>66</v>
      </c>
      <c r="K2240" s="590" t="s">
        <v>224</v>
      </c>
      <c r="L2240" s="584">
        <f t="shared" si="306"/>
        <v>1349395</v>
      </c>
      <c r="M2240" s="585">
        <v>1320000</v>
      </c>
      <c r="N2240" s="586">
        <v>20846</v>
      </c>
      <c r="O2240" s="587"/>
      <c r="P2240" s="586"/>
      <c r="Q2240" s="586">
        <v>8549</v>
      </c>
      <c r="R2240" s="744">
        <f>M2240/J2240</f>
        <v>20000</v>
      </c>
      <c r="S2240" s="592"/>
      <c r="T2240" s="738"/>
      <c r="U2240" s="557"/>
      <c r="V2240" s="590"/>
      <c r="W2240" s="592"/>
      <c r="X2240" s="592"/>
      <c r="Y2240" s="592"/>
      <c r="Z2240" s="592"/>
    </row>
    <row r="2241" spans="1:26" s="28" customFormat="1" hidden="1">
      <c r="A2241" s="679">
        <f t="shared" si="308"/>
        <v>31</v>
      </c>
      <c r="B2241" s="788" t="s">
        <v>3657</v>
      </c>
      <c r="C2241" s="593" t="s">
        <v>221</v>
      </c>
      <c r="D2241" s="646">
        <v>1806</v>
      </c>
      <c r="E2241" s="646">
        <v>620</v>
      </c>
      <c r="F2241" s="593" t="s">
        <v>228</v>
      </c>
      <c r="G2241" s="646">
        <v>560</v>
      </c>
      <c r="H2241" s="582">
        <v>2</v>
      </c>
      <c r="I2241" s="582">
        <v>2</v>
      </c>
      <c r="J2241" s="582">
        <v>12</v>
      </c>
      <c r="K2241" s="590" t="s">
        <v>38</v>
      </c>
      <c r="L2241" s="584">
        <f t="shared" si="306"/>
        <v>1397931</v>
      </c>
      <c r="M2241" s="585">
        <v>1364000</v>
      </c>
      <c r="N2241" s="586">
        <v>20399</v>
      </c>
      <c r="O2241" s="736">
        <v>2015</v>
      </c>
      <c r="P2241" s="586"/>
      <c r="Q2241" s="586">
        <v>11517</v>
      </c>
      <c r="R2241" s="599">
        <f>M2241/E2241</f>
        <v>2200</v>
      </c>
      <c r="S2241" s="592"/>
      <c r="T2241" s="738"/>
      <c r="U2241" s="557"/>
      <c r="V2241" s="590"/>
      <c r="W2241" s="592"/>
      <c r="X2241" s="592"/>
      <c r="Y2241" s="592"/>
      <c r="Z2241" s="592"/>
    </row>
    <row r="2242" spans="1:26" s="94" customFormat="1" ht="56.25" hidden="1">
      <c r="A2242" s="679">
        <f t="shared" si="308"/>
        <v>32</v>
      </c>
      <c r="B2242" s="592" t="s">
        <v>2870</v>
      </c>
      <c r="C2242" s="593" t="s">
        <v>221</v>
      </c>
      <c r="D2242" s="789">
        <v>5957</v>
      </c>
      <c r="E2242" s="789">
        <v>1118.9000000000001</v>
      </c>
      <c r="F2242" s="593" t="s">
        <v>222</v>
      </c>
      <c r="G2242" s="789">
        <v>915</v>
      </c>
      <c r="H2242" s="582">
        <v>3</v>
      </c>
      <c r="I2242" s="582">
        <v>3</v>
      </c>
      <c r="J2242" s="744">
        <v>35</v>
      </c>
      <c r="K2242" s="590" t="s">
        <v>248</v>
      </c>
      <c r="L2242" s="584">
        <f t="shared" si="306"/>
        <v>2793077</v>
      </c>
      <c r="M2242" s="585">
        <v>2745000</v>
      </c>
      <c r="N2242" s="586">
        <v>29619</v>
      </c>
      <c r="O2242" s="587"/>
      <c r="P2242" s="586"/>
      <c r="Q2242" s="586">
        <v>18458</v>
      </c>
      <c r="R2242" s="582">
        <f>M2242/G2242</f>
        <v>3000</v>
      </c>
      <c r="S2242" s="591"/>
      <c r="T2242" s="1012"/>
      <c r="U2242" s="1059"/>
      <c r="V2242" s="588"/>
      <c r="W2242" s="591"/>
      <c r="X2242" s="591"/>
      <c r="Y2242" s="591"/>
      <c r="Z2242" s="591"/>
    </row>
    <row r="2243" spans="1:26" s="28" customFormat="1" hidden="1">
      <c r="A2243" s="1361" t="s">
        <v>50</v>
      </c>
      <c r="B2243" s="1361"/>
      <c r="C2243" s="602" t="s">
        <v>28</v>
      </c>
      <c r="D2243" s="646">
        <f>SUM(D2211:D2242)</f>
        <v>255272</v>
      </c>
      <c r="E2243" s="646">
        <f>SUM(E2211:E2242)</f>
        <v>44364.959999999992</v>
      </c>
      <c r="F2243" s="646" t="s">
        <v>28</v>
      </c>
      <c r="G2243" s="646">
        <f>SUM(G2211:G2242)</f>
        <v>29291.287999999997</v>
      </c>
      <c r="H2243" s="582" t="s">
        <v>28</v>
      </c>
      <c r="I2243" s="582" t="s">
        <v>28</v>
      </c>
      <c r="J2243" s="582">
        <f>SUM(J2211:J2242)</f>
        <v>1309</v>
      </c>
      <c r="K2243" s="679" t="s">
        <v>28</v>
      </c>
      <c r="L2243" s="584">
        <f>SUM(L2211:L2242)</f>
        <v>77744695.769999996</v>
      </c>
      <c r="M2243" s="585">
        <f>SUM(M2211:M2242)</f>
        <v>76491407</v>
      </c>
      <c r="N2243" s="586">
        <f>SUM(N2211:N2242)</f>
        <v>565551</v>
      </c>
      <c r="O2243" s="587">
        <f>SUM(O2211:O2242)</f>
        <v>178348</v>
      </c>
      <c r="P2243" s="586"/>
      <c r="Q2243" s="586">
        <f>SUM(Q2211:Q2242)</f>
        <v>509389.7699999999</v>
      </c>
      <c r="R2243" s="582" t="s">
        <v>28</v>
      </c>
      <c r="S2243" s="645">
        <f>L2243-M2243-N2243-O2243-P2243-Q2243</f>
        <v>-4.0745362639427185E-9</v>
      </c>
      <c r="T2243" s="645"/>
      <c r="U2243" s="591"/>
      <c r="V2243" s="589"/>
      <c r="W2243" s="592"/>
      <c r="X2243" s="592"/>
      <c r="Y2243" s="592"/>
      <c r="Z2243" s="592"/>
    </row>
    <row r="2244" spans="1:26" s="28" customFormat="1" hidden="1">
      <c r="A2244" s="1347" t="s">
        <v>51</v>
      </c>
      <c r="B2244" s="1347"/>
      <c r="C2244" s="1347"/>
      <c r="D2244" s="1347"/>
      <c r="E2244" s="1347"/>
      <c r="F2244" s="1347"/>
      <c r="G2244" s="1347"/>
      <c r="H2244" s="1347"/>
      <c r="I2244" s="1347"/>
      <c r="J2244" s="1347"/>
      <c r="K2244" s="1347"/>
      <c r="L2244" s="1347"/>
      <c r="M2244" s="1347"/>
      <c r="N2244" s="1347"/>
      <c r="O2244" s="1347"/>
      <c r="P2244" s="1347"/>
      <c r="Q2244" s="1347"/>
      <c r="R2244" s="590"/>
      <c r="S2244" s="592"/>
      <c r="T2244" s="645"/>
      <c r="U2244" s="591"/>
      <c r="V2244" s="589"/>
      <c r="W2244" s="592"/>
      <c r="X2244" s="592"/>
      <c r="Y2244" s="592"/>
      <c r="Z2244" s="592"/>
    </row>
    <row r="2245" spans="1:26" s="544" customFormat="1" hidden="1">
      <c r="A2245" s="606">
        <v>1</v>
      </c>
      <c r="B2245" s="581" t="s">
        <v>1934</v>
      </c>
      <c r="C2245" s="593" t="s">
        <v>221</v>
      </c>
      <c r="D2245" s="646">
        <v>1125</v>
      </c>
      <c r="E2245" s="646">
        <v>429</v>
      </c>
      <c r="F2245" s="646" t="s">
        <v>228</v>
      </c>
      <c r="G2245" s="646">
        <v>187</v>
      </c>
      <c r="H2245" s="582">
        <v>2</v>
      </c>
      <c r="I2245" s="582">
        <v>2</v>
      </c>
      <c r="J2245" s="582">
        <v>8</v>
      </c>
      <c r="K2245" s="590" t="s">
        <v>268</v>
      </c>
      <c r="L2245" s="584">
        <f>M2245+N2245+O2245+P2245+Q2245</f>
        <v>110792.03</v>
      </c>
      <c r="M2245" s="585">
        <f>J2245*12000</f>
        <v>96000</v>
      </c>
      <c r="N2245" s="586"/>
      <c r="O2245" s="631">
        <v>10618</v>
      </c>
      <c r="P2245" s="586"/>
      <c r="Q2245" s="586">
        <v>4174.03</v>
      </c>
      <c r="R2245" s="582">
        <f>M2245/J2245</f>
        <v>12000</v>
      </c>
      <c r="S2245" s="575">
        <f>L2245-M2245-N2245-O2245-P2245-Q2245</f>
        <v>0</v>
      </c>
      <c r="T2245" s="738">
        <f>L2245-M2245-N2245-O2245-Q2245</f>
        <v>0</v>
      </c>
      <c r="U2245" s="1072"/>
      <c r="V2245" s="589"/>
      <c r="W2245" s="1072"/>
      <c r="X2245" s="1072"/>
      <c r="Y2245" s="1072"/>
      <c r="Z2245" s="1072"/>
    </row>
    <row r="2246" spans="1:26" s="28" customFormat="1" hidden="1">
      <c r="A2246" s="590">
        <v>2</v>
      </c>
      <c r="B2246" s="592" t="s">
        <v>1935</v>
      </c>
      <c r="C2246" s="593" t="s">
        <v>239</v>
      </c>
      <c r="D2246" s="646">
        <v>1972.5</v>
      </c>
      <c r="E2246" s="646">
        <v>585</v>
      </c>
      <c r="F2246" s="646" t="s">
        <v>222</v>
      </c>
      <c r="G2246" s="646">
        <v>693</v>
      </c>
      <c r="H2246" s="582">
        <v>2</v>
      </c>
      <c r="I2246" s="582">
        <v>2</v>
      </c>
      <c r="J2246" s="582">
        <v>16</v>
      </c>
      <c r="K2246" s="590" t="s">
        <v>33</v>
      </c>
      <c r="L2246" s="595">
        <f>M2246+N2246+O2246+P2246+Q2246</f>
        <v>1222977.71</v>
      </c>
      <c r="M2246" s="585">
        <v>1185044</v>
      </c>
      <c r="N2246" s="630">
        <v>28323</v>
      </c>
      <c r="O2246" s="587"/>
      <c r="P2246" s="586"/>
      <c r="Q2246" s="586">
        <v>9610.7099999999991</v>
      </c>
      <c r="R2246" s="582">
        <f>M2246/G2246</f>
        <v>1710.0202020202021</v>
      </c>
      <c r="S2246" s="575">
        <f>L2246-M2246-N2246-O2246-P2246-Q2246</f>
        <v>-3.637978807091713E-11</v>
      </c>
      <c r="T2246" s="645"/>
      <c r="U2246" s="591"/>
      <c r="V2246" s="589"/>
      <c r="W2246" s="592"/>
      <c r="X2246" s="592"/>
      <c r="Y2246" s="592"/>
      <c r="Z2246" s="592"/>
    </row>
    <row r="2247" spans="1:26" s="28" customFormat="1" hidden="1">
      <c r="A2247" s="1349" t="s">
        <v>120</v>
      </c>
      <c r="B2247" s="1349"/>
      <c r="C2247" s="602" t="s">
        <v>28</v>
      </c>
      <c r="D2247" s="646">
        <f>SUM(D2245:D2246)</f>
        <v>3097.5</v>
      </c>
      <c r="E2247" s="646">
        <f>SUM(E2245:E2246)</f>
        <v>1014</v>
      </c>
      <c r="F2247" s="646" t="s">
        <v>28</v>
      </c>
      <c r="G2247" s="646">
        <f>SUM(G2245:G2246)</f>
        <v>880</v>
      </c>
      <c r="H2247" s="582" t="s">
        <v>28</v>
      </c>
      <c r="I2247" s="582" t="s">
        <v>28</v>
      </c>
      <c r="J2247" s="582">
        <f>SUM(J2245:J2246)</f>
        <v>24</v>
      </c>
      <c r="K2247" s="679" t="s">
        <v>28</v>
      </c>
      <c r="L2247" s="584">
        <f t="shared" ref="L2247:Q2247" si="310">SUM(L2245:L2246)</f>
        <v>1333769.74</v>
      </c>
      <c r="M2247" s="585">
        <f t="shared" si="310"/>
        <v>1281044</v>
      </c>
      <c r="N2247" s="586">
        <f t="shared" si="310"/>
        <v>28323</v>
      </c>
      <c r="O2247" s="587">
        <f t="shared" si="310"/>
        <v>10618</v>
      </c>
      <c r="P2247" s="586">
        <f t="shared" si="310"/>
        <v>0</v>
      </c>
      <c r="Q2247" s="586">
        <f t="shared" si="310"/>
        <v>13784.739999999998</v>
      </c>
      <c r="R2247" s="582" t="s">
        <v>28</v>
      </c>
      <c r="S2247" s="645">
        <f>L2247-M2247-N2247-O2247-P2247-Q2247</f>
        <v>0</v>
      </c>
      <c r="T2247" s="645"/>
      <c r="U2247" s="591"/>
      <c r="V2247" s="589"/>
      <c r="W2247" s="592"/>
      <c r="X2247" s="592"/>
      <c r="Y2247" s="592"/>
      <c r="Z2247" s="592"/>
    </row>
    <row r="2248" spans="1:26" s="28" customFormat="1" hidden="1">
      <c r="A2248" s="1347" t="s">
        <v>52</v>
      </c>
      <c r="B2248" s="1347"/>
      <c r="C2248" s="1347"/>
      <c r="D2248" s="1347"/>
      <c r="E2248" s="1347"/>
      <c r="F2248" s="1347"/>
      <c r="G2248" s="1347"/>
      <c r="H2248" s="1347"/>
      <c r="I2248" s="1347"/>
      <c r="J2248" s="1347"/>
      <c r="K2248" s="1347"/>
      <c r="L2248" s="1347"/>
      <c r="M2248" s="1347"/>
      <c r="N2248" s="1347"/>
      <c r="O2248" s="1347"/>
      <c r="P2248" s="1347"/>
      <c r="Q2248" s="1347"/>
      <c r="R2248" s="590"/>
      <c r="S2248" s="592"/>
      <c r="T2248" s="645"/>
      <c r="U2248" s="591"/>
      <c r="V2248" s="589"/>
      <c r="W2248" s="592"/>
      <c r="X2248" s="592"/>
      <c r="Y2248" s="592"/>
      <c r="Z2248" s="592"/>
    </row>
    <row r="2249" spans="1:26" s="92" customFormat="1" ht="37.5" hidden="1">
      <c r="A2249" s="590">
        <v>1</v>
      </c>
      <c r="B2249" s="592" t="s">
        <v>1936</v>
      </c>
      <c r="C2249" s="593" t="s">
        <v>221</v>
      </c>
      <c r="D2249" s="619">
        <v>3591</v>
      </c>
      <c r="E2249" s="619">
        <v>1006.4</v>
      </c>
      <c r="F2249" s="646" t="s">
        <v>222</v>
      </c>
      <c r="G2249" s="619">
        <v>865.7</v>
      </c>
      <c r="H2249" s="599">
        <v>2</v>
      </c>
      <c r="I2249" s="599">
        <v>3</v>
      </c>
      <c r="J2249" s="599">
        <v>22</v>
      </c>
      <c r="K2249" s="590" t="s">
        <v>274</v>
      </c>
      <c r="L2249" s="584">
        <f>M2249+N2249+O2249+Q2249</f>
        <v>1967241.08</v>
      </c>
      <c r="M2249" s="585">
        <v>1918911</v>
      </c>
      <c r="N2249" s="630">
        <v>30834</v>
      </c>
      <c r="O2249" s="587"/>
      <c r="P2249" s="586"/>
      <c r="Q2249" s="586">
        <v>17496.080000000002</v>
      </c>
      <c r="R2249" s="582">
        <f>M2249/G2249</f>
        <v>2216.6004389511377</v>
      </c>
      <c r="S2249" s="575">
        <f>L2249-M2249-N2249-O2249-P2249-Q2249</f>
        <v>7.2759576141834259E-11</v>
      </c>
      <c r="T2249" s="799"/>
      <c r="U2249" s="800"/>
      <c r="V2249" s="589"/>
      <c r="W2249" s="799"/>
      <c r="X2249" s="799"/>
      <c r="Y2249" s="799"/>
      <c r="Z2249" s="799"/>
    </row>
    <row r="2250" spans="1:26" s="92" customFormat="1" ht="37.5" hidden="1">
      <c r="A2250" s="590">
        <f>A2249+1</f>
        <v>2</v>
      </c>
      <c r="B2250" s="592" t="s">
        <v>1937</v>
      </c>
      <c r="C2250" s="593" t="s">
        <v>239</v>
      </c>
      <c r="D2250" s="619">
        <v>3903</v>
      </c>
      <c r="E2250" s="619">
        <v>841.3</v>
      </c>
      <c r="F2250" s="646" t="s">
        <v>222</v>
      </c>
      <c r="G2250" s="619">
        <v>598.70000000000005</v>
      </c>
      <c r="H2250" s="599">
        <v>2</v>
      </c>
      <c r="I2250" s="599">
        <v>2</v>
      </c>
      <c r="J2250" s="599">
        <v>16</v>
      </c>
      <c r="K2250" s="590" t="s">
        <v>30</v>
      </c>
      <c r="L2250" s="746">
        <f>M2250+N2250+O2250+P2250+Q2250</f>
        <v>294134.07</v>
      </c>
      <c r="M2250" s="585">
        <f>J2250*17000</f>
        <v>272000</v>
      </c>
      <c r="N2250" s="586"/>
      <c r="O2250" s="631">
        <v>11004</v>
      </c>
      <c r="P2250" s="586"/>
      <c r="Q2250" s="586">
        <v>11130.07</v>
      </c>
      <c r="R2250" s="582">
        <f>M2250/J2250</f>
        <v>17000</v>
      </c>
      <c r="S2250" s="575">
        <f>L2250-M2250-N2250-O2250-P2250-Q2250</f>
        <v>0</v>
      </c>
      <c r="T2250" s="738"/>
      <c r="U2250" s="589"/>
      <c r="V2250" s="589"/>
      <c r="W2250" s="799"/>
      <c r="X2250" s="799"/>
      <c r="Y2250" s="799"/>
      <c r="Z2250" s="799"/>
    </row>
    <row r="2251" spans="1:26" s="28" customFormat="1" hidden="1">
      <c r="A2251" s="1349" t="s">
        <v>53</v>
      </c>
      <c r="B2251" s="1349"/>
      <c r="C2251" s="602" t="s">
        <v>28</v>
      </c>
      <c r="D2251" s="646">
        <f>SUM(D2249:D2250)</f>
        <v>7494</v>
      </c>
      <c r="E2251" s="646">
        <f>SUM(E2249:E2250)</f>
        <v>1847.6999999999998</v>
      </c>
      <c r="F2251" s="646" t="s">
        <v>28</v>
      </c>
      <c r="G2251" s="646">
        <f>SUM(G2249:G2250)</f>
        <v>1464.4</v>
      </c>
      <c r="H2251" s="582" t="s">
        <v>28</v>
      </c>
      <c r="I2251" s="582" t="s">
        <v>28</v>
      </c>
      <c r="J2251" s="582">
        <f>SUM(J2249:J2250)</f>
        <v>38</v>
      </c>
      <c r="K2251" s="679" t="s">
        <v>28</v>
      </c>
      <c r="L2251" s="584">
        <f>SUM(L2249:L2250)</f>
        <v>2261375.15</v>
      </c>
      <c r="M2251" s="585">
        <f>SUM(M2249:M2250)</f>
        <v>2190911</v>
      </c>
      <c r="N2251" s="586">
        <f>SUM(N2249:N2250)</f>
        <v>30834</v>
      </c>
      <c r="O2251" s="587">
        <f>SUM(O2249:O2250)</f>
        <v>11004</v>
      </c>
      <c r="P2251" s="586"/>
      <c r="Q2251" s="586">
        <f>SUM(Q2249:Q2250)</f>
        <v>28626.15</v>
      </c>
      <c r="R2251" s="582" t="s">
        <v>28</v>
      </c>
      <c r="S2251" s="645">
        <f>L2251-M2251-N2251-O2251-P2251-Q2251</f>
        <v>-9.4587448984384537E-11</v>
      </c>
      <c r="T2251" s="645"/>
      <c r="U2251" s="591"/>
      <c r="V2251" s="589"/>
      <c r="W2251" s="592"/>
      <c r="X2251" s="592"/>
      <c r="Y2251" s="592"/>
      <c r="Z2251" s="592"/>
    </row>
    <row r="2252" spans="1:26" s="28" customFormat="1" hidden="1">
      <c r="A2252" s="1347" t="s">
        <v>54</v>
      </c>
      <c r="B2252" s="1347"/>
      <c r="C2252" s="1347"/>
      <c r="D2252" s="1347"/>
      <c r="E2252" s="1347"/>
      <c r="F2252" s="1347"/>
      <c r="G2252" s="1347"/>
      <c r="H2252" s="1347"/>
      <c r="I2252" s="1347"/>
      <c r="J2252" s="1347"/>
      <c r="K2252" s="1347"/>
      <c r="L2252" s="1347"/>
      <c r="M2252" s="1347"/>
      <c r="N2252" s="1347"/>
      <c r="O2252" s="1347"/>
      <c r="P2252" s="1347"/>
      <c r="Q2252" s="1347"/>
      <c r="R2252" s="590"/>
      <c r="S2252" s="592"/>
      <c r="T2252" s="645"/>
      <c r="U2252" s="591"/>
      <c r="V2252" s="589"/>
      <c r="W2252" s="592"/>
      <c r="X2252" s="592"/>
      <c r="Y2252" s="592"/>
      <c r="Z2252" s="592"/>
    </row>
    <row r="2253" spans="1:26" s="71" customFormat="1" hidden="1">
      <c r="A2253" s="679">
        <v>1</v>
      </c>
      <c r="B2253" s="592" t="s">
        <v>1938</v>
      </c>
      <c r="C2253" s="593" t="s">
        <v>221</v>
      </c>
      <c r="D2253" s="646">
        <v>16747</v>
      </c>
      <c r="E2253" s="646">
        <v>3100</v>
      </c>
      <c r="F2253" s="646" t="s">
        <v>223</v>
      </c>
      <c r="G2253" s="646">
        <v>1274</v>
      </c>
      <c r="H2253" s="582">
        <v>5</v>
      </c>
      <c r="I2253" s="582">
        <v>6</v>
      </c>
      <c r="J2253" s="582">
        <v>77</v>
      </c>
      <c r="K2253" s="590" t="s">
        <v>238</v>
      </c>
      <c r="L2253" s="584">
        <f>M2253+N2253+O2253+Q2253</f>
        <v>2365451.71</v>
      </c>
      <c r="M2253" s="585">
        <v>2310000</v>
      </c>
      <c r="N2253" s="630">
        <v>32727</v>
      </c>
      <c r="O2253" s="587"/>
      <c r="P2253" s="586"/>
      <c r="Q2253" s="586">
        <v>22724.71</v>
      </c>
      <c r="R2253" s="582">
        <f>M2253/J2253</f>
        <v>30000</v>
      </c>
      <c r="S2253" s="575">
        <f t="shared" ref="S2253:S2268" si="311">L2253-M2253-N2253-O2253-P2253-Q2253</f>
        <v>-3.637978807091713E-11</v>
      </c>
      <c r="T2253" s="737"/>
      <c r="U2253" s="737"/>
      <c r="V2253" s="589"/>
      <c r="W2253" s="737"/>
      <c r="X2253" s="737"/>
      <c r="Y2253" s="737"/>
      <c r="Z2253" s="737"/>
    </row>
    <row r="2254" spans="1:26" s="71" customFormat="1" hidden="1">
      <c r="A2254" s="679">
        <f t="shared" ref="A2254:A2271" si="312">A2253+1</f>
        <v>2</v>
      </c>
      <c r="B2254" s="616" t="s">
        <v>1939</v>
      </c>
      <c r="C2254" s="593" t="s">
        <v>221</v>
      </c>
      <c r="D2254" s="646">
        <v>1710</v>
      </c>
      <c r="E2254" s="646">
        <v>420</v>
      </c>
      <c r="F2254" s="646" t="s">
        <v>230</v>
      </c>
      <c r="G2254" s="646">
        <v>410</v>
      </c>
      <c r="H2254" s="582">
        <v>2</v>
      </c>
      <c r="I2254" s="582">
        <v>1</v>
      </c>
      <c r="J2254" s="582">
        <v>8</v>
      </c>
      <c r="K2254" s="590" t="s">
        <v>33</v>
      </c>
      <c r="L2254" s="595">
        <f>M2254+N2254+O2254+P2254+Q2254</f>
        <v>979331.49</v>
      </c>
      <c r="M2254" s="585">
        <v>943000</v>
      </c>
      <c r="N2254" s="630">
        <v>28000</v>
      </c>
      <c r="O2254" s="587"/>
      <c r="P2254" s="586"/>
      <c r="Q2254" s="586">
        <v>8331.49</v>
      </c>
      <c r="R2254" s="582">
        <f>M2254/G2254</f>
        <v>2300</v>
      </c>
      <c r="S2254" s="575">
        <f t="shared" si="311"/>
        <v>0</v>
      </c>
      <c r="T2254" s="737"/>
      <c r="U2254" s="737"/>
      <c r="V2254" s="589"/>
      <c r="W2254" s="737"/>
      <c r="X2254" s="737"/>
      <c r="Y2254" s="737"/>
      <c r="Z2254" s="737"/>
    </row>
    <row r="2255" spans="1:26" s="71" customFormat="1" hidden="1">
      <c r="A2255" s="679">
        <f t="shared" si="312"/>
        <v>3</v>
      </c>
      <c r="B2255" s="592" t="s">
        <v>1940</v>
      </c>
      <c r="C2255" s="593" t="s">
        <v>221</v>
      </c>
      <c r="D2255" s="646">
        <v>8870</v>
      </c>
      <c r="E2255" s="646">
        <v>1858</v>
      </c>
      <c r="F2255" s="646" t="s">
        <v>227</v>
      </c>
      <c r="G2255" s="646">
        <v>650</v>
      </c>
      <c r="H2255" s="582">
        <v>5</v>
      </c>
      <c r="I2255" s="582">
        <v>1</v>
      </c>
      <c r="J2255" s="582">
        <v>64</v>
      </c>
      <c r="K2255" s="590" t="s">
        <v>238</v>
      </c>
      <c r="L2255" s="584">
        <f>M2255+N2255+O2255+Q2255</f>
        <v>1967158.78</v>
      </c>
      <c r="M2255" s="585">
        <v>1920000</v>
      </c>
      <c r="N2255" s="630">
        <v>28608</v>
      </c>
      <c r="O2255" s="587"/>
      <c r="P2255" s="586"/>
      <c r="Q2255" s="586">
        <v>18550.78</v>
      </c>
      <c r="R2255" s="582">
        <f>M2255/J2255</f>
        <v>30000</v>
      </c>
      <c r="S2255" s="575">
        <f t="shared" si="311"/>
        <v>2.9103830456733704E-11</v>
      </c>
      <c r="T2255" s="737"/>
      <c r="U2255" s="737"/>
      <c r="V2255" s="589"/>
      <c r="W2255" s="737"/>
      <c r="X2255" s="737"/>
      <c r="Y2255" s="737"/>
      <c r="Z2255" s="737"/>
    </row>
    <row r="2256" spans="1:26" s="71" customFormat="1" hidden="1">
      <c r="A2256" s="679">
        <f t="shared" si="312"/>
        <v>4</v>
      </c>
      <c r="B2256" s="616" t="s">
        <v>1941</v>
      </c>
      <c r="C2256" s="593" t="s">
        <v>221</v>
      </c>
      <c r="D2256" s="646">
        <v>2395</v>
      </c>
      <c r="E2256" s="646">
        <v>559</v>
      </c>
      <c r="F2256" s="646" t="s">
        <v>222</v>
      </c>
      <c r="G2256" s="646">
        <v>674</v>
      </c>
      <c r="H2256" s="582">
        <v>2</v>
      </c>
      <c r="I2256" s="582">
        <v>2</v>
      </c>
      <c r="J2256" s="582">
        <v>13</v>
      </c>
      <c r="K2256" s="590" t="s">
        <v>33</v>
      </c>
      <c r="L2256" s="595">
        <f t="shared" ref="L2256:L2271" si="313">M2256+N2256+O2256+P2256+Q2256</f>
        <v>1590904.96</v>
      </c>
      <c r="M2256" s="585">
        <v>1550200</v>
      </c>
      <c r="N2256" s="630">
        <v>29036</v>
      </c>
      <c r="O2256" s="587"/>
      <c r="P2256" s="586"/>
      <c r="Q2256" s="586">
        <v>11668.96</v>
      </c>
      <c r="R2256" s="582">
        <f t="shared" ref="R2256:R2266" si="314">M2256/G2256</f>
        <v>2300</v>
      </c>
      <c r="S2256" s="575">
        <f t="shared" si="311"/>
        <v>-3.637978807091713E-11</v>
      </c>
      <c r="T2256" s="737"/>
      <c r="U2256" s="737"/>
      <c r="V2256" s="589"/>
      <c r="W2256" s="737"/>
      <c r="X2256" s="737"/>
      <c r="Y2256" s="737"/>
      <c r="Z2256" s="737"/>
    </row>
    <row r="2257" spans="1:26" s="71" customFormat="1" hidden="1">
      <c r="A2257" s="679">
        <f t="shared" si="312"/>
        <v>5</v>
      </c>
      <c r="B2257" s="616" t="s">
        <v>1942</v>
      </c>
      <c r="C2257" s="593" t="s">
        <v>221</v>
      </c>
      <c r="D2257" s="646">
        <v>2463</v>
      </c>
      <c r="E2257" s="646">
        <v>530</v>
      </c>
      <c r="F2257" s="646" t="s">
        <v>222</v>
      </c>
      <c r="G2257" s="646">
        <v>674</v>
      </c>
      <c r="H2257" s="582">
        <v>2</v>
      </c>
      <c r="I2257" s="582">
        <v>2</v>
      </c>
      <c r="J2257" s="582">
        <v>16</v>
      </c>
      <c r="K2257" s="590" t="s">
        <v>33</v>
      </c>
      <c r="L2257" s="595">
        <f t="shared" si="313"/>
        <v>1591410.27</v>
      </c>
      <c r="M2257" s="585">
        <v>1550200</v>
      </c>
      <c r="N2257" s="630">
        <v>29210</v>
      </c>
      <c r="O2257" s="587"/>
      <c r="P2257" s="586"/>
      <c r="Q2257" s="586">
        <v>12000.27</v>
      </c>
      <c r="R2257" s="582">
        <f t="shared" si="314"/>
        <v>2300</v>
      </c>
      <c r="S2257" s="575">
        <f t="shared" si="311"/>
        <v>1.8189894035458565E-11</v>
      </c>
      <c r="T2257" s="737"/>
      <c r="U2257" s="737"/>
      <c r="V2257" s="589"/>
      <c r="W2257" s="737"/>
      <c r="X2257" s="737"/>
      <c r="Y2257" s="737"/>
      <c r="Z2257" s="737"/>
    </row>
    <row r="2258" spans="1:26" s="71" customFormat="1" hidden="1">
      <c r="A2258" s="679">
        <f t="shared" si="312"/>
        <v>6</v>
      </c>
      <c r="B2258" s="616" t="s">
        <v>1943</v>
      </c>
      <c r="C2258" s="593" t="s">
        <v>221</v>
      </c>
      <c r="D2258" s="646">
        <v>2048</v>
      </c>
      <c r="E2258" s="646">
        <v>463</v>
      </c>
      <c r="F2258" s="646" t="s">
        <v>230</v>
      </c>
      <c r="G2258" s="646">
        <v>710</v>
      </c>
      <c r="H2258" s="582">
        <v>2</v>
      </c>
      <c r="I2258" s="582">
        <v>2</v>
      </c>
      <c r="J2258" s="582">
        <v>8</v>
      </c>
      <c r="K2258" s="590" t="s">
        <v>33</v>
      </c>
      <c r="L2258" s="595">
        <f t="shared" si="313"/>
        <v>1671496.3</v>
      </c>
      <c r="M2258" s="585">
        <v>1633000</v>
      </c>
      <c r="N2258" s="630">
        <v>28518</v>
      </c>
      <c r="O2258" s="587"/>
      <c r="P2258" s="586"/>
      <c r="Q2258" s="586">
        <v>9978.2999999999993</v>
      </c>
      <c r="R2258" s="582">
        <f t="shared" si="314"/>
        <v>2300</v>
      </c>
      <c r="S2258" s="575">
        <f t="shared" si="311"/>
        <v>4.7293724492192268E-11</v>
      </c>
      <c r="T2258" s="737"/>
      <c r="U2258" s="737"/>
      <c r="V2258" s="589"/>
      <c r="W2258" s="737"/>
      <c r="X2258" s="737"/>
      <c r="Y2258" s="737"/>
      <c r="Z2258" s="737"/>
    </row>
    <row r="2259" spans="1:26" s="71" customFormat="1" hidden="1">
      <c r="A2259" s="679">
        <f t="shared" si="312"/>
        <v>7</v>
      </c>
      <c r="B2259" s="616" t="s">
        <v>1944</v>
      </c>
      <c r="C2259" s="593" t="s">
        <v>221</v>
      </c>
      <c r="D2259" s="646">
        <v>1752</v>
      </c>
      <c r="E2259" s="646">
        <v>450</v>
      </c>
      <c r="F2259" s="646" t="s">
        <v>222</v>
      </c>
      <c r="G2259" s="646">
        <v>686</v>
      </c>
      <c r="H2259" s="582">
        <v>2</v>
      </c>
      <c r="I2259" s="582">
        <v>2</v>
      </c>
      <c r="J2259" s="582">
        <v>8</v>
      </c>
      <c r="K2259" s="590" t="s">
        <v>33</v>
      </c>
      <c r="L2259" s="595">
        <f t="shared" si="313"/>
        <v>1614446.12</v>
      </c>
      <c r="M2259" s="585">
        <v>1577800</v>
      </c>
      <c r="N2259" s="630">
        <v>28110</v>
      </c>
      <c r="O2259" s="587"/>
      <c r="P2259" s="586"/>
      <c r="Q2259" s="586">
        <v>8536.1200000000008</v>
      </c>
      <c r="R2259" s="582">
        <f t="shared" si="314"/>
        <v>2300</v>
      </c>
      <c r="S2259" s="575">
        <f t="shared" si="311"/>
        <v>1.1095835361629725E-10</v>
      </c>
      <c r="T2259" s="737"/>
      <c r="U2259" s="737"/>
      <c r="V2259" s="589"/>
      <c r="W2259" s="737"/>
      <c r="X2259" s="737"/>
      <c r="Y2259" s="737"/>
      <c r="Z2259" s="737"/>
    </row>
    <row r="2260" spans="1:26" s="71" customFormat="1" hidden="1">
      <c r="A2260" s="679">
        <f t="shared" si="312"/>
        <v>8</v>
      </c>
      <c r="B2260" s="616" t="s">
        <v>1945</v>
      </c>
      <c r="C2260" s="593" t="s">
        <v>221</v>
      </c>
      <c r="D2260" s="646">
        <v>2450</v>
      </c>
      <c r="E2260" s="646">
        <v>261</v>
      </c>
      <c r="F2260" s="646" t="s">
        <v>222</v>
      </c>
      <c r="G2260" s="646">
        <v>660</v>
      </c>
      <c r="H2260" s="582">
        <v>2</v>
      </c>
      <c r="I2260" s="582">
        <v>2</v>
      </c>
      <c r="J2260" s="582">
        <v>12</v>
      </c>
      <c r="K2260" s="590" t="s">
        <v>33</v>
      </c>
      <c r="L2260" s="595">
        <f t="shared" si="313"/>
        <v>1625113.94</v>
      </c>
      <c r="M2260" s="585">
        <v>1584000</v>
      </c>
      <c r="N2260" s="630">
        <v>29177</v>
      </c>
      <c r="O2260" s="587"/>
      <c r="P2260" s="586"/>
      <c r="Q2260" s="586">
        <v>11936.94</v>
      </c>
      <c r="R2260" s="582">
        <f t="shared" si="314"/>
        <v>2400</v>
      </c>
      <c r="S2260" s="575">
        <f t="shared" si="311"/>
        <v>-5.6388671509921551E-11</v>
      </c>
      <c r="T2260" s="737"/>
      <c r="U2260" s="737"/>
      <c r="V2260" s="589"/>
      <c r="W2260" s="737"/>
      <c r="X2260" s="737"/>
      <c r="Y2260" s="737"/>
      <c r="Z2260" s="737"/>
    </row>
    <row r="2261" spans="1:26" s="71" customFormat="1" hidden="1">
      <c r="A2261" s="679">
        <f t="shared" si="312"/>
        <v>9</v>
      </c>
      <c r="B2261" s="616" t="s">
        <v>1946</v>
      </c>
      <c r="C2261" s="593" t="s">
        <v>221</v>
      </c>
      <c r="D2261" s="646">
        <v>6665</v>
      </c>
      <c r="E2261" s="646">
        <v>1356</v>
      </c>
      <c r="F2261" s="646" t="s">
        <v>222</v>
      </c>
      <c r="G2261" s="646">
        <v>698.18200000000002</v>
      </c>
      <c r="H2261" s="582">
        <v>3</v>
      </c>
      <c r="I2261" s="582">
        <v>2</v>
      </c>
      <c r="J2261" s="582">
        <v>32</v>
      </c>
      <c r="K2261" s="590" t="s">
        <v>33</v>
      </c>
      <c r="L2261" s="595">
        <f t="shared" si="313"/>
        <v>1738140.33</v>
      </c>
      <c r="M2261" s="585">
        <v>1675637</v>
      </c>
      <c r="N2261" s="630">
        <v>30030</v>
      </c>
      <c r="O2261" s="587"/>
      <c r="P2261" s="586"/>
      <c r="Q2261" s="586">
        <v>32473.33</v>
      </c>
      <c r="R2261" s="582">
        <f t="shared" si="314"/>
        <v>2400.0002864582589</v>
      </c>
      <c r="S2261" s="575">
        <f t="shared" si="311"/>
        <v>7.2759576141834259E-11</v>
      </c>
      <c r="T2261" s="737"/>
      <c r="U2261" s="1059">
        <f>L2261-M2261-N2261-O2261-Q2261</f>
        <v>7.2759576141834259E-11</v>
      </c>
      <c r="V2261" s="589"/>
      <c r="W2261" s="737"/>
      <c r="X2261" s="737"/>
      <c r="Y2261" s="737"/>
      <c r="Z2261" s="737"/>
    </row>
    <row r="2262" spans="1:26" s="71" customFormat="1" hidden="1">
      <c r="A2262" s="679">
        <f t="shared" si="312"/>
        <v>10</v>
      </c>
      <c r="B2262" s="592" t="s">
        <v>1947</v>
      </c>
      <c r="C2262" s="593" t="s">
        <v>221</v>
      </c>
      <c r="D2262" s="646">
        <v>2893</v>
      </c>
      <c r="E2262" s="646">
        <v>272</v>
      </c>
      <c r="F2262" s="646" t="s">
        <v>222</v>
      </c>
      <c r="G2262" s="646">
        <v>676</v>
      </c>
      <c r="H2262" s="582">
        <v>2</v>
      </c>
      <c r="I2262" s="582">
        <v>2</v>
      </c>
      <c r="J2262" s="582">
        <v>16</v>
      </c>
      <c r="K2262" s="590" t="s">
        <v>33</v>
      </c>
      <c r="L2262" s="595">
        <f t="shared" si="313"/>
        <v>1664703.32</v>
      </c>
      <c r="M2262" s="585">
        <v>1620696</v>
      </c>
      <c r="N2262" s="630">
        <v>29912</v>
      </c>
      <c r="O2262" s="587"/>
      <c r="P2262" s="586"/>
      <c r="Q2262" s="586">
        <v>14095.32</v>
      </c>
      <c r="R2262" s="582">
        <f t="shared" si="314"/>
        <v>2397.4792899408285</v>
      </c>
      <c r="S2262" s="575">
        <f t="shared" si="311"/>
        <v>6.5483618527650833E-11</v>
      </c>
      <c r="T2262" s="737"/>
      <c r="U2262" s="1059">
        <f>L2262-M2262-N2262-O2262-Q2262</f>
        <v>6.5483618527650833E-11</v>
      </c>
      <c r="V2262" s="589"/>
      <c r="W2262" s="737"/>
      <c r="X2262" s="737"/>
      <c r="Y2262" s="737"/>
      <c r="Z2262" s="737"/>
    </row>
    <row r="2263" spans="1:26" s="71" customFormat="1" hidden="1">
      <c r="A2263" s="679">
        <f t="shared" si="312"/>
        <v>11</v>
      </c>
      <c r="B2263" s="592" t="s">
        <v>1948</v>
      </c>
      <c r="C2263" s="593" t="s">
        <v>221</v>
      </c>
      <c r="D2263" s="646">
        <v>3489</v>
      </c>
      <c r="E2263" s="646">
        <v>351</v>
      </c>
      <c r="F2263" s="646" t="s">
        <v>222</v>
      </c>
      <c r="G2263" s="646">
        <v>845</v>
      </c>
      <c r="H2263" s="582">
        <v>2</v>
      </c>
      <c r="I2263" s="582">
        <v>3</v>
      </c>
      <c r="J2263" s="582">
        <v>22</v>
      </c>
      <c r="K2263" s="590" t="s">
        <v>33</v>
      </c>
      <c r="L2263" s="595">
        <f t="shared" si="313"/>
        <v>2051078.17</v>
      </c>
      <c r="M2263" s="585">
        <v>2003495</v>
      </c>
      <c r="N2263" s="630">
        <v>30584</v>
      </c>
      <c r="O2263" s="587"/>
      <c r="P2263" s="586"/>
      <c r="Q2263" s="586">
        <v>16999.169999999998</v>
      </c>
      <c r="R2263" s="582">
        <f t="shared" si="314"/>
        <v>2371</v>
      </c>
      <c r="S2263" s="575">
        <f t="shared" si="311"/>
        <v>-7.2759576141834259E-11</v>
      </c>
      <c r="T2263" s="737"/>
      <c r="U2263" s="737"/>
      <c r="V2263" s="589"/>
      <c r="W2263" s="737"/>
      <c r="X2263" s="737"/>
      <c r="Y2263" s="737"/>
      <c r="Z2263" s="737"/>
    </row>
    <row r="2264" spans="1:26" s="71" customFormat="1" hidden="1">
      <c r="A2264" s="679">
        <f t="shared" si="312"/>
        <v>12</v>
      </c>
      <c r="B2264" s="616" t="s">
        <v>1949</v>
      </c>
      <c r="C2264" s="593" t="s">
        <v>221</v>
      </c>
      <c r="D2264" s="646">
        <v>1098</v>
      </c>
      <c r="E2264" s="646">
        <v>327</v>
      </c>
      <c r="F2264" s="646" t="s">
        <v>222</v>
      </c>
      <c r="G2264" s="646">
        <v>360</v>
      </c>
      <c r="H2264" s="582">
        <v>2</v>
      </c>
      <c r="I2264" s="582">
        <v>1</v>
      </c>
      <c r="J2264" s="582">
        <v>8</v>
      </c>
      <c r="K2264" s="590" t="s">
        <v>33</v>
      </c>
      <c r="L2264" s="595">
        <f t="shared" si="313"/>
        <v>878083.7</v>
      </c>
      <c r="M2264" s="585">
        <v>846000</v>
      </c>
      <c r="N2264" s="630">
        <v>26734</v>
      </c>
      <c r="O2264" s="587"/>
      <c r="P2264" s="586"/>
      <c r="Q2264" s="586">
        <v>5349.7</v>
      </c>
      <c r="R2264" s="582">
        <f t="shared" si="314"/>
        <v>2350</v>
      </c>
      <c r="S2264" s="575">
        <f t="shared" si="311"/>
        <v>-4.638422979041934E-11</v>
      </c>
      <c r="T2264" s="737"/>
      <c r="U2264" s="737"/>
      <c r="V2264" s="589"/>
      <c r="W2264" s="737"/>
      <c r="X2264" s="737"/>
      <c r="Y2264" s="737"/>
      <c r="Z2264" s="737"/>
    </row>
    <row r="2265" spans="1:26" s="71" customFormat="1" hidden="1">
      <c r="A2265" s="679">
        <f t="shared" si="312"/>
        <v>13</v>
      </c>
      <c r="B2265" s="616" t="s">
        <v>1950</v>
      </c>
      <c r="C2265" s="593" t="s">
        <v>221</v>
      </c>
      <c r="D2265" s="646">
        <v>1420</v>
      </c>
      <c r="E2265" s="646">
        <v>451</v>
      </c>
      <c r="F2265" s="646" t="s">
        <v>222</v>
      </c>
      <c r="G2265" s="646">
        <v>710</v>
      </c>
      <c r="H2265" s="582">
        <v>2</v>
      </c>
      <c r="I2265" s="582">
        <v>2</v>
      </c>
      <c r="J2265" s="582">
        <v>8</v>
      </c>
      <c r="K2265" s="590" t="s">
        <v>33</v>
      </c>
      <c r="L2265" s="595">
        <f t="shared" si="313"/>
        <v>1667160.54</v>
      </c>
      <c r="M2265" s="585">
        <v>1633000</v>
      </c>
      <c r="N2265" s="630">
        <v>27242</v>
      </c>
      <c r="O2265" s="587"/>
      <c r="P2265" s="586"/>
      <c r="Q2265" s="586">
        <v>6918.54</v>
      </c>
      <c r="R2265" s="582">
        <f t="shared" si="314"/>
        <v>2300</v>
      </c>
      <c r="S2265" s="575">
        <f t="shared" si="311"/>
        <v>3.7289282772690058E-11</v>
      </c>
      <c r="T2265" s="737"/>
      <c r="U2265" s="737"/>
      <c r="V2265" s="589"/>
      <c r="W2265" s="737"/>
      <c r="X2265" s="737"/>
      <c r="Y2265" s="737"/>
      <c r="Z2265" s="737"/>
    </row>
    <row r="2266" spans="1:26" s="71" customFormat="1" hidden="1">
      <c r="A2266" s="679">
        <f t="shared" si="312"/>
        <v>14</v>
      </c>
      <c r="B2266" s="616" t="s">
        <v>1951</v>
      </c>
      <c r="C2266" s="593" t="s">
        <v>221</v>
      </c>
      <c r="D2266" s="646">
        <v>1571</v>
      </c>
      <c r="E2266" s="646">
        <v>412</v>
      </c>
      <c r="F2266" s="646" t="s">
        <v>222</v>
      </c>
      <c r="G2266" s="646">
        <v>689.18</v>
      </c>
      <c r="H2266" s="582">
        <v>2</v>
      </c>
      <c r="I2266" s="582">
        <v>2</v>
      </c>
      <c r="J2266" s="582">
        <v>8</v>
      </c>
      <c r="K2266" s="590" t="s">
        <v>33</v>
      </c>
      <c r="L2266" s="595">
        <f t="shared" si="313"/>
        <v>1620404.26</v>
      </c>
      <c r="M2266" s="585">
        <v>1585114</v>
      </c>
      <c r="N2266" s="630">
        <v>27636</v>
      </c>
      <c r="O2266" s="587"/>
      <c r="P2266" s="586"/>
      <c r="Q2266" s="586">
        <v>7654.26</v>
      </c>
      <c r="R2266" s="582">
        <f t="shared" si="314"/>
        <v>2300</v>
      </c>
      <c r="S2266" s="575">
        <f t="shared" si="311"/>
        <v>9.0949470177292824E-12</v>
      </c>
      <c r="T2266" s="737"/>
      <c r="U2266" s="737"/>
      <c r="V2266" s="589"/>
      <c r="W2266" s="737"/>
      <c r="X2266" s="737"/>
      <c r="Y2266" s="737"/>
      <c r="Z2266" s="737"/>
    </row>
    <row r="2267" spans="1:26" s="71" customFormat="1" hidden="1">
      <c r="A2267" s="679">
        <f t="shared" si="312"/>
        <v>15</v>
      </c>
      <c r="B2267" s="616" t="s">
        <v>1952</v>
      </c>
      <c r="C2267" s="593" t="s">
        <v>221</v>
      </c>
      <c r="D2267" s="646">
        <v>6645</v>
      </c>
      <c r="E2267" s="646">
        <v>2128</v>
      </c>
      <c r="F2267" s="646" t="s">
        <v>222</v>
      </c>
      <c r="G2267" s="646">
        <v>1240</v>
      </c>
      <c r="H2267" s="582">
        <v>3</v>
      </c>
      <c r="I2267" s="582">
        <v>3</v>
      </c>
      <c r="J2267" s="582">
        <v>30</v>
      </c>
      <c r="K2267" s="590" t="s">
        <v>224</v>
      </c>
      <c r="L2267" s="740">
        <f t="shared" si="313"/>
        <v>688227.64</v>
      </c>
      <c r="M2267" s="741">
        <v>660000</v>
      </c>
      <c r="N2267" s="753">
        <v>22305</v>
      </c>
      <c r="O2267" s="743"/>
      <c r="P2267" s="742"/>
      <c r="Q2267" s="586">
        <v>5922.64</v>
      </c>
      <c r="R2267" s="744">
        <f>M2267/J2267</f>
        <v>22000</v>
      </c>
      <c r="S2267" s="575">
        <f t="shared" si="311"/>
        <v>1.3642420526593924E-11</v>
      </c>
      <c r="T2267" s="737"/>
      <c r="U2267" s="737"/>
      <c r="V2267" s="589"/>
      <c r="W2267" s="737"/>
      <c r="X2267" s="737"/>
      <c r="Y2267" s="737"/>
      <c r="Z2267" s="737"/>
    </row>
    <row r="2268" spans="1:26" s="71" customFormat="1" hidden="1">
      <c r="A2268" s="679">
        <f t="shared" si="312"/>
        <v>16</v>
      </c>
      <c r="B2268" s="616" t="s">
        <v>3783</v>
      </c>
      <c r="C2268" s="593" t="s">
        <v>221</v>
      </c>
      <c r="D2268" s="646">
        <v>2567</v>
      </c>
      <c r="E2268" s="646">
        <v>556</v>
      </c>
      <c r="F2268" s="646" t="s">
        <v>222</v>
      </c>
      <c r="G2268" s="646">
        <v>674</v>
      </c>
      <c r="H2268" s="582">
        <v>2</v>
      </c>
      <c r="I2268" s="582">
        <v>1</v>
      </c>
      <c r="J2268" s="582">
        <v>8</v>
      </c>
      <c r="K2268" s="590" t="s">
        <v>33</v>
      </c>
      <c r="L2268" s="740">
        <f t="shared" si="313"/>
        <v>1592245</v>
      </c>
      <c r="M2268" s="741">
        <v>1550200</v>
      </c>
      <c r="N2268" s="630">
        <v>29475</v>
      </c>
      <c r="O2268" s="587"/>
      <c r="P2268" s="586"/>
      <c r="Q2268" s="586">
        <v>12570</v>
      </c>
      <c r="R2268" s="744">
        <f>M2268/G2268</f>
        <v>2300</v>
      </c>
      <c r="S2268" s="575">
        <f t="shared" si="311"/>
        <v>0</v>
      </c>
      <c r="T2268" s="737"/>
      <c r="U2268" s="737"/>
      <c r="V2268" s="589"/>
      <c r="W2268" s="737"/>
      <c r="X2268" s="737"/>
      <c r="Y2268" s="737"/>
      <c r="Z2268" s="737"/>
    </row>
    <row r="2269" spans="1:26" s="86" customFormat="1" ht="37.5" hidden="1">
      <c r="A2269" s="679">
        <f t="shared" si="312"/>
        <v>17</v>
      </c>
      <c r="B2269" s="616" t="s">
        <v>2891</v>
      </c>
      <c r="C2269" s="593" t="s">
        <v>221</v>
      </c>
      <c r="D2269" s="646">
        <v>26480</v>
      </c>
      <c r="E2269" s="646">
        <v>2793</v>
      </c>
      <c r="F2269" s="646" t="s">
        <v>227</v>
      </c>
      <c r="G2269" s="646">
        <v>506.16</v>
      </c>
      <c r="H2269" s="582">
        <v>5</v>
      </c>
      <c r="I2269" s="582">
        <v>7</v>
      </c>
      <c r="J2269" s="582">
        <v>65</v>
      </c>
      <c r="K2269" s="590" t="s">
        <v>3934</v>
      </c>
      <c r="L2269" s="740">
        <f t="shared" si="313"/>
        <v>1157011</v>
      </c>
      <c r="M2269" s="741">
        <v>1113552</v>
      </c>
      <c r="N2269" s="586"/>
      <c r="O2269" s="587">
        <v>23459</v>
      </c>
      <c r="P2269" s="586"/>
      <c r="Q2269" s="586">
        <v>20000</v>
      </c>
      <c r="R2269" s="744">
        <f>M2269/G2269</f>
        <v>2200</v>
      </c>
      <c r="S2269" s="575"/>
      <c r="T2269" s="737"/>
      <c r="U2269" s="737"/>
      <c r="V2269" s="589"/>
      <c r="W2269" s="737"/>
      <c r="X2269" s="737"/>
      <c r="Y2269" s="737"/>
      <c r="Z2269" s="737"/>
    </row>
    <row r="2270" spans="1:26" s="86" customFormat="1" hidden="1">
      <c r="A2270" s="679">
        <f t="shared" si="312"/>
        <v>18</v>
      </c>
      <c r="B2270" s="616" t="s">
        <v>3453</v>
      </c>
      <c r="C2270" s="593" t="s">
        <v>221</v>
      </c>
      <c r="D2270" s="646">
        <v>8722</v>
      </c>
      <c r="E2270" s="646">
        <v>1709</v>
      </c>
      <c r="F2270" s="646" t="s">
        <v>222</v>
      </c>
      <c r="G2270" s="646">
        <v>1330</v>
      </c>
      <c r="H2270" s="582">
        <v>3</v>
      </c>
      <c r="I2270" s="582">
        <v>2</v>
      </c>
      <c r="J2270" s="582">
        <v>90</v>
      </c>
      <c r="K2270" s="590" t="s">
        <v>33</v>
      </c>
      <c r="L2270" s="740">
        <f t="shared" si="313"/>
        <v>3397357</v>
      </c>
      <c r="M2270" s="585">
        <v>3325000</v>
      </c>
      <c r="N2270" s="586">
        <v>32357</v>
      </c>
      <c r="O2270" s="587"/>
      <c r="P2270" s="586"/>
      <c r="Q2270" s="586">
        <v>40000</v>
      </c>
      <c r="R2270" s="744">
        <f>M2270/G2270</f>
        <v>2500</v>
      </c>
      <c r="S2270" s="575"/>
      <c r="T2270" s="737"/>
      <c r="U2270" s="737"/>
      <c r="V2270" s="589"/>
      <c r="W2270" s="737"/>
      <c r="X2270" s="737"/>
      <c r="Y2270" s="737"/>
      <c r="Z2270" s="737"/>
    </row>
    <row r="2271" spans="1:26" s="86" customFormat="1" hidden="1">
      <c r="A2271" s="679">
        <f t="shared" si="312"/>
        <v>19</v>
      </c>
      <c r="B2271" s="616" t="s">
        <v>2889</v>
      </c>
      <c r="C2271" s="593" t="s">
        <v>229</v>
      </c>
      <c r="D2271" s="646">
        <v>1718</v>
      </c>
      <c r="E2271" s="646">
        <v>345</v>
      </c>
      <c r="F2271" s="646" t="s">
        <v>222</v>
      </c>
      <c r="G2271" s="646">
        <v>400</v>
      </c>
      <c r="H2271" s="582">
        <v>2</v>
      </c>
      <c r="I2271" s="582">
        <v>1</v>
      </c>
      <c r="J2271" s="582">
        <v>8</v>
      </c>
      <c r="K2271" s="590" t="s">
        <v>33</v>
      </c>
      <c r="L2271" s="740">
        <f t="shared" si="313"/>
        <v>1036079</v>
      </c>
      <c r="M2271" s="585">
        <v>1000000</v>
      </c>
      <c r="N2271" s="586">
        <v>27666</v>
      </c>
      <c r="O2271" s="587"/>
      <c r="P2271" s="586"/>
      <c r="Q2271" s="586">
        <v>8413</v>
      </c>
      <c r="R2271" s="744">
        <f>M2271/G2271</f>
        <v>2500</v>
      </c>
      <c r="S2271" s="575"/>
      <c r="T2271" s="737"/>
      <c r="U2271" s="737"/>
      <c r="V2271" s="589"/>
      <c r="W2271" s="737"/>
      <c r="X2271" s="737"/>
      <c r="Y2271" s="737"/>
      <c r="Z2271" s="737"/>
    </row>
    <row r="2272" spans="1:26" s="28" customFormat="1" hidden="1">
      <c r="A2272" s="1362" t="s">
        <v>121</v>
      </c>
      <c r="B2272" s="1362"/>
      <c r="C2272" s="586" t="s">
        <v>28</v>
      </c>
      <c r="D2272" s="646">
        <f>SUM(D2253:D2271)</f>
        <v>101703</v>
      </c>
      <c r="E2272" s="646">
        <f>SUM(E2253:E2271)</f>
        <v>18341</v>
      </c>
      <c r="F2272" s="646" t="s">
        <v>28</v>
      </c>
      <c r="G2272" s="646">
        <f>SUM(G2253:G2271)</f>
        <v>13866.522000000001</v>
      </c>
      <c r="H2272" s="582" t="s">
        <v>28</v>
      </c>
      <c r="I2272" s="582" t="s">
        <v>28</v>
      </c>
      <c r="J2272" s="582">
        <f>SUM(J2253:J2271)</f>
        <v>501</v>
      </c>
      <c r="K2272" s="588" t="s">
        <v>28</v>
      </c>
      <c r="L2272" s="584">
        <f t="shared" ref="L2272:Q2272" si="315">SUM(L2253:L2271)</f>
        <v>30895803.530000001</v>
      </c>
      <c r="M2272" s="585">
        <f t="shared" si="315"/>
        <v>30080894</v>
      </c>
      <c r="N2272" s="586">
        <f t="shared" si="315"/>
        <v>517327</v>
      </c>
      <c r="O2272" s="587">
        <f t="shared" si="315"/>
        <v>23459</v>
      </c>
      <c r="P2272" s="586">
        <f t="shared" si="315"/>
        <v>0</v>
      </c>
      <c r="Q2272" s="586">
        <f t="shared" si="315"/>
        <v>274123.53000000003</v>
      </c>
      <c r="R2272" s="582" t="s">
        <v>28</v>
      </c>
      <c r="S2272" s="645">
        <f>L2272-M2272-N2272-O2272-P2272-Q2272</f>
        <v>1.1641532182693481E-9</v>
      </c>
      <c r="T2272" s="645"/>
      <c r="U2272" s="591"/>
      <c r="V2272" s="589"/>
      <c r="W2272" s="592"/>
      <c r="X2272" s="592"/>
      <c r="Y2272" s="592"/>
      <c r="Z2272" s="592"/>
    </row>
    <row r="2273" spans="1:222" s="28" customFormat="1" hidden="1">
      <c r="A2273" s="1347" t="s">
        <v>55</v>
      </c>
      <c r="B2273" s="1347"/>
      <c r="C2273" s="1347"/>
      <c r="D2273" s="1347"/>
      <c r="E2273" s="1347"/>
      <c r="F2273" s="1347"/>
      <c r="G2273" s="1347"/>
      <c r="H2273" s="1347"/>
      <c r="I2273" s="1347"/>
      <c r="J2273" s="1347"/>
      <c r="K2273" s="1347"/>
      <c r="L2273" s="1347"/>
      <c r="M2273" s="1347"/>
      <c r="N2273" s="1347"/>
      <c r="O2273" s="1347"/>
      <c r="P2273" s="1347"/>
      <c r="Q2273" s="1347"/>
      <c r="R2273" s="590"/>
      <c r="S2273" s="592"/>
      <c r="T2273" s="645"/>
      <c r="U2273" s="591"/>
      <c r="V2273" s="589"/>
      <c r="W2273" s="592"/>
      <c r="X2273" s="592"/>
      <c r="Y2273" s="592"/>
      <c r="Z2273" s="592"/>
    </row>
    <row r="2274" spans="1:222" s="545" customFormat="1" ht="37.5" hidden="1">
      <c r="A2274" s="590">
        <v>1</v>
      </c>
      <c r="B2274" s="621" t="s">
        <v>1953</v>
      </c>
      <c r="C2274" s="593" t="s">
        <v>239</v>
      </c>
      <c r="D2274" s="1073">
        <v>1578</v>
      </c>
      <c r="E2274" s="1073">
        <v>431</v>
      </c>
      <c r="F2274" s="1073" t="s">
        <v>222</v>
      </c>
      <c r="G2274" s="1073">
        <v>670</v>
      </c>
      <c r="H2274" s="1074">
        <v>2</v>
      </c>
      <c r="I2274" s="1074">
        <v>2</v>
      </c>
      <c r="J2274" s="1074">
        <v>8</v>
      </c>
      <c r="K2274" s="1075" t="s">
        <v>274</v>
      </c>
      <c r="L2274" s="746">
        <f>M2274+N2274+O2274+P2274+Q2274</f>
        <v>1374740.37</v>
      </c>
      <c r="M2274" s="745">
        <v>1339397</v>
      </c>
      <c r="N2274" s="1076">
        <v>27655</v>
      </c>
      <c r="O2274" s="822"/>
      <c r="P2274" s="802"/>
      <c r="Q2274" s="586">
        <v>7688.37</v>
      </c>
      <c r="R2274" s="803">
        <f>M2274/G2274</f>
        <v>1999.1</v>
      </c>
      <c r="S2274" s="575">
        <f>L2274-M2274-N2274-O2274-P2274-Q2274</f>
        <v>1.1186784831807017E-10</v>
      </c>
      <c r="T2274" s="1077"/>
      <c r="U2274" s="737"/>
      <c r="V2274" s="589"/>
      <c r="W2274" s="1077"/>
      <c r="X2274" s="1077"/>
      <c r="Y2274" s="1077"/>
      <c r="Z2274" s="1077"/>
    </row>
    <row r="2275" spans="1:222" s="545" customFormat="1" ht="37.5" hidden="1">
      <c r="A2275" s="590">
        <v>2</v>
      </c>
      <c r="B2275" s="621" t="s">
        <v>1954</v>
      </c>
      <c r="C2275" s="593" t="s">
        <v>239</v>
      </c>
      <c r="D2275" s="1073">
        <v>3012</v>
      </c>
      <c r="E2275" s="1073">
        <v>681</v>
      </c>
      <c r="F2275" s="1073" t="s">
        <v>222</v>
      </c>
      <c r="G2275" s="1073">
        <v>724</v>
      </c>
      <c r="H2275" s="1074">
        <v>2</v>
      </c>
      <c r="I2275" s="1074">
        <v>3</v>
      </c>
      <c r="J2275" s="1074">
        <v>18</v>
      </c>
      <c r="K2275" s="1075" t="s">
        <v>274</v>
      </c>
      <c r="L2275" s="746">
        <f>M2275+N2275+O2275+P2275+Q2275</f>
        <v>1491837.26</v>
      </c>
      <c r="M2275" s="745">
        <v>1447348</v>
      </c>
      <c r="N2275" s="1076">
        <v>29814</v>
      </c>
      <c r="O2275" s="822"/>
      <c r="P2275" s="802"/>
      <c r="Q2275" s="586">
        <v>14675.26</v>
      </c>
      <c r="R2275" s="803">
        <f>M2275/G2275</f>
        <v>1999.0994475138123</v>
      </c>
      <c r="S2275" s="575">
        <f>L2275-M2275-N2275-O2275-P2275-Q2275</f>
        <v>0</v>
      </c>
      <c r="T2275" s="1077"/>
      <c r="U2275" s="737"/>
      <c r="V2275" s="589"/>
      <c r="W2275" s="1077"/>
      <c r="X2275" s="1077"/>
      <c r="Y2275" s="1077"/>
      <c r="Z2275" s="1077"/>
    </row>
    <row r="2276" spans="1:222" s="28" customFormat="1" hidden="1">
      <c r="A2276" s="1349" t="s">
        <v>56</v>
      </c>
      <c r="B2276" s="1349"/>
      <c r="C2276" s="586" t="s">
        <v>28</v>
      </c>
      <c r="D2276" s="646">
        <f>SUM(D2274:D2275)</f>
        <v>4590</v>
      </c>
      <c r="E2276" s="646">
        <f>SUM(E2274:E2275)</f>
        <v>1112</v>
      </c>
      <c r="F2276" s="646" t="s">
        <v>28</v>
      </c>
      <c r="G2276" s="646">
        <f>SUM(G2274:G2275)</f>
        <v>1394</v>
      </c>
      <c r="H2276" s="582" t="s">
        <v>28</v>
      </c>
      <c r="I2276" s="582" t="s">
        <v>28</v>
      </c>
      <c r="J2276" s="582">
        <f>SUM(J2274:J2275)</f>
        <v>26</v>
      </c>
      <c r="K2276" s="588" t="s">
        <v>28</v>
      </c>
      <c r="L2276" s="584">
        <f>SUM(L2274:L2275)</f>
        <v>2866577.63</v>
      </c>
      <c r="M2276" s="585">
        <f>SUM(M2274:M2275)</f>
        <v>2786745</v>
      </c>
      <c r="N2276" s="586">
        <f>SUM(N2274:N2275)</f>
        <v>57469</v>
      </c>
      <c r="O2276" s="587"/>
      <c r="P2276" s="586"/>
      <c r="Q2276" s="586">
        <f>SUM(Q2274:Q2275)</f>
        <v>22363.63</v>
      </c>
      <c r="R2276" s="582" t="s">
        <v>28</v>
      </c>
      <c r="S2276" s="645">
        <f>L2276-M2276-N2276-O2276-P2276-Q2276</f>
        <v>-1.127773430198431E-10</v>
      </c>
      <c r="T2276" s="645"/>
      <c r="U2276" s="591"/>
      <c r="V2276" s="589"/>
      <c r="W2276" s="592"/>
      <c r="X2276" s="592"/>
      <c r="Y2276" s="592"/>
      <c r="Z2276" s="592"/>
    </row>
    <row r="2277" spans="1:222" s="28" customFormat="1" hidden="1">
      <c r="A2277" s="1347" t="s">
        <v>32</v>
      </c>
      <c r="B2277" s="1347"/>
      <c r="C2277" s="1347"/>
      <c r="D2277" s="1347"/>
      <c r="E2277" s="1347"/>
      <c r="F2277" s="1347"/>
      <c r="G2277" s="1347"/>
      <c r="H2277" s="1347"/>
      <c r="I2277" s="1347"/>
      <c r="J2277" s="1347"/>
      <c r="K2277" s="1347"/>
      <c r="L2277" s="1347"/>
      <c r="M2277" s="1347"/>
      <c r="N2277" s="1347"/>
      <c r="O2277" s="1347"/>
      <c r="P2277" s="1347"/>
      <c r="Q2277" s="1347"/>
      <c r="R2277" s="590"/>
      <c r="S2277" s="592"/>
      <c r="T2277" s="645"/>
      <c r="U2277" s="591"/>
      <c r="V2277" s="589"/>
      <c r="W2277" s="592"/>
      <c r="X2277" s="592"/>
      <c r="Y2277" s="592"/>
      <c r="Z2277" s="592"/>
    </row>
    <row r="2278" spans="1:222" s="90" customFormat="1" ht="37.5" hidden="1">
      <c r="A2278" s="812">
        <v>1</v>
      </c>
      <c r="B2278" s="813" t="s">
        <v>1956</v>
      </c>
      <c r="C2278" s="814" t="s">
        <v>217</v>
      </c>
      <c r="D2278" s="815">
        <f>E2278*2.5</f>
        <v>5332.5</v>
      </c>
      <c r="E2278" s="619">
        <f>(26.5+13)*2*3*9</f>
        <v>2133</v>
      </c>
      <c r="F2278" s="819" t="s">
        <v>253</v>
      </c>
      <c r="G2278" s="815">
        <v>625.70000000000005</v>
      </c>
      <c r="H2278" s="819">
        <v>9</v>
      </c>
      <c r="I2278" s="819">
        <v>2</v>
      </c>
      <c r="J2278" s="819">
        <v>72</v>
      </c>
      <c r="K2278" s="812" t="s">
        <v>219</v>
      </c>
      <c r="L2278" s="584">
        <f t="shared" ref="L2278:L2291" si="316">M2278+N2278+O2278+P2278+Q2278</f>
        <v>2000000</v>
      </c>
      <c r="M2278" s="596">
        <v>2000000</v>
      </c>
      <c r="N2278" s="597"/>
      <c r="O2278" s="587"/>
      <c r="P2278" s="586"/>
      <c r="Q2278" s="586"/>
      <c r="R2278" s="582">
        <f>M2278</f>
        <v>2000000</v>
      </c>
      <c r="S2278" s="597">
        <v>85000</v>
      </c>
      <c r="T2278" s="821" t="s">
        <v>254</v>
      </c>
      <c r="U2278" s="818"/>
      <c r="V2278" s="589"/>
      <c r="W2278" s="817"/>
      <c r="X2278" s="817"/>
      <c r="Y2278" s="817"/>
      <c r="Z2278" s="817"/>
      <c r="AA2278" s="534"/>
      <c r="AB2278" s="534"/>
      <c r="AC2278" s="534"/>
      <c r="AD2278" s="534"/>
      <c r="AE2278" s="534"/>
      <c r="AF2278" s="534"/>
      <c r="AG2278" s="534"/>
      <c r="AH2278" s="534"/>
      <c r="AI2278" s="534"/>
      <c r="AJ2278" s="534"/>
      <c r="AK2278" s="534"/>
      <c r="AL2278" s="534"/>
      <c r="AM2278" s="534"/>
      <c r="AN2278" s="534"/>
      <c r="AO2278" s="534"/>
      <c r="AP2278" s="534"/>
      <c r="AQ2278" s="534"/>
      <c r="AR2278" s="534"/>
      <c r="AS2278" s="534"/>
      <c r="AT2278" s="534"/>
      <c r="AU2278" s="534"/>
      <c r="AV2278" s="534"/>
      <c r="AW2278" s="534"/>
      <c r="AX2278" s="534"/>
      <c r="AY2278" s="534"/>
      <c r="AZ2278" s="534"/>
      <c r="BA2278" s="534"/>
      <c r="BB2278" s="534"/>
      <c r="BC2278" s="534"/>
      <c r="BD2278" s="534"/>
      <c r="BE2278" s="534"/>
      <c r="BF2278" s="534"/>
      <c r="BG2278" s="534"/>
      <c r="BH2278" s="534"/>
      <c r="BI2278" s="534"/>
      <c r="BJ2278" s="534"/>
      <c r="BK2278" s="534"/>
      <c r="BL2278" s="534"/>
      <c r="BM2278" s="534"/>
      <c r="BN2278" s="534"/>
      <c r="BO2278" s="534"/>
      <c r="BP2278" s="534"/>
      <c r="BQ2278" s="534"/>
      <c r="BR2278" s="534"/>
      <c r="BS2278" s="534"/>
      <c r="BT2278" s="534"/>
      <c r="BU2278" s="534"/>
      <c r="BV2278" s="534"/>
      <c r="BW2278" s="534"/>
      <c r="BX2278" s="534"/>
      <c r="BY2278" s="534"/>
      <c r="BZ2278" s="534"/>
      <c r="CA2278" s="534"/>
      <c r="CB2278" s="534"/>
      <c r="CC2278" s="534"/>
      <c r="CD2278" s="534"/>
      <c r="CE2278" s="534"/>
      <c r="CF2278" s="534"/>
      <c r="CG2278" s="534"/>
      <c r="CH2278" s="534"/>
      <c r="CI2278" s="534"/>
      <c r="CJ2278" s="534"/>
      <c r="CK2278" s="534"/>
      <c r="CL2278" s="534"/>
      <c r="CM2278" s="534"/>
      <c r="CN2278" s="534"/>
      <c r="CO2278" s="534"/>
      <c r="CP2278" s="534"/>
      <c r="CQ2278" s="534"/>
      <c r="CR2278" s="534"/>
      <c r="CS2278" s="534"/>
      <c r="CT2278" s="534"/>
      <c r="CU2278" s="534"/>
      <c r="CV2278" s="534"/>
      <c r="CW2278" s="534"/>
      <c r="CX2278" s="534"/>
      <c r="CY2278" s="534"/>
      <c r="CZ2278" s="534"/>
      <c r="DA2278" s="534"/>
      <c r="DB2278" s="534"/>
      <c r="DC2278" s="534"/>
      <c r="DD2278" s="534"/>
      <c r="DE2278" s="534"/>
      <c r="DF2278" s="534"/>
      <c r="DG2278" s="534"/>
      <c r="DH2278" s="534"/>
      <c r="DI2278" s="534"/>
      <c r="DJ2278" s="534"/>
      <c r="DK2278" s="534"/>
      <c r="DL2278" s="534"/>
      <c r="DM2278" s="534"/>
      <c r="DN2278" s="534"/>
      <c r="DO2278" s="534"/>
      <c r="DP2278" s="534"/>
      <c r="DQ2278" s="534"/>
      <c r="DR2278" s="534"/>
      <c r="DS2278" s="534"/>
      <c r="DT2278" s="534"/>
      <c r="DU2278" s="534"/>
      <c r="DV2278" s="534"/>
      <c r="DW2278" s="534"/>
      <c r="DX2278" s="534"/>
      <c r="DY2278" s="534"/>
      <c r="DZ2278" s="534"/>
      <c r="EA2278" s="534"/>
      <c r="EB2278" s="534"/>
      <c r="EC2278" s="534"/>
      <c r="ED2278" s="534"/>
      <c r="EE2278" s="534"/>
      <c r="EF2278" s="534"/>
      <c r="EG2278" s="534"/>
      <c r="EH2278" s="534"/>
      <c r="EI2278" s="534"/>
      <c r="EJ2278" s="534"/>
      <c r="EK2278" s="534"/>
      <c r="EL2278" s="534"/>
      <c r="EM2278" s="534"/>
      <c r="EN2278" s="534"/>
      <c r="EO2278" s="534"/>
      <c r="EP2278" s="534"/>
      <c r="EQ2278" s="534"/>
      <c r="ER2278" s="534"/>
      <c r="ES2278" s="534"/>
      <c r="ET2278" s="534"/>
      <c r="EU2278" s="534"/>
      <c r="EV2278" s="534"/>
      <c r="EW2278" s="534"/>
      <c r="EX2278" s="534"/>
      <c r="EY2278" s="534"/>
      <c r="EZ2278" s="534"/>
      <c r="FA2278" s="534"/>
      <c r="FB2278" s="534"/>
      <c r="FC2278" s="534"/>
      <c r="FD2278" s="534"/>
      <c r="FE2278" s="534"/>
      <c r="FF2278" s="534"/>
      <c r="FG2278" s="534"/>
      <c r="FH2278" s="534"/>
      <c r="FI2278" s="534"/>
      <c r="FJ2278" s="534"/>
      <c r="FK2278" s="534"/>
      <c r="FL2278" s="534"/>
      <c r="FM2278" s="534"/>
      <c r="FN2278" s="534"/>
      <c r="FO2278" s="534"/>
      <c r="FP2278" s="534"/>
      <c r="FQ2278" s="534"/>
      <c r="FR2278" s="534"/>
      <c r="FS2278" s="534"/>
      <c r="FT2278" s="534"/>
      <c r="FU2278" s="534"/>
      <c r="FV2278" s="534"/>
      <c r="FW2278" s="534"/>
      <c r="FX2278" s="534"/>
      <c r="FY2278" s="534"/>
      <c r="FZ2278" s="534"/>
      <c r="GA2278" s="534"/>
      <c r="GB2278" s="534"/>
      <c r="GC2278" s="534"/>
      <c r="GD2278" s="534"/>
      <c r="GE2278" s="534"/>
      <c r="GF2278" s="534"/>
      <c r="GG2278" s="534"/>
      <c r="GH2278" s="534"/>
      <c r="GI2278" s="534"/>
      <c r="GJ2278" s="534"/>
      <c r="GK2278" s="534"/>
      <c r="GL2278" s="534"/>
      <c r="GM2278" s="534"/>
      <c r="GN2278" s="534"/>
      <c r="GO2278" s="534"/>
      <c r="GP2278" s="534"/>
      <c r="GQ2278" s="534"/>
      <c r="GR2278" s="534"/>
      <c r="GS2278" s="534"/>
      <c r="GT2278" s="534"/>
      <c r="GU2278" s="534"/>
      <c r="GV2278" s="534"/>
      <c r="GW2278" s="534"/>
      <c r="GX2278" s="534"/>
      <c r="GY2278" s="534"/>
      <c r="GZ2278" s="534"/>
      <c r="HA2278" s="534"/>
      <c r="HB2278" s="534"/>
      <c r="HC2278" s="534"/>
    </row>
    <row r="2279" spans="1:222" s="97" customFormat="1" ht="37.5" hidden="1">
      <c r="A2279" s="812">
        <f t="shared" ref="A2279:A2285" si="317">A2278+1</f>
        <v>2</v>
      </c>
      <c r="B2279" s="813" t="s">
        <v>3935</v>
      </c>
      <c r="C2279" s="814" t="s">
        <v>217</v>
      </c>
      <c r="D2279" s="815">
        <v>5332.5</v>
      </c>
      <c r="E2279" s="816">
        <v>2133</v>
      </c>
      <c r="F2279" s="815" t="s">
        <v>227</v>
      </c>
      <c r="G2279" s="816">
        <v>938.7</v>
      </c>
      <c r="H2279" s="803">
        <v>9</v>
      </c>
      <c r="I2279" s="803">
        <v>2</v>
      </c>
      <c r="J2279" s="803">
        <v>144</v>
      </c>
      <c r="K2279" s="812" t="s">
        <v>219</v>
      </c>
      <c r="L2279" s="746">
        <f t="shared" si="316"/>
        <v>4106250</v>
      </c>
      <c r="M2279" s="596">
        <f>2000000*2</f>
        <v>4000000</v>
      </c>
      <c r="N2279" s="597">
        <f>85000*1.25</f>
        <v>106250</v>
      </c>
      <c r="O2279" s="587"/>
      <c r="P2279" s="586"/>
      <c r="Q2279" s="586"/>
      <c r="R2279" s="744">
        <f>M2279/I2279</f>
        <v>2000000</v>
      </c>
      <c r="S2279" s="575"/>
      <c r="T2279" s="817"/>
      <c r="U2279" s="1078"/>
      <c r="V2279" s="589"/>
      <c r="W2279" s="1079"/>
      <c r="X2279" s="1079"/>
      <c r="Y2279" s="1079"/>
      <c r="Z2279" s="1079"/>
      <c r="AA2279" s="96"/>
      <c r="AB2279" s="96"/>
      <c r="AC2279" s="96"/>
      <c r="AD2279" s="96"/>
      <c r="AE2279" s="96"/>
      <c r="AF2279" s="96"/>
      <c r="AG2279" s="96"/>
      <c r="AH2279" s="96"/>
      <c r="AI2279" s="96"/>
      <c r="AJ2279" s="96"/>
      <c r="AK2279" s="96"/>
      <c r="AL2279" s="96"/>
      <c r="AM2279" s="96"/>
      <c r="AN2279" s="96"/>
      <c r="AO2279" s="96"/>
      <c r="AP2279" s="96"/>
      <c r="AQ2279" s="96"/>
      <c r="AR2279" s="96"/>
      <c r="AS2279" s="96"/>
      <c r="AT2279" s="96"/>
      <c r="AU2279" s="96"/>
      <c r="AV2279" s="96"/>
      <c r="AW2279" s="96"/>
      <c r="AX2279" s="96"/>
      <c r="AY2279" s="96"/>
      <c r="AZ2279" s="96"/>
      <c r="BA2279" s="96"/>
      <c r="BB2279" s="96"/>
      <c r="BC2279" s="96"/>
      <c r="BD2279" s="96"/>
      <c r="BE2279" s="96"/>
      <c r="BF2279" s="96"/>
      <c r="BG2279" s="96"/>
      <c r="BH2279" s="96"/>
      <c r="BI2279" s="96"/>
      <c r="BJ2279" s="96"/>
      <c r="BK2279" s="96"/>
      <c r="BL2279" s="96"/>
      <c r="BM2279" s="96"/>
      <c r="BN2279" s="96"/>
      <c r="BO2279" s="96"/>
      <c r="BP2279" s="96"/>
      <c r="BQ2279" s="96"/>
      <c r="BR2279" s="96"/>
      <c r="BS2279" s="96"/>
      <c r="BT2279" s="96"/>
      <c r="BU2279" s="96"/>
      <c r="BV2279" s="96"/>
      <c r="BW2279" s="96"/>
      <c r="BX2279" s="96"/>
      <c r="BY2279" s="96"/>
      <c r="BZ2279" s="96"/>
      <c r="CA2279" s="96"/>
      <c r="CB2279" s="96"/>
      <c r="CC2279" s="96"/>
      <c r="CD2279" s="96"/>
      <c r="CE2279" s="96"/>
      <c r="CF2279" s="96"/>
      <c r="CG2279" s="96"/>
      <c r="CH2279" s="96"/>
      <c r="CI2279" s="96"/>
      <c r="CJ2279" s="96"/>
      <c r="CK2279" s="96"/>
      <c r="CL2279" s="96"/>
      <c r="CM2279" s="96"/>
      <c r="CN2279" s="96"/>
      <c r="CO2279" s="96"/>
      <c r="CP2279" s="96"/>
      <c r="CQ2279" s="96"/>
      <c r="CR2279" s="96"/>
      <c r="CS2279" s="96"/>
      <c r="CT2279" s="96"/>
      <c r="CU2279" s="96"/>
      <c r="CV2279" s="96"/>
      <c r="CW2279" s="96"/>
      <c r="CX2279" s="96"/>
      <c r="CY2279" s="96"/>
      <c r="CZ2279" s="96"/>
      <c r="DA2279" s="96"/>
      <c r="DB2279" s="96"/>
      <c r="DC2279" s="96"/>
      <c r="DD2279" s="96"/>
      <c r="DE2279" s="96"/>
      <c r="DF2279" s="96"/>
      <c r="DG2279" s="96"/>
      <c r="DH2279" s="96"/>
      <c r="DI2279" s="96"/>
      <c r="DJ2279" s="96"/>
      <c r="DK2279" s="96"/>
      <c r="DL2279" s="96"/>
      <c r="DM2279" s="96"/>
      <c r="DN2279" s="96"/>
      <c r="DO2279" s="96"/>
      <c r="DP2279" s="96"/>
      <c r="DQ2279" s="96"/>
      <c r="DR2279" s="96"/>
      <c r="DS2279" s="96"/>
      <c r="DT2279" s="96"/>
      <c r="DU2279" s="96"/>
      <c r="DV2279" s="96"/>
      <c r="DW2279" s="96"/>
      <c r="DX2279" s="96"/>
      <c r="DY2279" s="96"/>
      <c r="DZ2279" s="96"/>
      <c r="EA2279" s="96"/>
      <c r="EB2279" s="96"/>
      <c r="EC2279" s="96"/>
      <c r="ED2279" s="96"/>
      <c r="EE2279" s="96"/>
      <c r="EF2279" s="96"/>
      <c r="EG2279" s="96"/>
      <c r="EH2279" s="96"/>
      <c r="EI2279" s="96"/>
      <c r="EJ2279" s="96"/>
      <c r="EK2279" s="96"/>
      <c r="EL2279" s="96"/>
      <c r="EM2279" s="96"/>
      <c r="EN2279" s="96"/>
      <c r="EO2279" s="96"/>
      <c r="EP2279" s="96"/>
      <c r="EQ2279" s="96"/>
      <c r="ER2279" s="96"/>
      <c r="ES2279" s="96"/>
      <c r="ET2279" s="96"/>
      <c r="EU2279" s="96"/>
      <c r="EV2279" s="96"/>
      <c r="EW2279" s="96"/>
      <c r="EX2279" s="96"/>
      <c r="EY2279" s="96"/>
      <c r="EZ2279" s="96"/>
      <c r="FA2279" s="96"/>
      <c r="FB2279" s="96"/>
      <c r="FC2279" s="96"/>
      <c r="FD2279" s="96"/>
      <c r="FE2279" s="96"/>
      <c r="FF2279" s="96"/>
      <c r="FG2279" s="96"/>
      <c r="FH2279" s="96"/>
      <c r="FI2279" s="96"/>
      <c r="FJ2279" s="96"/>
      <c r="FK2279" s="96"/>
      <c r="FL2279" s="96"/>
      <c r="FM2279" s="96"/>
      <c r="FN2279" s="96"/>
      <c r="FO2279" s="96"/>
      <c r="FP2279" s="96"/>
      <c r="FQ2279" s="96"/>
      <c r="FR2279" s="96"/>
      <c r="FS2279" s="96"/>
      <c r="FT2279" s="96"/>
      <c r="FU2279" s="96"/>
      <c r="FV2279" s="96"/>
      <c r="FW2279" s="96"/>
      <c r="FX2279" s="96"/>
      <c r="FY2279" s="96"/>
      <c r="FZ2279" s="96"/>
      <c r="GA2279" s="96"/>
      <c r="GB2279" s="96"/>
      <c r="GC2279" s="96"/>
      <c r="GD2279" s="96"/>
      <c r="GE2279" s="96"/>
      <c r="GF2279" s="96"/>
      <c r="GG2279" s="96"/>
      <c r="GH2279" s="96"/>
      <c r="GI2279" s="96"/>
      <c r="GJ2279" s="96"/>
      <c r="GK2279" s="96"/>
      <c r="GL2279" s="96"/>
      <c r="GM2279" s="96"/>
      <c r="GN2279" s="96"/>
      <c r="GO2279" s="96"/>
      <c r="GP2279" s="96"/>
      <c r="GQ2279" s="96"/>
      <c r="GR2279" s="96"/>
      <c r="GS2279" s="96"/>
      <c r="GT2279" s="96"/>
      <c r="GU2279" s="96"/>
      <c r="GV2279" s="96"/>
      <c r="GW2279" s="96"/>
      <c r="GX2279" s="96"/>
      <c r="GY2279" s="96"/>
      <c r="GZ2279" s="96"/>
      <c r="HA2279" s="96"/>
      <c r="HB2279" s="96"/>
      <c r="HC2279" s="96"/>
      <c r="HD2279" s="96"/>
      <c r="HE2279" s="96"/>
      <c r="HF2279" s="96"/>
      <c r="HG2279" s="96"/>
      <c r="HH2279" s="96"/>
      <c r="HI2279" s="96"/>
      <c r="HJ2279" s="96"/>
      <c r="HK2279" s="96"/>
      <c r="HL2279" s="96"/>
      <c r="HM2279" s="96"/>
      <c r="HN2279" s="96"/>
    </row>
    <row r="2280" spans="1:222" s="90" customFormat="1" hidden="1">
      <c r="A2280" s="812">
        <f t="shared" si="317"/>
        <v>3</v>
      </c>
      <c r="B2280" s="813" t="s">
        <v>1955</v>
      </c>
      <c r="C2280" s="814" t="s">
        <v>217</v>
      </c>
      <c r="D2280" s="815">
        <f>E2280*2.7</f>
        <v>5140.8</v>
      </c>
      <c r="E2280" s="816">
        <v>1904</v>
      </c>
      <c r="F2280" s="815" t="s">
        <v>222</v>
      </c>
      <c r="G2280" s="816">
        <v>860.2</v>
      </c>
      <c r="H2280" s="803">
        <v>2</v>
      </c>
      <c r="I2280" s="803">
        <v>3</v>
      </c>
      <c r="J2280" s="803">
        <v>22</v>
      </c>
      <c r="K2280" s="812" t="s">
        <v>33</v>
      </c>
      <c r="L2280" s="746">
        <f t="shared" si="316"/>
        <v>1864692.14</v>
      </c>
      <c r="M2280" s="745">
        <v>1806420</v>
      </c>
      <c r="N2280" s="1076">
        <v>33225</v>
      </c>
      <c r="O2280" s="822"/>
      <c r="P2280" s="802"/>
      <c r="Q2280" s="630">
        <v>25047.14</v>
      </c>
      <c r="R2280" s="803">
        <f t="shared" ref="R2280:R2291" si="318">M2280/G2280</f>
        <v>2100</v>
      </c>
      <c r="S2280" s="575">
        <f t="shared" ref="S2280:S2292" si="319">L2280-M2280-N2280-O2280-P2280-Q2280</f>
        <v>-1.0186340659856796E-10</v>
      </c>
      <c r="T2280" s="817"/>
      <c r="U2280" s="818"/>
      <c r="V2280" s="589"/>
      <c r="W2280" s="817"/>
      <c r="X2280" s="817"/>
      <c r="Y2280" s="817"/>
      <c r="Z2280" s="817"/>
      <c r="AA2280" s="534"/>
      <c r="AB2280" s="534"/>
      <c r="AC2280" s="534"/>
      <c r="AD2280" s="534"/>
      <c r="AE2280" s="534"/>
      <c r="AF2280" s="534"/>
      <c r="AG2280" s="534"/>
      <c r="AH2280" s="534"/>
      <c r="AI2280" s="534"/>
      <c r="AJ2280" s="534"/>
      <c r="AK2280" s="534"/>
      <c r="AL2280" s="534"/>
      <c r="AM2280" s="534"/>
      <c r="AN2280" s="534"/>
      <c r="AO2280" s="534"/>
      <c r="AP2280" s="534"/>
      <c r="AQ2280" s="534"/>
      <c r="AR2280" s="534"/>
      <c r="AS2280" s="534"/>
      <c r="AT2280" s="534"/>
      <c r="AU2280" s="534"/>
      <c r="AV2280" s="534"/>
      <c r="AW2280" s="534"/>
      <c r="AX2280" s="534"/>
      <c r="AY2280" s="534"/>
      <c r="AZ2280" s="534"/>
      <c r="BA2280" s="534"/>
      <c r="BB2280" s="534"/>
      <c r="BC2280" s="534"/>
      <c r="BD2280" s="534"/>
      <c r="BE2280" s="534"/>
      <c r="BF2280" s="534"/>
      <c r="BG2280" s="534"/>
      <c r="BH2280" s="534"/>
      <c r="BI2280" s="534"/>
      <c r="BJ2280" s="534"/>
      <c r="BK2280" s="534"/>
      <c r="BL2280" s="534"/>
      <c r="BM2280" s="534"/>
      <c r="BN2280" s="534"/>
      <c r="BO2280" s="534"/>
      <c r="BP2280" s="534"/>
      <c r="BQ2280" s="534"/>
      <c r="BR2280" s="534"/>
      <c r="BS2280" s="534"/>
      <c r="BT2280" s="534"/>
      <c r="BU2280" s="534"/>
      <c r="BV2280" s="534"/>
      <c r="BW2280" s="534"/>
      <c r="BX2280" s="534"/>
      <c r="BY2280" s="534"/>
      <c r="BZ2280" s="534"/>
      <c r="CA2280" s="534"/>
      <c r="CB2280" s="534"/>
      <c r="CC2280" s="534"/>
      <c r="CD2280" s="534"/>
      <c r="CE2280" s="534"/>
      <c r="CF2280" s="534"/>
      <c r="CG2280" s="534"/>
      <c r="CH2280" s="534"/>
      <c r="CI2280" s="534"/>
      <c r="CJ2280" s="534"/>
      <c r="CK2280" s="534"/>
      <c r="CL2280" s="534"/>
      <c r="CM2280" s="534"/>
      <c r="CN2280" s="534"/>
      <c r="CO2280" s="534"/>
      <c r="CP2280" s="534"/>
      <c r="CQ2280" s="534"/>
      <c r="CR2280" s="534"/>
      <c r="CS2280" s="534"/>
      <c r="CT2280" s="534"/>
      <c r="CU2280" s="534"/>
      <c r="CV2280" s="534"/>
      <c r="CW2280" s="534"/>
      <c r="CX2280" s="534"/>
      <c r="CY2280" s="534"/>
      <c r="CZ2280" s="534"/>
      <c r="DA2280" s="534"/>
      <c r="DB2280" s="534"/>
      <c r="DC2280" s="534"/>
      <c r="DD2280" s="534"/>
      <c r="DE2280" s="534"/>
      <c r="DF2280" s="534"/>
      <c r="DG2280" s="534"/>
      <c r="DH2280" s="534"/>
      <c r="DI2280" s="534"/>
      <c r="DJ2280" s="534"/>
      <c r="DK2280" s="534"/>
      <c r="DL2280" s="534"/>
      <c r="DM2280" s="534"/>
      <c r="DN2280" s="534"/>
      <c r="DO2280" s="534"/>
      <c r="DP2280" s="534"/>
      <c r="DQ2280" s="534"/>
      <c r="DR2280" s="534"/>
      <c r="DS2280" s="534"/>
      <c r="DT2280" s="534"/>
      <c r="DU2280" s="534"/>
      <c r="DV2280" s="534"/>
      <c r="DW2280" s="534"/>
      <c r="DX2280" s="534"/>
      <c r="DY2280" s="534"/>
      <c r="DZ2280" s="534"/>
      <c r="EA2280" s="534"/>
      <c r="EB2280" s="534"/>
      <c r="EC2280" s="534"/>
      <c r="ED2280" s="534"/>
      <c r="EE2280" s="534"/>
      <c r="EF2280" s="534"/>
      <c r="EG2280" s="534"/>
      <c r="EH2280" s="534"/>
      <c r="EI2280" s="534"/>
      <c r="EJ2280" s="534"/>
      <c r="EK2280" s="534"/>
      <c r="EL2280" s="534"/>
      <c r="EM2280" s="534"/>
      <c r="EN2280" s="534"/>
      <c r="EO2280" s="534"/>
      <c r="EP2280" s="534"/>
      <c r="EQ2280" s="534"/>
      <c r="ER2280" s="534"/>
      <c r="ES2280" s="534"/>
      <c r="ET2280" s="534"/>
      <c r="EU2280" s="534"/>
      <c r="EV2280" s="534"/>
      <c r="EW2280" s="534"/>
      <c r="EX2280" s="534"/>
      <c r="EY2280" s="534"/>
      <c r="EZ2280" s="534"/>
      <c r="FA2280" s="534"/>
      <c r="FB2280" s="534"/>
      <c r="FC2280" s="534"/>
      <c r="FD2280" s="534"/>
      <c r="FE2280" s="534"/>
      <c r="FF2280" s="534"/>
      <c r="FG2280" s="534"/>
      <c r="FH2280" s="534"/>
      <c r="FI2280" s="534"/>
      <c r="FJ2280" s="534"/>
      <c r="FK2280" s="534"/>
      <c r="FL2280" s="534"/>
      <c r="FM2280" s="534"/>
      <c r="FN2280" s="534"/>
      <c r="FO2280" s="534"/>
      <c r="FP2280" s="534"/>
      <c r="FQ2280" s="534"/>
      <c r="FR2280" s="534"/>
      <c r="FS2280" s="534"/>
      <c r="FT2280" s="534"/>
      <c r="FU2280" s="534"/>
      <c r="FV2280" s="534"/>
      <c r="FW2280" s="534"/>
      <c r="FX2280" s="534"/>
      <c r="FY2280" s="534"/>
      <c r="FZ2280" s="534"/>
      <c r="GA2280" s="534"/>
      <c r="GB2280" s="534"/>
      <c r="GC2280" s="534"/>
      <c r="GD2280" s="534"/>
      <c r="GE2280" s="534"/>
      <c r="GF2280" s="534"/>
      <c r="GG2280" s="534"/>
      <c r="GH2280" s="534"/>
      <c r="GI2280" s="534"/>
      <c r="GJ2280" s="534"/>
      <c r="GK2280" s="534"/>
      <c r="GL2280" s="534"/>
      <c r="GM2280" s="534"/>
      <c r="GN2280" s="534"/>
      <c r="GO2280" s="534"/>
      <c r="GP2280" s="534"/>
      <c r="GQ2280" s="534"/>
      <c r="GR2280" s="534"/>
      <c r="GS2280" s="534"/>
      <c r="GT2280" s="534"/>
      <c r="GU2280" s="534"/>
      <c r="GV2280" s="534"/>
      <c r="GW2280" s="534"/>
      <c r="GX2280" s="534"/>
      <c r="GY2280" s="534"/>
      <c r="GZ2280" s="534"/>
      <c r="HA2280" s="534"/>
      <c r="HB2280" s="534"/>
      <c r="HC2280" s="534"/>
    </row>
    <row r="2281" spans="1:222" s="90" customFormat="1" hidden="1">
      <c r="A2281" s="812">
        <f t="shared" si="317"/>
        <v>4</v>
      </c>
      <c r="B2281" s="813" t="s">
        <v>1957</v>
      </c>
      <c r="C2281" s="814" t="s">
        <v>217</v>
      </c>
      <c r="D2281" s="815">
        <f>E2281*2.7</f>
        <v>5143.5</v>
      </c>
      <c r="E2281" s="816">
        <v>1905</v>
      </c>
      <c r="F2281" s="815" t="s">
        <v>227</v>
      </c>
      <c r="G2281" s="816">
        <v>1728</v>
      </c>
      <c r="H2281" s="803">
        <v>5</v>
      </c>
      <c r="I2281" s="803">
        <v>6</v>
      </c>
      <c r="J2281" s="803">
        <v>90</v>
      </c>
      <c r="K2281" s="812" t="s">
        <v>33</v>
      </c>
      <c r="L2281" s="746">
        <f t="shared" si="316"/>
        <v>3492957.31</v>
      </c>
      <c r="M2281" s="745">
        <v>3456000</v>
      </c>
      <c r="N2281" s="802"/>
      <c r="O2281" s="631">
        <v>21099</v>
      </c>
      <c r="P2281" s="802"/>
      <c r="Q2281" s="586">
        <v>15858.31</v>
      </c>
      <c r="R2281" s="803">
        <f t="shared" si="318"/>
        <v>2000</v>
      </c>
      <c r="S2281" s="575">
        <f t="shared" si="319"/>
        <v>5.6388671509921551E-11</v>
      </c>
      <c r="T2281" s="817"/>
      <c r="U2281" s="818"/>
      <c r="V2281" s="589"/>
      <c r="W2281" s="817"/>
      <c r="X2281" s="817"/>
      <c r="Y2281" s="817"/>
      <c r="Z2281" s="817"/>
      <c r="AA2281" s="534"/>
      <c r="AB2281" s="534"/>
      <c r="AC2281" s="534"/>
      <c r="AD2281" s="534"/>
      <c r="AE2281" s="534"/>
      <c r="AF2281" s="534"/>
      <c r="AG2281" s="534"/>
      <c r="AH2281" s="534"/>
      <c r="AI2281" s="534"/>
      <c r="AJ2281" s="534"/>
      <c r="AK2281" s="534"/>
      <c r="AL2281" s="534"/>
      <c r="AM2281" s="534"/>
      <c r="AN2281" s="534"/>
      <c r="AO2281" s="534"/>
      <c r="AP2281" s="534"/>
      <c r="AQ2281" s="534"/>
      <c r="AR2281" s="534"/>
      <c r="AS2281" s="534"/>
      <c r="AT2281" s="534"/>
      <c r="AU2281" s="534"/>
      <c r="AV2281" s="534"/>
      <c r="AW2281" s="534"/>
      <c r="AX2281" s="534"/>
      <c r="AY2281" s="534"/>
      <c r="AZ2281" s="534"/>
      <c r="BA2281" s="534"/>
      <c r="BB2281" s="534"/>
      <c r="BC2281" s="534"/>
      <c r="BD2281" s="534"/>
      <c r="BE2281" s="534"/>
      <c r="BF2281" s="534"/>
      <c r="BG2281" s="534"/>
      <c r="BH2281" s="534"/>
      <c r="BI2281" s="534"/>
      <c r="BJ2281" s="534"/>
      <c r="BK2281" s="534"/>
      <c r="BL2281" s="534"/>
      <c r="BM2281" s="534"/>
      <c r="BN2281" s="534"/>
      <c r="BO2281" s="534"/>
      <c r="BP2281" s="534"/>
      <c r="BQ2281" s="534"/>
      <c r="BR2281" s="534"/>
      <c r="BS2281" s="534"/>
      <c r="BT2281" s="534"/>
      <c r="BU2281" s="534"/>
      <c r="BV2281" s="534"/>
      <c r="BW2281" s="534"/>
      <c r="BX2281" s="534"/>
      <c r="BY2281" s="534"/>
      <c r="BZ2281" s="534"/>
      <c r="CA2281" s="534"/>
      <c r="CB2281" s="534"/>
      <c r="CC2281" s="534"/>
      <c r="CD2281" s="534"/>
      <c r="CE2281" s="534"/>
      <c r="CF2281" s="534"/>
      <c r="CG2281" s="534"/>
      <c r="CH2281" s="534"/>
      <c r="CI2281" s="534"/>
      <c r="CJ2281" s="534"/>
      <c r="CK2281" s="534"/>
      <c r="CL2281" s="534"/>
      <c r="CM2281" s="534"/>
      <c r="CN2281" s="534"/>
      <c r="CO2281" s="534"/>
      <c r="CP2281" s="534"/>
      <c r="CQ2281" s="534"/>
      <c r="CR2281" s="534"/>
      <c r="CS2281" s="534"/>
      <c r="CT2281" s="534"/>
      <c r="CU2281" s="534"/>
      <c r="CV2281" s="534"/>
      <c r="CW2281" s="534"/>
      <c r="CX2281" s="534"/>
      <c r="CY2281" s="534"/>
      <c r="CZ2281" s="534"/>
      <c r="DA2281" s="534"/>
      <c r="DB2281" s="534"/>
      <c r="DC2281" s="534"/>
      <c r="DD2281" s="534"/>
      <c r="DE2281" s="534"/>
      <c r="DF2281" s="534"/>
      <c r="DG2281" s="534"/>
      <c r="DH2281" s="534"/>
      <c r="DI2281" s="534"/>
      <c r="DJ2281" s="534"/>
      <c r="DK2281" s="534"/>
      <c r="DL2281" s="534"/>
      <c r="DM2281" s="534"/>
      <c r="DN2281" s="534"/>
      <c r="DO2281" s="534"/>
      <c r="DP2281" s="534"/>
      <c r="DQ2281" s="534"/>
      <c r="DR2281" s="534"/>
      <c r="DS2281" s="534"/>
      <c r="DT2281" s="534"/>
      <c r="DU2281" s="534"/>
      <c r="DV2281" s="534"/>
      <c r="DW2281" s="534"/>
      <c r="DX2281" s="534"/>
      <c r="DY2281" s="534"/>
      <c r="DZ2281" s="534"/>
      <c r="EA2281" s="534"/>
      <c r="EB2281" s="534"/>
      <c r="EC2281" s="534"/>
      <c r="ED2281" s="534"/>
      <c r="EE2281" s="534"/>
      <c r="EF2281" s="534"/>
      <c r="EG2281" s="534"/>
      <c r="EH2281" s="534"/>
      <c r="EI2281" s="534"/>
      <c r="EJ2281" s="534"/>
      <c r="EK2281" s="534"/>
      <c r="EL2281" s="534"/>
      <c r="EM2281" s="534"/>
      <c r="EN2281" s="534"/>
      <c r="EO2281" s="534"/>
      <c r="EP2281" s="534"/>
      <c r="EQ2281" s="534"/>
      <c r="ER2281" s="534"/>
      <c r="ES2281" s="534"/>
      <c r="ET2281" s="534"/>
      <c r="EU2281" s="534"/>
      <c r="EV2281" s="534"/>
      <c r="EW2281" s="534"/>
      <c r="EX2281" s="534"/>
      <c r="EY2281" s="534"/>
      <c r="EZ2281" s="534"/>
      <c r="FA2281" s="534"/>
      <c r="FB2281" s="534"/>
      <c r="FC2281" s="534"/>
      <c r="FD2281" s="534"/>
      <c r="FE2281" s="534"/>
      <c r="FF2281" s="534"/>
      <c r="FG2281" s="534"/>
      <c r="FH2281" s="534"/>
      <c r="FI2281" s="534"/>
      <c r="FJ2281" s="534"/>
      <c r="FK2281" s="534"/>
      <c r="FL2281" s="534"/>
      <c r="FM2281" s="534"/>
      <c r="FN2281" s="534"/>
      <c r="FO2281" s="534"/>
      <c r="FP2281" s="534"/>
      <c r="FQ2281" s="534"/>
      <c r="FR2281" s="534"/>
      <c r="FS2281" s="534"/>
      <c r="FT2281" s="534"/>
      <c r="FU2281" s="534"/>
      <c r="FV2281" s="534"/>
      <c r="FW2281" s="534"/>
      <c r="FX2281" s="534"/>
      <c r="FY2281" s="534"/>
      <c r="FZ2281" s="534"/>
      <c r="GA2281" s="534"/>
      <c r="GB2281" s="534"/>
      <c r="GC2281" s="534"/>
      <c r="GD2281" s="534"/>
      <c r="GE2281" s="534"/>
      <c r="GF2281" s="534"/>
      <c r="GG2281" s="534"/>
      <c r="GH2281" s="534"/>
      <c r="GI2281" s="534"/>
      <c r="GJ2281" s="534"/>
      <c r="GK2281" s="534"/>
      <c r="GL2281" s="534"/>
      <c r="GM2281" s="534"/>
      <c r="GN2281" s="534"/>
      <c r="GO2281" s="534"/>
      <c r="GP2281" s="534"/>
      <c r="GQ2281" s="534"/>
      <c r="GR2281" s="534"/>
      <c r="GS2281" s="534"/>
      <c r="GT2281" s="534"/>
      <c r="GU2281" s="534"/>
      <c r="GV2281" s="534"/>
      <c r="GW2281" s="534"/>
      <c r="GX2281" s="534"/>
      <c r="GY2281" s="534"/>
      <c r="GZ2281" s="534"/>
      <c r="HA2281" s="534"/>
      <c r="HB2281" s="534"/>
      <c r="HC2281" s="534"/>
    </row>
    <row r="2282" spans="1:222" s="90" customFormat="1" hidden="1">
      <c r="A2282" s="812">
        <f t="shared" si="317"/>
        <v>5</v>
      </c>
      <c r="B2282" s="813" t="s">
        <v>1958</v>
      </c>
      <c r="C2282" s="814" t="s">
        <v>217</v>
      </c>
      <c r="D2282" s="815">
        <f>E2282*2.7</f>
        <v>1233.9000000000001</v>
      </c>
      <c r="E2282" s="816">
        <v>457</v>
      </c>
      <c r="F2282" s="815" t="s">
        <v>222</v>
      </c>
      <c r="G2282" s="816">
        <v>822</v>
      </c>
      <c r="H2282" s="803">
        <v>2</v>
      </c>
      <c r="I2282" s="803">
        <v>2</v>
      </c>
      <c r="J2282" s="803">
        <v>16</v>
      </c>
      <c r="K2282" s="812" t="s">
        <v>33</v>
      </c>
      <c r="L2282" s="746">
        <f t="shared" si="316"/>
        <v>1759305.79</v>
      </c>
      <c r="M2282" s="745">
        <v>1726200</v>
      </c>
      <c r="N2282" s="1076">
        <v>27094</v>
      </c>
      <c r="O2282" s="822"/>
      <c r="P2282" s="802"/>
      <c r="Q2282" s="586">
        <v>6011.79</v>
      </c>
      <c r="R2282" s="803">
        <f t="shared" si="318"/>
        <v>2100</v>
      </c>
      <c r="S2282" s="575">
        <f t="shared" si="319"/>
        <v>3.7289282772690058E-11</v>
      </c>
      <c r="T2282" s="817"/>
      <c r="U2282" s="818"/>
      <c r="V2282" s="589"/>
      <c r="W2282" s="817"/>
      <c r="X2282" s="817"/>
      <c r="Y2282" s="817"/>
      <c r="Z2282" s="817"/>
      <c r="AA2282" s="534"/>
      <c r="AB2282" s="534"/>
      <c r="AC2282" s="534"/>
      <c r="AD2282" s="534"/>
      <c r="AE2282" s="534"/>
      <c r="AF2282" s="534"/>
      <c r="AG2282" s="534"/>
      <c r="AH2282" s="534"/>
      <c r="AI2282" s="534"/>
      <c r="AJ2282" s="534"/>
      <c r="AK2282" s="534"/>
      <c r="AL2282" s="534"/>
      <c r="AM2282" s="534"/>
      <c r="AN2282" s="534"/>
      <c r="AO2282" s="534"/>
      <c r="AP2282" s="534"/>
      <c r="AQ2282" s="534"/>
      <c r="AR2282" s="534"/>
      <c r="AS2282" s="534"/>
      <c r="AT2282" s="534"/>
      <c r="AU2282" s="534"/>
      <c r="AV2282" s="534"/>
      <c r="AW2282" s="534"/>
      <c r="AX2282" s="534"/>
      <c r="AY2282" s="534"/>
      <c r="AZ2282" s="534"/>
      <c r="BA2282" s="534"/>
      <c r="BB2282" s="534"/>
      <c r="BC2282" s="534"/>
      <c r="BD2282" s="534"/>
      <c r="BE2282" s="534"/>
      <c r="BF2282" s="534"/>
      <c r="BG2282" s="534"/>
      <c r="BH2282" s="534"/>
      <c r="BI2282" s="534"/>
      <c r="BJ2282" s="534"/>
      <c r="BK2282" s="534"/>
      <c r="BL2282" s="534"/>
      <c r="BM2282" s="534"/>
      <c r="BN2282" s="534"/>
      <c r="BO2282" s="534"/>
      <c r="BP2282" s="534"/>
      <c r="BQ2282" s="534"/>
      <c r="BR2282" s="534"/>
      <c r="BS2282" s="534"/>
      <c r="BT2282" s="534"/>
      <c r="BU2282" s="534"/>
      <c r="BV2282" s="534"/>
      <c r="BW2282" s="534"/>
      <c r="BX2282" s="534"/>
      <c r="BY2282" s="534"/>
      <c r="BZ2282" s="534"/>
      <c r="CA2282" s="534"/>
      <c r="CB2282" s="534"/>
      <c r="CC2282" s="534"/>
      <c r="CD2282" s="534"/>
      <c r="CE2282" s="534"/>
      <c r="CF2282" s="534"/>
      <c r="CG2282" s="534"/>
      <c r="CH2282" s="534"/>
      <c r="CI2282" s="534"/>
      <c r="CJ2282" s="534"/>
      <c r="CK2282" s="534"/>
      <c r="CL2282" s="534"/>
      <c r="CM2282" s="534"/>
      <c r="CN2282" s="534"/>
      <c r="CO2282" s="534"/>
      <c r="CP2282" s="534"/>
      <c r="CQ2282" s="534"/>
      <c r="CR2282" s="534"/>
      <c r="CS2282" s="534"/>
      <c r="CT2282" s="534"/>
      <c r="CU2282" s="534"/>
      <c r="CV2282" s="534"/>
      <c r="CW2282" s="534"/>
      <c r="CX2282" s="534"/>
      <c r="CY2282" s="534"/>
      <c r="CZ2282" s="534"/>
      <c r="DA2282" s="534"/>
      <c r="DB2282" s="534"/>
      <c r="DC2282" s="534"/>
      <c r="DD2282" s="534"/>
      <c r="DE2282" s="534"/>
      <c r="DF2282" s="534"/>
      <c r="DG2282" s="534"/>
      <c r="DH2282" s="534"/>
      <c r="DI2282" s="534"/>
      <c r="DJ2282" s="534"/>
      <c r="DK2282" s="534"/>
      <c r="DL2282" s="534"/>
      <c r="DM2282" s="534"/>
      <c r="DN2282" s="534"/>
      <c r="DO2282" s="534"/>
      <c r="DP2282" s="534"/>
      <c r="DQ2282" s="534"/>
      <c r="DR2282" s="534"/>
      <c r="DS2282" s="534"/>
      <c r="DT2282" s="534"/>
      <c r="DU2282" s="534"/>
      <c r="DV2282" s="534"/>
      <c r="DW2282" s="534"/>
      <c r="DX2282" s="534"/>
      <c r="DY2282" s="534"/>
      <c r="DZ2282" s="534"/>
      <c r="EA2282" s="534"/>
      <c r="EB2282" s="534"/>
      <c r="EC2282" s="534"/>
      <c r="ED2282" s="534"/>
      <c r="EE2282" s="534"/>
      <c r="EF2282" s="534"/>
      <c r="EG2282" s="534"/>
      <c r="EH2282" s="534"/>
      <c r="EI2282" s="534"/>
      <c r="EJ2282" s="534"/>
      <c r="EK2282" s="534"/>
      <c r="EL2282" s="534"/>
      <c r="EM2282" s="534"/>
      <c r="EN2282" s="534"/>
      <c r="EO2282" s="534"/>
      <c r="EP2282" s="534"/>
      <c r="EQ2282" s="534"/>
      <c r="ER2282" s="534"/>
      <c r="ES2282" s="534"/>
      <c r="ET2282" s="534"/>
      <c r="EU2282" s="534"/>
      <c r="EV2282" s="534"/>
      <c r="EW2282" s="534"/>
      <c r="EX2282" s="534"/>
      <c r="EY2282" s="534"/>
      <c r="EZ2282" s="534"/>
      <c r="FA2282" s="534"/>
      <c r="FB2282" s="534"/>
      <c r="FC2282" s="534"/>
      <c r="FD2282" s="534"/>
      <c r="FE2282" s="534"/>
      <c r="FF2282" s="534"/>
      <c r="FG2282" s="534"/>
      <c r="FH2282" s="534"/>
      <c r="FI2282" s="534"/>
      <c r="FJ2282" s="534"/>
      <c r="FK2282" s="534"/>
      <c r="FL2282" s="534"/>
      <c r="FM2282" s="534"/>
      <c r="FN2282" s="534"/>
      <c r="FO2282" s="534"/>
      <c r="FP2282" s="534"/>
      <c r="FQ2282" s="534"/>
      <c r="FR2282" s="534"/>
      <c r="FS2282" s="534"/>
      <c r="FT2282" s="534"/>
      <c r="FU2282" s="534"/>
      <c r="FV2282" s="534"/>
      <c r="FW2282" s="534"/>
      <c r="FX2282" s="534"/>
      <c r="FY2282" s="534"/>
      <c r="FZ2282" s="534"/>
      <c r="GA2282" s="534"/>
      <c r="GB2282" s="534"/>
      <c r="GC2282" s="534"/>
      <c r="GD2282" s="534"/>
      <c r="GE2282" s="534"/>
      <c r="GF2282" s="534"/>
      <c r="GG2282" s="534"/>
      <c r="GH2282" s="534"/>
      <c r="GI2282" s="534"/>
      <c r="GJ2282" s="534"/>
      <c r="GK2282" s="534"/>
      <c r="GL2282" s="534"/>
      <c r="GM2282" s="534"/>
      <c r="GN2282" s="534"/>
      <c r="GO2282" s="534"/>
      <c r="GP2282" s="534"/>
      <c r="GQ2282" s="534"/>
      <c r="GR2282" s="534"/>
      <c r="GS2282" s="534"/>
      <c r="GT2282" s="534"/>
      <c r="GU2282" s="534"/>
      <c r="GV2282" s="534"/>
      <c r="GW2282" s="534"/>
      <c r="GX2282" s="534"/>
      <c r="GY2282" s="534"/>
      <c r="GZ2282" s="534"/>
      <c r="HA2282" s="534"/>
      <c r="HB2282" s="534"/>
      <c r="HC2282" s="534"/>
    </row>
    <row r="2283" spans="1:222" s="90" customFormat="1" hidden="1">
      <c r="A2283" s="812">
        <f t="shared" si="317"/>
        <v>6</v>
      </c>
      <c r="B2283" s="813" t="s">
        <v>1959</v>
      </c>
      <c r="C2283" s="593" t="s">
        <v>221</v>
      </c>
      <c r="D2283" s="815">
        <f t="shared" ref="D2283:D2289" si="320">E2283*2.7</f>
        <v>1782.0000000000002</v>
      </c>
      <c r="E2283" s="815">
        <v>660</v>
      </c>
      <c r="F2283" s="815" t="s">
        <v>222</v>
      </c>
      <c r="G2283" s="815">
        <v>730</v>
      </c>
      <c r="H2283" s="819">
        <v>2</v>
      </c>
      <c r="I2283" s="819">
        <v>2</v>
      </c>
      <c r="J2283" s="819">
        <v>16</v>
      </c>
      <c r="K2283" s="812" t="s">
        <v>33</v>
      </c>
      <c r="L2283" s="746">
        <f t="shared" si="316"/>
        <v>1569870.37</v>
      </c>
      <c r="M2283" s="745">
        <v>1533000</v>
      </c>
      <c r="N2283" s="1076">
        <v>28188</v>
      </c>
      <c r="O2283" s="822"/>
      <c r="P2283" s="802"/>
      <c r="Q2283" s="586">
        <v>8682.3700000000008</v>
      </c>
      <c r="R2283" s="803">
        <f t="shared" si="318"/>
        <v>2100</v>
      </c>
      <c r="S2283" s="575">
        <f t="shared" si="319"/>
        <v>1.1095835361629725E-10</v>
      </c>
      <c r="T2283" s="817"/>
      <c r="U2283" s="818"/>
      <c r="V2283" s="589"/>
      <c r="W2283" s="817"/>
      <c r="X2283" s="817"/>
      <c r="Y2283" s="817"/>
      <c r="Z2283" s="817"/>
      <c r="AA2283" s="534"/>
      <c r="AB2283" s="534"/>
      <c r="AC2283" s="534"/>
      <c r="AD2283" s="534"/>
      <c r="AE2283" s="534"/>
      <c r="AF2283" s="534"/>
      <c r="AG2283" s="534"/>
      <c r="AH2283" s="534"/>
      <c r="AI2283" s="534"/>
      <c r="AJ2283" s="534"/>
      <c r="AK2283" s="534"/>
      <c r="AL2283" s="534"/>
      <c r="AM2283" s="534"/>
      <c r="AN2283" s="534"/>
      <c r="AO2283" s="534"/>
      <c r="AP2283" s="534"/>
      <c r="AQ2283" s="534"/>
      <c r="AR2283" s="534"/>
      <c r="AS2283" s="534"/>
      <c r="AT2283" s="534"/>
      <c r="AU2283" s="534"/>
      <c r="AV2283" s="534"/>
      <c r="AW2283" s="534"/>
      <c r="AX2283" s="534"/>
      <c r="AY2283" s="534"/>
      <c r="AZ2283" s="534"/>
      <c r="BA2283" s="534"/>
      <c r="BB2283" s="534"/>
      <c r="BC2283" s="534"/>
      <c r="BD2283" s="534"/>
      <c r="BE2283" s="534"/>
      <c r="BF2283" s="534"/>
      <c r="BG2283" s="534"/>
      <c r="BH2283" s="534"/>
      <c r="BI2283" s="534"/>
      <c r="BJ2283" s="534"/>
      <c r="BK2283" s="534"/>
      <c r="BL2283" s="534"/>
      <c r="BM2283" s="534"/>
      <c r="BN2283" s="534"/>
      <c r="BO2283" s="534"/>
      <c r="BP2283" s="534"/>
      <c r="BQ2283" s="534"/>
      <c r="BR2283" s="534"/>
      <c r="BS2283" s="534"/>
      <c r="BT2283" s="534"/>
      <c r="BU2283" s="534"/>
      <c r="BV2283" s="534"/>
      <c r="BW2283" s="534"/>
      <c r="BX2283" s="534"/>
      <c r="BY2283" s="534"/>
      <c r="BZ2283" s="534"/>
      <c r="CA2283" s="534"/>
      <c r="CB2283" s="534"/>
      <c r="CC2283" s="534"/>
      <c r="CD2283" s="534"/>
      <c r="CE2283" s="534"/>
      <c r="CF2283" s="534"/>
      <c r="CG2283" s="534"/>
      <c r="CH2283" s="534"/>
      <c r="CI2283" s="534"/>
      <c r="CJ2283" s="534"/>
      <c r="CK2283" s="534"/>
      <c r="CL2283" s="534"/>
      <c r="CM2283" s="534"/>
      <c r="CN2283" s="534"/>
      <c r="CO2283" s="534"/>
      <c r="CP2283" s="534"/>
      <c r="CQ2283" s="534"/>
      <c r="CR2283" s="534"/>
      <c r="CS2283" s="534"/>
      <c r="CT2283" s="534"/>
      <c r="CU2283" s="534"/>
      <c r="CV2283" s="534"/>
      <c r="CW2283" s="534"/>
      <c r="CX2283" s="534"/>
      <c r="CY2283" s="534"/>
      <c r="CZ2283" s="534"/>
      <c r="DA2283" s="534"/>
      <c r="DB2283" s="534"/>
      <c r="DC2283" s="534"/>
      <c r="DD2283" s="534"/>
      <c r="DE2283" s="534"/>
      <c r="DF2283" s="534"/>
      <c r="DG2283" s="534"/>
      <c r="DH2283" s="534"/>
      <c r="DI2283" s="534"/>
      <c r="DJ2283" s="534"/>
      <c r="DK2283" s="534"/>
      <c r="DL2283" s="534"/>
      <c r="DM2283" s="534"/>
      <c r="DN2283" s="534"/>
      <c r="DO2283" s="534"/>
      <c r="DP2283" s="534"/>
      <c r="DQ2283" s="534"/>
      <c r="DR2283" s="534"/>
      <c r="DS2283" s="534"/>
      <c r="DT2283" s="534"/>
      <c r="DU2283" s="534"/>
      <c r="DV2283" s="534"/>
      <c r="DW2283" s="534"/>
      <c r="DX2283" s="534"/>
      <c r="DY2283" s="534"/>
      <c r="DZ2283" s="534"/>
      <c r="EA2283" s="534"/>
      <c r="EB2283" s="534"/>
      <c r="EC2283" s="534"/>
      <c r="ED2283" s="534"/>
      <c r="EE2283" s="534"/>
      <c r="EF2283" s="534"/>
      <c r="EG2283" s="534"/>
      <c r="EH2283" s="534"/>
      <c r="EI2283" s="534"/>
      <c r="EJ2283" s="534"/>
      <c r="EK2283" s="534"/>
      <c r="EL2283" s="534"/>
      <c r="EM2283" s="534"/>
      <c r="EN2283" s="534"/>
      <c r="EO2283" s="534"/>
      <c r="EP2283" s="534"/>
      <c r="EQ2283" s="534"/>
      <c r="ER2283" s="534"/>
      <c r="ES2283" s="534"/>
      <c r="ET2283" s="534"/>
      <c r="EU2283" s="534"/>
      <c r="EV2283" s="534"/>
      <c r="EW2283" s="534"/>
      <c r="EX2283" s="534"/>
      <c r="EY2283" s="534"/>
      <c r="EZ2283" s="534"/>
      <c r="FA2283" s="534"/>
      <c r="FB2283" s="534"/>
      <c r="FC2283" s="534"/>
      <c r="FD2283" s="534"/>
      <c r="FE2283" s="534"/>
      <c r="FF2283" s="534"/>
      <c r="FG2283" s="534"/>
      <c r="FH2283" s="534"/>
      <c r="FI2283" s="534"/>
      <c r="FJ2283" s="534"/>
      <c r="FK2283" s="534"/>
      <c r="FL2283" s="534"/>
      <c r="FM2283" s="534"/>
      <c r="FN2283" s="534"/>
      <c r="FO2283" s="534"/>
      <c r="FP2283" s="534"/>
      <c r="FQ2283" s="534"/>
      <c r="FR2283" s="534"/>
      <c r="FS2283" s="534"/>
      <c r="FT2283" s="534"/>
      <c r="FU2283" s="534"/>
      <c r="FV2283" s="534"/>
      <c r="FW2283" s="534"/>
      <c r="FX2283" s="534"/>
      <c r="FY2283" s="534"/>
      <c r="FZ2283" s="534"/>
      <c r="GA2283" s="534"/>
      <c r="GB2283" s="534"/>
      <c r="GC2283" s="534"/>
      <c r="GD2283" s="534"/>
      <c r="GE2283" s="534"/>
      <c r="GF2283" s="534"/>
      <c r="GG2283" s="534"/>
      <c r="GH2283" s="534"/>
      <c r="GI2283" s="534"/>
      <c r="GJ2283" s="534"/>
      <c r="GK2283" s="534"/>
      <c r="GL2283" s="534"/>
      <c r="GM2283" s="534"/>
      <c r="GN2283" s="534"/>
      <c r="GO2283" s="534"/>
      <c r="GP2283" s="534"/>
      <c r="GQ2283" s="534"/>
      <c r="GR2283" s="534"/>
      <c r="GS2283" s="534"/>
      <c r="GT2283" s="534"/>
      <c r="GU2283" s="534"/>
      <c r="GV2283" s="534"/>
      <c r="GW2283" s="534"/>
      <c r="GX2283" s="534"/>
      <c r="GY2283" s="534"/>
      <c r="GZ2283" s="534"/>
      <c r="HA2283" s="534"/>
      <c r="HB2283" s="534"/>
      <c r="HC2283" s="534"/>
    </row>
    <row r="2284" spans="1:222" s="90" customFormat="1" hidden="1">
      <c r="A2284" s="812">
        <f t="shared" si="317"/>
        <v>7</v>
      </c>
      <c r="B2284" s="813" t="s">
        <v>1960</v>
      </c>
      <c r="C2284" s="593" t="s">
        <v>221</v>
      </c>
      <c r="D2284" s="815">
        <f t="shared" si="320"/>
        <v>1782.0000000000002</v>
      </c>
      <c r="E2284" s="815">
        <v>660</v>
      </c>
      <c r="F2284" s="815" t="s">
        <v>222</v>
      </c>
      <c r="G2284" s="815">
        <v>750</v>
      </c>
      <c r="H2284" s="819">
        <v>2</v>
      </c>
      <c r="I2284" s="819">
        <v>2</v>
      </c>
      <c r="J2284" s="819">
        <v>12</v>
      </c>
      <c r="K2284" s="812" t="s">
        <v>33</v>
      </c>
      <c r="L2284" s="746">
        <f t="shared" si="316"/>
        <v>1611870.37</v>
      </c>
      <c r="M2284" s="745">
        <v>1575000</v>
      </c>
      <c r="N2284" s="1076">
        <v>28188</v>
      </c>
      <c r="O2284" s="822"/>
      <c r="P2284" s="802"/>
      <c r="Q2284" s="586">
        <v>8682.3700000000008</v>
      </c>
      <c r="R2284" s="803">
        <f t="shared" si="318"/>
        <v>2100</v>
      </c>
      <c r="S2284" s="575">
        <f t="shared" si="319"/>
        <v>1.1095835361629725E-10</v>
      </c>
      <c r="T2284" s="817"/>
      <c r="U2284" s="818"/>
      <c r="V2284" s="589"/>
      <c r="W2284" s="817"/>
      <c r="X2284" s="817"/>
      <c r="Y2284" s="817"/>
      <c r="Z2284" s="817"/>
      <c r="AA2284" s="534"/>
      <c r="AB2284" s="534"/>
      <c r="AC2284" s="534"/>
      <c r="AD2284" s="534"/>
      <c r="AE2284" s="534"/>
      <c r="AF2284" s="534"/>
      <c r="AG2284" s="534"/>
      <c r="AH2284" s="534"/>
      <c r="AI2284" s="534"/>
      <c r="AJ2284" s="534"/>
      <c r="AK2284" s="534"/>
      <c r="AL2284" s="534"/>
      <c r="AM2284" s="534"/>
      <c r="AN2284" s="534"/>
      <c r="AO2284" s="534"/>
      <c r="AP2284" s="534"/>
      <c r="AQ2284" s="534"/>
      <c r="AR2284" s="534"/>
      <c r="AS2284" s="534"/>
      <c r="AT2284" s="534"/>
      <c r="AU2284" s="534"/>
      <c r="AV2284" s="534"/>
      <c r="AW2284" s="534"/>
      <c r="AX2284" s="534"/>
      <c r="AY2284" s="534"/>
      <c r="AZ2284" s="534"/>
      <c r="BA2284" s="534"/>
      <c r="BB2284" s="534"/>
      <c r="BC2284" s="534"/>
      <c r="BD2284" s="534"/>
      <c r="BE2284" s="534"/>
      <c r="BF2284" s="534"/>
      <c r="BG2284" s="534"/>
      <c r="BH2284" s="534"/>
      <c r="BI2284" s="534"/>
      <c r="BJ2284" s="534"/>
      <c r="BK2284" s="534"/>
      <c r="BL2284" s="534"/>
      <c r="BM2284" s="534"/>
      <c r="BN2284" s="534"/>
      <c r="BO2284" s="534"/>
      <c r="BP2284" s="534"/>
      <c r="BQ2284" s="534"/>
      <c r="BR2284" s="534"/>
      <c r="BS2284" s="534"/>
      <c r="BT2284" s="534"/>
      <c r="BU2284" s="534"/>
      <c r="BV2284" s="534"/>
      <c r="BW2284" s="534"/>
      <c r="BX2284" s="534"/>
      <c r="BY2284" s="534"/>
      <c r="BZ2284" s="534"/>
      <c r="CA2284" s="534"/>
      <c r="CB2284" s="534"/>
      <c r="CC2284" s="534"/>
      <c r="CD2284" s="534"/>
      <c r="CE2284" s="534"/>
      <c r="CF2284" s="534"/>
      <c r="CG2284" s="534"/>
      <c r="CH2284" s="534"/>
      <c r="CI2284" s="534"/>
      <c r="CJ2284" s="534"/>
      <c r="CK2284" s="534"/>
      <c r="CL2284" s="534"/>
      <c r="CM2284" s="534"/>
      <c r="CN2284" s="534"/>
      <c r="CO2284" s="534"/>
      <c r="CP2284" s="534"/>
      <c r="CQ2284" s="534"/>
      <c r="CR2284" s="534"/>
      <c r="CS2284" s="534"/>
      <c r="CT2284" s="534"/>
      <c r="CU2284" s="534"/>
      <c r="CV2284" s="534"/>
      <c r="CW2284" s="534"/>
      <c r="CX2284" s="534"/>
      <c r="CY2284" s="534"/>
      <c r="CZ2284" s="534"/>
      <c r="DA2284" s="534"/>
      <c r="DB2284" s="534"/>
      <c r="DC2284" s="534"/>
      <c r="DD2284" s="534"/>
      <c r="DE2284" s="534"/>
      <c r="DF2284" s="534"/>
      <c r="DG2284" s="534"/>
      <c r="DH2284" s="534"/>
      <c r="DI2284" s="534"/>
      <c r="DJ2284" s="534"/>
      <c r="DK2284" s="534"/>
      <c r="DL2284" s="534"/>
      <c r="DM2284" s="534"/>
      <c r="DN2284" s="534"/>
      <c r="DO2284" s="534"/>
      <c r="DP2284" s="534"/>
      <c r="DQ2284" s="534"/>
      <c r="DR2284" s="534"/>
      <c r="DS2284" s="534"/>
      <c r="DT2284" s="534"/>
      <c r="DU2284" s="534"/>
      <c r="DV2284" s="534"/>
      <c r="DW2284" s="534"/>
      <c r="DX2284" s="534"/>
      <c r="DY2284" s="534"/>
      <c r="DZ2284" s="534"/>
      <c r="EA2284" s="534"/>
      <c r="EB2284" s="534"/>
      <c r="EC2284" s="534"/>
      <c r="ED2284" s="534"/>
      <c r="EE2284" s="534"/>
      <c r="EF2284" s="534"/>
      <c r="EG2284" s="534"/>
      <c r="EH2284" s="534"/>
      <c r="EI2284" s="534"/>
      <c r="EJ2284" s="534"/>
      <c r="EK2284" s="534"/>
      <c r="EL2284" s="534"/>
      <c r="EM2284" s="534"/>
      <c r="EN2284" s="534"/>
      <c r="EO2284" s="534"/>
      <c r="EP2284" s="534"/>
      <c r="EQ2284" s="534"/>
      <c r="ER2284" s="534"/>
      <c r="ES2284" s="534"/>
      <c r="ET2284" s="534"/>
      <c r="EU2284" s="534"/>
      <c r="EV2284" s="534"/>
      <c r="EW2284" s="534"/>
      <c r="EX2284" s="534"/>
      <c r="EY2284" s="534"/>
      <c r="EZ2284" s="534"/>
      <c r="FA2284" s="534"/>
      <c r="FB2284" s="534"/>
      <c r="FC2284" s="534"/>
      <c r="FD2284" s="534"/>
      <c r="FE2284" s="534"/>
      <c r="FF2284" s="534"/>
      <c r="FG2284" s="534"/>
      <c r="FH2284" s="534"/>
      <c r="FI2284" s="534"/>
      <c r="FJ2284" s="534"/>
      <c r="FK2284" s="534"/>
      <c r="FL2284" s="534"/>
      <c r="FM2284" s="534"/>
      <c r="FN2284" s="534"/>
      <c r="FO2284" s="534"/>
      <c r="FP2284" s="534"/>
      <c r="FQ2284" s="534"/>
      <c r="FR2284" s="534"/>
      <c r="FS2284" s="534"/>
      <c r="FT2284" s="534"/>
      <c r="FU2284" s="534"/>
      <c r="FV2284" s="534"/>
      <c r="FW2284" s="534"/>
      <c r="FX2284" s="534"/>
      <c r="FY2284" s="534"/>
      <c r="FZ2284" s="534"/>
      <c r="GA2284" s="534"/>
      <c r="GB2284" s="534"/>
      <c r="GC2284" s="534"/>
      <c r="GD2284" s="534"/>
      <c r="GE2284" s="534"/>
      <c r="GF2284" s="534"/>
      <c r="GG2284" s="534"/>
      <c r="GH2284" s="534"/>
      <c r="GI2284" s="534"/>
      <c r="GJ2284" s="534"/>
      <c r="GK2284" s="534"/>
      <c r="GL2284" s="534"/>
      <c r="GM2284" s="534"/>
      <c r="GN2284" s="534"/>
      <c r="GO2284" s="534"/>
      <c r="GP2284" s="534"/>
      <c r="GQ2284" s="534"/>
      <c r="GR2284" s="534"/>
      <c r="GS2284" s="534"/>
      <c r="GT2284" s="534"/>
      <c r="GU2284" s="534"/>
      <c r="GV2284" s="534"/>
      <c r="GW2284" s="534"/>
      <c r="GX2284" s="534"/>
      <c r="GY2284" s="534"/>
      <c r="GZ2284" s="534"/>
      <c r="HA2284" s="534"/>
      <c r="HB2284" s="534"/>
      <c r="HC2284" s="534"/>
      <c r="HD2284" s="534"/>
      <c r="HE2284" s="534"/>
      <c r="HF2284" s="534"/>
      <c r="HG2284" s="534"/>
      <c r="HH2284" s="534"/>
      <c r="HI2284" s="534"/>
      <c r="HJ2284" s="534"/>
      <c r="HK2284" s="534"/>
      <c r="HL2284" s="534"/>
      <c r="HM2284" s="534"/>
      <c r="HN2284" s="534"/>
    </row>
    <row r="2285" spans="1:222" s="90" customFormat="1" hidden="1">
      <c r="A2285" s="812">
        <f t="shared" si="317"/>
        <v>8</v>
      </c>
      <c r="B2285" s="813" t="s">
        <v>1961</v>
      </c>
      <c r="C2285" s="593" t="s">
        <v>221</v>
      </c>
      <c r="D2285" s="815">
        <f t="shared" si="320"/>
        <v>1425.6000000000001</v>
      </c>
      <c r="E2285" s="815">
        <v>528</v>
      </c>
      <c r="F2285" s="815" t="s">
        <v>222</v>
      </c>
      <c r="G2285" s="815">
        <v>584.87</v>
      </c>
      <c r="H2285" s="819">
        <v>2</v>
      </c>
      <c r="I2285" s="819">
        <v>1</v>
      </c>
      <c r="J2285" s="819">
        <v>6</v>
      </c>
      <c r="K2285" s="812" t="s">
        <v>33</v>
      </c>
      <c r="L2285" s="746">
        <f t="shared" si="316"/>
        <v>1218932.1000000001</v>
      </c>
      <c r="M2285" s="745">
        <v>1184730</v>
      </c>
      <c r="N2285" s="1076">
        <v>27256</v>
      </c>
      <c r="O2285" s="822"/>
      <c r="P2285" s="802"/>
      <c r="Q2285" s="586">
        <v>6946.1</v>
      </c>
      <c r="R2285" s="803">
        <f t="shared" si="318"/>
        <v>2025.6296270966197</v>
      </c>
      <c r="S2285" s="575">
        <f t="shared" si="319"/>
        <v>9.276845958083868E-11</v>
      </c>
      <c r="T2285" s="817"/>
      <c r="U2285" s="818"/>
      <c r="V2285" s="589"/>
      <c r="W2285" s="817"/>
      <c r="X2285" s="817"/>
      <c r="Y2285" s="817"/>
      <c r="Z2285" s="817"/>
      <c r="AA2285" s="534"/>
      <c r="AB2285" s="534"/>
      <c r="AC2285" s="534"/>
      <c r="AD2285" s="534"/>
      <c r="AE2285" s="534"/>
      <c r="AF2285" s="534"/>
      <c r="AG2285" s="534"/>
      <c r="AH2285" s="534"/>
      <c r="AI2285" s="534"/>
      <c r="AJ2285" s="534"/>
      <c r="AK2285" s="534"/>
      <c r="AL2285" s="534"/>
      <c r="AM2285" s="534"/>
      <c r="AN2285" s="534"/>
      <c r="AO2285" s="534"/>
      <c r="AP2285" s="534"/>
      <c r="AQ2285" s="534"/>
      <c r="AR2285" s="534"/>
      <c r="AS2285" s="534"/>
      <c r="AT2285" s="534"/>
      <c r="AU2285" s="534"/>
      <c r="AV2285" s="534"/>
      <c r="AW2285" s="534"/>
      <c r="AX2285" s="534"/>
      <c r="AY2285" s="534"/>
      <c r="AZ2285" s="534"/>
      <c r="BA2285" s="534"/>
      <c r="BB2285" s="534"/>
      <c r="BC2285" s="534"/>
      <c r="BD2285" s="534"/>
      <c r="BE2285" s="534"/>
      <c r="BF2285" s="534"/>
      <c r="BG2285" s="534"/>
      <c r="BH2285" s="534"/>
      <c r="BI2285" s="534"/>
      <c r="BJ2285" s="534"/>
      <c r="BK2285" s="534"/>
      <c r="BL2285" s="534"/>
      <c r="BM2285" s="534"/>
      <c r="BN2285" s="534"/>
      <c r="BO2285" s="534"/>
      <c r="BP2285" s="534"/>
      <c r="BQ2285" s="534"/>
      <c r="BR2285" s="534"/>
      <c r="BS2285" s="534"/>
      <c r="BT2285" s="534"/>
      <c r="BU2285" s="534"/>
      <c r="BV2285" s="534"/>
      <c r="BW2285" s="534"/>
      <c r="BX2285" s="534"/>
      <c r="BY2285" s="534"/>
      <c r="BZ2285" s="534"/>
      <c r="CA2285" s="534"/>
      <c r="CB2285" s="534"/>
      <c r="CC2285" s="534"/>
      <c r="CD2285" s="534"/>
      <c r="CE2285" s="534"/>
      <c r="CF2285" s="534"/>
      <c r="CG2285" s="534"/>
      <c r="CH2285" s="534"/>
      <c r="CI2285" s="534"/>
      <c r="CJ2285" s="534"/>
      <c r="CK2285" s="534"/>
      <c r="CL2285" s="534"/>
      <c r="CM2285" s="534"/>
      <c r="CN2285" s="534"/>
      <c r="CO2285" s="534"/>
      <c r="CP2285" s="534"/>
      <c r="CQ2285" s="534"/>
      <c r="CR2285" s="534"/>
      <c r="CS2285" s="534"/>
      <c r="CT2285" s="534"/>
      <c r="CU2285" s="534"/>
      <c r="CV2285" s="534"/>
      <c r="CW2285" s="534"/>
      <c r="CX2285" s="534"/>
      <c r="CY2285" s="534"/>
      <c r="CZ2285" s="534"/>
      <c r="DA2285" s="534"/>
      <c r="DB2285" s="534"/>
      <c r="DC2285" s="534"/>
      <c r="DD2285" s="534"/>
      <c r="DE2285" s="534"/>
      <c r="DF2285" s="534"/>
      <c r="DG2285" s="534"/>
      <c r="DH2285" s="534"/>
      <c r="DI2285" s="534"/>
      <c r="DJ2285" s="534"/>
      <c r="DK2285" s="534"/>
      <c r="DL2285" s="534"/>
      <c r="DM2285" s="534"/>
      <c r="DN2285" s="534"/>
      <c r="DO2285" s="534"/>
      <c r="DP2285" s="534"/>
      <c r="DQ2285" s="534"/>
      <c r="DR2285" s="534"/>
      <c r="DS2285" s="534"/>
      <c r="DT2285" s="534"/>
      <c r="DU2285" s="534"/>
      <c r="DV2285" s="534"/>
      <c r="DW2285" s="534"/>
      <c r="DX2285" s="534"/>
      <c r="DY2285" s="534"/>
      <c r="DZ2285" s="534"/>
      <c r="EA2285" s="534"/>
      <c r="EB2285" s="534"/>
      <c r="EC2285" s="534"/>
      <c r="ED2285" s="534"/>
      <c r="EE2285" s="534"/>
      <c r="EF2285" s="534"/>
      <c r="EG2285" s="534"/>
      <c r="EH2285" s="534"/>
      <c r="EI2285" s="534"/>
      <c r="EJ2285" s="534"/>
      <c r="EK2285" s="534"/>
      <c r="EL2285" s="534"/>
      <c r="EM2285" s="534"/>
      <c r="EN2285" s="534"/>
      <c r="EO2285" s="534"/>
      <c r="EP2285" s="534"/>
      <c r="EQ2285" s="534"/>
      <c r="ER2285" s="534"/>
      <c r="ES2285" s="534"/>
      <c r="ET2285" s="534"/>
      <c r="EU2285" s="534"/>
      <c r="EV2285" s="534"/>
      <c r="EW2285" s="534"/>
      <c r="EX2285" s="534"/>
      <c r="EY2285" s="534"/>
      <c r="EZ2285" s="534"/>
      <c r="FA2285" s="534"/>
      <c r="FB2285" s="534"/>
      <c r="FC2285" s="534"/>
      <c r="FD2285" s="534"/>
      <c r="FE2285" s="534"/>
      <c r="FF2285" s="534"/>
      <c r="FG2285" s="534"/>
      <c r="FH2285" s="534"/>
      <c r="FI2285" s="534"/>
      <c r="FJ2285" s="534"/>
      <c r="FK2285" s="534"/>
      <c r="FL2285" s="534"/>
      <c r="FM2285" s="534"/>
      <c r="FN2285" s="534"/>
      <c r="FO2285" s="534"/>
      <c r="FP2285" s="534"/>
      <c r="FQ2285" s="534"/>
      <c r="FR2285" s="534"/>
      <c r="FS2285" s="534"/>
      <c r="FT2285" s="534"/>
      <c r="FU2285" s="534"/>
      <c r="FV2285" s="534"/>
      <c r="FW2285" s="534"/>
      <c r="FX2285" s="534"/>
      <c r="FY2285" s="534"/>
      <c r="FZ2285" s="534"/>
      <c r="GA2285" s="534"/>
      <c r="GB2285" s="534"/>
      <c r="GC2285" s="534"/>
      <c r="GD2285" s="534"/>
      <c r="GE2285" s="534"/>
      <c r="GF2285" s="534"/>
      <c r="GG2285" s="534"/>
      <c r="GH2285" s="534"/>
      <c r="GI2285" s="534"/>
      <c r="GJ2285" s="534"/>
      <c r="GK2285" s="534"/>
      <c r="GL2285" s="534"/>
      <c r="GM2285" s="534"/>
      <c r="GN2285" s="534"/>
      <c r="GO2285" s="534"/>
      <c r="GP2285" s="534"/>
      <c r="GQ2285" s="534"/>
      <c r="GR2285" s="534"/>
      <c r="GS2285" s="534"/>
      <c r="GT2285" s="534"/>
      <c r="GU2285" s="534"/>
      <c r="GV2285" s="534"/>
      <c r="GW2285" s="534"/>
      <c r="GX2285" s="534"/>
      <c r="GY2285" s="534"/>
      <c r="GZ2285" s="534"/>
      <c r="HA2285" s="534"/>
      <c r="HB2285" s="534"/>
      <c r="HC2285" s="534"/>
      <c r="HD2285" s="534"/>
      <c r="HE2285" s="534"/>
      <c r="HF2285" s="534"/>
      <c r="HG2285" s="534"/>
      <c r="HH2285" s="534"/>
      <c r="HI2285" s="534"/>
      <c r="HJ2285" s="534"/>
      <c r="HK2285" s="534"/>
      <c r="HL2285" s="534"/>
      <c r="HM2285" s="534"/>
      <c r="HN2285" s="534"/>
    </row>
    <row r="2286" spans="1:222" s="90" customFormat="1" hidden="1">
      <c r="A2286" s="812">
        <f t="shared" ref="A2286:A2291" si="321">A2285+1</f>
        <v>9</v>
      </c>
      <c r="B2286" s="813" t="s">
        <v>1962</v>
      </c>
      <c r="C2286" s="593" t="s">
        <v>221</v>
      </c>
      <c r="D2286" s="815">
        <f t="shared" si="320"/>
        <v>1415.88</v>
      </c>
      <c r="E2286" s="815">
        <v>524.4</v>
      </c>
      <c r="F2286" s="815" t="s">
        <v>222</v>
      </c>
      <c r="G2286" s="815">
        <v>670.6</v>
      </c>
      <c r="H2286" s="819">
        <v>2</v>
      </c>
      <c r="I2286" s="819">
        <v>2</v>
      </c>
      <c r="J2286" s="819">
        <v>12</v>
      </c>
      <c r="K2286" s="812" t="s">
        <v>33</v>
      </c>
      <c r="L2286" s="746">
        <f t="shared" si="316"/>
        <v>1442389.33</v>
      </c>
      <c r="M2286" s="745">
        <v>1408260</v>
      </c>
      <c r="N2286" s="1076">
        <v>27231</v>
      </c>
      <c r="O2286" s="822"/>
      <c r="P2286" s="802"/>
      <c r="Q2286" s="586">
        <v>6898.33</v>
      </c>
      <c r="R2286" s="803">
        <f t="shared" si="318"/>
        <v>2100</v>
      </c>
      <c r="S2286" s="575">
        <f t="shared" si="319"/>
        <v>7.4578565545380116E-11</v>
      </c>
      <c r="T2286" s="817"/>
      <c r="U2286" s="818"/>
      <c r="V2286" s="589"/>
      <c r="W2286" s="817"/>
      <c r="X2286" s="817"/>
      <c r="Y2286" s="817"/>
      <c r="Z2286" s="817"/>
      <c r="AA2286" s="534"/>
      <c r="AB2286" s="534"/>
      <c r="AC2286" s="534"/>
      <c r="AD2286" s="534"/>
      <c r="AE2286" s="534"/>
      <c r="AF2286" s="534"/>
      <c r="AG2286" s="534"/>
      <c r="AH2286" s="534"/>
      <c r="AI2286" s="534"/>
      <c r="AJ2286" s="534"/>
      <c r="AK2286" s="534"/>
      <c r="AL2286" s="534"/>
      <c r="AM2286" s="534"/>
      <c r="AN2286" s="534"/>
      <c r="AO2286" s="534"/>
      <c r="AP2286" s="534"/>
      <c r="AQ2286" s="534"/>
      <c r="AR2286" s="534"/>
      <c r="AS2286" s="534"/>
      <c r="AT2286" s="534"/>
      <c r="AU2286" s="534"/>
      <c r="AV2286" s="534"/>
      <c r="AW2286" s="534"/>
      <c r="AX2286" s="534"/>
      <c r="AY2286" s="534"/>
      <c r="AZ2286" s="534"/>
      <c r="BA2286" s="534"/>
      <c r="BB2286" s="534"/>
      <c r="BC2286" s="534"/>
      <c r="BD2286" s="534"/>
      <c r="BE2286" s="534"/>
      <c r="BF2286" s="534"/>
      <c r="BG2286" s="534"/>
      <c r="BH2286" s="534"/>
      <c r="BI2286" s="534"/>
      <c r="BJ2286" s="534"/>
      <c r="BK2286" s="534"/>
      <c r="BL2286" s="534"/>
      <c r="BM2286" s="534"/>
      <c r="BN2286" s="534"/>
      <c r="BO2286" s="534"/>
      <c r="BP2286" s="534"/>
      <c r="BQ2286" s="534"/>
      <c r="BR2286" s="534"/>
      <c r="BS2286" s="534"/>
      <c r="BT2286" s="534"/>
      <c r="BU2286" s="534"/>
      <c r="BV2286" s="534"/>
      <c r="BW2286" s="534"/>
      <c r="BX2286" s="534"/>
      <c r="BY2286" s="534"/>
      <c r="BZ2286" s="534"/>
      <c r="CA2286" s="534"/>
      <c r="CB2286" s="534"/>
      <c r="CC2286" s="534"/>
      <c r="CD2286" s="534"/>
      <c r="CE2286" s="534"/>
      <c r="CF2286" s="534"/>
      <c r="CG2286" s="534"/>
      <c r="CH2286" s="534"/>
      <c r="CI2286" s="534"/>
      <c r="CJ2286" s="534"/>
      <c r="CK2286" s="534"/>
      <c r="CL2286" s="534"/>
      <c r="CM2286" s="534"/>
      <c r="CN2286" s="534"/>
      <c r="CO2286" s="534"/>
      <c r="CP2286" s="534"/>
      <c r="CQ2286" s="534"/>
      <c r="CR2286" s="534"/>
      <c r="CS2286" s="534"/>
      <c r="CT2286" s="534"/>
      <c r="CU2286" s="534"/>
      <c r="CV2286" s="534"/>
      <c r="CW2286" s="534"/>
      <c r="CX2286" s="534"/>
      <c r="CY2286" s="534"/>
      <c r="CZ2286" s="534"/>
      <c r="DA2286" s="534"/>
      <c r="DB2286" s="534"/>
      <c r="DC2286" s="534"/>
      <c r="DD2286" s="534"/>
      <c r="DE2286" s="534"/>
      <c r="DF2286" s="534"/>
      <c r="DG2286" s="534"/>
      <c r="DH2286" s="534"/>
      <c r="DI2286" s="534"/>
      <c r="DJ2286" s="534"/>
      <c r="DK2286" s="534"/>
      <c r="DL2286" s="534"/>
      <c r="DM2286" s="534"/>
      <c r="DN2286" s="534"/>
      <c r="DO2286" s="534"/>
      <c r="DP2286" s="534"/>
      <c r="DQ2286" s="534"/>
      <c r="DR2286" s="534"/>
      <c r="DS2286" s="534"/>
      <c r="DT2286" s="534"/>
      <c r="DU2286" s="534"/>
      <c r="DV2286" s="534"/>
      <c r="DW2286" s="534"/>
      <c r="DX2286" s="534"/>
      <c r="DY2286" s="534"/>
      <c r="DZ2286" s="534"/>
      <c r="EA2286" s="534"/>
      <c r="EB2286" s="534"/>
      <c r="EC2286" s="534"/>
      <c r="ED2286" s="534"/>
      <c r="EE2286" s="534"/>
      <c r="EF2286" s="534"/>
      <c r="EG2286" s="534"/>
      <c r="EH2286" s="534"/>
      <c r="EI2286" s="534"/>
      <c r="EJ2286" s="534"/>
      <c r="EK2286" s="534"/>
      <c r="EL2286" s="534"/>
      <c r="EM2286" s="534"/>
      <c r="EN2286" s="534"/>
      <c r="EO2286" s="534"/>
      <c r="EP2286" s="534"/>
      <c r="EQ2286" s="534"/>
      <c r="ER2286" s="534"/>
      <c r="ES2286" s="534"/>
      <c r="ET2286" s="534"/>
      <c r="EU2286" s="534"/>
      <c r="EV2286" s="534"/>
      <c r="EW2286" s="534"/>
      <c r="EX2286" s="534"/>
      <c r="EY2286" s="534"/>
      <c r="EZ2286" s="534"/>
      <c r="FA2286" s="534"/>
      <c r="FB2286" s="534"/>
      <c r="FC2286" s="534"/>
      <c r="FD2286" s="534"/>
      <c r="FE2286" s="534"/>
      <c r="FF2286" s="534"/>
      <c r="FG2286" s="534"/>
      <c r="FH2286" s="534"/>
      <c r="FI2286" s="534"/>
      <c r="FJ2286" s="534"/>
      <c r="FK2286" s="534"/>
      <c r="FL2286" s="534"/>
      <c r="FM2286" s="534"/>
      <c r="FN2286" s="534"/>
      <c r="FO2286" s="534"/>
      <c r="FP2286" s="534"/>
      <c r="FQ2286" s="534"/>
      <c r="FR2286" s="534"/>
      <c r="FS2286" s="534"/>
      <c r="FT2286" s="534"/>
      <c r="FU2286" s="534"/>
      <c r="FV2286" s="534"/>
      <c r="FW2286" s="534"/>
      <c r="FX2286" s="534"/>
      <c r="FY2286" s="534"/>
      <c r="FZ2286" s="534"/>
      <c r="GA2286" s="534"/>
      <c r="GB2286" s="534"/>
      <c r="GC2286" s="534"/>
      <c r="GD2286" s="534"/>
      <c r="GE2286" s="534"/>
      <c r="GF2286" s="534"/>
      <c r="GG2286" s="534"/>
      <c r="GH2286" s="534"/>
      <c r="GI2286" s="534"/>
      <c r="GJ2286" s="534"/>
      <c r="GK2286" s="534"/>
      <c r="GL2286" s="534"/>
      <c r="GM2286" s="534"/>
      <c r="GN2286" s="534"/>
      <c r="GO2286" s="534"/>
      <c r="GP2286" s="534"/>
      <c r="GQ2286" s="534"/>
      <c r="GR2286" s="534"/>
      <c r="GS2286" s="534"/>
      <c r="GT2286" s="534"/>
      <c r="GU2286" s="534"/>
      <c r="GV2286" s="534"/>
      <c r="GW2286" s="534"/>
      <c r="GX2286" s="534"/>
      <c r="GY2286" s="534"/>
      <c r="GZ2286" s="534"/>
      <c r="HA2286" s="534"/>
      <c r="HB2286" s="534"/>
      <c r="HC2286" s="534"/>
      <c r="HD2286" s="534"/>
      <c r="HE2286" s="534"/>
      <c r="HF2286" s="534"/>
      <c r="HG2286" s="534"/>
      <c r="HH2286" s="534"/>
      <c r="HI2286" s="534"/>
      <c r="HJ2286" s="534"/>
      <c r="HK2286" s="534"/>
      <c r="HL2286" s="534"/>
      <c r="HM2286" s="534"/>
      <c r="HN2286" s="534"/>
    </row>
    <row r="2287" spans="1:222" s="90" customFormat="1" hidden="1">
      <c r="A2287" s="812">
        <f t="shared" si="321"/>
        <v>10</v>
      </c>
      <c r="B2287" s="813" t="s">
        <v>1963</v>
      </c>
      <c r="C2287" s="593" t="s">
        <v>221</v>
      </c>
      <c r="D2287" s="815">
        <f t="shared" si="320"/>
        <v>1415.88</v>
      </c>
      <c r="E2287" s="815">
        <v>524.4</v>
      </c>
      <c r="F2287" s="815" t="s">
        <v>222</v>
      </c>
      <c r="G2287" s="815">
        <v>670.6</v>
      </c>
      <c r="H2287" s="819">
        <v>2</v>
      </c>
      <c r="I2287" s="819">
        <v>2</v>
      </c>
      <c r="J2287" s="819">
        <v>12</v>
      </c>
      <c r="K2287" s="812" t="s">
        <v>33</v>
      </c>
      <c r="L2287" s="746">
        <f t="shared" si="316"/>
        <v>1442389.33</v>
      </c>
      <c r="M2287" s="745">
        <v>1408260</v>
      </c>
      <c r="N2287" s="1076">
        <v>27231</v>
      </c>
      <c r="O2287" s="822"/>
      <c r="P2287" s="802"/>
      <c r="Q2287" s="586">
        <v>6898.33</v>
      </c>
      <c r="R2287" s="803">
        <f t="shared" si="318"/>
        <v>2100</v>
      </c>
      <c r="S2287" s="575">
        <f t="shared" si="319"/>
        <v>7.4578565545380116E-11</v>
      </c>
      <c r="T2287" s="817"/>
      <c r="U2287" s="818"/>
      <c r="V2287" s="589"/>
      <c r="W2287" s="817"/>
      <c r="X2287" s="817"/>
      <c r="Y2287" s="817"/>
      <c r="Z2287" s="817"/>
      <c r="AA2287" s="534"/>
      <c r="AB2287" s="534"/>
      <c r="AC2287" s="534"/>
      <c r="AD2287" s="534"/>
      <c r="AE2287" s="534"/>
      <c r="AF2287" s="534"/>
      <c r="AG2287" s="534"/>
      <c r="AH2287" s="534"/>
      <c r="AI2287" s="534"/>
      <c r="AJ2287" s="534"/>
      <c r="AK2287" s="534"/>
      <c r="AL2287" s="534"/>
      <c r="AM2287" s="534"/>
      <c r="AN2287" s="534"/>
      <c r="AO2287" s="534"/>
      <c r="AP2287" s="534"/>
      <c r="AQ2287" s="534"/>
      <c r="AR2287" s="534"/>
      <c r="AS2287" s="534"/>
      <c r="AT2287" s="534"/>
      <c r="AU2287" s="534"/>
      <c r="AV2287" s="534"/>
      <c r="AW2287" s="534"/>
      <c r="AX2287" s="534"/>
      <c r="AY2287" s="534"/>
      <c r="AZ2287" s="534"/>
      <c r="BA2287" s="534"/>
      <c r="BB2287" s="534"/>
      <c r="BC2287" s="534"/>
      <c r="BD2287" s="534"/>
      <c r="BE2287" s="534"/>
      <c r="BF2287" s="534"/>
      <c r="BG2287" s="534"/>
      <c r="BH2287" s="534"/>
      <c r="BI2287" s="534"/>
      <c r="BJ2287" s="534"/>
      <c r="BK2287" s="534"/>
      <c r="BL2287" s="534"/>
      <c r="BM2287" s="534"/>
      <c r="BN2287" s="534"/>
      <c r="BO2287" s="534"/>
      <c r="BP2287" s="534"/>
      <c r="BQ2287" s="534"/>
      <c r="BR2287" s="534"/>
      <c r="BS2287" s="534"/>
      <c r="BT2287" s="534"/>
      <c r="BU2287" s="534"/>
      <c r="BV2287" s="534"/>
      <c r="BW2287" s="534"/>
      <c r="BX2287" s="534"/>
      <c r="BY2287" s="534"/>
      <c r="BZ2287" s="534"/>
      <c r="CA2287" s="534"/>
      <c r="CB2287" s="534"/>
      <c r="CC2287" s="534"/>
      <c r="CD2287" s="534"/>
      <c r="CE2287" s="534"/>
      <c r="CF2287" s="534"/>
      <c r="CG2287" s="534"/>
      <c r="CH2287" s="534"/>
      <c r="CI2287" s="534"/>
      <c r="CJ2287" s="534"/>
      <c r="CK2287" s="534"/>
      <c r="CL2287" s="534"/>
      <c r="CM2287" s="534"/>
      <c r="CN2287" s="534"/>
      <c r="CO2287" s="534"/>
      <c r="CP2287" s="534"/>
      <c r="CQ2287" s="534"/>
      <c r="CR2287" s="534"/>
      <c r="CS2287" s="534"/>
      <c r="CT2287" s="534"/>
      <c r="CU2287" s="534"/>
      <c r="CV2287" s="534"/>
      <c r="CW2287" s="534"/>
      <c r="CX2287" s="534"/>
      <c r="CY2287" s="534"/>
      <c r="CZ2287" s="534"/>
      <c r="DA2287" s="534"/>
      <c r="DB2287" s="534"/>
      <c r="DC2287" s="534"/>
      <c r="DD2287" s="534"/>
      <c r="DE2287" s="534"/>
      <c r="DF2287" s="534"/>
      <c r="DG2287" s="534"/>
      <c r="DH2287" s="534"/>
      <c r="DI2287" s="534"/>
      <c r="DJ2287" s="534"/>
      <c r="DK2287" s="534"/>
      <c r="DL2287" s="534"/>
      <c r="DM2287" s="534"/>
      <c r="DN2287" s="534"/>
      <c r="DO2287" s="534"/>
      <c r="DP2287" s="534"/>
      <c r="DQ2287" s="534"/>
      <c r="DR2287" s="534"/>
      <c r="DS2287" s="534"/>
      <c r="DT2287" s="534"/>
      <c r="DU2287" s="534"/>
      <c r="DV2287" s="534"/>
      <c r="DW2287" s="534"/>
      <c r="DX2287" s="534"/>
      <c r="DY2287" s="534"/>
      <c r="DZ2287" s="534"/>
      <c r="EA2287" s="534"/>
      <c r="EB2287" s="534"/>
      <c r="EC2287" s="534"/>
      <c r="ED2287" s="534"/>
      <c r="EE2287" s="534"/>
      <c r="EF2287" s="534"/>
      <c r="EG2287" s="534"/>
      <c r="EH2287" s="534"/>
      <c r="EI2287" s="534"/>
      <c r="EJ2287" s="534"/>
      <c r="EK2287" s="534"/>
      <c r="EL2287" s="534"/>
      <c r="EM2287" s="534"/>
      <c r="EN2287" s="534"/>
      <c r="EO2287" s="534"/>
      <c r="EP2287" s="534"/>
      <c r="EQ2287" s="534"/>
      <c r="ER2287" s="534"/>
      <c r="ES2287" s="534"/>
      <c r="ET2287" s="534"/>
      <c r="EU2287" s="534"/>
      <c r="EV2287" s="534"/>
      <c r="EW2287" s="534"/>
      <c r="EX2287" s="534"/>
      <c r="EY2287" s="534"/>
      <c r="EZ2287" s="534"/>
      <c r="FA2287" s="534"/>
      <c r="FB2287" s="534"/>
      <c r="FC2287" s="534"/>
      <c r="FD2287" s="534"/>
      <c r="FE2287" s="534"/>
      <c r="FF2287" s="534"/>
      <c r="FG2287" s="534"/>
      <c r="FH2287" s="534"/>
      <c r="FI2287" s="534"/>
      <c r="FJ2287" s="534"/>
      <c r="FK2287" s="534"/>
      <c r="FL2287" s="534"/>
      <c r="FM2287" s="534"/>
      <c r="FN2287" s="534"/>
      <c r="FO2287" s="534"/>
      <c r="FP2287" s="534"/>
      <c r="FQ2287" s="534"/>
      <c r="FR2287" s="534"/>
      <c r="FS2287" s="534"/>
      <c r="FT2287" s="534"/>
      <c r="FU2287" s="534"/>
      <c r="FV2287" s="534"/>
      <c r="FW2287" s="534"/>
      <c r="FX2287" s="534"/>
      <c r="FY2287" s="534"/>
      <c r="FZ2287" s="534"/>
      <c r="GA2287" s="534"/>
      <c r="GB2287" s="534"/>
      <c r="GC2287" s="534"/>
      <c r="GD2287" s="534"/>
      <c r="GE2287" s="534"/>
      <c r="GF2287" s="534"/>
      <c r="GG2287" s="534"/>
      <c r="GH2287" s="534"/>
      <c r="GI2287" s="534"/>
      <c r="GJ2287" s="534"/>
      <c r="GK2287" s="534"/>
      <c r="GL2287" s="534"/>
      <c r="GM2287" s="534"/>
      <c r="GN2287" s="534"/>
      <c r="GO2287" s="534"/>
      <c r="GP2287" s="534"/>
      <c r="GQ2287" s="534"/>
      <c r="GR2287" s="534"/>
      <c r="GS2287" s="534"/>
      <c r="GT2287" s="534"/>
      <c r="GU2287" s="534"/>
      <c r="GV2287" s="534"/>
      <c r="GW2287" s="534"/>
      <c r="GX2287" s="534"/>
      <c r="GY2287" s="534"/>
      <c r="GZ2287" s="534"/>
      <c r="HA2287" s="534"/>
      <c r="HB2287" s="534"/>
      <c r="HC2287" s="534"/>
      <c r="HD2287" s="534"/>
      <c r="HE2287" s="534"/>
      <c r="HF2287" s="534"/>
      <c r="HG2287" s="534"/>
      <c r="HH2287" s="534"/>
      <c r="HI2287" s="534"/>
      <c r="HJ2287" s="534"/>
      <c r="HK2287" s="534"/>
      <c r="HL2287" s="534"/>
      <c r="HM2287" s="534"/>
      <c r="HN2287" s="534"/>
    </row>
    <row r="2288" spans="1:222" s="90" customFormat="1" hidden="1">
      <c r="A2288" s="812">
        <f t="shared" si="321"/>
        <v>11</v>
      </c>
      <c r="B2288" s="813" t="s">
        <v>1964</v>
      </c>
      <c r="C2288" s="814" t="s">
        <v>217</v>
      </c>
      <c r="D2288" s="815">
        <f t="shared" si="320"/>
        <v>7695.0000000000009</v>
      </c>
      <c r="E2288" s="816">
        <v>2850</v>
      </c>
      <c r="F2288" s="815" t="s">
        <v>227</v>
      </c>
      <c r="G2288" s="816">
        <v>1211</v>
      </c>
      <c r="H2288" s="803">
        <v>5</v>
      </c>
      <c r="I2288" s="803">
        <v>6</v>
      </c>
      <c r="J2288" s="803">
        <v>85</v>
      </c>
      <c r="K2288" s="812" t="s">
        <v>33</v>
      </c>
      <c r="L2288" s="746">
        <f t="shared" si="316"/>
        <v>2463456</v>
      </c>
      <c r="M2288" s="745">
        <v>2422000</v>
      </c>
      <c r="N2288" s="802"/>
      <c r="O2288" s="631">
        <v>21556</v>
      </c>
      <c r="P2288" s="802"/>
      <c r="Q2288" s="586">
        <v>19900</v>
      </c>
      <c r="R2288" s="803">
        <f t="shared" si="318"/>
        <v>2000</v>
      </c>
      <c r="S2288" s="575">
        <f t="shared" si="319"/>
        <v>0</v>
      </c>
      <c r="T2288" s="817"/>
      <c r="U2288" s="818"/>
      <c r="V2288" s="589"/>
      <c r="W2288" s="817"/>
      <c r="X2288" s="817"/>
      <c r="Y2288" s="817"/>
      <c r="Z2288" s="817"/>
      <c r="AA2288" s="534"/>
      <c r="AB2288" s="534"/>
      <c r="AC2288" s="534"/>
      <c r="AD2288" s="534"/>
      <c r="AE2288" s="534"/>
      <c r="AF2288" s="534"/>
      <c r="AG2288" s="534"/>
      <c r="AH2288" s="534"/>
      <c r="AI2288" s="534"/>
      <c r="AJ2288" s="534"/>
      <c r="AK2288" s="534"/>
      <c r="AL2288" s="534"/>
      <c r="AM2288" s="534"/>
      <c r="AN2288" s="534"/>
      <c r="AO2288" s="534"/>
      <c r="AP2288" s="534"/>
      <c r="AQ2288" s="534"/>
      <c r="AR2288" s="534"/>
      <c r="AS2288" s="534"/>
      <c r="AT2288" s="534"/>
      <c r="AU2288" s="534"/>
      <c r="AV2288" s="534"/>
      <c r="AW2288" s="534"/>
      <c r="AX2288" s="534"/>
      <c r="AY2288" s="534"/>
      <c r="AZ2288" s="534"/>
      <c r="BA2288" s="534"/>
      <c r="BB2288" s="534"/>
      <c r="BC2288" s="534"/>
      <c r="BD2288" s="534"/>
      <c r="BE2288" s="534"/>
      <c r="BF2288" s="534"/>
      <c r="BG2288" s="534"/>
      <c r="BH2288" s="534"/>
      <c r="BI2288" s="534"/>
      <c r="BJ2288" s="534"/>
      <c r="BK2288" s="534"/>
      <c r="BL2288" s="534"/>
      <c r="BM2288" s="534"/>
      <c r="BN2288" s="534"/>
      <c r="BO2288" s="534"/>
      <c r="BP2288" s="534"/>
      <c r="BQ2288" s="534"/>
      <c r="BR2288" s="534"/>
      <c r="BS2288" s="534"/>
      <c r="BT2288" s="534"/>
      <c r="BU2288" s="534"/>
      <c r="BV2288" s="534"/>
      <c r="BW2288" s="534"/>
      <c r="BX2288" s="534"/>
      <c r="BY2288" s="534"/>
      <c r="BZ2288" s="534"/>
      <c r="CA2288" s="534"/>
      <c r="CB2288" s="534"/>
      <c r="CC2288" s="534"/>
      <c r="CD2288" s="534"/>
      <c r="CE2288" s="534"/>
      <c r="CF2288" s="534"/>
      <c r="CG2288" s="534"/>
      <c r="CH2288" s="534"/>
      <c r="CI2288" s="534"/>
      <c r="CJ2288" s="534"/>
      <c r="CK2288" s="534"/>
      <c r="CL2288" s="534"/>
      <c r="CM2288" s="534"/>
      <c r="CN2288" s="534"/>
      <c r="CO2288" s="534"/>
      <c r="CP2288" s="534"/>
      <c r="CQ2288" s="534"/>
      <c r="CR2288" s="534"/>
      <c r="CS2288" s="534"/>
      <c r="CT2288" s="534"/>
      <c r="CU2288" s="534"/>
      <c r="CV2288" s="534"/>
      <c r="CW2288" s="534"/>
      <c r="CX2288" s="534"/>
      <c r="CY2288" s="534"/>
      <c r="CZ2288" s="534"/>
      <c r="DA2288" s="534"/>
      <c r="DB2288" s="534"/>
      <c r="DC2288" s="534"/>
      <c r="DD2288" s="534"/>
      <c r="DE2288" s="534"/>
      <c r="DF2288" s="534"/>
      <c r="DG2288" s="534"/>
      <c r="DH2288" s="534"/>
      <c r="DI2288" s="534"/>
      <c r="DJ2288" s="534"/>
      <c r="DK2288" s="534"/>
      <c r="DL2288" s="534"/>
      <c r="DM2288" s="534"/>
      <c r="DN2288" s="534"/>
      <c r="DO2288" s="534"/>
      <c r="DP2288" s="534"/>
      <c r="DQ2288" s="534"/>
      <c r="DR2288" s="534"/>
      <c r="DS2288" s="534"/>
      <c r="DT2288" s="534"/>
      <c r="DU2288" s="534"/>
      <c r="DV2288" s="534"/>
      <c r="DW2288" s="534"/>
      <c r="DX2288" s="534"/>
      <c r="DY2288" s="534"/>
      <c r="DZ2288" s="534"/>
      <c r="EA2288" s="534"/>
      <c r="EB2288" s="534"/>
      <c r="EC2288" s="534"/>
      <c r="ED2288" s="534"/>
      <c r="EE2288" s="534"/>
      <c r="EF2288" s="534"/>
      <c r="EG2288" s="534"/>
      <c r="EH2288" s="534"/>
      <c r="EI2288" s="534"/>
      <c r="EJ2288" s="534"/>
      <c r="EK2288" s="534"/>
      <c r="EL2288" s="534"/>
      <c r="EM2288" s="534"/>
      <c r="EN2288" s="534"/>
      <c r="EO2288" s="534"/>
      <c r="EP2288" s="534"/>
      <c r="EQ2288" s="534"/>
      <c r="ER2288" s="534"/>
      <c r="ES2288" s="534"/>
      <c r="ET2288" s="534"/>
      <c r="EU2288" s="534"/>
      <c r="EV2288" s="534"/>
      <c r="EW2288" s="534"/>
      <c r="EX2288" s="534"/>
      <c r="EY2288" s="534"/>
      <c r="EZ2288" s="534"/>
      <c r="FA2288" s="534"/>
      <c r="FB2288" s="534"/>
      <c r="FC2288" s="534"/>
      <c r="FD2288" s="534"/>
      <c r="FE2288" s="534"/>
      <c r="FF2288" s="534"/>
      <c r="FG2288" s="534"/>
      <c r="FH2288" s="534"/>
      <c r="FI2288" s="534"/>
      <c r="FJ2288" s="534"/>
      <c r="FK2288" s="534"/>
      <c r="FL2288" s="534"/>
      <c r="FM2288" s="534"/>
      <c r="FN2288" s="534"/>
      <c r="FO2288" s="534"/>
      <c r="FP2288" s="534"/>
      <c r="FQ2288" s="534"/>
      <c r="FR2288" s="534"/>
      <c r="FS2288" s="534"/>
      <c r="FT2288" s="534"/>
      <c r="FU2288" s="534"/>
      <c r="FV2288" s="534"/>
      <c r="FW2288" s="534"/>
      <c r="FX2288" s="534"/>
      <c r="FY2288" s="534"/>
      <c r="FZ2288" s="534"/>
      <c r="GA2288" s="534"/>
      <c r="GB2288" s="534"/>
      <c r="GC2288" s="534"/>
      <c r="GD2288" s="534"/>
      <c r="GE2288" s="534"/>
      <c r="GF2288" s="534"/>
      <c r="GG2288" s="534"/>
      <c r="GH2288" s="534"/>
      <c r="GI2288" s="534"/>
      <c r="GJ2288" s="534"/>
      <c r="GK2288" s="534"/>
      <c r="GL2288" s="534"/>
      <c r="GM2288" s="534"/>
      <c r="GN2288" s="534"/>
      <c r="GO2288" s="534"/>
      <c r="GP2288" s="534"/>
      <c r="GQ2288" s="534"/>
      <c r="GR2288" s="534"/>
      <c r="GS2288" s="534"/>
      <c r="GT2288" s="534"/>
      <c r="GU2288" s="534"/>
      <c r="GV2288" s="534"/>
      <c r="GW2288" s="534"/>
      <c r="GX2288" s="534"/>
      <c r="GY2288" s="534"/>
      <c r="GZ2288" s="534"/>
      <c r="HA2288" s="534"/>
      <c r="HB2288" s="534"/>
      <c r="HC2288" s="534"/>
      <c r="HD2288" s="534"/>
      <c r="HE2288" s="534"/>
      <c r="HF2288" s="534"/>
      <c r="HG2288" s="534"/>
      <c r="HH2288" s="534"/>
      <c r="HI2288" s="534"/>
      <c r="HJ2288" s="534"/>
      <c r="HK2288" s="534"/>
      <c r="HL2288" s="534"/>
      <c r="HM2288" s="534"/>
      <c r="HN2288" s="534"/>
    </row>
    <row r="2289" spans="1:222" s="90" customFormat="1" hidden="1">
      <c r="A2289" s="812">
        <f t="shared" si="321"/>
        <v>12</v>
      </c>
      <c r="B2289" s="813" t="s">
        <v>1965</v>
      </c>
      <c r="C2289" s="593" t="s">
        <v>221</v>
      </c>
      <c r="D2289" s="815">
        <f t="shared" si="320"/>
        <v>1431</v>
      </c>
      <c r="E2289" s="815">
        <v>530</v>
      </c>
      <c r="F2289" s="815" t="s">
        <v>222</v>
      </c>
      <c r="G2289" s="815">
        <v>470</v>
      </c>
      <c r="H2289" s="819">
        <v>2</v>
      </c>
      <c r="I2289" s="819">
        <v>1</v>
      </c>
      <c r="J2289" s="819">
        <v>6</v>
      </c>
      <c r="K2289" s="812" t="s">
        <v>33</v>
      </c>
      <c r="L2289" s="746">
        <f t="shared" si="316"/>
        <v>974241.97</v>
      </c>
      <c r="M2289" s="745">
        <v>940000</v>
      </c>
      <c r="N2289" s="1076">
        <v>27270</v>
      </c>
      <c r="O2289" s="822"/>
      <c r="P2289" s="802"/>
      <c r="Q2289" s="586">
        <v>6971.97</v>
      </c>
      <c r="R2289" s="803">
        <f t="shared" si="318"/>
        <v>2000</v>
      </c>
      <c r="S2289" s="575">
        <f t="shared" si="319"/>
        <v>-2.8194335754960775E-11</v>
      </c>
      <c r="T2289" s="817"/>
      <c r="U2289" s="818"/>
      <c r="V2289" s="589"/>
      <c r="W2289" s="817"/>
      <c r="X2289" s="817"/>
      <c r="Y2289" s="817"/>
      <c r="Z2289" s="817"/>
      <c r="AA2289" s="534"/>
      <c r="AB2289" s="534"/>
      <c r="AC2289" s="534"/>
      <c r="AD2289" s="534"/>
      <c r="AE2289" s="534"/>
      <c r="AF2289" s="534"/>
      <c r="AG2289" s="534"/>
      <c r="AH2289" s="534"/>
      <c r="AI2289" s="534"/>
      <c r="AJ2289" s="534"/>
      <c r="AK2289" s="534"/>
      <c r="AL2289" s="534"/>
      <c r="AM2289" s="534"/>
      <c r="AN2289" s="534"/>
      <c r="AO2289" s="534"/>
      <c r="AP2289" s="534"/>
      <c r="AQ2289" s="534"/>
      <c r="AR2289" s="534"/>
      <c r="AS2289" s="534"/>
      <c r="AT2289" s="534"/>
      <c r="AU2289" s="534"/>
      <c r="AV2289" s="534"/>
      <c r="AW2289" s="534"/>
      <c r="AX2289" s="534"/>
      <c r="AY2289" s="534"/>
      <c r="AZ2289" s="534"/>
      <c r="BA2289" s="534"/>
      <c r="BB2289" s="534"/>
      <c r="BC2289" s="534"/>
      <c r="BD2289" s="534"/>
      <c r="BE2289" s="534"/>
      <c r="BF2289" s="534"/>
      <c r="BG2289" s="534"/>
      <c r="BH2289" s="534"/>
      <c r="BI2289" s="534"/>
      <c r="BJ2289" s="534"/>
      <c r="BK2289" s="534"/>
      <c r="BL2289" s="534"/>
      <c r="BM2289" s="534"/>
      <c r="BN2289" s="534"/>
      <c r="BO2289" s="534"/>
      <c r="BP2289" s="534"/>
      <c r="BQ2289" s="534"/>
      <c r="BR2289" s="534"/>
      <c r="BS2289" s="534"/>
      <c r="BT2289" s="534"/>
      <c r="BU2289" s="534"/>
      <c r="BV2289" s="534"/>
      <c r="BW2289" s="534"/>
      <c r="BX2289" s="534"/>
      <c r="BY2289" s="534"/>
      <c r="BZ2289" s="534"/>
      <c r="CA2289" s="534"/>
      <c r="CB2289" s="534"/>
      <c r="CC2289" s="534"/>
      <c r="CD2289" s="534"/>
      <c r="CE2289" s="534"/>
      <c r="CF2289" s="534"/>
      <c r="CG2289" s="534"/>
      <c r="CH2289" s="534"/>
      <c r="CI2289" s="534"/>
      <c r="CJ2289" s="534"/>
      <c r="CK2289" s="534"/>
      <c r="CL2289" s="534"/>
      <c r="CM2289" s="534"/>
      <c r="CN2289" s="534"/>
      <c r="CO2289" s="534"/>
      <c r="CP2289" s="534"/>
      <c r="CQ2289" s="534"/>
      <c r="CR2289" s="534"/>
      <c r="CS2289" s="534"/>
      <c r="CT2289" s="534"/>
      <c r="CU2289" s="534"/>
      <c r="CV2289" s="534"/>
      <c r="CW2289" s="534"/>
      <c r="CX2289" s="534"/>
      <c r="CY2289" s="534"/>
      <c r="CZ2289" s="534"/>
      <c r="DA2289" s="534"/>
      <c r="DB2289" s="534"/>
      <c r="DC2289" s="534"/>
      <c r="DD2289" s="534"/>
      <c r="DE2289" s="534"/>
      <c r="DF2289" s="534"/>
      <c r="DG2289" s="534"/>
      <c r="DH2289" s="534"/>
      <c r="DI2289" s="534"/>
      <c r="DJ2289" s="534"/>
      <c r="DK2289" s="534"/>
      <c r="DL2289" s="534"/>
      <c r="DM2289" s="534"/>
      <c r="DN2289" s="534"/>
      <c r="DO2289" s="534"/>
      <c r="DP2289" s="534"/>
      <c r="DQ2289" s="534"/>
      <c r="DR2289" s="534"/>
      <c r="DS2289" s="534"/>
      <c r="DT2289" s="534"/>
      <c r="DU2289" s="534"/>
      <c r="DV2289" s="534"/>
      <c r="DW2289" s="534"/>
      <c r="DX2289" s="534"/>
      <c r="DY2289" s="534"/>
      <c r="DZ2289" s="534"/>
      <c r="EA2289" s="534"/>
      <c r="EB2289" s="534"/>
      <c r="EC2289" s="534"/>
      <c r="ED2289" s="534"/>
      <c r="EE2289" s="534"/>
      <c r="EF2289" s="534"/>
      <c r="EG2289" s="534"/>
      <c r="EH2289" s="534"/>
      <c r="EI2289" s="534"/>
      <c r="EJ2289" s="534"/>
      <c r="EK2289" s="534"/>
      <c r="EL2289" s="534"/>
      <c r="EM2289" s="534"/>
      <c r="EN2289" s="534"/>
      <c r="EO2289" s="534"/>
      <c r="EP2289" s="534"/>
      <c r="EQ2289" s="534"/>
      <c r="ER2289" s="534"/>
      <c r="ES2289" s="534"/>
      <c r="ET2289" s="534"/>
      <c r="EU2289" s="534"/>
      <c r="EV2289" s="534"/>
      <c r="EW2289" s="534"/>
      <c r="EX2289" s="534"/>
      <c r="EY2289" s="534"/>
      <c r="EZ2289" s="534"/>
      <c r="FA2289" s="534"/>
      <c r="FB2289" s="534"/>
      <c r="FC2289" s="534"/>
      <c r="FD2289" s="534"/>
      <c r="FE2289" s="534"/>
      <c r="FF2289" s="534"/>
      <c r="FG2289" s="534"/>
      <c r="FH2289" s="534"/>
      <c r="FI2289" s="534"/>
      <c r="FJ2289" s="534"/>
      <c r="FK2289" s="534"/>
      <c r="FL2289" s="534"/>
      <c r="FM2289" s="534"/>
      <c r="FN2289" s="534"/>
      <c r="FO2289" s="534"/>
      <c r="FP2289" s="534"/>
      <c r="FQ2289" s="534"/>
      <c r="FR2289" s="534"/>
      <c r="FS2289" s="534"/>
      <c r="FT2289" s="534"/>
      <c r="FU2289" s="534"/>
      <c r="FV2289" s="534"/>
      <c r="FW2289" s="534"/>
      <c r="FX2289" s="534"/>
      <c r="FY2289" s="534"/>
      <c r="FZ2289" s="534"/>
      <c r="GA2289" s="534"/>
      <c r="GB2289" s="534"/>
      <c r="GC2289" s="534"/>
      <c r="GD2289" s="534"/>
      <c r="GE2289" s="534"/>
      <c r="GF2289" s="534"/>
      <c r="GG2289" s="534"/>
      <c r="GH2289" s="534"/>
      <c r="GI2289" s="534"/>
      <c r="GJ2289" s="534"/>
      <c r="GK2289" s="534"/>
      <c r="GL2289" s="534"/>
      <c r="GM2289" s="534"/>
      <c r="GN2289" s="534"/>
      <c r="GO2289" s="534"/>
      <c r="GP2289" s="534"/>
      <c r="GQ2289" s="534"/>
      <c r="GR2289" s="534"/>
      <c r="GS2289" s="534"/>
      <c r="GT2289" s="534"/>
      <c r="GU2289" s="534"/>
      <c r="GV2289" s="534"/>
      <c r="GW2289" s="534"/>
      <c r="GX2289" s="534"/>
      <c r="GY2289" s="534"/>
      <c r="GZ2289" s="534"/>
      <c r="HA2289" s="534"/>
      <c r="HB2289" s="534"/>
      <c r="HC2289" s="534"/>
      <c r="HD2289" s="534"/>
      <c r="HE2289" s="534"/>
      <c r="HF2289" s="534"/>
      <c r="HG2289" s="534"/>
      <c r="HH2289" s="534"/>
      <c r="HI2289" s="534"/>
      <c r="HJ2289" s="534"/>
      <c r="HK2289" s="534"/>
      <c r="HL2289" s="534"/>
      <c r="HM2289" s="534"/>
      <c r="HN2289" s="534"/>
    </row>
    <row r="2290" spans="1:222" s="547" customFormat="1" hidden="1">
      <c r="A2290" s="812">
        <f t="shared" si="321"/>
        <v>13</v>
      </c>
      <c r="B2290" s="813" t="s">
        <v>1966</v>
      </c>
      <c r="C2290" s="814" t="s">
        <v>217</v>
      </c>
      <c r="D2290" s="815">
        <f>E2290*2.7</f>
        <v>7492.5000000000009</v>
      </c>
      <c r="E2290" s="816">
        <v>2775</v>
      </c>
      <c r="F2290" s="815" t="s">
        <v>227</v>
      </c>
      <c r="G2290" s="816">
        <v>1187</v>
      </c>
      <c r="H2290" s="803">
        <v>5</v>
      </c>
      <c r="I2290" s="803">
        <v>2</v>
      </c>
      <c r="J2290" s="803">
        <v>124</v>
      </c>
      <c r="K2290" s="812" t="s">
        <v>33</v>
      </c>
      <c r="L2290" s="746">
        <f t="shared" si="316"/>
        <v>2415375</v>
      </c>
      <c r="M2290" s="745">
        <v>2374000</v>
      </c>
      <c r="N2290" s="802"/>
      <c r="O2290" s="631">
        <v>21475</v>
      </c>
      <c r="P2290" s="802"/>
      <c r="Q2290" s="586">
        <v>19900</v>
      </c>
      <c r="R2290" s="803">
        <f t="shared" si="318"/>
        <v>2000</v>
      </c>
      <c r="S2290" s="575">
        <f t="shared" si="319"/>
        <v>0</v>
      </c>
      <c r="T2290" s="817"/>
      <c r="U2290" s="1078"/>
      <c r="V2290" s="589"/>
      <c r="W2290" s="1079"/>
      <c r="X2290" s="1079"/>
      <c r="Y2290" s="1079"/>
      <c r="Z2290" s="1079"/>
      <c r="AA2290" s="546"/>
      <c r="AB2290" s="546"/>
      <c r="AC2290" s="546"/>
      <c r="AD2290" s="546"/>
      <c r="AE2290" s="546"/>
      <c r="AF2290" s="546"/>
      <c r="AG2290" s="546"/>
      <c r="AH2290" s="546"/>
      <c r="AI2290" s="546"/>
      <c r="AJ2290" s="546"/>
      <c r="AK2290" s="546"/>
      <c r="AL2290" s="546"/>
      <c r="AM2290" s="546"/>
      <c r="AN2290" s="546"/>
      <c r="AO2290" s="546"/>
      <c r="AP2290" s="546"/>
      <c r="AQ2290" s="546"/>
      <c r="AR2290" s="546"/>
      <c r="AS2290" s="546"/>
      <c r="AT2290" s="546"/>
      <c r="AU2290" s="546"/>
      <c r="AV2290" s="546"/>
      <c r="AW2290" s="546"/>
      <c r="AX2290" s="546"/>
      <c r="AY2290" s="546"/>
      <c r="AZ2290" s="546"/>
      <c r="BA2290" s="546"/>
      <c r="BB2290" s="546"/>
      <c r="BC2290" s="546"/>
      <c r="BD2290" s="546"/>
      <c r="BE2290" s="546"/>
      <c r="BF2290" s="546"/>
      <c r="BG2290" s="546"/>
      <c r="BH2290" s="546"/>
      <c r="BI2290" s="546"/>
      <c r="BJ2290" s="546"/>
      <c r="BK2290" s="546"/>
      <c r="BL2290" s="546"/>
      <c r="BM2290" s="546"/>
      <c r="BN2290" s="546"/>
      <c r="BO2290" s="546"/>
      <c r="BP2290" s="546"/>
      <c r="BQ2290" s="546"/>
      <c r="BR2290" s="546"/>
      <c r="BS2290" s="546"/>
      <c r="BT2290" s="546"/>
      <c r="BU2290" s="546"/>
      <c r="BV2290" s="546"/>
      <c r="BW2290" s="546"/>
      <c r="BX2290" s="546"/>
      <c r="BY2290" s="546"/>
      <c r="BZ2290" s="546"/>
      <c r="CA2290" s="546"/>
      <c r="CB2290" s="546"/>
      <c r="CC2290" s="546"/>
      <c r="CD2290" s="546"/>
      <c r="CE2290" s="546"/>
      <c r="CF2290" s="546"/>
      <c r="CG2290" s="546"/>
      <c r="CH2290" s="546"/>
      <c r="CI2290" s="546"/>
      <c r="CJ2290" s="546"/>
      <c r="CK2290" s="546"/>
      <c r="CL2290" s="546"/>
      <c r="CM2290" s="546"/>
      <c r="CN2290" s="546"/>
      <c r="CO2290" s="546"/>
      <c r="CP2290" s="546"/>
      <c r="CQ2290" s="546"/>
      <c r="CR2290" s="546"/>
      <c r="CS2290" s="546"/>
      <c r="CT2290" s="546"/>
      <c r="CU2290" s="546"/>
      <c r="CV2290" s="546"/>
      <c r="CW2290" s="546"/>
      <c r="CX2290" s="546"/>
      <c r="CY2290" s="546"/>
      <c r="CZ2290" s="546"/>
      <c r="DA2290" s="546"/>
      <c r="DB2290" s="546"/>
      <c r="DC2290" s="546"/>
      <c r="DD2290" s="546"/>
      <c r="DE2290" s="546"/>
      <c r="DF2290" s="546"/>
      <c r="DG2290" s="546"/>
      <c r="DH2290" s="546"/>
      <c r="DI2290" s="546"/>
      <c r="DJ2290" s="546"/>
      <c r="DK2290" s="546"/>
      <c r="DL2290" s="546"/>
      <c r="DM2290" s="546"/>
      <c r="DN2290" s="546"/>
      <c r="DO2290" s="546"/>
      <c r="DP2290" s="546"/>
      <c r="DQ2290" s="546"/>
      <c r="DR2290" s="546"/>
      <c r="DS2290" s="546"/>
      <c r="DT2290" s="546"/>
      <c r="DU2290" s="546"/>
      <c r="DV2290" s="546"/>
      <c r="DW2290" s="546"/>
      <c r="DX2290" s="546"/>
      <c r="DY2290" s="546"/>
      <c r="DZ2290" s="546"/>
      <c r="EA2290" s="546"/>
      <c r="EB2290" s="546"/>
      <c r="EC2290" s="546"/>
      <c r="ED2290" s="546"/>
      <c r="EE2290" s="546"/>
      <c r="EF2290" s="546"/>
      <c r="EG2290" s="546"/>
      <c r="EH2290" s="546"/>
      <c r="EI2290" s="546"/>
      <c r="EJ2290" s="546"/>
      <c r="EK2290" s="546"/>
      <c r="EL2290" s="546"/>
      <c r="EM2290" s="546"/>
      <c r="EN2290" s="546"/>
      <c r="EO2290" s="546"/>
      <c r="EP2290" s="546"/>
      <c r="EQ2290" s="546"/>
      <c r="ER2290" s="546"/>
      <c r="ES2290" s="546"/>
      <c r="ET2290" s="546"/>
      <c r="EU2290" s="546"/>
      <c r="EV2290" s="546"/>
      <c r="EW2290" s="546"/>
      <c r="EX2290" s="546"/>
      <c r="EY2290" s="546"/>
      <c r="EZ2290" s="546"/>
      <c r="FA2290" s="546"/>
      <c r="FB2290" s="546"/>
      <c r="FC2290" s="546"/>
      <c r="FD2290" s="546"/>
      <c r="FE2290" s="546"/>
      <c r="FF2290" s="546"/>
      <c r="FG2290" s="546"/>
      <c r="FH2290" s="546"/>
      <c r="FI2290" s="546"/>
      <c r="FJ2290" s="546"/>
      <c r="FK2290" s="546"/>
      <c r="FL2290" s="546"/>
      <c r="FM2290" s="546"/>
      <c r="FN2290" s="546"/>
      <c r="FO2290" s="546"/>
      <c r="FP2290" s="546"/>
      <c r="FQ2290" s="546"/>
      <c r="FR2290" s="546"/>
      <c r="FS2290" s="546"/>
      <c r="FT2290" s="546"/>
      <c r="FU2290" s="546"/>
      <c r="FV2290" s="546"/>
      <c r="FW2290" s="546"/>
      <c r="FX2290" s="546"/>
      <c r="FY2290" s="546"/>
      <c r="FZ2290" s="546"/>
      <c r="GA2290" s="546"/>
      <c r="GB2290" s="546"/>
      <c r="GC2290" s="546"/>
      <c r="GD2290" s="546"/>
      <c r="GE2290" s="546"/>
      <c r="GF2290" s="546"/>
      <c r="GG2290" s="546"/>
      <c r="GH2290" s="546"/>
      <c r="GI2290" s="546"/>
      <c r="GJ2290" s="546"/>
      <c r="GK2290" s="546"/>
      <c r="GL2290" s="546"/>
      <c r="GM2290" s="546"/>
      <c r="GN2290" s="546"/>
      <c r="GO2290" s="546"/>
      <c r="GP2290" s="546"/>
      <c r="GQ2290" s="546"/>
      <c r="GR2290" s="546"/>
      <c r="GS2290" s="546"/>
      <c r="GT2290" s="546"/>
      <c r="GU2290" s="546"/>
      <c r="GV2290" s="546"/>
      <c r="GW2290" s="546"/>
      <c r="GX2290" s="546"/>
      <c r="GY2290" s="546"/>
      <c r="GZ2290" s="546"/>
      <c r="HA2290" s="546"/>
      <c r="HB2290" s="546"/>
      <c r="HC2290" s="546"/>
      <c r="HD2290" s="546"/>
      <c r="HE2290" s="546"/>
      <c r="HF2290" s="546"/>
      <c r="HG2290" s="546"/>
      <c r="HH2290" s="546"/>
      <c r="HI2290" s="546"/>
      <c r="HJ2290" s="546"/>
      <c r="HK2290" s="546"/>
      <c r="HL2290" s="546"/>
      <c r="HM2290" s="546"/>
      <c r="HN2290" s="546"/>
    </row>
    <row r="2291" spans="1:222" s="547" customFormat="1" hidden="1">
      <c r="A2291" s="812">
        <f t="shared" si="321"/>
        <v>14</v>
      </c>
      <c r="B2291" s="813" t="s">
        <v>3672</v>
      </c>
      <c r="C2291" s="814" t="s">
        <v>217</v>
      </c>
      <c r="D2291" s="815">
        <v>3276</v>
      </c>
      <c r="E2291" s="816">
        <v>1310.4000000000001</v>
      </c>
      <c r="F2291" s="815" t="s">
        <v>230</v>
      </c>
      <c r="G2291" s="816">
        <v>766.8</v>
      </c>
      <c r="H2291" s="803">
        <v>6</v>
      </c>
      <c r="I2291" s="803">
        <v>2</v>
      </c>
      <c r="J2291" s="803">
        <v>53</v>
      </c>
      <c r="K2291" s="812" t="s">
        <v>33</v>
      </c>
      <c r="L2291" s="746">
        <f t="shared" si="316"/>
        <v>1946013.36</v>
      </c>
      <c r="M2291" s="745">
        <v>1917000</v>
      </c>
      <c r="N2291" s="1076">
        <v>23314</v>
      </c>
      <c r="O2291" s="822"/>
      <c r="P2291" s="802"/>
      <c r="Q2291" s="586">
        <v>5699.36</v>
      </c>
      <c r="R2291" s="744">
        <f t="shared" si="318"/>
        <v>2500</v>
      </c>
      <c r="S2291" s="575">
        <f t="shared" si="319"/>
        <v>1.0277290130034089E-10</v>
      </c>
      <c r="T2291" s="817"/>
      <c r="U2291" s="1078"/>
      <c r="V2291" s="589"/>
      <c r="W2291" s="1079"/>
      <c r="X2291" s="1079"/>
      <c r="Y2291" s="1079"/>
      <c r="Z2291" s="1079"/>
      <c r="AA2291" s="546"/>
      <c r="AB2291" s="546"/>
      <c r="AC2291" s="546"/>
      <c r="AD2291" s="546"/>
      <c r="AE2291" s="546"/>
      <c r="AF2291" s="546"/>
      <c r="AG2291" s="546"/>
      <c r="AH2291" s="546"/>
      <c r="AI2291" s="546"/>
      <c r="AJ2291" s="546"/>
      <c r="AK2291" s="546"/>
      <c r="AL2291" s="546"/>
      <c r="AM2291" s="546"/>
      <c r="AN2291" s="546"/>
      <c r="AO2291" s="546"/>
      <c r="AP2291" s="546"/>
      <c r="AQ2291" s="546"/>
      <c r="AR2291" s="546"/>
      <c r="AS2291" s="546"/>
      <c r="AT2291" s="546"/>
      <c r="AU2291" s="546"/>
      <c r="AV2291" s="546"/>
      <c r="AW2291" s="546"/>
      <c r="AX2291" s="546"/>
      <c r="AY2291" s="546"/>
      <c r="AZ2291" s="546"/>
      <c r="BA2291" s="546"/>
      <c r="BB2291" s="546"/>
      <c r="BC2291" s="546"/>
      <c r="BD2291" s="546"/>
      <c r="BE2291" s="546"/>
      <c r="BF2291" s="546"/>
      <c r="BG2291" s="546"/>
      <c r="BH2291" s="546"/>
      <c r="BI2291" s="546"/>
      <c r="BJ2291" s="546"/>
      <c r="BK2291" s="546"/>
      <c r="BL2291" s="546"/>
      <c r="BM2291" s="546"/>
      <c r="BN2291" s="546"/>
      <c r="BO2291" s="546"/>
      <c r="BP2291" s="546"/>
      <c r="BQ2291" s="546"/>
      <c r="BR2291" s="546"/>
      <c r="BS2291" s="546"/>
      <c r="BT2291" s="546"/>
      <c r="BU2291" s="546"/>
      <c r="BV2291" s="546"/>
      <c r="BW2291" s="546"/>
      <c r="BX2291" s="546"/>
      <c r="BY2291" s="546"/>
      <c r="BZ2291" s="546"/>
      <c r="CA2291" s="546"/>
      <c r="CB2291" s="546"/>
      <c r="CC2291" s="546"/>
      <c r="CD2291" s="546"/>
      <c r="CE2291" s="546"/>
      <c r="CF2291" s="546"/>
      <c r="CG2291" s="546"/>
      <c r="CH2291" s="546"/>
      <c r="CI2291" s="546"/>
      <c r="CJ2291" s="546"/>
      <c r="CK2291" s="546"/>
      <c r="CL2291" s="546"/>
      <c r="CM2291" s="546"/>
      <c r="CN2291" s="546"/>
      <c r="CO2291" s="546"/>
      <c r="CP2291" s="546"/>
      <c r="CQ2291" s="546"/>
      <c r="CR2291" s="546"/>
      <c r="CS2291" s="546"/>
      <c r="CT2291" s="546"/>
      <c r="CU2291" s="546"/>
      <c r="CV2291" s="546"/>
      <c r="CW2291" s="546"/>
      <c r="CX2291" s="546"/>
      <c r="CY2291" s="546"/>
      <c r="CZ2291" s="546"/>
      <c r="DA2291" s="546"/>
      <c r="DB2291" s="546"/>
      <c r="DC2291" s="546"/>
      <c r="DD2291" s="546"/>
      <c r="DE2291" s="546"/>
      <c r="DF2291" s="546"/>
      <c r="DG2291" s="546"/>
      <c r="DH2291" s="546"/>
      <c r="DI2291" s="546"/>
      <c r="DJ2291" s="546"/>
      <c r="DK2291" s="546"/>
      <c r="DL2291" s="546"/>
      <c r="DM2291" s="546"/>
      <c r="DN2291" s="546"/>
      <c r="DO2291" s="546"/>
      <c r="DP2291" s="546"/>
      <c r="DQ2291" s="546"/>
      <c r="DR2291" s="546"/>
      <c r="DS2291" s="546"/>
      <c r="DT2291" s="546"/>
      <c r="DU2291" s="546"/>
      <c r="DV2291" s="546"/>
      <c r="DW2291" s="546"/>
      <c r="DX2291" s="546"/>
      <c r="DY2291" s="546"/>
      <c r="DZ2291" s="546"/>
      <c r="EA2291" s="546"/>
      <c r="EB2291" s="546"/>
      <c r="EC2291" s="546"/>
      <c r="ED2291" s="546"/>
      <c r="EE2291" s="546"/>
      <c r="EF2291" s="546"/>
      <c r="EG2291" s="546"/>
      <c r="EH2291" s="546"/>
      <c r="EI2291" s="546"/>
      <c r="EJ2291" s="546"/>
      <c r="EK2291" s="546"/>
      <c r="EL2291" s="546"/>
      <c r="EM2291" s="546"/>
      <c r="EN2291" s="546"/>
      <c r="EO2291" s="546"/>
      <c r="EP2291" s="546"/>
      <c r="EQ2291" s="546"/>
      <c r="ER2291" s="546"/>
      <c r="ES2291" s="546"/>
      <c r="ET2291" s="546"/>
      <c r="EU2291" s="546"/>
      <c r="EV2291" s="546"/>
      <c r="EW2291" s="546"/>
      <c r="EX2291" s="546"/>
      <c r="EY2291" s="546"/>
      <c r="EZ2291" s="546"/>
      <c r="FA2291" s="546"/>
      <c r="FB2291" s="546"/>
      <c r="FC2291" s="546"/>
      <c r="FD2291" s="546"/>
      <c r="FE2291" s="546"/>
      <c r="FF2291" s="546"/>
      <c r="FG2291" s="546"/>
      <c r="FH2291" s="546"/>
      <c r="FI2291" s="546"/>
      <c r="FJ2291" s="546"/>
      <c r="FK2291" s="546"/>
      <c r="FL2291" s="546"/>
      <c r="FM2291" s="546"/>
      <c r="FN2291" s="546"/>
      <c r="FO2291" s="546"/>
      <c r="FP2291" s="546"/>
      <c r="FQ2291" s="546"/>
      <c r="FR2291" s="546"/>
      <c r="FS2291" s="546"/>
      <c r="FT2291" s="546"/>
      <c r="FU2291" s="546"/>
      <c r="FV2291" s="546"/>
      <c r="FW2291" s="546"/>
      <c r="FX2291" s="546"/>
      <c r="FY2291" s="546"/>
      <c r="FZ2291" s="546"/>
      <c r="GA2291" s="546"/>
      <c r="GB2291" s="546"/>
      <c r="GC2291" s="546"/>
      <c r="GD2291" s="546"/>
      <c r="GE2291" s="546"/>
      <c r="GF2291" s="546"/>
      <c r="GG2291" s="546"/>
      <c r="GH2291" s="546"/>
      <c r="GI2291" s="546"/>
      <c r="GJ2291" s="546"/>
      <c r="GK2291" s="546"/>
      <c r="GL2291" s="546"/>
      <c r="GM2291" s="546"/>
      <c r="GN2291" s="546"/>
      <c r="GO2291" s="546"/>
      <c r="GP2291" s="546"/>
      <c r="GQ2291" s="546"/>
      <c r="GR2291" s="546"/>
      <c r="GS2291" s="546"/>
      <c r="GT2291" s="546"/>
      <c r="GU2291" s="546"/>
      <c r="GV2291" s="546"/>
      <c r="GW2291" s="546"/>
      <c r="GX2291" s="546"/>
      <c r="GY2291" s="546"/>
      <c r="GZ2291" s="546"/>
      <c r="HA2291" s="546"/>
      <c r="HB2291" s="546"/>
      <c r="HC2291" s="546"/>
      <c r="HD2291" s="546"/>
      <c r="HE2291" s="546"/>
      <c r="HF2291" s="546"/>
      <c r="HG2291" s="546"/>
      <c r="HH2291" s="546"/>
      <c r="HI2291" s="546"/>
      <c r="HJ2291" s="546"/>
      <c r="HK2291" s="546"/>
      <c r="HL2291" s="546"/>
      <c r="HM2291" s="546"/>
      <c r="HN2291" s="546"/>
    </row>
    <row r="2292" spans="1:222" s="28" customFormat="1" hidden="1">
      <c r="A2292" s="1389" t="s">
        <v>34</v>
      </c>
      <c r="B2292" s="1389"/>
      <c r="C2292" s="646" t="s">
        <v>28</v>
      </c>
      <c r="D2292" s="646">
        <f>SUM(D2278:D2291)</f>
        <v>49899.060000000005</v>
      </c>
      <c r="E2292" s="646">
        <f>SUM(E2278:E2291)</f>
        <v>18894.2</v>
      </c>
      <c r="F2292" s="646" t="s">
        <v>28</v>
      </c>
      <c r="G2292" s="646">
        <f>SUM(G2278:G2291)</f>
        <v>12015.47</v>
      </c>
      <c r="H2292" s="582" t="s">
        <v>28</v>
      </c>
      <c r="I2292" s="582" t="s">
        <v>28</v>
      </c>
      <c r="J2292" s="582">
        <f>SUM(J2278:J2291)</f>
        <v>670</v>
      </c>
      <c r="K2292" s="588" t="s">
        <v>28</v>
      </c>
      <c r="L2292" s="584">
        <f>SUM(L2278:L2291)</f>
        <v>28307743.07</v>
      </c>
      <c r="M2292" s="585">
        <f>SUM(M2278:M2291)</f>
        <v>27750870</v>
      </c>
      <c r="N2292" s="586">
        <f>SUM(N2278:N2291)</f>
        <v>355247</v>
      </c>
      <c r="O2292" s="587">
        <f>SUM(O2278:O2291)</f>
        <v>64130</v>
      </c>
      <c r="P2292" s="586"/>
      <c r="Q2292" s="586">
        <f>SUM(Q2278:Q2291)</f>
        <v>137496.07</v>
      </c>
      <c r="R2292" s="582" t="s">
        <v>28</v>
      </c>
      <c r="S2292" s="645">
        <f t="shared" si="319"/>
        <v>2.9103830456733704E-10</v>
      </c>
      <c r="T2292" s="645"/>
      <c r="U2292" s="591"/>
      <c r="V2292" s="589"/>
      <c r="W2292" s="592"/>
      <c r="X2292" s="592"/>
      <c r="Y2292" s="592"/>
      <c r="Z2292" s="592"/>
    </row>
    <row r="2293" spans="1:222" s="28" customFormat="1" hidden="1">
      <c r="A2293" s="1347" t="s">
        <v>57</v>
      </c>
      <c r="B2293" s="1347"/>
      <c r="C2293" s="1347"/>
      <c r="D2293" s="1347"/>
      <c r="E2293" s="1347"/>
      <c r="F2293" s="1347"/>
      <c r="G2293" s="1347"/>
      <c r="H2293" s="1347"/>
      <c r="I2293" s="1347"/>
      <c r="J2293" s="1347"/>
      <c r="K2293" s="1347"/>
      <c r="L2293" s="1347"/>
      <c r="M2293" s="1347"/>
      <c r="N2293" s="1347"/>
      <c r="O2293" s="1347"/>
      <c r="P2293" s="1347"/>
      <c r="Q2293" s="1347"/>
      <c r="R2293" s="590"/>
      <c r="S2293" s="592"/>
      <c r="T2293" s="645"/>
      <c r="U2293" s="591"/>
      <c r="V2293" s="589"/>
      <c r="W2293" s="592"/>
      <c r="X2293" s="592"/>
      <c r="Y2293" s="592"/>
      <c r="Z2293" s="592"/>
    </row>
    <row r="2294" spans="1:222" s="28" customFormat="1" ht="37.5" hidden="1">
      <c r="A2294" s="590">
        <v>1</v>
      </c>
      <c r="B2294" s="788" t="s">
        <v>1967</v>
      </c>
      <c r="C2294" s="744" t="s">
        <v>221</v>
      </c>
      <c r="D2294" s="789">
        <v>1748</v>
      </c>
      <c r="E2294" s="789">
        <v>524.70000000000005</v>
      </c>
      <c r="F2294" s="789" t="s">
        <v>222</v>
      </c>
      <c r="G2294" s="789">
        <v>586.29999999999995</v>
      </c>
      <c r="H2294" s="744">
        <v>2</v>
      </c>
      <c r="I2294" s="744">
        <v>2</v>
      </c>
      <c r="J2294" s="744">
        <v>16</v>
      </c>
      <c r="K2294" s="590" t="s">
        <v>421</v>
      </c>
      <c r="L2294" s="584">
        <f>M2294+N2294+O2294+P2294+Q2294</f>
        <v>238819.03</v>
      </c>
      <c r="M2294" s="741">
        <f>J2294*14000</f>
        <v>224000</v>
      </c>
      <c r="N2294" s="742"/>
      <c r="O2294" s="631">
        <v>10645</v>
      </c>
      <c r="P2294" s="742"/>
      <c r="Q2294" s="586">
        <v>4174.03</v>
      </c>
      <c r="R2294" s="744">
        <f>M2294/J2294</f>
        <v>14000</v>
      </c>
      <c r="S2294" s="575">
        <f>L2294-M2294-N2294-O2294-P2294-Q2294</f>
        <v>0</v>
      </c>
      <c r="T2294" s="738">
        <f>L2294-M2294-N2294-O2294-Q2294</f>
        <v>0</v>
      </c>
      <c r="U2294" s="591"/>
      <c r="V2294" s="589"/>
      <c r="W2294" s="592"/>
      <c r="X2294" s="592"/>
      <c r="Y2294" s="592"/>
      <c r="Z2294" s="592"/>
    </row>
    <row r="2295" spans="1:222" s="28" customFormat="1" ht="56.25" hidden="1">
      <c r="A2295" s="590">
        <v>2</v>
      </c>
      <c r="B2295" s="592" t="s">
        <v>1968</v>
      </c>
      <c r="C2295" s="593" t="s">
        <v>217</v>
      </c>
      <c r="D2295" s="646">
        <v>1920</v>
      </c>
      <c r="E2295" s="646">
        <v>480</v>
      </c>
      <c r="F2295" s="646" t="s">
        <v>222</v>
      </c>
      <c r="G2295" s="646">
        <v>511</v>
      </c>
      <c r="H2295" s="582">
        <v>2</v>
      </c>
      <c r="I2295" s="582">
        <v>2</v>
      </c>
      <c r="J2295" s="582">
        <v>16</v>
      </c>
      <c r="K2295" s="590" t="s">
        <v>3876</v>
      </c>
      <c r="L2295" s="584">
        <f>M2295+N2295+O2295+P2295+Q2295</f>
        <v>902293.78</v>
      </c>
      <c r="M2295" s="745">
        <f>E2295*1800</f>
        <v>864000</v>
      </c>
      <c r="N2295" s="630">
        <v>26111</v>
      </c>
      <c r="O2295" s="1080"/>
      <c r="P2295" s="802"/>
      <c r="Q2295" s="586">
        <v>12182.78</v>
      </c>
      <c r="R2295" s="599">
        <f>M2295/E2295</f>
        <v>1800</v>
      </c>
      <c r="S2295" s="575">
        <f>L2295-M2295-N2295-O2295-P2295-Q2295</f>
        <v>2.7284841053187847E-11</v>
      </c>
      <c r="T2295" s="645"/>
      <c r="U2295" s="591"/>
      <c r="V2295" s="589"/>
      <c r="W2295" s="592"/>
      <c r="X2295" s="592"/>
      <c r="Y2295" s="592"/>
      <c r="Z2295" s="592"/>
    </row>
    <row r="2296" spans="1:222" s="28" customFormat="1" ht="37.5" hidden="1">
      <c r="A2296" s="590">
        <v>3</v>
      </c>
      <c r="B2296" s="592" t="s">
        <v>1969</v>
      </c>
      <c r="C2296" s="593" t="s">
        <v>221</v>
      </c>
      <c r="D2296" s="646">
        <v>1190</v>
      </c>
      <c r="E2296" s="646">
        <v>297.5</v>
      </c>
      <c r="F2296" s="646" t="s">
        <v>222</v>
      </c>
      <c r="G2296" s="646">
        <v>670</v>
      </c>
      <c r="H2296" s="582">
        <v>2</v>
      </c>
      <c r="I2296" s="582">
        <v>2</v>
      </c>
      <c r="J2296" s="582">
        <v>12</v>
      </c>
      <c r="K2296" s="590" t="s">
        <v>255</v>
      </c>
      <c r="L2296" s="746">
        <f>M2296+N2296+O2296+P2296+Q2296</f>
        <v>1430280.87</v>
      </c>
      <c r="M2296" s="745">
        <v>1397506</v>
      </c>
      <c r="N2296" s="1076">
        <v>26977</v>
      </c>
      <c r="O2296" s="822"/>
      <c r="P2296" s="802"/>
      <c r="Q2296" s="586">
        <v>5797.87</v>
      </c>
      <c r="R2296" s="803">
        <f>M2296/G2296</f>
        <v>2085.8298507462687</v>
      </c>
      <c r="S2296" s="575">
        <f>L2296-M2296-N2296-O2296-P2296-Q2296</f>
        <v>1.1186784831807017E-10</v>
      </c>
      <c r="T2296" s="645"/>
      <c r="U2296" s="591"/>
      <c r="V2296" s="589"/>
      <c r="W2296" s="592"/>
      <c r="X2296" s="592"/>
      <c r="Y2296" s="592"/>
      <c r="Z2296" s="592"/>
    </row>
    <row r="2297" spans="1:222" s="28" customFormat="1" hidden="1">
      <c r="A2297" s="1349" t="s">
        <v>58</v>
      </c>
      <c r="B2297" s="1349"/>
      <c r="C2297" s="586" t="s">
        <v>28</v>
      </c>
      <c r="D2297" s="646">
        <f>SUM(D2294:D2296)</f>
        <v>4858</v>
      </c>
      <c r="E2297" s="646">
        <f>SUM(E2294:E2296)</f>
        <v>1302.2</v>
      </c>
      <c r="F2297" s="646" t="s">
        <v>28</v>
      </c>
      <c r="G2297" s="646">
        <f>SUM(G2294:G2296)</f>
        <v>1767.3</v>
      </c>
      <c r="H2297" s="582" t="s">
        <v>28</v>
      </c>
      <c r="I2297" s="582" t="s">
        <v>28</v>
      </c>
      <c r="J2297" s="582">
        <f>SUM(J2294:J2296)</f>
        <v>44</v>
      </c>
      <c r="K2297" s="588" t="s">
        <v>28</v>
      </c>
      <c r="L2297" s="584">
        <f t="shared" ref="L2297:Q2297" si="322">SUM(L2294:L2296)</f>
        <v>2571393.6800000002</v>
      </c>
      <c r="M2297" s="585">
        <f t="shared" si="322"/>
        <v>2485506</v>
      </c>
      <c r="N2297" s="586">
        <f t="shared" si="322"/>
        <v>53088</v>
      </c>
      <c r="O2297" s="587">
        <f t="shared" si="322"/>
        <v>10645</v>
      </c>
      <c r="P2297" s="586">
        <f t="shared" si="322"/>
        <v>0</v>
      </c>
      <c r="Q2297" s="586">
        <f t="shared" si="322"/>
        <v>22154.68</v>
      </c>
      <c r="R2297" s="582" t="s">
        <v>28</v>
      </c>
      <c r="S2297" s="645">
        <f>L2297-M2297-N2297-O2297-P2297-Q2297</f>
        <v>1.673470251262188E-10</v>
      </c>
      <c r="T2297" s="645"/>
      <c r="U2297" s="591"/>
      <c r="V2297" s="589"/>
      <c r="W2297" s="592"/>
      <c r="X2297" s="592"/>
      <c r="Y2297" s="592"/>
      <c r="Z2297" s="592"/>
    </row>
    <row r="2298" spans="1:222" s="28" customFormat="1" hidden="1">
      <c r="A2298" s="1347" t="s">
        <v>59</v>
      </c>
      <c r="B2298" s="1347"/>
      <c r="C2298" s="1347"/>
      <c r="D2298" s="1347"/>
      <c r="E2298" s="1347"/>
      <c r="F2298" s="1347"/>
      <c r="G2298" s="1347"/>
      <c r="H2298" s="1347"/>
      <c r="I2298" s="1347"/>
      <c r="J2298" s="1347"/>
      <c r="K2298" s="1347"/>
      <c r="L2298" s="1347"/>
      <c r="M2298" s="1347"/>
      <c r="N2298" s="1347"/>
      <c r="O2298" s="1347"/>
      <c r="P2298" s="1347"/>
      <c r="Q2298" s="1347"/>
      <c r="R2298" s="590"/>
      <c r="S2298" s="592"/>
      <c r="T2298" s="645"/>
      <c r="U2298" s="591"/>
      <c r="V2298" s="589"/>
      <c r="W2298" s="592"/>
      <c r="X2298" s="592"/>
      <c r="Y2298" s="592"/>
      <c r="Z2298" s="592"/>
    </row>
    <row r="2299" spans="1:222" s="28" customFormat="1" hidden="1">
      <c r="A2299" s="826">
        <v>1</v>
      </c>
      <c r="B2299" s="827" t="s">
        <v>1970</v>
      </c>
      <c r="C2299" s="828" t="s">
        <v>221</v>
      </c>
      <c r="D2299" s="829">
        <f>E2299*3</f>
        <v>1841.4</v>
      </c>
      <c r="E2299" s="646">
        <f>((21.7+12.4)*2)*3*H2299</f>
        <v>613.80000000000007</v>
      </c>
      <c r="F2299" s="646" t="s">
        <v>222</v>
      </c>
      <c r="G2299" s="739">
        <v>748.8</v>
      </c>
      <c r="H2299" s="830">
        <v>3</v>
      </c>
      <c r="I2299" s="830">
        <v>1</v>
      </c>
      <c r="J2299" s="830">
        <v>61</v>
      </c>
      <c r="K2299" s="812" t="s">
        <v>33</v>
      </c>
      <c r="L2299" s="746">
        <f>M2299+N2299+O2299+P2299+Q2299</f>
        <v>1856696.91</v>
      </c>
      <c r="M2299" s="745">
        <v>1822340</v>
      </c>
      <c r="N2299" s="1076">
        <v>25385</v>
      </c>
      <c r="O2299" s="822"/>
      <c r="P2299" s="802"/>
      <c r="Q2299" s="586">
        <v>8971.91</v>
      </c>
      <c r="R2299" s="803">
        <f>M2299/G2299</f>
        <v>2433.6805555555557</v>
      </c>
      <c r="S2299" s="575">
        <f t="shared" ref="S2299:S2306" si="323">L2299-M2299-N2299-O2299-P2299-Q2299</f>
        <v>-8.3673512563109398E-11</v>
      </c>
      <c r="T2299" s="645"/>
      <c r="U2299" s="591"/>
      <c r="V2299" s="589"/>
      <c r="W2299" s="592"/>
      <c r="X2299" s="592"/>
      <c r="Y2299" s="592"/>
      <c r="Z2299" s="592"/>
    </row>
    <row r="2300" spans="1:222" s="28" customFormat="1" hidden="1">
      <c r="A2300" s="1349" t="s">
        <v>60</v>
      </c>
      <c r="B2300" s="1349"/>
      <c r="C2300" s="586" t="s">
        <v>28</v>
      </c>
      <c r="D2300" s="646">
        <f>SUM(D2299)</f>
        <v>1841.4</v>
      </c>
      <c r="E2300" s="646">
        <f>SUM(E2299)</f>
        <v>613.80000000000007</v>
      </c>
      <c r="F2300" s="646" t="s">
        <v>28</v>
      </c>
      <c r="G2300" s="646">
        <f>SUM(G2299)</f>
        <v>748.8</v>
      </c>
      <c r="H2300" s="582" t="s">
        <v>28</v>
      </c>
      <c r="I2300" s="582" t="s">
        <v>28</v>
      </c>
      <c r="J2300" s="582">
        <f>SUM(J2299)</f>
        <v>61</v>
      </c>
      <c r="K2300" s="588" t="s">
        <v>28</v>
      </c>
      <c r="L2300" s="584">
        <f>SUM(L2299)</f>
        <v>1856696.91</v>
      </c>
      <c r="M2300" s="585">
        <f>SUM(M2299)</f>
        <v>1822340</v>
      </c>
      <c r="N2300" s="586">
        <f>SUM(N2299)</f>
        <v>25385</v>
      </c>
      <c r="O2300" s="587"/>
      <c r="P2300" s="586"/>
      <c r="Q2300" s="586">
        <f>SUM(Q2299)</f>
        <v>8971.91</v>
      </c>
      <c r="R2300" s="582" t="s">
        <v>28</v>
      </c>
      <c r="S2300" s="575">
        <f t="shared" si="323"/>
        <v>-8.3673512563109398E-11</v>
      </c>
      <c r="T2300" s="645"/>
      <c r="U2300" s="591"/>
      <c r="V2300" s="589"/>
      <c r="W2300" s="592"/>
      <c r="X2300" s="592"/>
      <c r="Y2300" s="592"/>
      <c r="Z2300" s="592"/>
    </row>
    <row r="2301" spans="1:222" s="28" customFormat="1" hidden="1">
      <c r="A2301" s="1347" t="s">
        <v>61</v>
      </c>
      <c r="B2301" s="1347"/>
      <c r="C2301" s="1347"/>
      <c r="D2301" s="1347"/>
      <c r="E2301" s="1347"/>
      <c r="F2301" s="1347"/>
      <c r="G2301" s="1347"/>
      <c r="H2301" s="1347"/>
      <c r="I2301" s="1347"/>
      <c r="J2301" s="1347"/>
      <c r="K2301" s="1347"/>
      <c r="L2301" s="1347"/>
      <c r="M2301" s="1347"/>
      <c r="N2301" s="1347"/>
      <c r="O2301" s="1347"/>
      <c r="P2301" s="1347"/>
      <c r="Q2301" s="1347"/>
      <c r="R2301" s="590"/>
      <c r="S2301" s="575">
        <f t="shared" si="323"/>
        <v>0</v>
      </c>
      <c r="T2301" s="645"/>
      <c r="U2301" s="591"/>
      <c r="V2301" s="589"/>
      <c r="W2301" s="592"/>
      <c r="X2301" s="592"/>
      <c r="Y2301" s="592"/>
      <c r="Z2301" s="592"/>
    </row>
    <row r="2302" spans="1:222" s="71" customFormat="1" ht="37.5" hidden="1">
      <c r="A2302" s="667">
        <v>1</v>
      </c>
      <c r="B2302" s="592" t="s">
        <v>1971</v>
      </c>
      <c r="C2302" s="593" t="s">
        <v>221</v>
      </c>
      <c r="D2302" s="619">
        <v>3500</v>
      </c>
      <c r="E2302" s="619">
        <v>769</v>
      </c>
      <c r="F2302" s="646" t="s">
        <v>222</v>
      </c>
      <c r="G2302" s="619">
        <v>1560</v>
      </c>
      <c r="H2302" s="599">
        <v>6</v>
      </c>
      <c r="I2302" s="599">
        <v>5</v>
      </c>
      <c r="J2302" s="599">
        <v>112</v>
      </c>
      <c r="K2302" s="590" t="s">
        <v>3877</v>
      </c>
      <c r="L2302" s="584">
        <f>M2302+N2302+O2302+P2302+Q2302</f>
        <v>4331025.41</v>
      </c>
      <c r="M2302" s="585">
        <v>4299469</v>
      </c>
      <c r="N2302" s="630">
        <v>25468</v>
      </c>
      <c r="O2302" s="587"/>
      <c r="P2302" s="586"/>
      <c r="Q2302" s="586">
        <v>6088.41</v>
      </c>
      <c r="R2302" s="599">
        <f>M2302/G2302</f>
        <v>2756.0698717948717</v>
      </c>
      <c r="S2302" s="575">
        <f t="shared" si="323"/>
        <v>1.4915713109076023E-10</v>
      </c>
      <c r="T2302" s="737"/>
      <c r="U2302" s="737"/>
      <c r="V2302" s="589"/>
      <c r="W2302" s="737"/>
      <c r="X2302" s="737"/>
      <c r="Y2302" s="737"/>
      <c r="Z2302" s="737"/>
    </row>
    <row r="2303" spans="1:222" s="28" customFormat="1" hidden="1">
      <c r="A2303" s="590">
        <v>2</v>
      </c>
      <c r="B2303" s="592" t="s">
        <v>1972</v>
      </c>
      <c r="C2303" s="744" t="s">
        <v>221</v>
      </c>
      <c r="D2303" s="646">
        <f>E2303*2.8</f>
        <v>2688</v>
      </c>
      <c r="E2303" s="646">
        <v>960</v>
      </c>
      <c r="F2303" s="789" t="s">
        <v>241</v>
      </c>
      <c r="G2303" s="646">
        <f>(20*I2303)*12.2*1.3</f>
        <v>951.6</v>
      </c>
      <c r="H2303" s="582">
        <v>2</v>
      </c>
      <c r="I2303" s="582">
        <v>3</v>
      </c>
      <c r="J2303" s="582">
        <v>24</v>
      </c>
      <c r="K2303" s="590" t="s">
        <v>234</v>
      </c>
      <c r="L2303" s="584">
        <f>M2303+N2303+O2303+Q2303</f>
        <v>2665102.19</v>
      </c>
      <c r="M2303" s="585">
        <v>2622610</v>
      </c>
      <c r="N2303" s="630">
        <v>29396</v>
      </c>
      <c r="O2303" s="587"/>
      <c r="P2303" s="586"/>
      <c r="Q2303" s="586">
        <v>13096.19</v>
      </c>
      <c r="R2303" s="582">
        <f>M2303/G2303</f>
        <v>2756.0004203446824</v>
      </c>
      <c r="S2303" s="575">
        <f t="shared" si="323"/>
        <v>-5.6388671509921551E-11</v>
      </c>
      <c r="T2303" s="645"/>
      <c r="U2303" s="591"/>
      <c r="V2303" s="589"/>
      <c r="W2303" s="592"/>
      <c r="X2303" s="592"/>
      <c r="Y2303" s="592"/>
      <c r="Z2303" s="592"/>
    </row>
    <row r="2304" spans="1:222" s="28" customFormat="1" hidden="1">
      <c r="A2304" s="590">
        <v>3</v>
      </c>
      <c r="B2304" s="592" t="s">
        <v>1973</v>
      </c>
      <c r="C2304" s="744" t="s">
        <v>221</v>
      </c>
      <c r="D2304" s="646">
        <f>E2304*2.8</f>
        <v>2157.5679999999998</v>
      </c>
      <c r="E2304" s="646">
        <v>770.56</v>
      </c>
      <c r="F2304" s="789" t="s">
        <v>241</v>
      </c>
      <c r="G2304" s="646">
        <v>970</v>
      </c>
      <c r="H2304" s="582">
        <v>2</v>
      </c>
      <c r="I2304" s="582">
        <v>3</v>
      </c>
      <c r="J2304" s="582">
        <v>22</v>
      </c>
      <c r="K2304" s="590" t="s">
        <v>234</v>
      </c>
      <c r="L2304" s="584">
        <f>M2304+N2304+O2304+Q2304</f>
        <v>2754943.17</v>
      </c>
      <c r="M2304" s="585">
        <v>2716000</v>
      </c>
      <c r="N2304" s="630">
        <v>28431</v>
      </c>
      <c r="O2304" s="587"/>
      <c r="P2304" s="586"/>
      <c r="Q2304" s="586">
        <v>10512.17</v>
      </c>
      <c r="R2304" s="582">
        <f>M2304/G2304</f>
        <v>2800</v>
      </c>
      <c r="S2304" s="575">
        <f t="shared" si="323"/>
        <v>-7.4578565545380116E-11</v>
      </c>
      <c r="T2304" s="645"/>
      <c r="U2304" s="591"/>
      <c r="V2304" s="589"/>
      <c r="W2304" s="592"/>
      <c r="X2304" s="592"/>
      <c r="Y2304" s="592"/>
      <c r="Z2304" s="592"/>
    </row>
    <row r="2305" spans="1:26" s="28" customFormat="1" hidden="1">
      <c r="A2305" s="590">
        <f>A2304+1</f>
        <v>4</v>
      </c>
      <c r="B2305" s="592" t="s">
        <v>1974</v>
      </c>
      <c r="C2305" s="744" t="s">
        <v>221</v>
      </c>
      <c r="D2305" s="646">
        <v>1881.6</v>
      </c>
      <c r="E2305" s="646">
        <v>672</v>
      </c>
      <c r="F2305" s="646" t="s">
        <v>223</v>
      </c>
      <c r="G2305" s="646">
        <v>505</v>
      </c>
      <c r="H2305" s="582">
        <v>2</v>
      </c>
      <c r="I2305" s="582">
        <v>1</v>
      </c>
      <c r="J2305" s="582">
        <v>44</v>
      </c>
      <c r="K2305" s="590" t="s">
        <v>33</v>
      </c>
      <c r="L2305" s="584">
        <f>M2305+N2305+O2305+P2305+Q2305</f>
        <v>1288709.93</v>
      </c>
      <c r="M2305" s="585">
        <v>1262500</v>
      </c>
      <c r="N2305" s="586"/>
      <c r="O2305" s="631">
        <v>17042</v>
      </c>
      <c r="P2305" s="586"/>
      <c r="Q2305" s="586">
        <v>9167.93</v>
      </c>
      <c r="R2305" s="582">
        <f>M2305/G2305</f>
        <v>2500</v>
      </c>
      <c r="S2305" s="575">
        <f t="shared" si="323"/>
        <v>-6.5483618527650833E-11</v>
      </c>
      <c r="T2305" s="738">
        <f>L2305-M2305-N2305-O2305-Q2305</f>
        <v>-6.5483618527650833E-11</v>
      </c>
      <c r="U2305" s="591"/>
      <c r="V2305" s="589"/>
      <c r="W2305" s="592"/>
      <c r="X2305" s="592"/>
      <c r="Y2305" s="592"/>
      <c r="Z2305" s="592"/>
    </row>
    <row r="2306" spans="1:26" s="28" customFormat="1" hidden="1">
      <c r="A2306" s="1349" t="s">
        <v>62</v>
      </c>
      <c r="B2306" s="1349"/>
      <c r="C2306" s="593" t="s">
        <v>28</v>
      </c>
      <c r="D2306" s="646">
        <f>SUM(D2302:D2305)</f>
        <v>10227.168</v>
      </c>
      <c r="E2306" s="646">
        <f>SUM(E2302:E2305)</f>
        <v>3171.56</v>
      </c>
      <c r="F2306" s="646" t="s">
        <v>28</v>
      </c>
      <c r="G2306" s="646">
        <f>SUM(G2302:G2305)</f>
        <v>3986.6</v>
      </c>
      <c r="H2306" s="582" t="s">
        <v>28</v>
      </c>
      <c r="I2306" s="582" t="s">
        <v>28</v>
      </c>
      <c r="J2306" s="582">
        <f>SUM(J2302:J2305)</f>
        <v>202</v>
      </c>
      <c r="K2306" s="590" t="s">
        <v>28</v>
      </c>
      <c r="L2306" s="584">
        <f>SUM(L2302:L2305)</f>
        <v>11039780.699999999</v>
      </c>
      <c r="M2306" s="585">
        <f>SUM(M2302:M2305)</f>
        <v>10900579</v>
      </c>
      <c r="N2306" s="586">
        <f>SUM(N2302:N2305)</f>
        <v>83295</v>
      </c>
      <c r="O2306" s="587">
        <f>SUM(O2302:O2305)</f>
        <v>17042</v>
      </c>
      <c r="P2306" s="586"/>
      <c r="Q2306" s="586">
        <f>SUM(Q2302:Q2305)</f>
        <v>38864.699999999997</v>
      </c>
      <c r="R2306" s="582" t="s">
        <v>28</v>
      </c>
      <c r="S2306" s="645">
        <f t="shared" si="323"/>
        <v>-7.4214767664670944E-10</v>
      </c>
      <c r="T2306" s="645"/>
      <c r="U2306" s="591"/>
      <c r="V2306" s="589"/>
      <c r="W2306" s="592"/>
      <c r="X2306" s="592"/>
      <c r="Y2306" s="592"/>
      <c r="Z2306" s="592"/>
    </row>
    <row r="2307" spans="1:26" s="28" customFormat="1" hidden="1">
      <c r="A2307" s="1347" t="s">
        <v>63</v>
      </c>
      <c r="B2307" s="1347"/>
      <c r="C2307" s="1347"/>
      <c r="D2307" s="1347"/>
      <c r="E2307" s="1347"/>
      <c r="F2307" s="1347"/>
      <c r="G2307" s="1347"/>
      <c r="H2307" s="1347"/>
      <c r="I2307" s="1347"/>
      <c r="J2307" s="1347"/>
      <c r="K2307" s="1347"/>
      <c r="L2307" s="1347"/>
      <c r="M2307" s="1347"/>
      <c r="N2307" s="1347"/>
      <c r="O2307" s="1347"/>
      <c r="P2307" s="1347"/>
      <c r="Q2307" s="1347"/>
      <c r="R2307" s="590"/>
      <c r="S2307" s="592"/>
      <c r="T2307" s="645"/>
      <c r="U2307" s="591"/>
      <c r="V2307" s="589"/>
      <c r="W2307" s="592"/>
      <c r="X2307" s="592"/>
      <c r="Y2307" s="592"/>
      <c r="Z2307" s="592"/>
    </row>
    <row r="2308" spans="1:26" s="530" customFormat="1" hidden="1">
      <c r="A2308" s="792">
        <v>1</v>
      </c>
      <c r="B2308" s="865" t="s">
        <v>1975</v>
      </c>
      <c r="C2308" s="744" t="s">
        <v>221</v>
      </c>
      <c r="D2308" s="789">
        <v>3745</v>
      </c>
      <c r="E2308" s="789">
        <v>739.67</v>
      </c>
      <c r="F2308" s="789" t="s">
        <v>241</v>
      </c>
      <c r="G2308" s="739">
        <f>(20*I2308)*13*1.2</f>
        <v>936</v>
      </c>
      <c r="H2308" s="744">
        <v>2</v>
      </c>
      <c r="I2308" s="744">
        <v>3</v>
      </c>
      <c r="J2308" s="744">
        <v>38</v>
      </c>
      <c r="K2308" s="735" t="s">
        <v>33</v>
      </c>
      <c r="L2308" s="584">
        <f>M2308+N2308+O2308+Q2308</f>
        <v>2349819.31</v>
      </c>
      <c r="M2308" s="745">
        <v>2300362</v>
      </c>
      <c r="N2308" s="1076">
        <v>31211</v>
      </c>
      <c r="O2308" s="822"/>
      <c r="P2308" s="802"/>
      <c r="Q2308" s="586">
        <v>18246.310000000001</v>
      </c>
      <c r="R2308" s="803">
        <f>M2308/G2308</f>
        <v>2457.6517094017095</v>
      </c>
      <c r="S2308" s="575">
        <f>L2308-M2308-N2308-O2308-P2308-Q2308</f>
        <v>5.4569682106375694E-11</v>
      </c>
      <c r="T2308" s="788"/>
      <c r="U2308" s="791"/>
      <c r="V2308" s="589"/>
      <c r="W2308" s="788"/>
      <c r="X2308" s="788"/>
      <c r="Y2308" s="788"/>
      <c r="Z2308" s="788"/>
    </row>
    <row r="2309" spans="1:26" s="28" customFormat="1" hidden="1">
      <c r="A2309" s="1349" t="s">
        <v>122</v>
      </c>
      <c r="B2309" s="1349"/>
      <c r="C2309" s="593" t="s">
        <v>28</v>
      </c>
      <c r="D2309" s="646">
        <f>SUM(D2308)</f>
        <v>3745</v>
      </c>
      <c r="E2309" s="646">
        <f>SUM(E2308)</f>
        <v>739.67</v>
      </c>
      <c r="F2309" s="646" t="s">
        <v>28</v>
      </c>
      <c r="G2309" s="646">
        <f>SUM(G2308)</f>
        <v>936</v>
      </c>
      <c r="H2309" s="582" t="s">
        <v>28</v>
      </c>
      <c r="I2309" s="582" t="s">
        <v>28</v>
      </c>
      <c r="J2309" s="582">
        <f>SUM(J2308)</f>
        <v>38</v>
      </c>
      <c r="K2309" s="590" t="s">
        <v>28</v>
      </c>
      <c r="L2309" s="584">
        <f t="shared" ref="L2309:Q2309" si="324">SUM(L2308)</f>
        <v>2349819.31</v>
      </c>
      <c r="M2309" s="585">
        <f t="shared" si="324"/>
        <v>2300362</v>
      </c>
      <c r="N2309" s="586">
        <f t="shared" si="324"/>
        <v>31211</v>
      </c>
      <c r="O2309" s="587">
        <f t="shared" si="324"/>
        <v>0</v>
      </c>
      <c r="P2309" s="586">
        <f t="shared" si="324"/>
        <v>0</v>
      </c>
      <c r="Q2309" s="586">
        <f t="shared" si="324"/>
        <v>18246.310000000001</v>
      </c>
      <c r="R2309" s="582" t="s">
        <v>28</v>
      </c>
      <c r="S2309" s="645">
        <f>L2309-M2309-N2309-O2309-P2309-Q2309</f>
        <v>5.4569682106375694E-11</v>
      </c>
      <c r="T2309" s="645"/>
      <c r="U2309" s="591"/>
      <c r="V2309" s="589"/>
      <c r="W2309" s="592"/>
      <c r="X2309" s="592"/>
      <c r="Y2309" s="592"/>
      <c r="Z2309" s="592"/>
    </row>
    <row r="2310" spans="1:26" s="28" customFormat="1" hidden="1">
      <c r="A2310" s="1347" t="s">
        <v>65</v>
      </c>
      <c r="B2310" s="1347"/>
      <c r="C2310" s="1347"/>
      <c r="D2310" s="1347"/>
      <c r="E2310" s="1347"/>
      <c r="F2310" s="1347"/>
      <c r="G2310" s="1347"/>
      <c r="H2310" s="1347"/>
      <c r="I2310" s="1347"/>
      <c r="J2310" s="1347"/>
      <c r="K2310" s="1347"/>
      <c r="L2310" s="1347"/>
      <c r="M2310" s="1347"/>
      <c r="N2310" s="1347"/>
      <c r="O2310" s="1347"/>
      <c r="P2310" s="1347"/>
      <c r="Q2310" s="1347"/>
      <c r="R2310" s="590"/>
      <c r="S2310" s="592"/>
      <c r="T2310" s="645"/>
      <c r="U2310" s="591"/>
      <c r="V2310" s="589"/>
      <c r="W2310" s="592"/>
      <c r="X2310" s="592"/>
      <c r="Y2310" s="592"/>
      <c r="Z2310" s="592"/>
    </row>
    <row r="2311" spans="1:26" s="90" customFormat="1" ht="37.5" hidden="1">
      <c r="A2311" s="667">
        <v>1</v>
      </c>
      <c r="B2311" s="592" t="s">
        <v>1976</v>
      </c>
      <c r="C2311" s="744" t="s">
        <v>221</v>
      </c>
      <c r="D2311" s="739">
        <v>12258</v>
      </c>
      <c r="E2311" s="739">
        <v>2489</v>
      </c>
      <c r="F2311" s="807" t="s">
        <v>222</v>
      </c>
      <c r="G2311" s="805">
        <v>1056</v>
      </c>
      <c r="H2311" s="599">
        <v>5</v>
      </c>
      <c r="I2311" s="599">
        <v>4</v>
      </c>
      <c r="J2311" s="599">
        <v>76</v>
      </c>
      <c r="K2311" s="590" t="s">
        <v>236</v>
      </c>
      <c r="L2311" s="595">
        <f t="shared" ref="L2311:L2323" si="325">M2311+N2311+O2311+P2311+Q2311</f>
        <v>2705475.73</v>
      </c>
      <c r="M2311" s="745">
        <f>G2311*2500</f>
        <v>2640000</v>
      </c>
      <c r="N2311" s="1076">
        <v>27683</v>
      </c>
      <c r="O2311" s="822"/>
      <c r="P2311" s="802"/>
      <c r="Q2311" s="586">
        <v>37792.730000000003</v>
      </c>
      <c r="R2311" s="803">
        <f>M2311/G2311</f>
        <v>2500</v>
      </c>
      <c r="S2311" s="575">
        <f t="shared" ref="S2311:S2316" si="326">L2311-M2311-N2311-O2311-P2311-Q2311</f>
        <v>0</v>
      </c>
      <c r="T2311" s="748"/>
      <c r="U2311" s="738"/>
      <c r="V2311" s="589"/>
      <c r="W2311" s="748"/>
      <c r="X2311" s="748"/>
      <c r="Y2311" s="748"/>
      <c r="Z2311" s="748"/>
    </row>
    <row r="2312" spans="1:26" s="90" customFormat="1" ht="37.5" hidden="1">
      <c r="A2312" s="667">
        <f t="shared" ref="A2312:A2323" si="327">A2311+1</f>
        <v>2</v>
      </c>
      <c r="B2312" s="592" t="s">
        <v>1977</v>
      </c>
      <c r="C2312" s="744" t="s">
        <v>221</v>
      </c>
      <c r="D2312" s="739">
        <v>11024</v>
      </c>
      <c r="E2312" s="739">
        <v>2129.1</v>
      </c>
      <c r="F2312" s="807" t="s">
        <v>233</v>
      </c>
      <c r="G2312" s="805">
        <v>712</v>
      </c>
      <c r="H2312" s="599">
        <v>5</v>
      </c>
      <c r="I2312" s="599">
        <v>1</v>
      </c>
      <c r="J2312" s="599">
        <v>70</v>
      </c>
      <c r="K2312" s="632" t="s">
        <v>236</v>
      </c>
      <c r="L2312" s="595">
        <f t="shared" si="325"/>
        <v>1821625</v>
      </c>
      <c r="M2312" s="607">
        <v>1780000</v>
      </c>
      <c r="N2312" s="802"/>
      <c r="O2312" s="631">
        <v>21625</v>
      </c>
      <c r="P2312" s="802"/>
      <c r="Q2312" s="630">
        <v>20000</v>
      </c>
      <c r="R2312" s="599">
        <f>M2312/J2312</f>
        <v>25428.571428571428</v>
      </c>
      <c r="S2312" s="575">
        <f t="shared" si="326"/>
        <v>0</v>
      </c>
      <c r="T2312" s="748"/>
      <c r="U2312" s="738"/>
      <c r="V2312" s="589"/>
      <c r="W2312" s="748"/>
      <c r="X2312" s="748"/>
      <c r="Y2312" s="748"/>
      <c r="Z2312" s="748"/>
    </row>
    <row r="2313" spans="1:26" s="90" customFormat="1" hidden="1">
      <c r="A2313" s="667">
        <f t="shared" si="327"/>
        <v>3</v>
      </c>
      <c r="B2313" s="834" t="s">
        <v>1978</v>
      </c>
      <c r="C2313" s="744" t="s">
        <v>221</v>
      </c>
      <c r="D2313" s="739">
        <v>4566</v>
      </c>
      <c r="E2313" s="739">
        <v>914.4</v>
      </c>
      <c r="F2313" s="807" t="s">
        <v>222</v>
      </c>
      <c r="G2313" s="805">
        <v>810</v>
      </c>
      <c r="H2313" s="835">
        <v>2</v>
      </c>
      <c r="I2313" s="835">
        <v>3</v>
      </c>
      <c r="J2313" s="835">
        <v>24</v>
      </c>
      <c r="K2313" s="792" t="s">
        <v>238</v>
      </c>
      <c r="L2313" s="595">
        <f t="shared" si="325"/>
        <v>759416.24</v>
      </c>
      <c r="M2313" s="596">
        <f>J2313*30000</f>
        <v>720000</v>
      </c>
      <c r="N2313" s="675">
        <v>27822</v>
      </c>
      <c r="O2313" s="598"/>
      <c r="P2313" s="597"/>
      <c r="Q2313" s="586">
        <v>11594.24</v>
      </c>
      <c r="R2313" s="599">
        <f>M2313/J2313</f>
        <v>30000</v>
      </c>
      <c r="S2313" s="575">
        <f t="shared" si="326"/>
        <v>0</v>
      </c>
      <c r="T2313" s="748"/>
      <c r="U2313" s="738"/>
      <c r="V2313" s="589"/>
      <c r="W2313" s="748"/>
      <c r="X2313" s="748"/>
      <c r="Y2313" s="748"/>
      <c r="Z2313" s="748"/>
    </row>
    <row r="2314" spans="1:26" s="90" customFormat="1" ht="37.5" hidden="1">
      <c r="A2314" s="667">
        <f t="shared" si="327"/>
        <v>4</v>
      </c>
      <c r="B2314" s="592" t="s">
        <v>1979</v>
      </c>
      <c r="C2314" s="744" t="s">
        <v>221</v>
      </c>
      <c r="D2314" s="646">
        <v>13150</v>
      </c>
      <c r="E2314" s="646">
        <v>2398</v>
      </c>
      <c r="F2314" s="646" t="s">
        <v>222</v>
      </c>
      <c r="G2314" s="805">
        <v>1168</v>
      </c>
      <c r="H2314" s="582">
        <v>5</v>
      </c>
      <c r="I2314" s="582">
        <v>4</v>
      </c>
      <c r="J2314" s="582">
        <v>81</v>
      </c>
      <c r="K2314" s="590" t="s">
        <v>236</v>
      </c>
      <c r="L2314" s="595">
        <f t="shared" si="325"/>
        <v>2987908</v>
      </c>
      <c r="M2314" s="745">
        <f>G2314*2500</f>
        <v>2920000</v>
      </c>
      <c r="N2314" s="1076">
        <v>28108</v>
      </c>
      <c r="O2314" s="822"/>
      <c r="P2314" s="802"/>
      <c r="Q2314" s="586">
        <v>39800</v>
      </c>
      <c r="R2314" s="803">
        <f t="shared" ref="R2314:R2319" si="328">M2314/G2314</f>
        <v>2500</v>
      </c>
      <c r="S2314" s="575">
        <f t="shared" si="326"/>
        <v>0</v>
      </c>
      <c r="T2314" s="748"/>
      <c r="U2314" s="738"/>
      <c r="V2314" s="589"/>
      <c r="W2314" s="748"/>
      <c r="X2314" s="748"/>
      <c r="Y2314" s="748"/>
      <c r="Z2314" s="748"/>
    </row>
    <row r="2315" spans="1:26" s="90" customFormat="1" hidden="1">
      <c r="A2315" s="667">
        <f t="shared" si="327"/>
        <v>5</v>
      </c>
      <c r="B2315" s="834" t="s">
        <v>1981</v>
      </c>
      <c r="C2315" s="744" t="s">
        <v>221</v>
      </c>
      <c r="D2315" s="739">
        <v>9707</v>
      </c>
      <c r="E2315" s="739">
        <v>1264.9000000000001</v>
      </c>
      <c r="F2315" s="807" t="s">
        <v>222</v>
      </c>
      <c r="G2315" s="805">
        <v>897</v>
      </c>
      <c r="H2315" s="835">
        <v>3</v>
      </c>
      <c r="I2315" s="835">
        <v>3</v>
      </c>
      <c r="J2315" s="835">
        <v>27</v>
      </c>
      <c r="K2315" s="792" t="s">
        <v>33</v>
      </c>
      <c r="L2315" s="595">
        <f t="shared" si="325"/>
        <v>2305451.7200000002</v>
      </c>
      <c r="M2315" s="745">
        <f>G2315*2500</f>
        <v>2242500</v>
      </c>
      <c r="N2315" s="1076">
        <v>33024</v>
      </c>
      <c r="O2315" s="822"/>
      <c r="P2315" s="802"/>
      <c r="Q2315" s="586">
        <v>29927.72</v>
      </c>
      <c r="R2315" s="803">
        <f t="shared" si="328"/>
        <v>2500</v>
      </c>
      <c r="S2315" s="575">
        <f t="shared" si="326"/>
        <v>2.0372681319713593E-10</v>
      </c>
      <c r="T2315" s="748"/>
      <c r="U2315" s="738"/>
      <c r="V2315" s="589"/>
      <c r="W2315" s="748"/>
      <c r="X2315" s="748"/>
      <c r="Y2315" s="748"/>
      <c r="Z2315" s="748"/>
    </row>
    <row r="2316" spans="1:26" s="90" customFormat="1" hidden="1">
      <c r="A2316" s="667">
        <f t="shared" si="327"/>
        <v>6</v>
      </c>
      <c r="B2316" s="592" t="s">
        <v>1982</v>
      </c>
      <c r="C2316" s="744" t="s">
        <v>221</v>
      </c>
      <c r="D2316" s="619">
        <v>2485</v>
      </c>
      <c r="E2316" s="619">
        <v>480</v>
      </c>
      <c r="F2316" s="646" t="s">
        <v>222</v>
      </c>
      <c r="G2316" s="805">
        <v>703</v>
      </c>
      <c r="H2316" s="599">
        <v>2</v>
      </c>
      <c r="I2316" s="599">
        <v>2</v>
      </c>
      <c r="J2316" s="599">
        <v>16</v>
      </c>
      <c r="K2316" s="792" t="s">
        <v>33</v>
      </c>
      <c r="L2316" s="595">
        <f t="shared" si="325"/>
        <v>1799253.46</v>
      </c>
      <c r="M2316" s="745">
        <f>G2316*2500</f>
        <v>1757500</v>
      </c>
      <c r="N2316" s="1076">
        <v>29646</v>
      </c>
      <c r="O2316" s="822"/>
      <c r="P2316" s="802"/>
      <c r="Q2316" s="586">
        <v>12107.46</v>
      </c>
      <c r="R2316" s="803">
        <f t="shared" si="328"/>
        <v>2500</v>
      </c>
      <c r="S2316" s="575">
        <f t="shared" si="326"/>
        <v>-3.637978807091713E-11</v>
      </c>
      <c r="T2316" s="748"/>
      <c r="U2316" s="738"/>
      <c r="V2316" s="589"/>
      <c r="W2316" s="748"/>
      <c r="X2316" s="748"/>
      <c r="Y2316" s="748"/>
      <c r="Z2316" s="748"/>
    </row>
    <row r="2317" spans="1:26" s="91" customFormat="1" ht="37.5" hidden="1">
      <c r="A2317" s="667">
        <f t="shared" si="327"/>
        <v>7</v>
      </c>
      <c r="B2317" s="592" t="s">
        <v>3492</v>
      </c>
      <c r="C2317" s="744" t="s">
        <v>221</v>
      </c>
      <c r="D2317" s="619">
        <v>21213</v>
      </c>
      <c r="E2317" s="619">
        <v>3334</v>
      </c>
      <c r="F2317" s="646" t="s">
        <v>233</v>
      </c>
      <c r="G2317" s="805">
        <v>1728</v>
      </c>
      <c r="H2317" s="599">
        <v>5</v>
      </c>
      <c r="I2317" s="599">
        <v>6</v>
      </c>
      <c r="J2317" s="599">
        <v>108</v>
      </c>
      <c r="K2317" s="792" t="s">
        <v>236</v>
      </c>
      <c r="L2317" s="595">
        <f t="shared" si="325"/>
        <v>4362500</v>
      </c>
      <c r="M2317" s="745">
        <v>4320000</v>
      </c>
      <c r="N2317" s="802"/>
      <c r="O2317" s="822">
        <v>22500</v>
      </c>
      <c r="P2317" s="802"/>
      <c r="Q2317" s="585">
        <v>20000</v>
      </c>
      <c r="R2317" s="744">
        <f t="shared" si="328"/>
        <v>2500</v>
      </c>
      <c r="S2317" s="564"/>
      <c r="T2317" s="748"/>
      <c r="U2317" s="738"/>
      <c r="V2317" s="589"/>
      <c r="W2317" s="748"/>
      <c r="X2317" s="748"/>
      <c r="Y2317" s="748"/>
      <c r="Z2317" s="748"/>
    </row>
    <row r="2318" spans="1:26" s="91" customFormat="1" ht="37.5" hidden="1">
      <c r="A2318" s="667">
        <f t="shared" si="327"/>
        <v>8</v>
      </c>
      <c r="B2318" s="592" t="s">
        <v>3936</v>
      </c>
      <c r="C2318" s="744" t="s">
        <v>221</v>
      </c>
      <c r="D2318" s="619">
        <v>21780</v>
      </c>
      <c r="E2318" s="619">
        <v>3696</v>
      </c>
      <c r="F2318" s="646" t="s">
        <v>222</v>
      </c>
      <c r="G2318" s="805">
        <v>1887.6000000000001</v>
      </c>
      <c r="H2318" s="599">
        <v>5</v>
      </c>
      <c r="I2318" s="599">
        <v>6</v>
      </c>
      <c r="J2318" s="599">
        <v>106</v>
      </c>
      <c r="K2318" s="792" t="s">
        <v>236</v>
      </c>
      <c r="L2318" s="595">
        <f t="shared" si="325"/>
        <v>4789878</v>
      </c>
      <c r="M2318" s="745">
        <v>4719000</v>
      </c>
      <c r="N2318" s="802">
        <v>30878</v>
      </c>
      <c r="O2318" s="822"/>
      <c r="P2318" s="802"/>
      <c r="Q2318" s="585">
        <v>40000</v>
      </c>
      <c r="R2318" s="744">
        <f t="shared" si="328"/>
        <v>2500</v>
      </c>
      <c r="S2318" s="564"/>
      <c r="T2318" s="748"/>
      <c r="U2318" s="738"/>
      <c r="V2318" s="589"/>
      <c r="W2318" s="748"/>
      <c r="X2318" s="748"/>
      <c r="Y2318" s="748"/>
      <c r="Z2318" s="748"/>
    </row>
    <row r="2319" spans="1:26" s="91" customFormat="1" ht="37.5" hidden="1">
      <c r="A2319" s="667">
        <f t="shared" si="327"/>
        <v>9</v>
      </c>
      <c r="B2319" s="592" t="s">
        <v>3937</v>
      </c>
      <c r="C2319" s="744" t="s">
        <v>221</v>
      </c>
      <c r="D2319" s="619">
        <v>11232</v>
      </c>
      <c r="E2319" s="619">
        <v>2550</v>
      </c>
      <c r="F2319" s="646" t="s">
        <v>222</v>
      </c>
      <c r="G2319" s="805">
        <v>1216.8</v>
      </c>
      <c r="H2319" s="599">
        <v>5</v>
      </c>
      <c r="I2319" s="599">
        <v>4</v>
      </c>
      <c r="J2319" s="599">
        <v>70</v>
      </c>
      <c r="K2319" s="792" t="s">
        <v>236</v>
      </c>
      <c r="L2319" s="595">
        <f t="shared" si="325"/>
        <v>3103997</v>
      </c>
      <c r="M2319" s="745">
        <v>3042000</v>
      </c>
      <c r="N2319" s="802">
        <v>27194</v>
      </c>
      <c r="O2319" s="822"/>
      <c r="P2319" s="802"/>
      <c r="Q2319" s="585">
        <v>34803</v>
      </c>
      <c r="R2319" s="744">
        <f t="shared" si="328"/>
        <v>2500</v>
      </c>
      <c r="S2319" s="564"/>
      <c r="T2319" s="748"/>
      <c r="U2319" s="738"/>
      <c r="V2319" s="589"/>
      <c r="W2319" s="748"/>
      <c r="X2319" s="748"/>
      <c r="Y2319" s="748"/>
      <c r="Z2319" s="748"/>
    </row>
    <row r="2320" spans="1:26" s="91" customFormat="1" hidden="1">
      <c r="A2320" s="667">
        <f t="shared" si="327"/>
        <v>10</v>
      </c>
      <c r="B2320" s="592" t="s">
        <v>3938</v>
      </c>
      <c r="C2320" s="744" t="s">
        <v>221</v>
      </c>
      <c r="D2320" s="619">
        <v>2767.05</v>
      </c>
      <c r="E2320" s="619">
        <v>550.79999999999995</v>
      </c>
      <c r="F2320" s="646" t="s">
        <v>223</v>
      </c>
      <c r="G2320" s="805">
        <v>425.7</v>
      </c>
      <c r="H2320" s="599">
        <v>5</v>
      </c>
      <c r="I2320" s="599">
        <v>2</v>
      </c>
      <c r="J2320" s="599">
        <v>30</v>
      </c>
      <c r="K2320" s="792" t="s">
        <v>238</v>
      </c>
      <c r="L2320" s="595">
        <f t="shared" si="325"/>
        <v>937230</v>
      </c>
      <c r="M2320" s="596">
        <v>900000</v>
      </c>
      <c r="N2320" s="597">
        <v>30238</v>
      </c>
      <c r="O2320" s="598"/>
      <c r="P2320" s="802"/>
      <c r="Q2320" s="585">
        <v>6992</v>
      </c>
      <c r="R2320" s="803">
        <f>M2320/J2320</f>
        <v>30000</v>
      </c>
      <c r="S2320" s="564"/>
      <c r="T2320" s="748"/>
      <c r="U2320" s="738"/>
      <c r="V2320" s="589"/>
      <c r="W2320" s="748"/>
      <c r="X2320" s="748"/>
      <c r="Y2320" s="748"/>
      <c r="Z2320" s="748"/>
    </row>
    <row r="2321" spans="1:26" s="91" customFormat="1" ht="37.5" hidden="1">
      <c r="A2321" s="667">
        <f t="shared" si="327"/>
        <v>11</v>
      </c>
      <c r="B2321" s="592" t="s">
        <v>3939</v>
      </c>
      <c r="C2321" s="744" t="s">
        <v>221</v>
      </c>
      <c r="D2321" s="619">
        <v>1633.5</v>
      </c>
      <c r="E2321" s="619">
        <v>297</v>
      </c>
      <c r="F2321" s="646" t="s">
        <v>222</v>
      </c>
      <c r="G2321" s="805">
        <v>707.85</v>
      </c>
      <c r="H2321" s="599">
        <v>2</v>
      </c>
      <c r="I2321" s="599">
        <v>1</v>
      </c>
      <c r="J2321" s="599">
        <v>4</v>
      </c>
      <c r="K2321" s="792" t="s">
        <v>236</v>
      </c>
      <c r="L2321" s="595">
        <f t="shared" si="325"/>
        <v>1805424</v>
      </c>
      <c r="M2321" s="745">
        <v>1769625</v>
      </c>
      <c r="N2321" s="802">
        <v>27800</v>
      </c>
      <c r="O2321" s="822"/>
      <c r="P2321" s="802"/>
      <c r="Q2321" s="585">
        <v>7999</v>
      </c>
      <c r="R2321" s="744">
        <f>M2321/G2321</f>
        <v>2500</v>
      </c>
      <c r="S2321" s="564"/>
      <c r="T2321" s="748"/>
      <c r="U2321" s="738"/>
      <c r="V2321" s="589"/>
      <c r="W2321" s="748"/>
      <c r="X2321" s="748"/>
      <c r="Y2321" s="748"/>
      <c r="Z2321" s="748"/>
    </row>
    <row r="2322" spans="1:26" s="91" customFormat="1" ht="37.5" hidden="1">
      <c r="A2322" s="667">
        <f t="shared" si="327"/>
        <v>12</v>
      </c>
      <c r="B2322" s="592" t="s">
        <v>3940</v>
      </c>
      <c r="C2322" s="744" t="s">
        <v>221</v>
      </c>
      <c r="D2322" s="619">
        <v>1920</v>
      </c>
      <c r="E2322" s="619">
        <v>421.8</v>
      </c>
      <c r="F2322" s="646" t="s">
        <v>222</v>
      </c>
      <c r="G2322" s="805">
        <v>311.22000000000003</v>
      </c>
      <c r="H2322" s="599">
        <v>2</v>
      </c>
      <c r="I2322" s="599">
        <v>1</v>
      </c>
      <c r="J2322" s="599">
        <v>4</v>
      </c>
      <c r="K2322" s="792" t="s">
        <v>236</v>
      </c>
      <c r="L2322" s="595">
        <f t="shared" si="325"/>
        <v>812433.00000000012</v>
      </c>
      <c r="M2322" s="745">
        <v>778050.00000000012</v>
      </c>
      <c r="N2322" s="802">
        <v>28187</v>
      </c>
      <c r="O2322" s="822"/>
      <c r="P2322" s="802"/>
      <c r="Q2322" s="585">
        <v>6196</v>
      </c>
      <c r="R2322" s="744">
        <f>M2322/G2322</f>
        <v>2500</v>
      </c>
      <c r="S2322" s="564"/>
      <c r="T2322" s="748"/>
      <c r="U2322" s="738"/>
      <c r="V2322" s="589"/>
      <c r="W2322" s="748"/>
      <c r="X2322" s="748"/>
      <c r="Y2322" s="748"/>
      <c r="Z2322" s="748"/>
    </row>
    <row r="2323" spans="1:26" s="91" customFormat="1" ht="37.5" hidden="1">
      <c r="A2323" s="667">
        <f t="shared" si="327"/>
        <v>13</v>
      </c>
      <c r="B2323" s="592" t="s">
        <v>3941</v>
      </c>
      <c r="C2323" s="744" t="s">
        <v>221</v>
      </c>
      <c r="D2323" s="619">
        <v>1920</v>
      </c>
      <c r="E2323" s="619">
        <v>320</v>
      </c>
      <c r="F2323" s="646" t="s">
        <v>222</v>
      </c>
      <c r="G2323" s="805">
        <v>310</v>
      </c>
      <c r="H2323" s="599">
        <v>2</v>
      </c>
      <c r="I2323" s="599">
        <v>4</v>
      </c>
      <c r="J2323" s="599">
        <v>8</v>
      </c>
      <c r="K2323" s="792" t="s">
        <v>236</v>
      </c>
      <c r="L2323" s="595">
        <f t="shared" si="325"/>
        <v>812589</v>
      </c>
      <c r="M2323" s="745">
        <v>775000</v>
      </c>
      <c r="N2323" s="802">
        <v>28187</v>
      </c>
      <c r="O2323" s="822"/>
      <c r="P2323" s="802"/>
      <c r="Q2323" s="585">
        <v>9402</v>
      </c>
      <c r="R2323" s="744">
        <f>M2323/G2323</f>
        <v>2500</v>
      </c>
      <c r="S2323" s="564"/>
      <c r="T2323" s="748"/>
      <c r="U2323" s="738"/>
      <c r="V2323" s="589"/>
      <c r="W2323" s="748"/>
      <c r="X2323" s="748"/>
      <c r="Y2323" s="748"/>
      <c r="Z2323" s="748"/>
    </row>
    <row r="2324" spans="1:26" s="28" customFormat="1" hidden="1">
      <c r="A2324" s="1349" t="s">
        <v>66</v>
      </c>
      <c r="B2324" s="1349"/>
      <c r="C2324" s="593" t="s">
        <v>28</v>
      </c>
      <c r="D2324" s="646">
        <f>SUM(D2311:D2323)</f>
        <v>115655.55</v>
      </c>
      <c r="E2324" s="646">
        <f>SUM(E2311:E2323)</f>
        <v>20845</v>
      </c>
      <c r="F2324" s="646" t="s">
        <v>28</v>
      </c>
      <c r="G2324" s="646">
        <f>SUM(G2311:G2323)</f>
        <v>11933.17</v>
      </c>
      <c r="H2324" s="582" t="s">
        <v>28</v>
      </c>
      <c r="I2324" s="582" t="s">
        <v>28</v>
      </c>
      <c r="J2324" s="582">
        <f>SUM(J2311:J2323)</f>
        <v>624</v>
      </c>
      <c r="K2324" s="590" t="s">
        <v>28</v>
      </c>
      <c r="L2324" s="584">
        <f>SUM(L2311:L2323)</f>
        <v>29003181.150000002</v>
      </c>
      <c r="M2324" s="585">
        <f>SUM(M2311:M2323)</f>
        <v>28363675</v>
      </c>
      <c r="N2324" s="586">
        <f>SUM(N2311:N2323)</f>
        <v>318767</v>
      </c>
      <c r="O2324" s="587">
        <f>SUM(O2311:O2323)</f>
        <v>44125</v>
      </c>
      <c r="P2324" s="586"/>
      <c r="Q2324" s="586">
        <f>SUM(Q2311:Q2323)</f>
        <v>276614.15000000002</v>
      </c>
      <c r="R2324" s="582" t="s">
        <v>28</v>
      </c>
      <c r="S2324" s="645">
        <f>L2324-M2324-N2324-O2324-P2324-Q2324</f>
        <v>2.2118911147117615E-9</v>
      </c>
      <c r="T2324" s="645"/>
      <c r="U2324" s="591"/>
      <c r="V2324" s="589"/>
      <c r="W2324" s="592"/>
      <c r="X2324" s="592"/>
      <c r="Y2324" s="592"/>
      <c r="Z2324" s="592"/>
    </row>
    <row r="2325" spans="1:26" s="28" customFormat="1" hidden="1">
      <c r="A2325" s="1347" t="s">
        <v>67</v>
      </c>
      <c r="B2325" s="1347"/>
      <c r="C2325" s="1347"/>
      <c r="D2325" s="1347"/>
      <c r="E2325" s="1347"/>
      <c r="F2325" s="1347"/>
      <c r="G2325" s="1347"/>
      <c r="H2325" s="1347"/>
      <c r="I2325" s="1347"/>
      <c r="J2325" s="1347"/>
      <c r="K2325" s="1347"/>
      <c r="L2325" s="1347"/>
      <c r="M2325" s="1347"/>
      <c r="N2325" s="1347"/>
      <c r="O2325" s="1347"/>
      <c r="P2325" s="1347"/>
      <c r="Q2325" s="1347"/>
      <c r="R2325" s="590"/>
      <c r="S2325" s="592"/>
      <c r="T2325" s="645"/>
      <c r="U2325" s="591"/>
      <c r="V2325" s="589"/>
      <c r="W2325" s="592"/>
      <c r="X2325" s="592"/>
      <c r="Y2325" s="592"/>
      <c r="Z2325" s="592"/>
    </row>
    <row r="2326" spans="1:26" s="90" customFormat="1" hidden="1">
      <c r="A2326" s="590">
        <v>1</v>
      </c>
      <c r="B2326" s="592" t="s">
        <v>1983</v>
      </c>
      <c r="C2326" s="593" t="s">
        <v>221</v>
      </c>
      <c r="D2326" s="619">
        <f>E2326*3</f>
        <v>735</v>
      </c>
      <c r="E2326" s="619">
        <v>245</v>
      </c>
      <c r="F2326" s="619" t="s">
        <v>222</v>
      </c>
      <c r="G2326" s="619">
        <v>705.9</v>
      </c>
      <c r="H2326" s="599">
        <v>2</v>
      </c>
      <c r="I2326" s="599">
        <v>2</v>
      </c>
      <c r="J2326" s="599">
        <v>12</v>
      </c>
      <c r="K2326" s="556" t="s">
        <v>33</v>
      </c>
      <c r="L2326" s="562">
        <f>M2326+N2326+O2326+P2326+Q2326</f>
        <v>1315558</v>
      </c>
      <c r="M2326" s="745">
        <v>1285882</v>
      </c>
      <c r="N2326" s="1076">
        <v>26095</v>
      </c>
      <c r="O2326" s="822"/>
      <c r="P2326" s="802"/>
      <c r="Q2326" s="586">
        <v>3581</v>
      </c>
      <c r="R2326" s="803">
        <f>M2326/G2326</f>
        <v>1821.6206261510129</v>
      </c>
      <c r="S2326" s="575">
        <f>L2326-M2326-N2326-O2326-P2326-Q2326</f>
        <v>0</v>
      </c>
      <c r="T2326" s="748"/>
      <c r="U2326" s="737"/>
      <c r="V2326" s="589"/>
      <c r="W2326" s="748"/>
      <c r="X2326" s="748"/>
      <c r="Y2326" s="748"/>
      <c r="Z2326" s="748"/>
    </row>
    <row r="2327" spans="1:26" s="90" customFormat="1" hidden="1">
      <c r="A2327" s="590">
        <v>2</v>
      </c>
      <c r="B2327" s="592" t="s">
        <v>1984</v>
      </c>
      <c r="C2327" s="593" t="s">
        <v>221</v>
      </c>
      <c r="D2327" s="619">
        <v>1535.4</v>
      </c>
      <c r="E2327" s="619">
        <v>225.4</v>
      </c>
      <c r="F2327" s="619" t="s">
        <v>222</v>
      </c>
      <c r="G2327" s="619">
        <v>332.7</v>
      </c>
      <c r="H2327" s="599">
        <v>2</v>
      </c>
      <c r="I2327" s="599">
        <v>2</v>
      </c>
      <c r="J2327" s="599">
        <v>4</v>
      </c>
      <c r="K2327" s="590" t="s">
        <v>224</v>
      </c>
      <c r="L2327" s="584">
        <f>M2327+N2327+O2327+P2327+Q2327</f>
        <v>94092.59</v>
      </c>
      <c r="M2327" s="741">
        <v>72000</v>
      </c>
      <c r="N2327" s="753">
        <v>21214</v>
      </c>
      <c r="O2327" s="743"/>
      <c r="P2327" s="742"/>
      <c r="Q2327" s="586">
        <v>878.59</v>
      </c>
      <c r="R2327" s="744">
        <f>M2327/J2327</f>
        <v>18000</v>
      </c>
      <c r="S2327" s="575">
        <f>L2327-M2327-N2327-O2327-P2327-Q2327</f>
        <v>-3.5242919693700969E-12</v>
      </c>
      <c r="T2327" s="738">
        <f>L2327-M2327-N2327-O2327-Q2327</f>
        <v>-3.5242919693700969E-12</v>
      </c>
      <c r="U2327" s="737"/>
      <c r="V2327" s="589"/>
      <c r="W2327" s="748"/>
      <c r="X2327" s="748"/>
      <c r="Y2327" s="748"/>
      <c r="Z2327" s="748"/>
    </row>
    <row r="2328" spans="1:26" s="28" customFormat="1" hidden="1">
      <c r="A2328" s="1349" t="s">
        <v>68</v>
      </c>
      <c r="B2328" s="1349"/>
      <c r="C2328" s="593" t="s">
        <v>28</v>
      </c>
      <c r="D2328" s="646">
        <f>SUM(D2326:D2327)</f>
        <v>2270.4</v>
      </c>
      <c r="E2328" s="646">
        <f>SUM(E2326:E2327)</f>
        <v>470.4</v>
      </c>
      <c r="F2328" s="646" t="s">
        <v>28</v>
      </c>
      <c r="G2328" s="646">
        <f>SUM(G2326:G2327)</f>
        <v>1038.5999999999999</v>
      </c>
      <c r="H2328" s="582" t="s">
        <v>28</v>
      </c>
      <c r="I2328" s="582" t="s">
        <v>28</v>
      </c>
      <c r="J2328" s="646">
        <f>SUM(J2326:J2327)</f>
        <v>16</v>
      </c>
      <c r="K2328" s="590" t="s">
        <v>28</v>
      </c>
      <c r="L2328" s="584">
        <f t="shared" ref="L2328:Q2328" si="329">SUM(L2326:L2327)</f>
        <v>1409650.59</v>
      </c>
      <c r="M2328" s="585">
        <f t="shared" si="329"/>
        <v>1357882</v>
      </c>
      <c r="N2328" s="586">
        <f t="shared" si="329"/>
        <v>47309</v>
      </c>
      <c r="O2328" s="587">
        <f t="shared" si="329"/>
        <v>0</v>
      </c>
      <c r="P2328" s="586">
        <f t="shared" si="329"/>
        <v>0</v>
      </c>
      <c r="Q2328" s="586">
        <f t="shared" si="329"/>
        <v>4459.59</v>
      </c>
      <c r="R2328" s="582" t="s">
        <v>28</v>
      </c>
      <c r="S2328" s="645">
        <f>L2328-M2328-N2328-O2328-P2328-Q2328</f>
        <v>8.3673512563109398E-11</v>
      </c>
      <c r="T2328" s="645"/>
      <c r="U2328" s="591"/>
      <c r="V2328" s="589"/>
      <c r="W2328" s="592"/>
      <c r="X2328" s="592"/>
      <c r="Y2328" s="592"/>
      <c r="Z2328" s="592"/>
    </row>
    <row r="2329" spans="1:26" s="28" customFormat="1" hidden="1">
      <c r="A2329" s="1347" t="s">
        <v>92</v>
      </c>
      <c r="B2329" s="1347"/>
      <c r="C2329" s="1347"/>
      <c r="D2329" s="1347"/>
      <c r="E2329" s="1347"/>
      <c r="F2329" s="1347"/>
      <c r="G2329" s="1347"/>
      <c r="H2329" s="1347"/>
      <c r="I2329" s="1347"/>
      <c r="J2329" s="1347"/>
      <c r="K2329" s="1347"/>
      <c r="L2329" s="1347"/>
      <c r="M2329" s="1347"/>
      <c r="N2329" s="1347"/>
      <c r="O2329" s="1347"/>
      <c r="P2329" s="1347"/>
      <c r="Q2329" s="1347"/>
      <c r="R2329" s="590"/>
      <c r="S2329" s="592"/>
      <c r="T2329" s="645"/>
      <c r="U2329" s="591"/>
      <c r="V2329" s="589"/>
      <c r="W2329" s="592"/>
      <c r="X2329" s="592"/>
      <c r="Y2329" s="592"/>
      <c r="Z2329" s="592"/>
    </row>
    <row r="2330" spans="1:26" hidden="1">
      <c r="A2330" s="556">
        <v>1</v>
      </c>
      <c r="B2330" s="560" t="s">
        <v>1985</v>
      </c>
      <c r="C2330" s="561" t="s">
        <v>239</v>
      </c>
      <c r="D2330" s="805">
        <f>E2330*2.5</f>
        <v>7102.7249999999995</v>
      </c>
      <c r="E2330" s="805">
        <v>2841.0899999999997</v>
      </c>
      <c r="F2330" s="805" t="s">
        <v>223</v>
      </c>
      <c r="G2330" s="805">
        <f>(20*I2330)*12</f>
        <v>1200</v>
      </c>
      <c r="H2330" s="561">
        <v>5</v>
      </c>
      <c r="I2330" s="561">
        <v>5</v>
      </c>
      <c r="J2330" s="561">
        <v>75</v>
      </c>
      <c r="K2330" s="556" t="s">
        <v>238</v>
      </c>
      <c r="L2330" s="562">
        <f>M2330+N2330+O2330+P2330+Q2330</f>
        <v>2299212</v>
      </c>
      <c r="M2330" s="563">
        <v>2250000</v>
      </c>
      <c r="N2330" s="564">
        <v>29312</v>
      </c>
      <c r="O2330" s="631"/>
      <c r="Q2330" s="586">
        <v>19900</v>
      </c>
      <c r="R2330" s="561">
        <f>M2330/G2330</f>
        <v>1875</v>
      </c>
      <c r="S2330" s="575">
        <f>L2330-M2330-N2330-O2330-P2330-Q2330</f>
        <v>0</v>
      </c>
      <c r="T2330" s="560"/>
      <c r="V2330" s="589"/>
    </row>
    <row r="2331" spans="1:26" hidden="1">
      <c r="A2331" s="556">
        <v>2</v>
      </c>
      <c r="B2331" s="560" t="s">
        <v>1986</v>
      </c>
      <c r="C2331" s="561" t="s">
        <v>221</v>
      </c>
      <c r="D2331" s="805">
        <v>1607.9755999999998</v>
      </c>
      <c r="E2331" s="805">
        <v>574.27699999999993</v>
      </c>
      <c r="F2331" s="805" t="s">
        <v>222</v>
      </c>
      <c r="G2331" s="805">
        <f>(20*I2331)*12*1.2</f>
        <v>864</v>
      </c>
      <c r="H2331" s="561">
        <v>2</v>
      </c>
      <c r="I2331" s="561">
        <v>3</v>
      </c>
      <c r="J2331" s="561">
        <v>16</v>
      </c>
      <c r="K2331" s="556" t="s">
        <v>33</v>
      </c>
      <c r="L2331" s="562">
        <f>M2331+N2331+O2331+P2331+Q2331</f>
        <v>1875887.63</v>
      </c>
      <c r="M2331" s="745">
        <v>1840320</v>
      </c>
      <c r="N2331" s="1076">
        <v>27733</v>
      </c>
      <c r="O2331" s="822"/>
      <c r="P2331" s="802"/>
      <c r="Q2331" s="586">
        <v>7834.63</v>
      </c>
      <c r="R2331" s="803">
        <f>M2331/G2331</f>
        <v>2130</v>
      </c>
      <c r="S2331" s="575">
        <f>L2331-M2331-N2331-O2331-P2331-Q2331</f>
        <v>-1.1186784831807017E-10</v>
      </c>
      <c r="T2331" s="560"/>
      <c r="V2331" s="589"/>
    </row>
    <row r="2332" spans="1:26" hidden="1">
      <c r="A2332" s="556">
        <v>3</v>
      </c>
      <c r="B2332" s="560" t="s">
        <v>1987</v>
      </c>
      <c r="C2332" s="561" t="s">
        <v>221</v>
      </c>
      <c r="D2332" s="805">
        <f>E2332*2.5</f>
        <v>1369.915</v>
      </c>
      <c r="E2332" s="805">
        <v>547.96600000000001</v>
      </c>
      <c r="F2332" s="805" t="s">
        <v>222</v>
      </c>
      <c r="G2332" s="805">
        <f>(20*I2332)*12*1.3</f>
        <v>624</v>
      </c>
      <c r="H2332" s="561">
        <v>2</v>
      </c>
      <c r="I2332" s="561">
        <v>2</v>
      </c>
      <c r="J2332" s="561">
        <v>15</v>
      </c>
      <c r="K2332" s="556" t="s">
        <v>33</v>
      </c>
      <c r="L2332" s="562">
        <f>M2332+N2332+O2332+P2332+Q2332</f>
        <v>1360995.46</v>
      </c>
      <c r="M2332" s="745">
        <v>1328583</v>
      </c>
      <c r="N2332" s="1076">
        <v>25738</v>
      </c>
      <c r="O2332" s="822"/>
      <c r="P2332" s="802"/>
      <c r="Q2332" s="586">
        <v>6674.46</v>
      </c>
      <c r="R2332" s="803">
        <f>M2332/G2332</f>
        <v>2129.1394230769229</v>
      </c>
      <c r="S2332" s="575">
        <f>L2332-M2332-N2332-O2332-P2332-Q2332</f>
        <v>-3.7289282772690058E-11</v>
      </c>
      <c r="T2332" s="560"/>
      <c r="V2332" s="589"/>
    </row>
    <row r="2333" spans="1:26" s="28" customFormat="1" hidden="1">
      <c r="A2333" s="1349" t="s">
        <v>123</v>
      </c>
      <c r="B2333" s="1349"/>
      <c r="C2333" s="593" t="s">
        <v>28</v>
      </c>
      <c r="D2333" s="646">
        <f>SUM(D2330:D2332)</f>
        <v>10080.615600000001</v>
      </c>
      <c r="E2333" s="646">
        <f>SUM(E2330:E2332)</f>
        <v>3963.3329999999996</v>
      </c>
      <c r="F2333" s="646" t="s">
        <v>28</v>
      </c>
      <c r="G2333" s="646">
        <f>SUM(G2330:G2332)</f>
        <v>2688</v>
      </c>
      <c r="H2333" s="582" t="s">
        <v>28</v>
      </c>
      <c r="I2333" s="582" t="s">
        <v>28</v>
      </c>
      <c r="J2333" s="582">
        <f>SUM(J2330:J2332)</f>
        <v>106</v>
      </c>
      <c r="K2333" s="590" t="s">
        <v>28</v>
      </c>
      <c r="L2333" s="584">
        <f>SUM(L2330:L2332)</f>
        <v>5536095.0899999999</v>
      </c>
      <c r="M2333" s="585">
        <f>SUM(M2330:M2332)</f>
        <v>5418903</v>
      </c>
      <c r="N2333" s="586">
        <f>SUM(N2330:N2332)</f>
        <v>82783</v>
      </c>
      <c r="O2333" s="587">
        <f>SUM(O2330:O2332)</f>
        <v>0</v>
      </c>
      <c r="P2333" s="586"/>
      <c r="Q2333" s="586">
        <f>SUM(Q2330:Q2332)</f>
        <v>34409.090000000004</v>
      </c>
      <c r="R2333" s="582" t="s">
        <v>28</v>
      </c>
      <c r="S2333" s="645">
        <f>L2333-M2333-N2333-O2333-P2333-Q2333</f>
        <v>-1.5279510989785194E-10</v>
      </c>
      <c r="T2333" s="645"/>
      <c r="U2333" s="591"/>
      <c r="V2333" s="589"/>
      <c r="W2333" s="592"/>
      <c r="X2333" s="592"/>
      <c r="Y2333" s="592"/>
      <c r="Z2333" s="592"/>
    </row>
    <row r="2334" spans="1:26" s="28" customFormat="1" hidden="1">
      <c r="A2334" s="1347" t="s">
        <v>69</v>
      </c>
      <c r="B2334" s="1347"/>
      <c r="C2334" s="1347"/>
      <c r="D2334" s="1347"/>
      <c r="E2334" s="1347"/>
      <c r="F2334" s="1347"/>
      <c r="G2334" s="1347"/>
      <c r="H2334" s="1347"/>
      <c r="I2334" s="1347"/>
      <c r="J2334" s="1347"/>
      <c r="K2334" s="1347"/>
      <c r="L2334" s="1347"/>
      <c r="M2334" s="1347"/>
      <c r="N2334" s="1347"/>
      <c r="O2334" s="1347"/>
      <c r="P2334" s="1347"/>
      <c r="Q2334" s="1347"/>
      <c r="R2334" s="590"/>
      <c r="S2334" s="592"/>
      <c r="T2334" s="645"/>
      <c r="U2334" s="591"/>
      <c r="V2334" s="589"/>
      <c r="W2334" s="592"/>
      <c r="X2334" s="592"/>
      <c r="Y2334" s="592"/>
      <c r="Z2334" s="592"/>
    </row>
    <row r="2335" spans="1:26" s="28" customFormat="1" ht="75" hidden="1">
      <c r="A2335" s="590">
        <v>1</v>
      </c>
      <c r="B2335" s="592" t="s">
        <v>3503</v>
      </c>
      <c r="C2335" s="593" t="s">
        <v>221</v>
      </c>
      <c r="D2335" s="646">
        <v>2919</v>
      </c>
      <c r="E2335" s="646">
        <v>391</v>
      </c>
      <c r="F2335" s="646" t="s">
        <v>222</v>
      </c>
      <c r="G2335" s="646">
        <v>652</v>
      </c>
      <c r="H2335" s="582">
        <v>2</v>
      </c>
      <c r="I2335" s="582">
        <v>2</v>
      </c>
      <c r="J2335" s="582">
        <v>16</v>
      </c>
      <c r="K2335" s="606" t="s">
        <v>279</v>
      </c>
      <c r="L2335" s="562">
        <f>M2335+N2335+O2335+P2335+Q2335</f>
        <v>512623.04</v>
      </c>
      <c r="M2335" s="596">
        <v>480000</v>
      </c>
      <c r="N2335" s="630">
        <v>25666</v>
      </c>
      <c r="O2335" s="587"/>
      <c r="P2335" s="586"/>
      <c r="Q2335" s="586">
        <v>6957.04</v>
      </c>
      <c r="R2335" s="803">
        <f>M2335/J2335</f>
        <v>30000</v>
      </c>
      <c r="S2335" s="575">
        <f>L2335-M2335-N2335-O2335-P2335-Q2335</f>
        <v>-2.0918378140777349E-11</v>
      </c>
      <c r="T2335" s="645"/>
      <c r="U2335" s="591"/>
      <c r="V2335" s="589"/>
      <c r="W2335" s="592"/>
      <c r="X2335" s="592"/>
      <c r="Y2335" s="592"/>
      <c r="Z2335" s="592"/>
    </row>
    <row r="2336" spans="1:26" s="28" customFormat="1" ht="37.5" hidden="1">
      <c r="A2336" s="590">
        <v>2</v>
      </c>
      <c r="B2336" s="592" t="s">
        <v>3628</v>
      </c>
      <c r="C2336" s="593" t="s">
        <v>221</v>
      </c>
      <c r="D2336" s="646">
        <v>2923</v>
      </c>
      <c r="E2336" s="646">
        <v>295</v>
      </c>
      <c r="F2336" s="646" t="s">
        <v>222</v>
      </c>
      <c r="G2336" s="646">
        <v>670</v>
      </c>
      <c r="H2336" s="582">
        <v>2</v>
      </c>
      <c r="I2336" s="582">
        <v>2</v>
      </c>
      <c r="J2336" s="582">
        <v>17</v>
      </c>
      <c r="K2336" s="606" t="s">
        <v>421</v>
      </c>
      <c r="L2336" s="562">
        <f>M2336+N2336+O2336+P2336+Q2336</f>
        <v>356912.37</v>
      </c>
      <c r="M2336" s="596">
        <v>340000</v>
      </c>
      <c r="N2336" s="753"/>
      <c r="O2336" s="631">
        <v>10420</v>
      </c>
      <c r="P2336" s="753"/>
      <c r="Q2336" s="586">
        <v>6492.37</v>
      </c>
      <c r="R2336" s="803">
        <f>M2336/J2336</f>
        <v>20000</v>
      </c>
      <c r="S2336" s="575">
        <f>L2336-M2336-N2336-O2336-P2336-Q2336</f>
        <v>0</v>
      </c>
      <c r="T2336" s="645"/>
      <c r="U2336" s="591"/>
      <c r="V2336" s="589"/>
      <c r="W2336" s="592"/>
      <c r="X2336" s="592"/>
      <c r="Y2336" s="592"/>
      <c r="Z2336" s="592"/>
    </row>
    <row r="2337" spans="1:26" s="530" customFormat="1" hidden="1">
      <c r="A2337" s="792">
        <v>3</v>
      </c>
      <c r="B2337" s="788" t="s">
        <v>3502</v>
      </c>
      <c r="C2337" s="744" t="s">
        <v>221</v>
      </c>
      <c r="D2337" s="789">
        <v>2890</v>
      </c>
      <c r="E2337" s="789">
        <v>481.6</v>
      </c>
      <c r="F2337" s="789" t="s">
        <v>222</v>
      </c>
      <c r="G2337" s="789">
        <v>642.79999999999995</v>
      </c>
      <c r="H2337" s="744">
        <v>2</v>
      </c>
      <c r="I2337" s="744">
        <v>2</v>
      </c>
      <c r="J2337" s="744">
        <v>16</v>
      </c>
      <c r="K2337" s="792" t="s">
        <v>33</v>
      </c>
      <c r="L2337" s="562">
        <f>M2337+N2337+O2337+P2337+Q2337</f>
        <v>1649221.25</v>
      </c>
      <c r="M2337" s="741">
        <v>1607000</v>
      </c>
      <c r="N2337" s="630">
        <v>28141</v>
      </c>
      <c r="O2337" s="565"/>
      <c r="P2337" s="564"/>
      <c r="Q2337" s="586">
        <v>14080.25</v>
      </c>
      <c r="R2337" s="744">
        <f>M2337/G2337</f>
        <v>2500</v>
      </c>
      <c r="S2337" s="575">
        <f>L2337-M2337-N2337-O2337-P2337-Q2337</f>
        <v>0</v>
      </c>
      <c r="T2337" s="738">
        <f>M2337-N2337-O2337-P2337-R2337</f>
        <v>1576359</v>
      </c>
      <c r="U2337" s="589"/>
      <c r="V2337" s="589"/>
      <c r="W2337" s="788"/>
      <c r="X2337" s="788"/>
      <c r="Y2337" s="788"/>
      <c r="Z2337" s="788"/>
    </row>
    <row r="2338" spans="1:26" s="28" customFormat="1" hidden="1">
      <c r="A2338" s="1349" t="s">
        <v>70</v>
      </c>
      <c r="B2338" s="1349"/>
      <c r="C2338" s="593" t="s">
        <v>28</v>
      </c>
      <c r="D2338" s="646">
        <f>SUM(D2335:D2337)</f>
        <v>8732</v>
      </c>
      <c r="E2338" s="646">
        <f>SUM(E2335:E2337)</f>
        <v>1167.5999999999999</v>
      </c>
      <c r="F2338" s="646" t="s">
        <v>28</v>
      </c>
      <c r="G2338" s="646">
        <f>SUM(G2335:G2337)</f>
        <v>1964.8</v>
      </c>
      <c r="H2338" s="582" t="s">
        <v>28</v>
      </c>
      <c r="I2338" s="582" t="s">
        <v>28</v>
      </c>
      <c r="J2338" s="646">
        <f>SUM(J2335:J2337)</f>
        <v>49</v>
      </c>
      <c r="K2338" s="590" t="s">
        <v>28</v>
      </c>
      <c r="L2338" s="584">
        <f t="shared" ref="L2338:Q2338" si="330">SUM(L2335:L2337)</f>
        <v>2518756.66</v>
      </c>
      <c r="M2338" s="585">
        <f t="shared" si="330"/>
        <v>2427000</v>
      </c>
      <c r="N2338" s="586">
        <f t="shared" si="330"/>
        <v>53807</v>
      </c>
      <c r="O2338" s="587">
        <f t="shared" si="330"/>
        <v>10420</v>
      </c>
      <c r="P2338" s="646">
        <f t="shared" si="330"/>
        <v>0</v>
      </c>
      <c r="Q2338" s="586">
        <f t="shared" si="330"/>
        <v>27529.66</v>
      </c>
      <c r="R2338" s="582" t="s">
        <v>28</v>
      </c>
      <c r="S2338" s="645">
        <f>L2338-M2338-N2338-O2338-P2338-Q2338</f>
        <v>1.4915713109076023E-10</v>
      </c>
      <c r="T2338" s="645"/>
      <c r="U2338" s="591"/>
      <c r="V2338" s="589"/>
      <c r="W2338" s="592"/>
      <c r="X2338" s="592"/>
      <c r="Y2338" s="592"/>
      <c r="Z2338" s="592"/>
    </row>
    <row r="2339" spans="1:26" s="28" customFormat="1" hidden="1">
      <c r="A2339" s="1347" t="s">
        <v>71</v>
      </c>
      <c r="B2339" s="1347"/>
      <c r="C2339" s="1347"/>
      <c r="D2339" s="1347"/>
      <c r="E2339" s="1347"/>
      <c r="F2339" s="1347"/>
      <c r="G2339" s="1347"/>
      <c r="H2339" s="1347"/>
      <c r="I2339" s="1347"/>
      <c r="J2339" s="1347"/>
      <c r="K2339" s="1347"/>
      <c r="L2339" s="1347"/>
      <c r="M2339" s="1347"/>
      <c r="N2339" s="1347"/>
      <c r="O2339" s="1347"/>
      <c r="P2339" s="1347"/>
      <c r="Q2339" s="1347"/>
      <c r="R2339" s="590"/>
      <c r="S2339" s="592"/>
      <c r="T2339" s="645"/>
      <c r="U2339" s="591"/>
      <c r="V2339" s="589"/>
      <c r="W2339" s="592"/>
      <c r="X2339" s="592"/>
      <c r="Y2339" s="592"/>
      <c r="Z2339" s="592"/>
    </row>
    <row r="2340" spans="1:26" s="90" customFormat="1" hidden="1">
      <c r="A2340" s="667">
        <v>1</v>
      </c>
      <c r="B2340" s="592" t="s">
        <v>1990</v>
      </c>
      <c r="C2340" s="593" t="s">
        <v>221</v>
      </c>
      <c r="D2340" s="619">
        <v>5253</v>
      </c>
      <c r="E2340" s="619">
        <v>628</v>
      </c>
      <c r="F2340" s="844" t="s">
        <v>222</v>
      </c>
      <c r="G2340" s="619">
        <v>950</v>
      </c>
      <c r="H2340" s="599">
        <v>3</v>
      </c>
      <c r="I2340" s="599">
        <v>2</v>
      </c>
      <c r="J2340" s="599">
        <v>18</v>
      </c>
      <c r="K2340" s="590" t="s">
        <v>33</v>
      </c>
      <c r="L2340" s="595">
        <f t="shared" ref="L2340:L2346" si="331">M2340+N2340+O2340+P2340+Q2340</f>
        <v>2135103.61</v>
      </c>
      <c r="M2340" s="585">
        <v>2090000</v>
      </c>
      <c r="N2340" s="630">
        <v>28908</v>
      </c>
      <c r="O2340" s="587"/>
      <c r="P2340" s="586"/>
      <c r="Q2340" s="586">
        <v>16195.61</v>
      </c>
      <c r="R2340" s="582">
        <f>M2340/G2340</f>
        <v>2200</v>
      </c>
      <c r="S2340" s="575">
        <f t="shared" ref="S2340:S2345" si="332">L2340-M2340-N2340-O2340-P2340-Q2340</f>
        <v>-1.3096723705530167E-10</v>
      </c>
      <c r="T2340" s="748"/>
      <c r="U2340" s="737"/>
      <c r="V2340" s="589"/>
      <c r="W2340" s="748"/>
      <c r="X2340" s="748"/>
      <c r="Y2340" s="748"/>
      <c r="Z2340" s="748"/>
    </row>
    <row r="2341" spans="1:26" s="90" customFormat="1" hidden="1">
      <c r="A2341" s="667">
        <f t="shared" ref="A2341:A2346" si="333">A2340+1</f>
        <v>2</v>
      </c>
      <c r="B2341" s="592" t="s">
        <v>1991</v>
      </c>
      <c r="C2341" s="593" t="s">
        <v>221</v>
      </c>
      <c r="D2341" s="619">
        <v>2968</v>
      </c>
      <c r="E2341" s="619">
        <v>2917</v>
      </c>
      <c r="F2341" s="844" t="s">
        <v>222</v>
      </c>
      <c r="G2341" s="619">
        <v>666</v>
      </c>
      <c r="H2341" s="599">
        <v>2</v>
      </c>
      <c r="I2341" s="599">
        <v>2</v>
      </c>
      <c r="J2341" s="599">
        <v>16</v>
      </c>
      <c r="K2341" s="590" t="s">
        <v>238</v>
      </c>
      <c r="L2341" s="595">
        <f t="shared" si="331"/>
        <v>512369.04</v>
      </c>
      <c r="M2341" s="596">
        <v>480000</v>
      </c>
      <c r="N2341" s="675">
        <v>25772</v>
      </c>
      <c r="O2341" s="598"/>
      <c r="P2341" s="597"/>
      <c r="Q2341" s="586">
        <v>6597.04</v>
      </c>
      <c r="R2341" s="599">
        <f>M2341/J2341</f>
        <v>30000</v>
      </c>
      <c r="S2341" s="575">
        <f t="shared" si="332"/>
        <v>-2.0918378140777349E-11</v>
      </c>
      <c r="T2341" s="748"/>
      <c r="U2341" s="737"/>
      <c r="V2341" s="589"/>
      <c r="W2341" s="748"/>
      <c r="X2341" s="748"/>
      <c r="Y2341" s="748"/>
      <c r="Z2341" s="748"/>
    </row>
    <row r="2342" spans="1:26" s="92" customFormat="1" ht="37.5" hidden="1">
      <c r="A2342" s="667">
        <f t="shared" si="333"/>
        <v>3</v>
      </c>
      <c r="B2342" s="592" t="s">
        <v>1992</v>
      </c>
      <c r="C2342" s="593" t="s">
        <v>383</v>
      </c>
      <c r="D2342" s="619">
        <v>3814</v>
      </c>
      <c r="E2342" s="619">
        <v>4001</v>
      </c>
      <c r="F2342" s="789" t="s">
        <v>222</v>
      </c>
      <c r="G2342" s="619">
        <v>913</v>
      </c>
      <c r="H2342" s="594">
        <v>2</v>
      </c>
      <c r="I2342" s="594">
        <v>3</v>
      </c>
      <c r="J2342" s="594">
        <v>22</v>
      </c>
      <c r="K2342" s="590" t="s">
        <v>238</v>
      </c>
      <c r="L2342" s="595">
        <f t="shared" si="331"/>
        <v>698530.73</v>
      </c>
      <c r="M2342" s="596">
        <v>660000</v>
      </c>
      <c r="N2342" s="630">
        <v>26936</v>
      </c>
      <c r="O2342" s="598"/>
      <c r="P2342" s="597"/>
      <c r="Q2342" s="586">
        <v>11594.73</v>
      </c>
      <c r="R2342" s="599">
        <f>M2342/J2342</f>
        <v>30000</v>
      </c>
      <c r="S2342" s="575">
        <f t="shared" si="332"/>
        <v>-1.8189894035458565E-11</v>
      </c>
      <c r="T2342" s="799"/>
      <c r="U2342" s="800"/>
      <c r="V2342" s="589"/>
      <c r="W2342" s="799"/>
      <c r="X2342" s="799"/>
      <c r="Y2342" s="799"/>
      <c r="Z2342" s="799"/>
    </row>
    <row r="2343" spans="1:26" s="92" customFormat="1" ht="37.5" hidden="1">
      <c r="A2343" s="667">
        <f t="shared" si="333"/>
        <v>4</v>
      </c>
      <c r="B2343" s="592" t="s">
        <v>1993</v>
      </c>
      <c r="C2343" s="593" t="s">
        <v>383</v>
      </c>
      <c r="D2343" s="619">
        <v>4037</v>
      </c>
      <c r="E2343" s="622">
        <v>3434</v>
      </c>
      <c r="F2343" s="593" t="s">
        <v>230</v>
      </c>
      <c r="G2343" s="622">
        <v>784</v>
      </c>
      <c r="H2343" s="673">
        <v>2</v>
      </c>
      <c r="I2343" s="673">
        <v>3</v>
      </c>
      <c r="J2343" s="594">
        <v>24</v>
      </c>
      <c r="K2343" s="590" t="s">
        <v>238</v>
      </c>
      <c r="L2343" s="595">
        <f t="shared" si="331"/>
        <v>758331.73</v>
      </c>
      <c r="M2343" s="596">
        <v>720000</v>
      </c>
      <c r="N2343" s="630">
        <v>26737</v>
      </c>
      <c r="O2343" s="598"/>
      <c r="P2343" s="597"/>
      <c r="Q2343" s="586">
        <v>11594.73</v>
      </c>
      <c r="R2343" s="599">
        <f>M2343/J2343</f>
        <v>30000</v>
      </c>
      <c r="S2343" s="575">
        <f t="shared" si="332"/>
        <v>-1.8189894035458565E-11</v>
      </c>
      <c r="T2343" s="799"/>
      <c r="U2343" s="800"/>
      <c r="V2343" s="589"/>
      <c r="W2343" s="799"/>
      <c r="X2343" s="799"/>
      <c r="Y2343" s="799"/>
      <c r="Z2343" s="799"/>
    </row>
    <row r="2344" spans="1:26" s="28" customFormat="1" hidden="1">
      <c r="A2344" s="667">
        <f t="shared" si="333"/>
        <v>5</v>
      </c>
      <c r="B2344" s="592" t="s">
        <v>1994</v>
      </c>
      <c r="C2344" s="593" t="s">
        <v>221</v>
      </c>
      <c r="D2344" s="829">
        <f>E2344*3</f>
        <v>1227.6000000000001</v>
      </c>
      <c r="E2344" s="646">
        <f>((21.7+12.4)*2)*3*H2344</f>
        <v>409.20000000000005</v>
      </c>
      <c r="F2344" s="805" t="s">
        <v>222</v>
      </c>
      <c r="G2344" s="646">
        <v>671</v>
      </c>
      <c r="H2344" s="582">
        <v>2</v>
      </c>
      <c r="I2344" s="582">
        <v>2</v>
      </c>
      <c r="J2344" s="582">
        <v>12</v>
      </c>
      <c r="K2344" s="590" t="s">
        <v>33</v>
      </c>
      <c r="L2344" s="584">
        <f t="shared" si="331"/>
        <v>1379425.95</v>
      </c>
      <c r="M2344" s="585">
        <v>1346368</v>
      </c>
      <c r="N2344" s="630">
        <v>27077</v>
      </c>
      <c r="O2344" s="565"/>
      <c r="P2344" s="564"/>
      <c r="Q2344" s="586">
        <v>5980.95</v>
      </c>
      <c r="R2344" s="582">
        <f>M2344/G2344</f>
        <v>2006.5096870342772</v>
      </c>
      <c r="S2344" s="575">
        <f t="shared" si="332"/>
        <v>-4.638422979041934E-11</v>
      </c>
      <c r="T2344" s="738">
        <f>L2344-M2344-N2344-O2344-Q2344</f>
        <v>-4.638422979041934E-11</v>
      </c>
      <c r="U2344" s="591"/>
      <c r="V2344" s="589"/>
      <c r="W2344" s="592"/>
      <c r="X2344" s="592"/>
      <c r="Y2344" s="592"/>
      <c r="Z2344" s="592"/>
    </row>
    <row r="2345" spans="1:26" s="90" customFormat="1" hidden="1">
      <c r="A2345" s="667">
        <f t="shared" si="333"/>
        <v>6</v>
      </c>
      <c r="B2345" s="592" t="s">
        <v>1995</v>
      </c>
      <c r="C2345" s="744" t="s">
        <v>221</v>
      </c>
      <c r="D2345" s="619">
        <v>3648</v>
      </c>
      <c r="E2345" s="619">
        <v>3714</v>
      </c>
      <c r="F2345" s="789" t="s">
        <v>222</v>
      </c>
      <c r="G2345" s="619">
        <v>922</v>
      </c>
      <c r="H2345" s="599">
        <v>2</v>
      </c>
      <c r="I2345" s="599">
        <v>3</v>
      </c>
      <c r="J2345" s="599">
        <v>22</v>
      </c>
      <c r="K2345" s="590" t="s">
        <v>33</v>
      </c>
      <c r="L2345" s="584">
        <f t="shared" si="331"/>
        <v>2077147.69</v>
      </c>
      <c r="M2345" s="585">
        <v>2028400</v>
      </c>
      <c r="N2345" s="630">
        <v>30974</v>
      </c>
      <c r="O2345" s="587"/>
      <c r="P2345" s="586"/>
      <c r="Q2345" s="586">
        <v>17773.689999999999</v>
      </c>
      <c r="R2345" s="582">
        <f>M2345/G2345</f>
        <v>2200</v>
      </c>
      <c r="S2345" s="575">
        <f t="shared" si="332"/>
        <v>-5.4569682106375694E-11</v>
      </c>
      <c r="T2345" s="738">
        <f>L2345-M2345-N2345-O2345-Q2345</f>
        <v>-5.4569682106375694E-11</v>
      </c>
      <c r="U2345" s="737"/>
      <c r="V2345" s="589"/>
      <c r="W2345" s="748"/>
      <c r="X2345" s="748"/>
      <c r="Y2345" s="748"/>
      <c r="Z2345" s="748"/>
    </row>
    <row r="2346" spans="1:26" s="130" customFormat="1" hidden="1">
      <c r="A2346" s="1081">
        <f t="shared" si="333"/>
        <v>7</v>
      </c>
      <c r="B2346" s="1082" t="s">
        <v>3820</v>
      </c>
      <c r="C2346" s="1031" t="s">
        <v>221</v>
      </c>
      <c r="D2346" s="1083">
        <f>22*13*10</f>
        <v>2860</v>
      </c>
      <c r="E2346" s="1031">
        <f>(60+12)*2*9</f>
        <v>1296</v>
      </c>
      <c r="F2346" s="1031" t="s">
        <v>222</v>
      </c>
      <c r="G2346" s="1083">
        <f>(22*I2346)*13*1.3</f>
        <v>1115.4000000000001</v>
      </c>
      <c r="H2346" s="1031">
        <v>2</v>
      </c>
      <c r="I2346" s="1031">
        <v>3</v>
      </c>
      <c r="J2346" s="1031">
        <v>24</v>
      </c>
      <c r="K2346" s="1084" t="s">
        <v>33</v>
      </c>
      <c r="L2346" s="1085">
        <f t="shared" si="331"/>
        <v>2832334</v>
      </c>
      <c r="M2346" s="1028">
        <f>G2346*2500</f>
        <v>2788500</v>
      </c>
      <c r="N2346" s="1029">
        <v>29829</v>
      </c>
      <c r="O2346" s="1086"/>
      <c r="P2346" s="725"/>
      <c r="Q2346" s="1029">
        <v>14005</v>
      </c>
      <c r="R2346" s="1035">
        <f>M2346/G2346</f>
        <v>2500</v>
      </c>
      <c r="S2346" s="985"/>
      <c r="T2346" s="985"/>
      <c r="U2346" s="985"/>
      <c r="V2346" s="985"/>
      <c r="W2346" s="985"/>
      <c r="X2346" s="985"/>
      <c r="Y2346" s="985"/>
      <c r="Z2346" s="985"/>
    </row>
    <row r="2347" spans="1:26" s="28" customFormat="1" hidden="1">
      <c r="A2347" s="1349" t="s">
        <v>72</v>
      </c>
      <c r="B2347" s="1349"/>
      <c r="C2347" s="593" t="s">
        <v>28</v>
      </c>
      <c r="D2347" s="646">
        <f>SUM(D2340:D2346)</f>
        <v>23807.599999999999</v>
      </c>
      <c r="E2347" s="646">
        <f>SUM(E2340:E2346)</f>
        <v>16399.2</v>
      </c>
      <c r="F2347" s="646" t="s">
        <v>28</v>
      </c>
      <c r="G2347" s="646">
        <f>SUM(G2340:G2346)</f>
        <v>6021.4</v>
      </c>
      <c r="H2347" s="582" t="s">
        <v>28</v>
      </c>
      <c r="I2347" s="582" t="s">
        <v>28</v>
      </c>
      <c r="J2347" s="582">
        <f>SUM(J2340:J2346)</f>
        <v>138</v>
      </c>
      <c r="K2347" s="590" t="s">
        <v>28</v>
      </c>
      <c r="L2347" s="584">
        <f t="shared" ref="L2347:Q2347" si="334">SUM(L2340:L2346)</f>
        <v>10393242.75</v>
      </c>
      <c r="M2347" s="585">
        <f t="shared" si="334"/>
        <v>10113268</v>
      </c>
      <c r="N2347" s="586">
        <f t="shared" si="334"/>
        <v>196233</v>
      </c>
      <c r="O2347" s="587">
        <f t="shared" si="334"/>
        <v>0</v>
      </c>
      <c r="P2347" s="586">
        <f t="shared" si="334"/>
        <v>0</v>
      </c>
      <c r="Q2347" s="586">
        <f t="shared" si="334"/>
        <v>83741.75</v>
      </c>
      <c r="R2347" s="582" t="s">
        <v>28</v>
      </c>
      <c r="S2347" s="645">
        <f>L2347-M2347-N2347-O2347-P2347-Q2347</f>
        <v>0</v>
      </c>
      <c r="T2347" s="645"/>
      <c r="U2347" s="591"/>
      <c r="V2347" s="589"/>
      <c r="W2347" s="592"/>
      <c r="X2347" s="592"/>
      <c r="Y2347" s="592"/>
      <c r="Z2347" s="592"/>
    </row>
    <row r="2348" spans="1:26" s="28" customFormat="1" hidden="1">
      <c r="A2348" s="1347" t="s">
        <v>124</v>
      </c>
      <c r="B2348" s="1347"/>
      <c r="C2348" s="1347"/>
      <c r="D2348" s="1347"/>
      <c r="E2348" s="1347"/>
      <c r="F2348" s="1347"/>
      <c r="G2348" s="1347"/>
      <c r="H2348" s="1347"/>
      <c r="I2348" s="1347"/>
      <c r="J2348" s="1347"/>
      <c r="K2348" s="1347"/>
      <c r="L2348" s="1347"/>
      <c r="M2348" s="1347"/>
      <c r="N2348" s="1347"/>
      <c r="O2348" s="1347"/>
      <c r="P2348" s="1347"/>
      <c r="Q2348" s="1347"/>
      <c r="R2348" s="590"/>
      <c r="S2348" s="592"/>
      <c r="T2348" s="645"/>
      <c r="U2348" s="591"/>
      <c r="V2348" s="589"/>
      <c r="W2348" s="592"/>
      <c r="X2348" s="592"/>
      <c r="Y2348" s="592"/>
      <c r="Z2348" s="592"/>
    </row>
    <row r="2349" spans="1:26" s="90" customFormat="1" hidden="1">
      <c r="A2349" s="590">
        <v>1</v>
      </c>
      <c r="B2349" s="592" t="s">
        <v>1996</v>
      </c>
      <c r="C2349" s="593" t="s">
        <v>221</v>
      </c>
      <c r="D2349" s="646">
        <v>3923.6</v>
      </c>
      <c r="E2349" s="619">
        <v>632</v>
      </c>
      <c r="F2349" s="619" t="s">
        <v>230</v>
      </c>
      <c r="G2349" s="619">
        <v>643.5</v>
      </c>
      <c r="H2349" s="599">
        <v>2</v>
      </c>
      <c r="I2349" s="599">
        <v>1</v>
      </c>
      <c r="J2349" s="599">
        <v>15</v>
      </c>
      <c r="K2349" s="590" t="s">
        <v>33</v>
      </c>
      <c r="L2349" s="595">
        <f>M2349+N2349+Q2349</f>
        <v>1420329.94</v>
      </c>
      <c r="M2349" s="745">
        <v>1369992</v>
      </c>
      <c r="N2349" s="1076">
        <v>31221</v>
      </c>
      <c r="O2349" s="822"/>
      <c r="P2349" s="802"/>
      <c r="Q2349" s="586">
        <v>19116.939999999999</v>
      </c>
      <c r="R2349" s="803">
        <f>M2349/G2349</f>
        <v>2128.969696969697</v>
      </c>
      <c r="S2349" s="575">
        <f>L2349-M2349-N2349-O2349-P2349-Q2349</f>
        <v>-5.4569682106375694E-11</v>
      </c>
      <c r="T2349" s="748"/>
      <c r="U2349" s="737"/>
      <c r="V2349" s="589"/>
      <c r="W2349" s="748"/>
      <c r="X2349" s="748"/>
      <c r="Y2349" s="748"/>
      <c r="Z2349" s="748"/>
    </row>
    <row r="2350" spans="1:26" s="28" customFormat="1" hidden="1">
      <c r="A2350" s="1349" t="s">
        <v>125</v>
      </c>
      <c r="B2350" s="1349"/>
      <c r="C2350" s="593" t="s">
        <v>28</v>
      </c>
      <c r="D2350" s="646">
        <f>SUM(D2349)</f>
        <v>3923.6</v>
      </c>
      <c r="E2350" s="646">
        <f>SUM(E2349)</f>
        <v>632</v>
      </c>
      <c r="F2350" s="646" t="s">
        <v>28</v>
      </c>
      <c r="G2350" s="646">
        <f>SUM(G2349)</f>
        <v>643.5</v>
      </c>
      <c r="H2350" s="582" t="s">
        <v>28</v>
      </c>
      <c r="I2350" s="582" t="s">
        <v>28</v>
      </c>
      <c r="J2350" s="582">
        <f>SUM(J2349)</f>
        <v>15</v>
      </c>
      <c r="K2350" s="590" t="s">
        <v>28</v>
      </c>
      <c r="L2350" s="584">
        <f>SUM(L2349)</f>
        <v>1420329.94</v>
      </c>
      <c r="M2350" s="585">
        <f>SUM(M2349)</f>
        <v>1369992</v>
      </c>
      <c r="N2350" s="586">
        <f>SUM(N2349)</f>
        <v>31221</v>
      </c>
      <c r="O2350" s="587"/>
      <c r="P2350" s="586"/>
      <c r="Q2350" s="586">
        <f>SUM(Q2349)</f>
        <v>19116.939999999999</v>
      </c>
      <c r="R2350" s="582" t="s">
        <v>28</v>
      </c>
      <c r="S2350" s="645">
        <f>L2350-M2350-N2350-O2350-P2350-Q2350</f>
        <v>-5.4569682106375694E-11</v>
      </c>
      <c r="T2350" s="645"/>
      <c r="U2350" s="591"/>
      <c r="V2350" s="589"/>
      <c r="W2350" s="592"/>
      <c r="X2350" s="592"/>
      <c r="Y2350" s="592"/>
      <c r="Z2350" s="592"/>
    </row>
    <row r="2351" spans="1:26" s="28" customFormat="1" hidden="1">
      <c r="A2351" s="1347" t="s">
        <v>74</v>
      </c>
      <c r="B2351" s="1347"/>
      <c r="C2351" s="1347"/>
      <c r="D2351" s="1347"/>
      <c r="E2351" s="1347"/>
      <c r="F2351" s="1347"/>
      <c r="G2351" s="1347"/>
      <c r="H2351" s="1347"/>
      <c r="I2351" s="1347"/>
      <c r="J2351" s="1347"/>
      <c r="K2351" s="1347"/>
      <c r="L2351" s="1347"/>
      <c r="M2351" s="1347"/>
      <c r="N2351" s="1347"/>
      <c r="O2351" s="1347"/>
      <c r="P2351" s="1347"/>
      <c r="Q2351" s="1347"/>
      <c r="R2351" s="590"/>
      <c r="S2351" s="592"/>
      <c r="T2351" s="645"/>
      <c r="U2351" s="591"/>
      <c r="V2351" s="589"/>
      <c r="W2351" s="592"/>
      <c r="X2351" s="592"/>
      <c r="Y2351" s="592"/>
      <c r="Z2351" s="592"/>
    </row>
    <row r="2352" spans="1:26" s="28" customFormat="1" hidden="1">
      <c r="A2352" s="590">
        <v>1</v>
      </c>
      <c r="B2352" s="592" t="s">
        <v>1997</v>
      </c>
      <c r="C2352" s="593" t="s">
        <v>217</v>
      </c>
      <c r="D2352" s="646">
        <f>E2352*2.5</f>
        <v>1537</v>
      </c>
      <c r="E2352" s="646">
        <f>((40+13)*2)*2.9*2</f>
        <v>614.79999999999995</v>
      </c>
      <c r="F2352" s="844" t="s">
        <v>222</v>
      </c>
      <c r="G2352" s="646">
        <v>650</v>
      </c>
      <c r="H2352" s="582">
        <v>2</v>
      </c>
      <c r="I2352" s="582">
        <v>2</v>
      </c>
      <c r="J2352" s="582">
        <v>16</v>
      </c>
      <c r="K2352" s="590" t="s">
        <v>33</v>
      </c>
      <c r="L2352" s="595">
        <f>M2352+N2352+Q2352</f>
        <v>1282418.3700000001</v>
      </c>
      <c r="M2352" s="745">
        <v>1247383</v>
      </c>
      <c r="N2352" s="1076">
        <v>27547</v>
      </c>
      <c r="O2352" s="822"/>
      <c r="P2352" s="802"/>
      <c r="Q2352" s="586">
        <v>7488.37</v>
      </c>
      <c r="R2352" s="803">
        <f>M2352/G2352</f>
        <v>1919.0507692307692</v>
      </c>
      <c r="S2352" s="575">
        <f>L2352-M2352-N2352-O2352-P2352-Q2352</f>
        <v>1.1186784831807017E-10</v>
      </c>
      <c r="T2352" s="645"/>
      <c r="U2352" s="591"/>
      <c r="V2352" s="589"/>
      <c r="W2352" s="592"/>
      <c r="X2352" s="592"/>
      <c r="Y2352" s="592"/>
      <c r="Z2352" s="592"/>
    </row>
    <row r="2353" spans="1:26" s="28" customFormat="1" hidden="1">
      <c r="A2353" s="1349" t="s">
        <v>126</v>
      </c>
      <c r="B2353" s="1349"/>
      <c r="C2353" s="593" t="s">
        <v>28</v>
      </c>
      <c r="D2353" s="646">
        <f>SUM(D2352)</f>
        <v>1537</v>
      </c>
      <c r="E2353" s="646">
        <f>SUM(E2352:E2352)</f>
        <v>614.79999999999995</v>
      </c>
      <c r="F2353" s="646" t="s">
        <v>28</v>
      </c>
      <c r="G2353" s="646">
        <f>SUM(G2352:G2352)</f>
        <v>650</v>
      </c>
      <c r="H2353" s="582" t="s">
        <v>28</v>
      </c>
      <c r="I2353" s="582" t="s">
        <v>28</v>
      </c>
      <c r="J2353" s="582">
        <f>SUM(J2352:J2352)</f>
        <v>16</v>
      </c>
      <c r="K2353" s="590" t="s">
        <v>28</v>
      </c>
      <c r="L2353" s="584">
        <f>SUM(L2352:L2352)</f>
        <v>1282418.3700000001</v>
      </c>
      <c r="M2353" s="585">
        <f>SUM(M2352:M2352)</f>
        <v>1247383</v>
      </c>
      <c r="N2353" s="586">
        <f>SUM(N2352:N2352)</f>
        <v>27547</v>
      </c>
      <c r="O2353" s="587"/>
      <c r="P2353" s="586"/>
      <c r="Q2353" s="586">
        <f>SUM(Q2352:Q2352)</f>
        <v>7488.37</v>
      </c>
      <c r="R2353" s="582" t="s">
        <v>28</v>
      </c>
      <c r="S2353" s="645">
        <f>L2353-M2353-N2353-O2353-P2353-Q2353</f>
        <v>1.1186784831807017E-10</v>
      </c>
      <c r="T2353" s="645"/>
      <c r="U2353" s="591"/>
      <c r="V2353" s="589"/>
      <c r="W2353" s="592"/>
      <c r="X2353" s="592"/>
      <c r="Y2353" s="592"/>
      <c r="Z2353" s="592"/>
    </row>
    <row r="2354" spans="1:26" s="28" customFormat="1" hidden="1">
      <c r="A2354" s="1347" t="s">
        <v>75</v>
      </c>
      <c r="B2354" s="1347"/>
      <c r="C2354" s="1347"/>
      <c r="D2354" s="1347"/>
      <c r="E2354" s="1347"/>
      <c r="F2354" s="1347"/>
      <c r="G2354" s="1347"/>
      <c r="H2354" s="1347"/>
      <c r="I2354" s="1347"/>
      <c r="J2354" s="1347"/>
      <c r="K2354" s="1347"/>
      <c r="L2354" s="1347"/>
      <c r="M2354" s="1347"/>
      <c r="N2354" s="1347"/>
      <c r="O2354" s="1347"/>
      <c r="P2354" s="1347"/>
      <c r="Q2354" s="1347"/>
      <c r="R2354" s="590"/>
      <c r="S2354" s="592"/>
      <c r="T2354" s="645"/>
      <c r="U2354" s="591"/>
      <c r="V2354" s="589"/>
      <c r="W2354" s="592"/>
      <c r="X2354" s="592"/>
      <c r="Y2354" s="592"/>
      <c r="Z2354" s="592"/>
    </row>
    <row r="2355" spans="1:26" s="28" customFormat="1" ht="37.5" hidden="1">
      <c r="A2355" s="667">
        <v>1</v>
      </c>
      <c r="B2355" s="592" t="s">
        <v>1998</v>
      </c>
      <c r="C2355" s="593" t="s">
        <v>217</v>
      </c>
      <c r="D2355" s="646">
        <v>4629</v>
      </c>
      <c r="E2355" s="646">
        <v>908.6</v>
      </c>
      <c r="F2355" s="844" t="s">
        <v>222</v>
      </c>
      <c r="G2355" s="646">
        <v>1030</v>
      </c>
      <c r="H2355" s="582">
        <v>2</v>
      </c>
      <c r="I2355" s="582">
        <v>4</v>
      </c>
      <c r="J2355" s="582">
        <v>24</v>
      </c>
      <c r="K2355" s="590" t="s">
        <v>274</v>
      </c>
      <c r="L2355" s="595">
        <f>M2355+N2355+Q2355</f>
        <v>2523677.67</v>
      </c>
      <c r="M2355" s="596">
        <v>2468199</v>
      </c>
      <c r="N2355" s="675">
        <v>32925</v>
      </c>
      <c r="O2355" s="598"/>
      <c r="P2355" s="597"/>
      <c r="Q2355" s="586">
        <v>22553.67</v>
      </c>
      <c r="R2355" s="599">
        <f>M2355/G2355</f>
        <v>2396.3097087378642</v>
      </c>
      <c r="S2355" s="575">
        <f>L2355-M2355-N2355-O2355-P2355-Q2355</f>
        <v>-7.2759576141834259E-11</v>
      </c>
      <c r="T2355" s="645"/>
      <c r="U2355" s="591"/>
      <c r="V2355" s="589"/>
      <c r="W2355" s="592"/>
      <c r="X2355" s="592"/>
      <c r="Y2355" s="592"/>
      <c r="Z2355" s="592"/>
    </row>
    <row r="2356" spans="1:26" s="28" customFormat="1" ht="37.5" hidden="1">
      <c r="A2356" s="667">
        <v>2</v>
      </c>
      <c r="B2356" s="592" t="s">
        <v>1999</v>
      </c>
      <c r="C2356" s="845" t="s">
        <v>221</v>
      </c>
      <c r="D2356" s="646">
        <v>3777</v>
      </c>
      <c r="E2356" s="646">
        <v>829.9</v>
      </c>
      <c r="F2356" s="844" t="s">
        <v>222</v>
      </c>
      <c r="G2356" s="646">
        <v>575.79999999999995</v>
      </c>
      <c r="H2356" s="582">
        <v>3</v>
      </c>
      <c r="I2356" s="582">
        <v>1</v>
      </c>
      <c r="J2356" s="582">
        <v>24</v>
      </c>
      <c r="K2356" s="590" t="s">
        <v>274</v>
      </c>
      <c r="L2356" s="595">
        <f>M2356+N2356+Q2356</f>
        <v>1425641.53</v>
      </c>
      <c r="M2356" s="596">
        <v>1379795</v>
      </c>
      <c r="N2356" s="675">
        <v>27444</v>
      </c>
      <c r="O2356" s="598"/>
      <c r="P2356" s="597"/>
      <c r="Q2356" s="586">
        <v>18402.53</v>
      </c>
      <c r="R2356" s="599">
        <f>M2356/G2356</f>
        <v>2396.3094824591876</v>
      </c>
      <c r="S2356" s="575">
        <f>L2356-M2356-N2356-O2356-P2356-Q2356</f>
        <v>2.9103830456733704E-11</v>
      </c>
      <c r="T2356" s="645"/>
      <c r="U2356" s="591"/>
      <c r="V2356" s="589"/>
      <c r="W2356" s="592"/>
      <c r="X2356" s="592"/>
      <c r="Y2356" s="592"/>
      <c r="Z2356" s="592"/>
    </row>
    <row r="2357" spans="1:26" s="28" customFormat="1" hidden="1">
      <c r="A2357" s="1349" t="s">
        <v>127</v>
      </c>
      <c r="B2357" s="1349"/>
      <c r="C2357" s="593" t="s">
        <v>28</v>
      </c>
      <c r="D2357" s="646">
        <f>SUM(D2355:D2356)</f>
        <v>8406</v>
      </c>
      <c r="E2357" s="646">
        <f>SUM(E2355:E2356)</f>
        <v>1738.5</v>
      </c>
      <c r="F2357" s="646" t="s">
        <v>28</v>
      </c>
      <c r="G2357" s="646">
        <f>SUM(G2355:G2356)</f>
        <v>1605.8</v>
      </c>
      <c r="H2357" s="582" t="s">
        <v>28</v>
      </c>
      <c r="I2357" s="582" t="s">
        <v>28</v>
      </c>
      <c r="J2357" s="582">
        <f>SUM(J2355:J2356)</f>
        <v>48</v>
      </c>
      <c r="K2357" s="590" t="s">
        <v>28</v>
      </c>
      <c r="L2357" s="584">
        <f>SUM(L2355:L2356)</f>
        <v>3949319.2</v>
      </c>
      <c r="M2357" s="585">
        <f>SUM(M2355:M2356)</f>
        <v>3847994</v>
      </c>
      <c r="N2357" s="586">
        <f>SUM(N2355:N2356)</f>
        <v>60369</v>
      </c>
      <c r="O2357" s="587">
        <f>SUM(O2355:O2356)</f>
        <v>0</v>
      </c>
      <c r="P2357" s="586"/>
      <c r="Q2357" s="586">
        <f>SUM(Q2355:Q2356)</f>
        <v>40956.199999999997</v>
      </c>
      <c r="R2357" s="582" t="s">
        <v>28</v>
      </c>
      <c r="S2357" s="645">
        <f>L2357-M2357-N2357-O2357-P2357-Q2357</f>
        <v>1.8917489796876907E-10</v>
      </c>
      <c r="T2357" s="645"/>
      <c r="U2357" s="591"/>
      <c r="V2357" s="589"/>
      <c r="W2357" s="592"/>
      <c r="X2357" s="592"/>
      <c r="Y2357" s="592"/>
      <c r="Z2357" s="592"/>
    </row>
    <row r="2358" spans="1:26" s="28" customFormat="1" hidden="1">
      <c r="A2358" s="1347" t="s">
        <v>76</v>
      </c>
      <c r="B2358" s="1347"/>
      <c r="C2358" s="1347"/>
      <c r="D2358" s="1347"/>
      <c r="E2358" s="1347"/>
      <c r="F2358" s="1347"/>
      <c r="G2358" s="1347"/>
      <c r="H2358" s="1347"/>
      <c r="I2358" s="1347"/>
      <c r="J2358" s="1347"/>
      <c r="K2358" s="1347"/>
      <c r="L2358" s="1347"/>
      <c r="M2358" s="1347"/>
      <c r="N2358" s="1347"/>
      <c r="O2358" s="1347"/>
      <c r="P2358" s="1347"/>
      <c r="Q2358" s="1347"/>
      <c r="R2358" s="590"/>
      <c r="S2358" s="592"/>
      <c r="T2358" s="645"/>
      <c r="U2358" s="591"/>
      <c r="V2358" s="589"/>
      <c r="W2358" s="592"/>
      <c r="X2358" s="592"/>
      <c r="Y2358" s="592"/>
      <c r="Z2358" s="592"/>
    </row>
    <row r="2359" spans="1:26" s="28" customFormat="1" ht="37.5" hidden="1">
      <c r="A2359" s="590">
        <v>1</v>
      </c>
      <c r="B2359" s="592" t="s">
        <v>2000</v>
      </c>
      <c r="C2359" s="845" t="s">
        <v>221</v>
      </c>
      <c r="D2359" s="619">
        <v>2033</v>
      </c>
      <c r="E2359" s="619">
        <v>575</v>
      </c>
      <c r="F2359" s="646" t="s">
        <v>222</v>
      </c>
      <c r="G2359" s="619">
        <v>389.1</v>
      </c>
      <c r="H2359" s="599">
        <v>2</v>
      </c>
      <c r="I2359" s="599">
        <v>2</v>
      </c>
      <c r="J2359" s="599">
        <v>8</v>
      </c>
      <c r="K2359" s="590" t="s">
        <v>267</v>
      </c>
      <c r="L2359" s="584">
        <f>M2359+N2359+O2359+P2359+Q2359</f>
        <v>1013237.17</v>
      </c>
      <c r="M2359" s="585">
        <v>987711</v>
      </c>
      <c r="N2359" s="586"/>
      <c r="O2359" s="631">
        <v>12626</v>
      </c>
      <c r="P2359" s="586"/>
      <c r="Q2359" s="586">
        <v>12900.17</v>
      </c>
      <c r="R2359" s="599">
        <f>M2359/E2359</f>
        <v>1717.7582608695652</v>
      </c>
      <c r="S2359" s="575">
        <f>L2359-M2359-N2359-O2359-P2359-Q2359</f>
        <v>4.1836756281554699E-11</v>
      </c>
      <c r="T2359" s="645"/>
      <c r="U2359" s="591"/>
      <c r="V2359" s="589"/>
      <c r="W2359" s="592"/>
      <c r="X2359" s="592"/>
      <c r="Y2359" s="592"/>
      <c r="Z2359" s="592"/>
    </row>
    <row r="2360" spans="1:26" s="28" customFormat="1" ht="37.5" hidden="1">
      <c r="A2360" s="590">
        <f>A2359+1</f>
        <v>2</v>
      </c>
      <c r="B2360" s="592" t="s">
        <v>2001</v>
      </c>
      <c r="C2360" s="594" t="s">
        <v>239</v>
      </c>
      <c r="D2360" s="619">
        <v>2743</v>
      </c>
      <c r="E2360" s="619">
        <v>508.8</v>
      </c>
      <c r="F2360" s="619" t="s">
        <v>230</v>
      </c>
      <c r="G2360" s="619">
        <v>584.79999999999995</v>
      </c>
      <c r="H2360" s="599">
        <v>2</v>
      </c>
      <c r="I2360" s="599">
        <v>2</v>
      </c>
      <c r="J2360" s="599">
        <v>16</v>
      </c>
      <c r="K2360" s="590" t="s">
        <v>267</v>
      </c>
      <c r="L2360" s="584">
        <f>M2360+N2360+O2360+P2360+Q2360</f>
        <v>914976.54</v>
      </c>
      <c r="M2360" s="585">
        <f>E2360*1740</f>
        <v>885312</v>
      </c>
      <c r="N2360" s="586"/>
      <c r="O2360" s="631">
        <v>12260</v>
      </c>
      <c r="P2360" s="586"/>
      <c r="Q2360" s="586">
        <v>17404.54</v>
      </c>
      <c r="R2360" s="599">
        <f>M2360/E2360</f>
        <v>1740</v>
      </c>
      <c r="S2360" s="575">
        <f>L2360-M2360-N2360-O2360-P2360-Q2360</f>
        <v>3.637978807091713E-11</v>
      </c>
      <c r="T2360" s="645"/>
      <c r="U2360" s="591"/>
      <c r="V2360" s="589"/>
      <c r="W2360" s="592"/>
      <c r="X2360" s="592"/>
      <c r="Y2360" s="592"/>
      <c r="Z2360" s="592"/>
    </row>
    <row r="2361" spans="1:26" s="89" customFormat="1" hidden="1">
      <c r="A2361" s="590">
        <f>A2360+1</f>
        <v>3</v>
      </c>
      <c r="B2361" s="592" t="s">
        <v>4088</v>
      </c>
      <c r="C2361" s="1087" t="s">
        <v>221</v>
      </c>
      <c r="D2361" s="619">
        <v>3500.6399999999994</v>
      </c>
      <c r="E2361" s="619">
        <f>(37.4+15.6)*2*6</f>
        <v>636</v>
      </c>
      <c r="F2361" s="619" t="s">
        <v>222</v>
      </c>
      <c r="G2361" s="619">
        <v>691</v>
      </c>
      <c r="H2361" s="599">
        <v>2</v>
      </c>
      <c r="I2361" s="599">
        <v>2</v>
      </c>
      <c r="J2361" s="599">
        <v>16</v>
      </c>
      <c r="K2361" s="590" t="s">
        <v>33</v>
      </c>
      <c r="L2361" s="584">
        <f>M2361+N2361+O2361+P2361+Q2361</f>
        <v>1634582</v>
      </c>
      <c r="M2361" s="745">
        <v>1589300</v>
      </c>
      <c r="N2361" s="1076">
        <v>28141</v>
      </c>
      <c r="O2361" s="822"/>
      <c r="P2361" s="802"/>
      <c r="Q2361" s="630">
        <v>17141</v>
      </c>
      <c r="R2361" s="744">
        <f>M2361/G2361</f>
        <v>2300</v>
      </c>
      <c r="S2361" s="575">
        <f>L2361-M2361-N2361-O2361-P2361-Q2361</f>
        <v>0</v>
      </c>
      <c r="T2361" s="645"/>
      <c r="U2361" s="591"/>
      <c r="V2361" s="589"/>
      <c r="W2361" s="592"/>
      <c r="X2361" s="592"/>
      <c r="Y2361" s="592"/>
      <c r="Z2361" s="592"/>
    </row>
    <row r="2362" spans="1:26" s="28" customFormat="1" hidden="1">
      <c r="A2362" s="1349" t="s">
        <v>77</v>
      </c>
      <c r="B2362" s="1349"/>
      <c r="C2362" s="593" t="s">
        <v>28</v>
      </c>
      <c r="D2362" s="646">
        <f>SUM(D2359:D2361)</f>
        <v>8276.64</v>
      </c>
      <c r="E2362" s="646">
        <f>SUM(E2359:E2361)</f>
        <v>1719.8</v>
      </c>
      <c r="F2362" s="646" t="s">
        <v>28</v>
      </c>
      <c r="G2362" s="646">
        <f>SUM(G2359:G2361)</f>
        <v>1664.9</v>
      </c>
      <c r="H2362" s="582" t="s">
        <v>28</v>
      </c>
      <c r="I2362" s="582" t="s">
        <v>28</v>
      </c>
      <c r="J2362" s="582">
        <f>SUM(J2359:J2361)</f>
        <v>40</v>
      </c>
      <c r="K2362" s="590" t="s">
        <v>28</v>
      </c>
      <c r="L2362" s="584">
        <f>SUM(L2359:L2361)</f>
        <v>3562795.71</v>
      </c>
      <c r="M2362" s="585">
        <f>SUM(M2359:M2361)</f>
        <v>3462323</v>
      </c>
      <c r="N2362" s="586">
        <f>SUM(N2359:N2361)</f>
        <v>28141</v>
      </c>
      <c r="O2362" s="587">
        <f>SUM(O2359:O2361)</f>
        <v>24886</v>
      </c>
      <c r="P2362" s="586"/>
      <c r="Q2362" s="586">
        <f>SUM(Q2359:Q2361)</f>
        <v>47445.71</v>
      </c>
      <c r="R2362" s="582" t="s">
        <v>28</v>
      </c>
      <c r="S2362" s="575">
        <f>L2362-M2362-N2362-O2362-P2362-Q2362</f>
        <v>0</v>
      </c>
      <c r="T2362" s="645"/>
      <c r="U2362" s="591"/>
      <c r="V2362" s="589"/>
      <c r="W2362" s="592"/>
      <c r="X2362" s="592"/>
      <c r="Y2362" s="592"/>
      <c r="Z2362" s="592"/>
    </row>
    <row r="2363" spans="1:26" s="28" customFormat="1" hidden="1">
      <c r="A2363" s="1347" t="s">
        <v>78</v>
      </c>
      <c r="B2363" s="1347"/>
      <c r="C2363" s="1347"/>
      <c r="D2363" s="1347"/>
      <c r="E2363" s="1347"/>
      <c r="F2363" s="1347"/>
      <c r="G2363" s="1347"/>
      <c r="H2363" s="1347"/>
      <c r="I2363" s="1347"/>
      <c r="J2363" s="1347"/>
      <c r="K2363" s="1347"/>
      <c r="L2363" s="1347"/>
      <c r="M2363" s="1347"/>
      <c r="N2363" s="1347"/>
      <c r="O2363" s="1347"/>
      <c r="P2363" s="1347"/>
      <c r="Q2363" s="1347"/>
      <c r="R2363" s="590"/>
      <c r="S2363" s="592"/>
      <c r="T2363" s="645"/>
      <c r="U2363" s="591"/>
      <c r="V2363" s="589"/>
      <c r="W2363" s="592"/>
      <c r="X2363" s="592"/>
      <c r="Y2363" s="592"/>
      <c r="Z2363" s="592"/>
    </row>
    <row r="2364" spans="1:26" s="28" customFormat="1" hidden="1">
      <c r="A2364" s="590">
        <v>1</v>
      </c>
      <c r="B2364" s="1088" t="s">
        <v>2002</v>
      </c>
      <c r="C2364" s="845" t="s">
        <v>221</v>
      </c>
      <c r="D2364" s="646">
        <v>6208</v>
      </c>
      <c r="E2364" s="646">
        <v>1060.8</v>
      </c>
      <c r="F2364" s="646" t="s">
        <v>222</v>
      </c>
      <c r="G2364" s="646">
        <v>1210</v>
      </c>
      <c r="H2364" s="582">
        <v>2</v>
      </c>
      <c r="I2364" s="582">
        <v>12</v>
      </c>
      <c r="J2364" s="582">
        <v>24</v>
      </c>
      <c r="K2364" s="590" t="s">
        <v>33</v>
      </c>
      <c r="L2364" s="584">
        <f>M2364+N2364+O2364+P2364+Q2364</f>
        <v>2010759.01</v>
      </c>
      <c r="M2364" s="741">
        <v>1945282</v>
      </c>
      <c r="N2364" s="753">
        <v>35230</v>
      </c>
      <c r="O2364" s="743"/>
      <c r="P2364" s="742"/>
      <c r="Q2364" s="586">
        <v>30247.01</v>
      </c>
      <c r="R2364" s="744">
        <f>M2364/G2364</f>
        <v>1607.6710743801652</v>
      </c>
      <c r="S2364" s="575">
        <f>L2364-M2364-N2364-O2364-P2364-Q2364</f>
        <v>0</v>
      </c>
      <c r="T2364" s="645"/>
      <c r="U2364" s="591"/>
      <c r="V2364" s="589"/>
      <c r="W2364" s="592"/>
      <c r="X2364" s="592"/>
      <c r="Y2364" s="592"/>
      <c r="Z2364" s="592"/>
    </row>
    <row r="2365" spans="1:26" s="28" customFormat="1" hidden="1">
      <c r="A2365" s="1349" t="s">
        <v>128</v>
      </c>
      <c r="B2365" s="1349"/>
      <c r="C2365" s="593" t="s">
        <v>28</v>
      </c>
      <c r="D2365" s="646">
        <f>SUM(D2364)</f>
        <v>6208</v>
      </c>
      <c r="E2365" s="646">
        <f>SUM(E2364)</f>
        <v>1060.8</v>
      </c>
      <c r="F2365" s="646" t="s">
        <v>28</v>
      </c>
      <c r="G2365" s="646">
        <f>SUM(G2364)</f>
        <v>1210</v>
      </c>
      <c r="H2365" s="582" t="s">
        <v>28</v>
      </c>
      <c r="I2365" s="582" t="s">
        <v>28</v>
      </c>
      <c r="J2365" s="582">
        <f>SUM(J2364)</f>
        <v>24</v>
      </c>
      <c r="K2365" s="590" t="s">
        <v>28</v>
      </c>
      <c r="L2365" s="584">
        <f t="shared" ref="L2365:Q2365" si="335">SUM(L2364)</f>
        <v>2010759.01</v>
      </c>
      <c r="M2365" s="585">
        <f t="shared" si="335"/>
        <v>1945282</v>
      </c>
      <c r="N2365" s="586">
        <f t="shared" si="335"/>
        <v>35230</v>
      </c>
      <c r="O2365" s="587">
        <f t="shared" si="335"/>
        <v>0</v>
      </c>
      <c r="P2365" s="586">
        <f t="shared" si="335"/>
        <v>0</v>
      </c>
      <c r="Q2365" s="586">
        <f t="shared" si="335"/>
        <v>30247.01</v>
      </c>
      <c r="R2365" s="582" t="s">
        <v>28</v>
      </c>
      <c r="S2365" s="645">
        <f>L2365-M2365-N2365-O2365-P2365-Q2365</f>
        <v>0</v>
      </c>
      <c r="T2365" s="645"/>
      <c r="U2365" s="591"/>
      <c r="V2365" s="589"/>
      <c r="W2365" s="592"/>
      <c r="X2365" s="592"/>
      <c r="Y2365" s="592"/>
      <c r="Z2365" s="592"/>
    </row>
    <row r="2366" spans="1:26" s="28" customFormat="1" hidden="1">
      <c r="A2366" s="1347" t="s">
        <v>79</v>
      </c>
      <c r="B2366" s="1347"/>
      <c r="C2366" s="1347"/>
      <c r="D2366" s="1347"/>
      <c r="E2366" s="1347"/>
      <c r="F2366" s="1347"/>
      <c r="G2366" s="1347"/>
      <c r="H2366" s="1347"/>
      <c r="I2366" s="1347"/>
      <c r="J2366" s="1347"/>
      <c r="K2366" s="1347"/>
      <c r="L2366" s="1347"/>
      <c r="M2366" s="1347"/>
      <c r="N2366" s="1347"/>
      <c r="O2366" s="1347"/>
      <c r="P2366" s="1347"/>
      <c r="Q2366" s="1347"/>
      <c r="R2366" s="590"/>
      <c r="S2366" s="592"/>
      <c r="T2366" s="645"/>
      <c r="U2366" s="591"/>
      <c r="V2366" s="589"/>
      <c r="W2366" s="592"/>
      <c r="X2366" s="592"/>
      <c r="Y2366" s="592"/>
      <c r="Z2366" s="592"/>
    </row>
    <row r="2367" spans="1:26" s="548" customFormat="1" ht="21" hidden="1">
      <c r="A2367" s="792">
        <v>1</v>
      </c>
      <c r="B2367" s="788" t="s">
        <v>1042</v>
      </c>
      <c r="C2367" s="846" t="s">
        <v>239</v>
      </c>
      <c r="D2367" s="789">
        <v>2750</v>
      </c>
      <c r="E2367" s="1089">
        <v>583</v>
      </c>
      <c r="F2367" s="789" t="s">
        <v>222</v>
      </c>
      <c r="G2367" s="1089">
        <v>555</v>
      </c>
      <c r="H2367" s="1090">
        <v>2</v>
      </c>
      <c r="I2367" s="1090">
        <v>2</v>
      </c>
      <c r="J2367" s="1090">
        <v>16</v>
      </c>
      <c r="K2367" s="792" t="s">
        <v>268</v>
      </c>
      <c r="L2367" s="584">
        <f>M2367+N2367+O2367+P2367+Q2367</f>
        <v>241445.38</v>
      </c>
      <c r="M2367" s="860">
        <f>J2367*14000</f>
        <v>224000</v>
      </c>
      <c r="N2367" s="861"/>
      <c r="O2367" s="631">
        <v>10953</v>
      </c>
      <c r="P2367" s="861"/>
      <c r="Q2367" s="586">
        <v>6492.38</v>
      </c>
      <c r="R2367" s="1090">
        <f>M2367/J2367</f>
        <v>14000</v>
      </c>
      <c r="S2367" s="575">
        <f>L2367-M2367-N2367-O2367-P2367-Q2367</f>
        <v>0</v>
      </c>
      <c r="T2367" s="738">
        <f>L2367-M2367-N2367-O2367-Q2367</f>
        <v>0</v>
      </c>
      <c r="U2367" s="1091"/>
      <c r="V2367" s="589"/>
      <c r="W2367" s="1092"/>
      <c r="X2367" s="1092"/>
      <c r="Y2367" s="1092"/>
      <c r="Z2367" s="1092"/>
    </row>
    <row r="2368" spans="1:26" s="90" customFormat="1" hidden="1">
      <c r="A2368" s="792">
        <v>2</v>
      </c>
      <c r="B2368" s="788" t="s">
        <v>2003</v>
      </c>
      <c r="C2368" s="845" t="s">
        <v>239</v>
      </c>
      <c r="D2368" s="789">
        <f>E2368*3</f>
        <v>744</v>
      </c>
      <c r="E2368" s="789">
        <v>248</v>
      </c>
      <c r="F2368" s="789" t="s">
        <v>222</v>
      </c>
      <c r="G2368" s="789">
        <v>636</v>
      </c>
      <c r="H2368" s="744">
        <v>2</v>
      </c>
      <c r="I2368" s="744">
        <v>2</v>
      </c>
      <c r="J2368" s="744">
        <v>16</v>
      </c>
      <c r="K2368" s="590" t="s">
        <v>33</v>
      </c>
      <c r="L2368" s="584">
        <f>M2368+N2368+O2368+P2368+Q2368</f>
        <v>1083157.79</v>
      </c>
      <c r="M2368" s="741">
        <v>1053414</v>
      </c>
      <c r="N2368" s="753">
        <v>26119</v>
      </c>
      <c r="O2368" s="743"/>
      <c r="P2368" s="742"/>
      <c r="Q2368" s="586">
        <v>3624.79</v>
      </c>
      <c r="R2368" s="744">
        <f>M2368/G2368</f>
        <v>1656.3113207547169</v>
      </c>
      <c r="S2368" s="575">
        <f>L2368-M2368-N2368-O2368-P2368-Q2368</f>
        <v>3.7289282772690058E-11</v>
      </c>
      <c r="T2368" s="748"/>
      <c r="U2368" s="737"/>
      <c r="V2368" s="589"/>
      <c r="W2368" s="748"/>
      <c r="X2368" s="748"/>
      <c r="Y2368" s="748"/>
      <c r="Z2368" s="748"/>
    </row>
    <row r="2369" spans="1:26" s="28" customFormat="1" hidden="1">
      <c r="A2369" s="1349" t="s">
        <v>129</v>
      </c>
      <c r="B2369" s="1349"/>
      <c r="C2369" s="593" t="s">
        <v>28</v>
      </c>
      <c r="D2369" s="646">
        <f>SUM(D2367:D2368)</f>
        <v>3494</v>
      </c>
      <c r="E2369" s="646">
        <f>SUM(E2367:E2368)</f>
        <v>831</v>
      </c>
      <c r="F2369" s="646" t="s">
        <v>28</v>
      </c>
      <c r="G2369" s="646">
        <f>SUM(G2367:G2368)</f>
        <v>1191</v>
      </c>
      <c r="H2369" s="582" t="s">
        <v>28</v>
      </c>
      <c r="I2369" s="582" t="s">
        <v>28</v>
      </c>
      <c r="J2369" s="646">
        <f>SUM(J2367:J2368)</f>
        <v>32</v>
      </c>
      <c r="K2369" s="590" t="s">
        <v>28</v>
      </c>
      <c r="L2369" s="781">
        <f t="shared" ref="L2369:Q2369" si="336">SUM(L2367:L2368)</f>
        <v>1324603.17</v>
      </c>
      <c r="M2369" s="782">
        <f t="shared" si="336"/>
        <v>1277414</v>
      </c>
      <c r="N2369" s="783">
        <f t="shared" si="336"/>
        <v>26119</v>
      </c>
      <c r="O2369" s="784">
        <f t="shared" si="336"/>
        <v>10953</v>
      </c>
      <c r="P2369" s="783">
        <f t="shared" si="336"/>
        <v>0</v>
      </c>
      <c r="Q2369" s="783">
        <f t="shared" si="336"/>
        <v>10117.17</v>
      </c>
      <c r="R2369" s="582" t="s">
        <v>28</v>
      </c>
      <c r="S2369" s="645">
        <f>L2369-M2369-N2369-O2369-P2369-Q2369</f>
        <v>-7.4578565545380116E-11</v>
      </c>
      <c r="T2369" s="645"/>
      <c r="U2369" s="591"/>
      <c r="V2369" s="589"/>
      <c r="W2369" s="592"/>
      <c r="X2369" s="592"/>
      <c r="Y2369" s="592"/>
      <c r="Z2369" s="592"/>
    </row>
    <row r="2370" spans="1:26" s="28" customFormat="1" hidden="1">
      <c r="A2370" s="1347" t="s">
        <v>130</v>
      </c>
      <c r="B2370" s="1347"/>
      <c r="C2370" s="1347"/>
      <c r="D2370" s="1347"/>
      <c r="E2370" s="1347"/>
      <c r="F2370" s="1347"/>
      <c r="G2370" s="1347"/>
      <c r="H2370" s="1347"/>
      <c r="I2370" s="1347"/>
      <c r="J2370" s="1347"/>
      <c r="K2370" s="1347"/>
      <c r="L2370" s="1347"/>
      <c r="M2370" s="1347"/>
      <c r="N2370" s="1347"/>
      <c r="O2370" s="1347"/>
      <c r="P2370" s="1347"/>
      <c r="Q2370" s="1347"/>
      <c r="R2370" s="590"/>
      <c r="S2370" s="592"/>
      <c r="T2370" s="645"/>
      <c r="U2370" s="591"/>
      <c r="V2370" s="589"/>
      <c r="W2370" s="592"/>
      <c r="X2370" s="592"/>
      <c r="Y2370" s="592"/>
      <c r="Z2370" s="592"/>
    </row>
    <row r="2371" spans="1:26" s="75" customFormat="1" hidden="1">
      <c r="A2371" s="847">
        <v>1</v>
      </c>
      <c r="B2371" s="848" t="s">
        <v>2005</v>
      </c>
      <c r="C2371" s="593" t="s">
        <v>221</v>
      </c>
      <c r="D2371" s="849">
        <v>4428</v>
      </c>
      <c r="E2371" s="850">
        <v>683</v>
      </c>
      <c r="F2371" s="850" t="s">
        <v>228</v>
      </c>
      <c r="G2371" s="851">
        <v>727.4</v>
      </c>
      <c r="H2371" s="852">
        <v>2</v>
      </c>
      <c r="I2371" s="852">
        <v>3</v>
      </c>
      <c r="J2371" s="852">
        <v>12</v>
      </c>
      <c r="K2371" s="697" t="s">
        <v>268</v>
      </c>
      <c r="L2371" s="584">
        <f>M2371+N2371+O2371+P2371+Q2371</f>
        <v>143701.07</v>
      </c>
      <c r="M2371" s="860">
        <v>121618</v>
      </c>
      <c r="N2371" s="861"/>
      <c r="O2371" s="631">
        <v>10953</v>
      </c>
      <c r="P2371" s="861"/>
      <c r="Q2371" s="586">
        <v>11130.07</v>
      </c>
      <c r="R2371" s="803">
        <f>M2371/J2371</f>
        <v>10134.833333333334</v>
      </c>
      <c r="S2371" s="575">
        <f>L2371-M2371-N2371-O2371-P2371-Q2371</f>
        <v>0</v>
      </c>
      <c r="T2371" s="738"/>
      <c r="U2371" s="709"/>
      <c r="V2371" s="589"/>
      <c r="W2371" s="601"/>
      <c r="X2371" s="601"/>
      <c r="Y2371" s="601"/>
      <c r="Z2371" s="601"/>
    </row>
    <row r="2372" spans="1:26" s="75" customFormat="1" hidden="1">
      <c r="A2372" s="847">
        <f>A2371+1</f>
        <v>2</v>
      </c>
      <c r="B2372" s="848" t="s">
        <v>2004</v>
      </c>
      <c r="C2372" s="593" t="s">
        <v>221</v>
      </c>
      <c r="D2372" s="849">
        <v>1997</v>
      </c>
      <c r="E2372" s="850">
        <v>474.4</v>
      </c>
      <c r="F2372" s="789" t="s">
        <v>222</v>
      </c>
      <c r="G2372" s="851">
        <v>679.2</v>
      </c>
      <c r="H2372" s="852">
        <v>2</v>
      </c>
      <c r="I2372" s="852">
        <v>2</v>
      </c>
      <c r="J2372" s="852">
        <v>8</v>
      </c>
      <c r="K2372" s="697" t="s">
        <v>33</v>
      </c>
      <c r="L2372" s="584">
        <f>M2372+N2372+O2372+P2372+Q2372</f>
        <v>1396516.1</v>
      </c>
      <c r="M2372" s="741">
        <v>1358400</v>
      </c>
      <c r="N2372" s="630">
        <v>28386</v>
      </c>
      <c r="O2372" s="743"/>
      <c r="P2372" s="742"/>
      <c r="Q2372" s="586">
        <v>9730.1</v>
      </c>
      <c r="R2372" s="744">
        <f>M2372/G2372</f>
        <v>1999.9999999999998</v>
      </c>
      <c r="S2372" s="575">
        <f>L2372-M2372-N2372-O2372-P2372-Q2372</f>
        <v>9.276845958083868E-11</v>
      </c>
      <c r="T2372" s="601"/>
      <c r="U2372" s="709"/>
      <c r="V2372" s="589"/>
      <c r="W2372" s="601"/>
      <c r="X2372" s="601"/>
      <c r="Y2372" s="601"/>
      <c r="Z2372" s="601"/>
    </row>
    <row r="2373" spans="1:26" s="28" customFormat="1" hidden="1">
      <c r="A2373" s="1371" t="s">
        <v>131</v>
      </c>
      <c r="B2373" s="1371"/>
      <c r="C2373" s="700" t="s">
        <v>28</v>
      </c>
      <c r="D2373" s="779">
        <f>SUM(D2371:D2372)</f>
        <v>6425</v>
      </c>
      <c r="E2373" s="779">
        <f>SUM(E2371:E2372)</f>
        <v>1157.4000000000001</v>
      </c>
      <c r="F2373" s="854" t="s">
        <v>28</v>
      </c>
      <c r="G2373" s="779">
        <f>SUM(G2371:G2372)</f>
        <v>1406.6</v>
      </c>
      <c r="H2373" s="643" t="s">
        <v>28</v>
      </c>
      <c r="I2373" s="643" t="s">
        <v>28</v>
      </c>
      <c r="J2373" s="779">
        <f>SUM(J2371:J2372)</f>
        <v>20</v>
      </c>
      <c r="K2373" s="855" t="s">
        <v>28</v>
      </c>
      <c r="L2373" s="781">
        <f t="shared" ref="L2373:Q2373" si="337">SUM(L2371:L2372)</f>
        <v>1540217.1700000002</v>
      </c>
      <c r="M2373" s="782">
        <f t="shared" si="337"/>
        <v>1480018</v>
      </c>
      <c r="N2373" s="783">
        <f t="shared" si="337"/>
        <v>28386</v>
      </c>
      <c r="O2373" s="784">
        <f t="shared" si="337"/>
        <v>10953</v>
      </c>
      <c r="P2373" s="783">
        <f t="shared" si="337"/>
        <v>0</v>
      </c>
      <c r="Q2373" s="783">
        <f t="shared" si="337"/>
        <v>20860.169999999998</v>
      </c>
      <c r="R2373" s="582" t="s">
        <v>28</v>
      </c>
      <c r="S2373" s="645">
        <f>L2373-M2373-N2373-O2373-P2373-Q2373</f>
        <v>1.6007106751203537E-10</v>
      </c>
      <c r="T2373" s="645"/>
      <c r="U2373" s="591"/>
      <c r="V2373" s="589"/>
      <c r="W2373" s="592"/>
      <c r="X2373" s="592"/>
      <c r="Y2373" s="592"/>
      <c r="Z2373" s="592"/>
    </row>
    <row r="2374" spans="1:26" s="28" customFormat="1" hidden="1">
      <c r="A2374" s="1347" t="s">
        <v>80</v>
      </c>
      <c r="B2374" s="1347"/>
      <c r="C2374" s="1347"/>
      <c r="D2374" s="1347"/>
      <c r="E2374" s="1347"/>
      <c r="F2374" s="1347"/>
      <c r="G2374" s="1347"/>
      <c r="H2374" s="1347"/>
      <c r="I2374" s="1347"/>
      <c r="J2374" s="1347"/>
      <c r="K2374" s="1347"/>
      <c r="L2374" s="1347"/>
      <c r="M2374" s="1347"/>
      <c r="N2374" s="1347"/>
      <c r="O2374" s="1347"/>
      <c r="P2374" s="1347"/>
      <c r="Q2374" s="1347"/>
      <c r="R2374" s="590"/>
      <c r="S2374" s="592"/>
      <c r="T2374" s="645"/>
      <c r="U2374" s="591"/>
      <c r="V2374" s="589"/>
      <c r="W2374" s="592"/>
      <c r="X2374" s="592"/>
      <c r="Y2374" s="592"/>
      <c r="Z2374" s="592"/>
    </row>
    <row r="2375" spans="1:26" s="71" customFormat="1" hidden="1">
      <c r="A2375" s="590">
        <v>1</v>
      </c>
      <c r="B2375" s="592" t="s">
        <v>2006</v>
      </c>
      <c r="C2375" s="593" t="s">
        <v>221</v>
      </c>
      <c r="D2375" s="646">
        <v>12296</v>
      </c>
      <c r="E2375" s="646">
        <v>1759</v>
      </c>
      <c r="F2375" s="646" t="s">
        <v>253</v>
      </c>
      <c r="G2375" s="646">
        <v>868</v>
      </c>
      <c r="H2375" s="582">
        <v>4</v>
      </c>
      <c r="I2375" s="582">
        <v>1</v>
      </c>
      <c r="J2375" s="582">
        <v>77</v>
      </c>
      <c r="K2375" s="590" t="s">
        <v>33</v>
      </c>
      <c r="L2375" s="584">
        <f>SUM(M2375:Q2375)</f>
        <v>1890572</v>
      </c>
      <c r="M2375" s="585">
        <v>1850576</v>
      </c>
      <c r="N2375" s="586"/>
      <c r="O2375" s="631">
        <v>20096</v>
      </c>
      <c r="P2375" s="586"/>
      <c r="Q2375" s="586">
        <v>19900</v>
      </c>
      <c r="R2375" s="744">
        <f>M2375/G2375</f>
        <v>2132</v>
      </c>
      <c r="S2375" s="575">
        <f>L2375-M2375-N2375-O2375-P2375-Q2375</f>
        <v>0</v>
      </c>
      <c r="T2375" s="737"/>
      <c r="U2375" s="737"/>
      <c r="V2375" s="589"/>
      <c r="W2375" s="737"/>
      <c r="X2375" s="737"/>
      <c r="Y2375" s="737"/>
      <c r="Z2375" s="737"/>
    </row>
    <row r="2376" spans="1:26" s="71" customFormat="1" hidden="1">
      <c r="A2376" s="590">
        <v>2</v>
      </c>
      <c r="B2376" s="592" t="s">
        <v>2007</v>
      </c>
      <c r="C2376" s="593" t="s">
        <v>221</v>
      </c>
      <c r="D2376" s="646">
        <v>2845</v>
      </c>
      <c r="E2376" s="646">
        <v>380</v>
      </c>
      <c r="F2376" s="646" t="s">
        <v>222</v>
      </c>
      <c r="G2376" s="646">
        <v>658</v>
      </c>
      <c r="H2376" s="582">
        <v>2</v>
      </c>
      <c r="I2376" s="582">
        <v>2</v>
      </c>
      <c r="J2376" s="582">
        <v>16</v>
      </c>
      <c r="K2376" s="590" t="s">
        <v>224</v>
      </c>
      <c r="L2376" s="584">
        <f>SUM(M2376:Q2376)</f>
        <v>368357.26</v>
      </c>
      <c r="M2376" s="585">
        <v>336000</v>
      </c>
      <c r="N2376" s="630">
        <v>22857</v>
      </c>
      <c r="O2376" s="587"/>
      <c r="P2376" s="586"/>
      <c r="Q2376" s="586">
        <v>9500.26</v>
      </c>
      <c r="R2376" s="582">
        <f>M2376/J2376</f>
        <v>21000</v>
      </c>
      <c r="S2376" s="575">
        <f>L2376-M2376-N2376-O2376-P2376-Q2376</f>
        <v>0</v>
      </c>
      <c r="T2376" s="737"/>
      <c r="U2376" s="737"/>
      <c r="V2376" s="589"/>
      <c r="W2376" s="737"/>
      <c r="X2376" s="737"/>
      <c r="Y2376" s="737"/>
      <c r="Z2376" s="737"/>
    </row>
    <row r="2377" spans="1:26" s="28" customFormat="1" hidden="1">
      <c r="A2377" s="1349" t="s">
        <v>132</v>
      </c>
      <c r="B2377" s="1349"/>
      <c r="C2377" s="593" t="s">
        <v>28</v>
      </c>
      <c r="D2377" s="646">
        <f>SUM(D2375:D2376)</f>
        <v>15141</v>
      </c>
      <c r="E2377" s="646">
        <f>SUM(E2375:E2376)</f>
        <v>2139</v>
      </c>
      <c r="F2377" s="646" t="s">
        <v>28</v>
      </c>
      <c r="G2377" s="646">
        <f>SUM(G2375:G2376)</f>
        <v>1526</v>
      </c>
      <c r="H2377" s="582" t="s">
        <v>28</v>
      </c>
      <c r="I2377" s="582" t="s">
        <v>28</v>
      </c>
      <c r="J2377" s="582">
        <f>SUM(J2375:J2376)</f>
        <v>93</v>
      </c>
      <c r="K2377" s="590" t="s">
        <v>28</v>
      </c>
      <c r="L2377" s="584">
        <f>SUM(L2375:L2376)</f>
        <v>2258929.2599999998</v>
      </c>
      <c r="M2377" s="585">
        <f>SUM(M2375:M2376)</f>
        <v>2186576</v>
      </c>
      <c r="N2377" s="586">
        <f>SUM(N2375:N2376)</f>
        <v>22857</v>
      </c>
      <c r="O2377" s="587">
        <f>SUM(O2375:O2376)</f>
        <v>20096</v>
      </c>
      <c r="P2377" s="586"/>
      <c r="Q2377" s="586">
        <f>SUM(Q2375:Q2376)</f>
        <v>29400.260000000002</v>
      </c>
      <c r="R2377" s="582" t="s">
        <v>28</v>
      </c>
      <c r="S2377" s="645">
        <f>L2377-M2377-N2377-O2377-P2377-Q2377</f>
        <v>-2.255546860396862E-10</v>
      </c>
      <c r="T2377" s="645"/>
      <c r="U2377" s="591"/>
      <c r="V2377" s="589"/>
      <c r="W2377" s="592"/>
      <c r="X2377" s="592"/>
      <c r="Y2377" s="592"/>
      <c r="Z2377" s="592"/>
    </row>
    <row r="2378" spans="1:26" s="28" customFormat="1" hidden="1">
      <c r="A2378" s="1347" t="s">
        <v>214</v>
      </c>
      <c r="B2378" s="1347"/>
      <c r="C2378" s="1347"/>
      <c r="D2378" s="1347"/>
      <c r="E2378" s="1347"/>
      <c r="F2378" s="1347"/>
      <c r="G2378" s="1347"/>
      <c r="H2378" s="1347"/>
      <c r="I2378" s="1347"/>
      <c r="J2378" s="1347"/>
      <c r="K2378" s="1347"/>
      <c r="L2378" s="1347"/>
      <c r="M2378" s="1347"/>
      <c r="N2378" s="1347"/>
      <c r="O2378" s="1347"/>
      <c r="P2378" s="1347"/>
      <c r="Q2378" s="1347"/>
      <c r="R2378" s="590"/>
      <c r="S2378" s="592"/>
      <c r="T2378" s="645"/>
      <c r="U2378" s="591"/>
      <c r="V2378" s="589"/>
      <c r="W2378" s="592"/>
      <c r="X2378" s="592"/>
      <c r="Y2378" s="592"/>
      <c r="Z2378" s="592"/>
    </row>
    <row r="2379" spans="1:26" s="28" customFormat="1" hidden="1">
      <c r="A2379" s="590">
        <v>1</v>
      </c>
      <c r="B2379" s="592" t="s">
        <v>2008</v>
      </c>
      <c r="C2379" s="593" t="s">
        <v>217</v>
      </c>
      <c r="D2379" s="646">
        <v>3913</v>
      </c>
      <c r="E2379" s="646">
        <v>571.20000000000005</v>
      </c>
      <c r="F2379" s="646" t="s">
        <v>253</v>
      </c>
      <c r="G2379" s="646">
        <v>699</v>
      </c>
      <c r="H2379" s="582">
        <v>2</v>
      </c>
      <c r="I2379" s="582">
        <v>2</v>
      </c>
      <c r="J2379" s="582">
        <v>12</v>
      </c>
      <c r="K2379" s="590" t="s">
        <v>33</v>
      </c>
      <c r="L2379" s="584">
        <f>SUM(M2379:Q2379)</f>
        <v>1993840.19</v>
      </c>
      <c r="M2379" s="741">
        <v>1957200</v>
      </c>
      <c r="N2379" s="742"/>
      <c r="O2379" s="631">
        <v>17575</v>
      </c>
      <c r="P2379" s="742"/>
      <c r="Q2379" s="586">
        <v>19065.189999999999</v>
      </c>
      <c r="R2379" s="744">
        <f>M2379/G2379</f>
        <v>2800</v>
      </c>
      <c r="S2379" s="575">
        <f>L2379-M2379-N2379-O2379-P2379-Q2379</f>
        <v>-5.4569682106375694E-11</v>
      </c>
      <c r="T2379" s="645"/>
      <c r="U2379" s="591"/>
      <c r="V2379" s="589"/>
      <c r="W2379" s="592"/>
      <c r="X2379" s="592"/>
      <c r="Y2379" s="592"/>
      <c r="Z2379" s="592"/>
    </row>
    <row r="2380" spans="1:26" s="28" customFormat="1" hidden="1">
      <c r="A2380" s="590">
        <f>A2379+1</f>
        <v>2</v>
      </c>
      <c r="B2380" s="592" t="s">
        <v>2009</v>
      </c>
      <c r="C2380" s="593" t="s">
        <v>221</v>
      </c>
      <c r="D2380" s="646">
        <v>2822</v>
      </c>
      <c r="E2380" s="646">
        <v>526</v>
      </c>
      <c r="F2380" s="646" t="s">
        <v>280</v>
      </c>
      <c r="G2380" s="646">
        <v>471</v>
      </c>
      <c r="H2380" s="582">
        <v>2</v>
      </c>
      <c r="I2380" s="582">
        <v>1</v>
      </c>
      <c r="J2380" s="582">
        <v>16</v>
      </c>
      <c r="K2380" s="590" t="s">
        <v>245</v>
      </c>
      <c r="L2380" s="584">
        <f>M2380+N2380+O2380+P2380+Q2380</f>
        <v>273512.37</v>
      </c>
      <c r="M2380" s="585">
        <v>256000</v>
      </c>
      <c r="N2380" s="586"/>
      <c r="O2380" s="631">
        <v>11020</v>
      </c>
      <c r="P2380" s="586"/>
      <c r="Q2380" s="586">
        <v>6492.37</v>
      </c>
      <c r="R2380" s="582">
        <f>M2380/J2380</f>
        <v>16000</v>
      </c>
      <c r="S2380" s="575">
        <f>L2380-M2380-N2380-O2380-P2380-Q2380</f>
        <v>0</v>
      </c>
      <c r="T2380" s="738">
        <f>L2380-M2380-N2380-O2380-Q2380</f>
        <v>0</v>
      </c>
      <c r="U2380" s="589"/>
      <c r="V2380" s="589"/>
      <c r="W2380" s="592"/>
      <c r="X2380" s="592"/>
      <c r="Y2380" s="592"/>
      <c r="Z2380" s="592"/>
    </row>
    <row r="2381" spans="1:26" s="28" customFormat="1" hidden="1">
      <c r="A2381" s="590">
        <f>A2380+1</f>
        <v>3</v>
      </c>
      <c r="B2381" s="592" t="s">
        <v>2010</v>
      </c>
      <c r="C2381" s="593" t="s">
        <v>221</v>
      </c>
      <c r="D2381" s="646">
        <v>3801</v>
      </c>
      <c r="E2381" s="646">
        <v>752.8</v>
      </c>
      <c r="F2381" s="646" t="s">
        <v>280</v>
      </c>
      <c r="G2381" s="646">
        <v>485</v>
      </c>
      <c r="H2381" s="582">
        <v>2</v>
      </c>
      <c r="I2381" s="582">
        <v>1</v>
      </c>
      <c r="J2381" s="582">
        <v>16</v>
      </c>
      <c r="K2381" s="590" t="s">
        <v>245</v>
      </c>
      <c r="L2381" s="584">
        <f>M2381+N2381+O2381+P2381+Q2381</f>
        <v>273679.37</v>
      </c>
      <c r="M2381" s="585">
        <v>256000</v>
      </c>
      <c r="N2381" s="586"/>
      <c r="O2381" s="631">
        <v>11187</v>
      </c>
      <c r="P2381" s="586"/>
      <c r="Q2381" s="586">
        <v>6492.37</v>
      </c>
      <c r="R2381" s="582">
        <f>M2381/J2381</f>
        <v>16000</v>
      </c>
      <c r="S2381" s="575">
        <f>L2381-M2381-N2381-O2381-P2381-Q2381</f>
        <v>0</v>
      </c>
      <c r="T2381" s="738">
        <f>L2381-M2381-N2381-O2381-Q2381</f>
        <v>0</v>
      </c>
      <c r="U2381" s="589"/>
      <c r="V2381" s="589"/>
      <c r="W2381" s="592"/>
      <c r="X2381" s="592"/>
      <c r="Y2381" s="592"/>
      <c r="Z2381" s="592"/>
    </row>
    <row r="2382" spans="1:26" s="28" customFormat="1" hidden="1">
      <c r="A2382" s="590">
        <f>A2380+1</f>
        <v>3</v>
      </c>
      <c r="B2382" s="592" t="s">
        <v>2011</v>
      </c>
      <c r="C2382" s="593" t="s">
        <v>221</v>
      </c>
      <c r="D2382" s="646">
        <v>3881</v>
      </c>
      <c r="E2382" s="646">
        <v>750.4</v>
      </c>
      <c r="F2382" s="646" t="s">
        <v>280</v>
      </c>
      <c r="G2382" s="646">
        <v>464</v>
      </c>
      <c r="H2382" s="582">
        <v>2</v>
      </c>
      <c r="I2382" s="582">
        <v>1</v>
      </c>
      <c r="J2382" s="582">
        <v>16</v>
      </c>
      <c r="K2382" s="590" t="s">
        <v>245</v>
      </c>
      <c r="L2382" s="584">
        <f>M2382+N2382+O2382+P2382+Q2382</f>
        <v>273679.37</v>
      </c>
      <c r="M2382" s="585">
        <v>256000</v>
      </c>
      <c r="N2382" s="586"/>
      <c r="O2382" s="631">
        <v>11187</v>
      </c>
      <c r="P2382" s="586"/>
      <c r="Q2382" s="586">
        <v>6492.37</v>
      </c>
      <c r="R2382" s="582">
        <f>M2382/J2382</f>
        <v>16000</v>
      </c>
      <c r="S2382" s="575">
        <f>L2382-M2382-N2382-O2382-P2382-Q2382</f>
        <v>0</v>
      </c>
      <c r="T2382" s="738">
        <f>L2382-M2382-N2382-O2382-Q2382</f>
        <v>0</v>
      </c>
      <c r="U2382" s="589"/>
      <c r="V2382" s="589"/>
      <c r="W2382" s="592"/>
      <c r="X2382" s="592"/>
      <c r="Y2382" s="592"/>
      <c r="Z2382" s="592"/>
    </row>
    <row r="2383" spans="1:26" s="85" customFormat="1" hidden="1">
      <c r="A2383" s="632">
        <v>3</v>
      </c>
      <c r="B2383" s="1041" t="s">
        <v>1048</v>
      </c>
      <c r="C2383" s="948" t="s">
        <v>217</v>
      </c>
      <c r="D2383" s="958">
        <v>4805</v>
      </c>
      <c r="E2383" s="958">
        <v>963.6</v>
      </c>
      <c r="F2383" s="1093" t="s">
        <v>253</v>
      </c>
      <c r="G2383" s="958">
        <v>987</v>
      </c>
      <c r="H2383" s="957">
        <v>2</v>
      </c>
      <c r="I2383" s="957">
        <v>4</v>
      </c>
      <c r="J2383" s="957">
        <v>24</v>
      </c>
      <c r="K2383" s="632" t="s">
        <v>252</v>
      </c>
      <c r="L2383" s="966">
        <f>M2383+N2383+O2383+P2383+Q2383</f>
        <v>3704012.16</v>
      </c>
      <c r="M2383" s="623">
        <v>3651900</v>
      </c>
      <c r="N2383" s="630">
        <v>22843</v>
      </c>
      <c r="O2383" s="1054">
        <v>5740.16</v>
      </c>
      <c r="P2383" s="630"/>
      <c r="Q2383" s="630">
        <v>23529</v>
      </c>
      <c r="R2383" s="957">
        <f>M2383/G2383</f>
        <v>3700</v>
      </c>
      <c r="S2383" s="899"/>
      <c r="T2383" s="755">
        <f>L2383-M2383-N2383-O2383-Q2383</f>
        <v>1.4915713109076023E-10</v>
      </c>
      <c r="U2383" s="945" t="s">
        <v>3585</v>
      </c>
      <c r="V2383" s="754"/>
      <c r="W2383" s="1018"/>
      <c r="X2383" s="1018"/>
      <c r="Y2383" s="1018"/>
      <c r="Z2383" s="1018"/>
    </row>
    <row r="2384" spans="1:26" s="28" customFormat="1" hidden="1">
      <c r="A2384" s="1349" t="s">
        <v>215</v>
      </c>
      <c r="B2384" s="1349"/>
      <c r="C2384" s="593" t="s">
        <v>28</v>
      </c>
      <c r="D2384" s="646">
        <f>SUM(D2379:D2383)</f>
        <v>19222</v>
      </c>
      <c r="E2384" s="646">
        <f>SUM(E2379:E2383)</f>
        <v>3564</v>
      </c>
      <c r="F2384" s="646" t="s">
        <v>28</v>
      </c>
      <c r="G2384" s="646">
        <f>SUM(G2379:G2383)</f>
        <v>3106</v>
      </c>
      <c r="H2384" s="582" t="s">
        <v>28</v>
      </c>
      <c r="I2384" s="582" t="s">
        <v>28</v>
      </c>
      <c r="J2384" s="582">
        <f>SUM(J2379:J2383)</f>
        <v>84</v>
      </c>
      <c r="K2384" s="590" t="s">
        <v>28</v>
      </c>
      <c r="L2384" s="584">
        <f>SUM(L2379:L2383)</f>
        <v>6518723.4600000009</v>
      </c>
      <c r="M2384" s="585">
        <f>SUM(M2379:M2383)</f>
        <v>6377100</v>
      </c>
      <c r="N2384" s="586">
        <f>SUM(N2379:N2383)</f>
        <v>22843</v>
      </c>
      <c r="O2384" s="587">
        <f>SUM(O2379:O2383)</f>
        <v>56709.16</v>
      </c>
      <c r="P2384" s="586"/>
      <c r="Q2384" s="586">
        <f>SUM(Q2379:Q2383)</f>
        <v>62071.299999999996</v>
      </c>
      <c r="R2384" s="582" t="s">
        <v>28</v>
      </c>
      <c r="S2384" s="645">
        <f>L2384-M2384-N2384-O2384-P2384-Q2384</f>
        <v>8.9494278654456139E-10</v>
      </c>
      <c r="T2384" s="645"/>
      <c r="U2384" s="591"/>
      <c r="V2384" s="589"/>
      <c r="W2384" s="592"/>
      <c r="X2384" s="592"/>
      <c r="Y2384" s="592"/>
      <c r="Z2384" s="592"/>
    </row>
    <row r="2385" spans="1:26" s="28" customFormat="1" hidden="1">
      <c r="A2385" s="1347" t="s">
        <v>81</v>
      </c>
      <c r="B2385" s="1347"/>
      <c r="C2385" s="1347"/>
      <c r="D2385" s="1347"/>
      <c r="E2385" s="1347"/>
      <c r="F2385" s="1347"/>
      <c r="G2385" s="1347"/>
      <c r="H2385" s="1347"/>
      <c r="I2385" s="1347"/>
      <c r="J2385" s="1347"/>
      <c r="K2385" s="1347"/>
      <c r="L2385" s="1347"/>
      <c r="M2385" s="1347"/>
      <c r="N2385" s="1347"/>
      <c r="O2385" s="1347"/>
      <c r="P2385" s="1347"/>
      <c r="Q2385" s="1347"/>
      <c r="R2385" s="590"/>
      <c r="S2385" s="592"/>
      <c r="T2385" s="645"/>
      <c r="U2385" s="591"/>
      <c r="V2385" s="589"/>
      <c r="W2385" s="592"/>
      <c r="X2385" s="592"/>
      <c r="Y2385" s="592"/>
      <c r="Z2385" s="592"/>
    </row>
    <row r="2386" spans="1:26" s="28" customFormat="1" hidden="1">
      <c r="A2386" s="590">
        <v>1</v>
      </c>
      <c r="B2386" s="592" t="s">
        <v>2012</v>
      </c>
      <c r="C2386" s="593" t="s">
        <v>229</v>
      </c>
      <c r="D2386" s="646">
        <v>1585</v>
      </c>
      <c r="E2386" s="646">
        <v>433</v>
      </c>
      <c r="F2386" s="619" t="s">
        <v>222</v>
      </c>
      <c r="G2386" s="646">
        <v>709</v>
      </c>
      <c r="H2386" s="582">
        <v>2</v>
      </c>
      <c r="I2386" s="582">
        <v>2</v>
      </c>
      <c r="J2386" s="582">
        <v>12</v>
      </c>
      <c r="K2386" s="590" t="s">
        <v>33</v>
      </c>
      <c r="L2386" s="595">
        <f>M2386+N2386+Q2386</f>
        <v>812629.19</v>
      </c>
      <c r="M2386" s="741">
        <v>777234</v>
      </c>
      <c r="N2386" s="753">
        <v>27673</v>
      </c>
      <c r="O2386" s="743"/>
      <c r="P2386" s="742"/>
      <c r="Q2386" s="586">
        <v>7722.19</v>
      </c>
      <c r="R2386" s="744">
        <f>M2386/G2386</f>
        <v>1096.2397743300423</v>
      </c>
      <c r="S2386" s="575">
        <f>L2386-M2386-N2386-O2386-P2386-Q2386</f>
        <v>-5.5479176808148623E-11</v>
      </c>
      <c r="T2386" s="645"/>
      <c r="U2386" s="591"/>
      <c r="V2386" s="589"/>
      <c r="W2386" s="592"/>
      <c r="X2386" s="592"/>
      <c r="Y2386" s="592"/>
      <c r="Z2386" s="592"/>
    </row>
    <row r="2387" spans="1:26" s="28" customFormat="1" ht="37.5" hidden="1">
      <c r="A2387" s="590">
        <v>2</v>
      </c>
      <c r="B2387" s="592" t="s">
        <v>2013</v>
      </c>
      <c r="C2387" s="744" t="s">
        <v>221</v>
      </c>
      <c r="D2387" s="646">
        <v>2765</v>
      </c>
      <c r="E2387" s="646">
        <v>531</v>
      </c>
      <c r="F2387" s="646" t="s">
        <v>228</v>
      </c>
      <c r="G2387" s="646">
        <v>589</v>
      </c>
      <c r="H2387" s="582">
        <v>2</v>
      </c>
      <c r="I2387" s="582">
        <v>2</v>
      </c>
      <c r="J2387" s="582">
        <v>16</v>
      </c>
      <c r="K2387" s="590" t="s">
        <v>237</v>
      </c>
      <c r="L2387" s="584">
        <f>M2387+N2387+O2387+P2387+Q2387</f>
        <v>198097.07</v>
      </c>
      <c r="M2387" s="585">
        <v>176000</v>
      </c>
      <c r="N2387" s="586"/>
      <c r="O2387" s="631">
        <v>10967</v>
      </c>
      <c r="P2387" s="586"/>
      <c r="Q2387" s="586">
        <v>11130.07</v>
      </c>
      <c r="R2387" s="582">
        <f>M2387/J2387</f>
        <v>11000</v>
      </c>
      <c r="S2387" s="575">
        <f>L2387-M2387-N2387-O2387-P2387-Q2387</f>
        <v>0</v>
      </c>
      <c r="T2387" s="738">
        <f>L2387-M2387-N2387-O2387-Q2387</f>
        <v>0</v>
      </c>
      <c r="U2387" s="591"/>
      <c r="V2387" s="589"/>
      <c r="W2387" s="592"/>
      <c r="X2387" s="592"/>
      <c r="Y2387" s="592"/>
      <c r="Z2387" s="592"/>
    </row>
    <row r="2388" spans="1:26" s="28" customFormat="1" hidden="1">
      <c r="A2388" s="1349" t="s">
        <v>133</v>
      </c>
      <c r="B2388" s="1349"/>
      <c r="C2388" s="593" t="s">
        <v>28</v>
      </c>
      <c r="D2388" s="646">
        <f>SUM(D2386:D2387)</f>
        <v>4350</v>
      </c>
      <c r="E2388" s="646">
        <f>SUM(E2386:E2387)</f>
        <v>964</v>
      </c>
      <c r="F2388" s="646" t="s">
        <v>28</v>
      </c>
      <c r="G2388" s="646">
        <f>SUM(G2386:G2387)</f>
        <v>1298</v>
      </c>
      <c r="H2388" s="582" t="s">
        <v>28</v>
      </c>
      <c r="I2388" s="582" t="s">
        <v>28</v>
      </c>
      <c r="J2388" s="646">
        <f>SUM(J2386:J2387)</f>
        <v>28</v>
      </c>
      <c r="K2388" s="590" t="s">
        <v>28</v>
      </c>
      <c r="L2388" s="584">
        <f t="shared" ref="L2388:Q2388" si="338">SUM(L2386:L2387)</f>
        <v>1010726.26</v>
      </c>
      <c r="M2388" s="585">
        <f t="shared" si="338"/>
        <v>953234</v>
      </c>
      <c r="N2388" s="586">
        <f t="shared" si="338"/>
        <v>27673</v>
      </c>
      <c r="O2388" s="587">
        <f t="shared" si="338"/>
        <v>10967</v>
      </c>
      <c r="P2388" s="586">
        <f t="shared" si="338"/>
        <v>0</v>
      </c>
      <c r="Q2388" s="586">
        <f t="shared" si="338"/>
        <v>18852.259999999998</v>
      </c>
      <c r="R2388" s="582" t="s">
        <v>28</v>
      </c>
      <c r="S2388" s="645">
        <f>L2388-M2388-N2388-O2388-P2388-Q2388</f>
        <v>0</v>
      </c>
      <c r="T2388" s="645"/>
      <c r="U2388" s="591"/>
      <c r="V2388" s="589"/>
      <c r="W2388" s="592"/>
      <c r="X2388" s="592"/>
      <c r="Y2388" s="592"/>
      <c r="Z2388" s="592"/>
    </row>
    <row r="2389" spans="1:26" s="28" customFormat="1" hidden="1">
      <c r="A2389" s="1347" t="s">
        <v>40</v>
      </c>
      <c r="B2389" s="1347"/>
      <c r="C2389" s="1347"/>
      <c r="D2389" s="1347"/>
      <c r="E2389" s="1347"/>
      <c r="F2389" s="1347"/>
      <c r="G2389" s="1347"/>
      <c r="H2389" s="1347"/>
      <c r="I2389" s="1347"/>
      <c r="J2389" s="1347"/>
      <c r="K2389" s="1347"/>
      <c r="L2389" s="1347"/>
      <c r="M2389" s="1347"/>
      <c r="N2389" s="1347"/>
      <c r="O2389" s="1347"/>
      <c r="P2389" s="1347"/>
      <c r="Q2389" s="1347"/>
      <c r="R2389" s="590"/>
      <c r="S2389" s="592"/>
      <c r="T2389" s="645"/>
      <c r="U2389" s="591"/>
      <c r="V2389" s="589"/>
      <c r="W2389" s="592"/>
      <c r="X2389" s="592"/>
      <c r="Y2389" s="592"/>
      <c r="Z2389" s="592"/>
    </row>
    <row r="2390" spans="1:26" s="91" customFormat="1" ht="37.5" hidden="1">
      <c r="A2390" s="679">
        <v>1</v>
      </c>
      <c r="B2390" s="592" t="s">
        <v>3943</v>
      </c>
      <c r="C2390" s="594" t="s">
        <v>221</v>
      </c>
      <c r="D2390" s="619">
        <v>22683</v>
      </c>
      <c r="E2390" s="619">
        <v>3802</v>
      </c>
      <c r="F2390" s="619" t="s">
        <v>227</v>
      </c>
      <c r="G2390" s="619">
        <v>845.3</v>
      </c>
      <c r="H2390" s="599" t="s">
        <v>3944</v>
      </c>
      <c r="I2390" s="599">
        <v>2</v>
      </c>
      <c r="J2390" s="599">
        <v>64</v>
      </c>
      <c r="K2390" s="590" t="s">
        <v>219</v>
      </c>
      <c r="L2390" s="584">
        <f t="shared" ref="L2390:L2430" si="339">M2390+N2390+O2390+P2390+Q2390</f>
        <v>4106250</v>
      </c>
      <c r="M2390" s="741">
        <v>4000000</v>
      </c>
      <c r="N2390" s="742">
        <v>106250</v>
      </c>
      <c r="O2390" s="743"/>
      <c r="P2390" s="586"/>
      <c r="Q2390" s="742"/>
      <c r="R2390" s="744"/>
      <c r="S2390" s="748"/>
      <c r="T2390" s="738"/>
      <c r="U2390" s="737"/>
      <c r="V2390" s="748"/>
      <c r="W2390" s="748"/>
      <c r="X2390" s="748"/>
      <c r="Y2390" s="748"/>
      <c r="Z2390" s="748"/>
    </row>
    <row r="2391" spans="1:26" s="91" customFormat="1" ht="37.5" hidden="1">
      <c r="A2391" s="679">
        <f t="shared" ref="A2391:A2430" si="340">A2390+1</f>
        <v>2</v>
      </c>
      <c r="B2391" s="592" t="s">
        <v>3521</v>
      </c>
      <c r="C2391" s="594" t="s">
        <v>217</v>
      </c>
      <c r="D2391" s="619">
        <v>21169</v>
      </c>
      <c r="E2391" s="619">
        <v>4560</v>
      </c>
      <c r="F2391" s="619" t="s">
        <v>227</v>
      </c>
      <c r="G2391" s="619">
        <v>1064</v>
      </c>
      <c r="H2391" s="599">
        <v>9</v>
      </c>
      <c r="I2391" s="599">
        <v>2</v>
      </c>
      <c r="J2391" s="599">
        <v>143</v>
      </c>
      <c r="K2391" s="590" t="s">
        <v>219</v>
      </c>
      <c r="L2391" s="584">
        <f t="shared" si="339"/>
        <v>4106250</v>
      </c>
      <c r="M2391" s="741">
        <v>4000000</v>
      </c>
      <c r="N2391" s="742">
        <v>106250</v>
      </c>
      <c r="O2391" s="743"/>
      <c r="P2391" s="586"/>
      <c r="Q2391" s="742"/>
      <c r="R2391" s="744">
        <f>M2391/I2391</f>
        <v>2000000</v>
      </c>
      <c r="S2391" s="748"/>
      <c r="T2391" s="738"/>
      <c r="U2391" s="737"/>
      <c r="V2391" s="748"/>
      <c r="W2391" s="748"/>
      <c r="X2391" s="748"/>
      <c r="Y2391" s="748"/>
      <c r="Z2391" s="748"/>
    </row>
    <row r="2392" spans="1:26" s="102" customFormat="1" ht="37.5" hidden="1">
      <c r="A2392" s="679">
        <f t="shared" si="340"/>
        <v>3</v>
      </c>
      <c r="B2392" s="592" t="s">
        <v>2014</v>
      </c>
      <c r="C2392" s="593" t="s">
        <v>221</v>
      </c>
      <c r="D2392" s="619">
        <v>27953</v>
      </c>
      <c r="E2392" s="619">
        <v>4766.3</v>
      </c>
      <c r="F2392" s="619" t="s">
        <v>222</v>
      </c>
      <c r="G2392" s="619">
        <v>2600</v>
      </c>
      <c r="H2392" s="599">
        <v>5</v>
      </c>
      <c r="I2392" s="599">
        <v>8</v>
      </c>
      <c r="J2392" s="599">
        <v>119</v>
      </c>
      <c r="K2392" s="590" t="s">
        <v>262</v>
      </c>
      <c r="L2392" s="595">
        <f t="shared" si="339"/>
        <v>6234745.1600000001</v>
      </c>
      <c r="M2392" s="596">
        <v>6187818</v>
      </c>
      <c r="N2392" s="675">
        <v>32232</v>
      </c>
      <c r="O2392" s="598"/>
      <c r="P2392" s="597"/>
      <c r="Q2392" s="586">
        <v>14695.16</v>
      </c>
      <c r="R2392" s="599">
        <f t="shared" ref="R2392:R2397" si="341">M2392/G2392</f>
        <v>2379.9299999999998</v>
      </c>
      <c r="S2392" s="575">
        <f t="shared" ref="S2392:S2426" si="342">L2392-M2392-N2392-O2392-P2392-Q2392</f>
        <v>1.4915713109076023E-10</v>
      </c>
      <c r="T2392" s="856"/>
      <c r="U2392" s="857"/>
      <c r="V2392" s="589"/>
      <c r="W2392" s="856"/>
      <c r="X2392" s="856"/>
      <c r="Y2392" s="856"/>
      <c r="Z2392" s="856"/>
    </row>
    <row r="2393" spans="1:26" s="102" customFormat="1" ht="37.5" hidden="1">
      <c r="A2393" s="679">
        <f t="shared" si="340"/>
        <v>4</v>
      </c>
      <c r="B2393" s="592" t="s">
        <v>2015</v>
      </c>
      <c r="C2393" s="593" t="s">
        <v>221</v>
      </c>
      <c r="D2393" s="619">
        <v>6849.0169999999998</v>
      </c>
      <c r="E2393" s="619">
        <v>2361.73</v>
      </c>
      <c r="F2393" s="619" t="s">
        <v>222</v>
      </c>
      <c r="G2393" s="619">
        <v>1229</v>
      </c>
      <c r="H2393" s="599">
        <v>5</v>
      </c>
      <c r="I2393" s="599">
        <v>4</v>
      </c>
      <c r="J2393" s="599">
        <v>66</v>
      </c>
      <c r="K2393" s="590" t="s">
        <v>262</v>
      </c>
      <c r="L2393" s="595">
        <f t="shared" si="339"/>
        <v>3119766.89</v>
      </c>
      <c r="M2393" s="596">
        <v>3072500</v>
      </c>
      <c r="N2393" s="675">
        <v>26151</v>
      </c>
      <c r="O2393" s="598"/>
      <c r="P2393" s="597"/>
      <c r="Q2393" s="586">
        <v>21115.89</v>
      </c>
      <c r="R2393" s="599">
        <f t="shared" si="341"/>
        <v>2500</v>
      </c>
      <c r="S2393" s="575">
        <f t="shared" si="342"/>
        <v>1.3096723705530167E-10</v>
      </c>
      <c r="T2393" s="856"/>
      <c r="U2393" s="857"/>
      <c r="V2393" s="589"/>
      <c r="W2393" s="856"/>
      <c r="X2393" s="856"/>
      <c r="Y2393" s="856"/>
      <c r="Z2393" s="856"/>
    </row>
    <row r="2394" spans="1:26" s="102" customFormat="1" ht="37.5" hidden="1">
      <c r="A2394" s="679">
        <f t="shared" si="340"/>
        <v>5</v>
      </c>
      <c r="B2394" s="592" t="s">
        <v>4071</v>
      </c>
      <c r="C2394" s="593" t="s">
        <v>217</v>
      </c>
      <c r="D2394" s="619">
        <v>2900</v>
      </c>
      <c r="E2394" s="646">
        <v>876</v>
      </c>
      <c r="F2394" s="768" t="s">
        <v>222</v>
      </c>
      <c r="G2394" s="619">
        <v>992</v>
      </c>
      <c r="H2394" s="599">
        <v>2</v>
      </c>
      <c r="I2394" s="599">
        <v>3</v>
      </c>
      <c r="J2394" s="599">
        <v>18</v>
      </c>
      <c r="K2394" s="590" t="s">
        <v>262</v>
      </c>
      <c r="L2394" s="595">
        <f t="shared" si="339"/>
        <v>2523665</v>
      </c>
      <c r="M2394" s="741">
        <v>2480000</v>
      </c>
      <c r="N2394" s="753">
        <v>29536</v>
      </c>
      <c r="O2394" s="743"/>
      <c r="P2394" s="742"/>
      <c r="Q2394" s="586">
        <v>14129</v>
      </c>
      <c r="R2394" s="744">
        <f t="shared" si="341"/>
        <v>2500</v>
      </c>
      <c r="S2394" s="575">
        <f t="shared" si="342"/>
        <v>0</v>
      </c>
      <c r="T2394" s="856"/>
      <c r="U2394" s="857"/>
      <c r="V2394" s="589"/>
      <c r="W2394" s="856"/>
      <c r="X2394" s="856"/>
      <c r="Y2394" s="856"/>
      <c r="Z2394" s="856"/>
    </row>
    <row r="2395" spans="1:26" s="102" customFormat="1" ht="37.5" hidden="1">
      <c r="A2395" s="679">
        <f t="shared" si="340"/>
        <v>6</v>
      </c>
      <c r="B2395" s="592" t="s">
        <v>2016</v>
      </c>
      <c r="C2395" s="593" t="s">
        <v>221</v>
      </c>
      <c r="D2395" s="619">
        <v>12012</v>
      </c>
      <c r="E2395" s="619">
        <v>2279</v>
      </c>
      <c r="F2395" s="619" t="s">
        <v>222</v>
      </c>
      <c r="G2395" s="619">
        <v>1184</v>
      </c>
      <c r="H2395" s="599">
        <v>5</v>
      </c>
      <c r="I2395" s="599">
        <v>4</v>
      </c>
      <c r="J2395" s="599">
        <v>71</v>
      </c>
      <c r="K2395" s="590" t="s">
        <v>255</v>
      </c>
      <c r="L2395" s="595">
        <f t="shared" si="339"/>
        <v>2994592.69</v>
      </c>
      <c r="M2395" s="596">
        <v>2960000</v>
      </c>
      <c r="N2395" s="675">
        <v>27566</v>
      </c>
      <c r="O2395" s="598"/>
      <c r="P2395" s="597"/>
      <c r="Q2395" s="586">
        <v>7026.69</v>
      </c>
      <c r="R2395" s="599">
        <f t="shared" si="341"/>
        <v>2500</v>
      </c>
      <c r="S2395" s="575">
        <f t="shared" si="342"/>
        <v>-5.5479176808148623E-11</v>
      </c>
      <c r="T2395" s="856"/>
      <c r="U2395" s="857"/>
      <c r="V2395" s="589"/>
      <c r="W2395" s="856"/>
      <c r="X2395" s="856"/>
      <c r="Y2395" s="856"/>
      <c r="Z2395" s="856"/>
    </row>
    <row r="2396" spans="1:26" s="102" customFormat="1" ht="37.5" hidden="1">
      <c r="A2396" s="679">
        <f t="shared" si="340"/>
        <v>7</v>
      </c>
      <c r="B2396" s="592" t="s">
        <v>2017</v>
      </c>
      <c r="C2396" s="593" t="s">
        <v>221</v>
      </c>
      <c r="D2396" s="619">
        <v>2941</v>
      </c>
      <c r="E2396" s="646">
        <v>876</v>
      </c>
      <c r="F2396" s="619" t="s">
        <v>222</v>
      </c>
      <c r="G2396" s="619">
        <v>945</v>
      </c>
      <c r="H2396" s="599">
        <v>2</v>
      </c>
      <c r="I2396" s="599">
        <v>3</v>
      </c>
      <c r="J2396" s="599">
        <v>17</v>
      </c>
      <c r="K2396" s="590" t="s">
        <v>262</v>
      </c>
      <c r="L2396" s="595">
        <f t="shared" si="339"/>
        <v>2406862</v>
      </c>
      <c r="M2396" s="741">
        <v>2362500</v>
      </c>
      <c r="N2396" s="753">
        <v>30033</v>
      </c>
      <c r="O2396" s="743"/>
      <c r="P2396" s="742"/>
      <c r="Q2396" s="586">
        <v>14329</v>
      </c>
      <c r="R2396" s="744">
        <f t="shared" si="341"/>
        <v>2500</v>
      </c>
      <c r="S2396" s="575">
        <f t="shared" si="342"/>
        <v>0</v>
      </c>
      <c r="T2396" s="856"/>
      <c r="U2396" s="857"/>
      <c r="V2396" s="589"/>
      <c r="W2396" s="856"/>
      <c r="X2396" s="856"/>
      <c r="Y2396" s="856"/>
      <c r="Z2396" s="856"/>
    </row>
    <row r="2397" spans="1:26" s="539" customFormat="1" hidden="1">
      <c r="A2397" s="679">
        <f t="shared" si="340"/>
        <v>8</v>
      </c>
      <c r="B2397" s="592" t="s">
        <v>3906</v>
      </c>
      <c r="C2397" s="593" t="s">
        <v>221</v>
      </c>
      <c r="D2397" s="646">
        <v>3390</v>
      </c>
      <c r="E2397" s="646">
        <v>883</v>
      </c>
      <c r="F2397" s="768" t="s">
        <v>223</v>
      </c>
      <c r="G2397" s="646">
        <v>1283.7</v>
      </c>
      <c r="H2397" s="582">
        <v>2</v>
      </c>
      <c r="I2397" s="582">
        <v>2</v>
      </c>
      <c r="J2397" s="582">
        <v>99</v>
      </c>
      <c r="K2397" s="812" t="s">
        <v>33</v>
      </c>
      <c r="L2397" s="595">
        <f t="shared" si="339"/>
        <v>2601242</v>
      </c>
      <c r="M2397" s="745">
        <v>2567400</v>
      </c>
      <c r="N2397" s="802"/>
      <c r="O2397" s="631">
        <v>17325</v>
      </c>
      <c r="P2397" s="802"/>
      <c r="Q2397" s="586">
        <v>16517</v>
      </c>
      <c r="R2397" s="803">
        <f t="shared" si="341"/>
        <v>2000</v>
      </c>
      <c r="S2397" s="575">
        <f t="shared" si="342"/>
        <v>0</v>
      </c>
      <c r="T2397" s="856"/>
      <c r="U2397" s="857"/>
      <c r="V2397" s="589"/>
      <c r="W2397" s="857"/>
      <c r="X2397" s="857"/>
      <c r="Y2397" s="857"/>
      <c r="Z2397" s="857"/>
    </row>
    <row r="2398" spans="1:26" s="102" customFormat="1" hidden="1">
      <c r="A2398" s="679">
        <f t="shared" si="340"/>
        <v>9</v>
      </c>
      <c r="B2398" s="592" t="s">
        <v>2018</v>
      </c>
      <c r="C2398" s="700" t="s">
        <v>221</v>
      </c>
      <c r="D2398" s="619">
        <v>17741</v>
      </c>
      <c r="E2398" s="646">
        <v>4081</v>
      </c>
      <c r="F2398" s="768" t="s">
        <v>222</v>
      </c>
      <c r="G2398" s="619">
        <v>650</v>
      </c>
      <c r="H2398" s="599">
        <v>5</v>
      </c>
      <c r="I2398" s="599">
        <v>1</v>
      </c>
      <c r="J2398" s="599">
        <v>172</v>
      </c>
      <c r="K2398" s="590" t="s">
        <v>238</v>
      </c>
      <c r="L2398" s="595">
        <f t="shared" si="339"/>
        <v>2454015.7999999998</v>
      </c>
      <c r="M2398" s="585">
        <v>2400000</v>
      </c>
      <c r="N2398" s="630">
        <v>31291</v>
      </c>
      <c r="O2398" s="587"/>
      <c r="P2398" s="586"/>
      <c r="Q2398" s="586">
        <v>22724.799999999999</v>
      </c>
      <c r="R2398" s="582">
        <f>M2398/J2398</f>
        <v>13953.488372093023</v>
      </c>
      <c r="S2398" s="575">
        <f t="shared" si="342"/>
        <v>-1.8553691916167736E-10</v>
      </c>
      <c r="T2398" s="856"/>
      <c r="U2398" s="857"/>
      <c r="V2398" s="589"/>
      <c r="W2398" s="856"/>
      <c r="X2398" s="856"/>
      <c r="Y2398" s="856"/>
      <c r="Z2398" s="856"/>
    </row>
    <row r="2399" spans="1:26" s="102" customFormat="1" hidden="1">
      <c r="A2399" s="679">
        <f t="shared" si="340"/>
        <v>10</v>
      </c>
      <c r="B2399" s="592" t="s">
        <v>2019</v>
      </c>
      <c r="C2399" s="593" t="s">
        <v>221</v>
      </c>
      <c r="D2399" s="646">
        <v>3390</v>
      </c>
      <c r="E2399" s="646">
        <v>2470</v>
      </c>
      <c r="F2399" s="768" t="s">
        <v>233</v>
      </c>
      <c r="G2399" s="646">
        <v>1300.7</v>
      </c>
      <c r="H2399" s="582">
        <v>5</v>
      </c>
      <c r="I2399" s="582">
        <v>6</v>
      </c>
      <c r="J2399" s="582">
        <v>90</v>
      </c>
      <c r="K2399" s="590" t="s">
        <v>33</v>
      </c>
      <c r="L2399" s="595">
        <f t="shared" si="339"/>
        <v>2642224</v>
      </c>
      <c r="M2399" s="745">
        <v>2601400</v>
      </c>
      <c r="N2399" s="802"/>
      <c r="O2399" s="631">
        <v>20924</v>
      </c>
      <c r="P2399" s="802"/>
      <c r="Q2399" s="586">
        <v>19900</v>
      </c>
      <c r="R2399" s="803">
        <f>M2399/G2399</f>
        <v>2000</v>
      </c>
      <c r="S2399" s="575">
        <f t="shared" si="342"/>
        <v>0</v>
      </c>
      <c r="T2399" s="856"/>
      <c r="U2399" s="857"/>
      <c r="V2399" s="589"/>
      <c r="W2399" s="856"/>
      <c r="X2399" s="856"/>
      <c r="Y2399" s="856"/>
      <c r="Z2399" s="856"/>
    </row>
    <row r="2400" spans="1:26" s="102" customFormat="1" ht="37.5" hidden="1">
      <c r="A2400" s="679">
        <f t="shared" si="340"/>
        <v>11</v>
      </c>
      <c r="B2400" s="592" t="s">
        <v>2020</v>
      </c>
      <c r="C2400" s="593" t="s">
        <v>221</v>
      </c>
      <c r="D2400" s="619">
        <v>2678</v>
      </c>
      <c r="E2400" s="619">
        <v>602</v>
      </c>
      <c r="F2400" s="619" t="s">
        <v>222</v>
      </c>
      <c r="G2400" s="619">
        <v>700</v>
      </c>
      <c r="H2400" s="599">
        <v>2</v>
      </c>
      <c r="I2400" s="599">
        <v>2</v>
      </c>
      <c r="J2400" s="599">
        <v>36</v>
      </c>
      <c r="K2400" s="590" t="s">
        <v>262</v>
      </c>
      <c r="L2400" s="595">
        <f t="shared" si="339"/>
        <v>1782304.26</v>
      </c>
      <c r="M2400" s="596">
        <v>1750000</v>
      </c>
      <c r="N2400" s="675">
        <v>29371</v>
      </c>
      <c r="O2400" s="598"/>
      <c r="P2400" s="597"/>
      <c r="Q2400" s="586">
        <v>2933.26</v>
      </c>
      <c r="R2400" s="599">
        <f>M2400/G2400</f>
        <v>2500</v>
      </c>
      <c r="S2400" s="575">
        <f t="shared" si="342"/>
        <v>9.0949470177292824E-12</v>
      </c>
      <c r="T2400" s="856"/>
      <c r="U2400" s="857"/>
      <c r="V2400" s="589"/>
      <c r="W2400" s="856"/>
      <c r="X2400" s="856"/>
      <c r="Y2400" s="856"/>
      <c r="Z2400" s="856"/>
    </row>
    <row r="2401" spans="1:26" s="102" customFormat="1" ht="37.5" hidden="1">
      <c r="A2401" s="679">
        <f t="shared" si="340"/>
        <v>12</v>
      </c>
      <c r="B2401" s="592" t="s">
        <v>2021</v>
      </c>
      <c r="C2401" s="593" t="s">
        <v>221</v>
      </c>
      <c r="D2401" s="646">
        <v>6478.049</v>
      </c>
      <c r="E2401" s="646">
        <v>2233.81</v>
      </c>
      <c r="F2401" s="619" t="s">
        <v>222</v>
      </c>
      <c r="G2401" s="646">
        <v>1383</v>
      </c>
      <c r="H2401" s="582">
        <v>5</v>
      </c>
      <c r="I2401" s="582">
        <v>4</v>
      </c>
      <c r="J2401" s="582">
        <v>80</v>
      </c>
      <c r="K2401" s="590" t="s">
        <v>262</v>
      </c>
      <c r="L2401" s="595">
        <f t="shared" si="339"/>
        <v>3515029.39</v>
      </c>
      <c r="M2401" s="596">
        <v>3457500</v>
      </c>
      <c r="N2401" s="675">
        <v>25967</v>
      </c>
      <c r="O2401" s="598"/>
      <c r="P2401" s="597"/>
      <c r="Q2401" s="586">
        <v>31562.39</v>
      </c>
      <c r="R2401" s="599">
        <f>M2401/G2401</f>
        <v>2500</v>
      </c>
      <c r="S2401" s="575">
        <f t="shared" si="342"/>
        <v>1.3096723705530167E-10</v>
      </c>
      <c r="T2401" s="856"/>
      <c r="U2401" s="857"/>
      <c r="V2401" s="589"/>
      <c r="W2401" s="856"/>
      <c r="X2401" s="856"/>
      <c r="Y2401" s="856"/>
      <c r="Z2401" s="856"/>
    </row>
    <row r="2402" spans="1:26" s="102" customFormat="1" hidden="1">
      <c r="A2402" s="679">
        <f t="shared" si="340"/>
        <v>13</v>
      </c>
      <c r="B2402" s="592" t="s">
        <v>2022</v>
      </c>
      <c r="C2402" s="593" t="s">
        <v>221</v>
      </c>
      <c r="D2402" s="619">
        <v>37765</v>
      </c>
      <c r="E2402" s="619">
        <v>480</v>
      </c>
      <c r="F2402" s="619" t="s">
        <v>233</v>
      </c>
      <c r="G2402" s="619">
        <v>2678.4</v>
      </c>
      <c r="H2402" s="599">
        <v>5</v>
      </c>
      <c r="I2402" s="599">
        <v>12</v>
      </c>
      <c r="J2402" s="599">
        <v>174</v>
      </c>
      <c r="K2402" s="590" t="s">
        <v>434</v>
      </c>
      <c r="L2402" s="595">
        <f t="shared" si="339"/>
        <v>1747724</v>
      </c>
      <c r="M2402" s="745">
        <v>1680000</v>
      </c>
      <c r="N2402" s="762">
        <v>37874</v>
      </c>
      <c r="O2402" s="743"/>
      <c r="P2402" s="747"/>
      <c r="Q2402" s="586">
        <v>29850</v>
      </c>
      <c r="R2402" s="599">
        <f>M2402/E2402</f>
        <v>3500</v>
      </c>
      <c r="S2402" s="575">
        <f t="shared" si="342"/>
        <v>0</v>
      </c>
      <c r="T2402" s="856"/>
      <c r="U2402" s="857"/>
      <c r="V2402" s="589"/>
      <c r="W2402" s="856"/>
      <c r="X2402" s="856"/>
      <c r="Y2402" s="856"/>
      <c r="Z2402" s="856"/>
    </row>
    <row r="2403" spans="1:26" s="102" customFormat="1" hidden="1">
      <c r="A2403" s="679">
        <f t="shared" si="340"/>
        <v>14</v>
      </c>
      <c r="B2403" s="592" t="s">
        <v>2023</v>
      </c>
      <c r="C2403" s="593" t="s">
        <v>221</v>
      </c>
      <c r="D2403" s="646">
        <v>12189</v>
      </c>
      <c r="E2403" s="646">
        <v>372.6</v>
      </c>
      <c r="F2403" s="646" t="s">
        <v>233</v>
      </c>
      <c r="G2403" s="646">
        <v>858.4</v>
      </c>
      <c r="H2403" s="582">
        <v>5</v>
      </c>
      <c r="I2403" s="582">
        <v>4</v>
      </c>
      <c r="J2403" s="582">
        <v>60</v>
      </c>
      <c r="K2403" s="590" t="s">
        <v>434</v>
      </c>
      <c r="L2403" s="595">
        <f t="shared" si="339"/>
        <v>1364618</v>
      </c>
      <c r="M2403" s="745">
        <v>1304100</v>
      </c>
      <c r="N2403" s="762">
        <v>30668</v>
      </c>
      <c r="O2403" s="743"/>
      <c r="P2403" s="747"/>
      <c r="Q2403" s="586">
        <v>29850</v>
      </c>
      <c r="R2403" s="599">
        <f>M2403/E2403</f>
        <v>3500</v>
      </c>
      <c r="S2403" s="575">
        <f t="shared" si="342"/>
        <v>0</v>
      </c>
      <c r="T2403" s="856"/>
      <c r="U2403" s="857"/>
      <c r="V2403" s="589"/>
      <c r="W2403" s="856"/>
      <c r="X2403" s="856"/>
      <c r="Y2403" s="856"/>
      <c r="Z2403" s="856"/>
    </row>
    <row r="2404" spans="1:26" s="102" customFormat="1" hidden="1">
      <c r="A2404" s="679">
        <f t="shared" si="340"/>
        <v>15</v>
      </c>
      <c r="B2404" s="592" t="s">
        <v>2024</v>
      </c>
      <c r="C2404" s="593" t="s">
        <v>221</v>
      </c>
      <c r="D2404" s="646">
        <v>38054</v>
      </c>
      <c r="E2404" s="646">
        <v>7668</v>
      </c>
      <c r="F2404" s="768" t="s">
        <v>233</v>
      </c>
      <c r="G2404" s="646">
        <v>602</v>
      </c>
      <c r="H2404" s="582">
        <v>6</v>
      </c>
      <c r="I2404" s="582">
        <v>10</v>
      </c>
      <c r="J2404" s="582">
        <v>180</v>
      </c>
      <c r="K2404" s="812" t="s">
        <v>33</v>
      </c>
      <c r="L2404" s="595">
        <f t="shared" si="339"/>
        <v>1251723</v>
      </c>
      <c r="M2404" s="745">
        <v>1204000</v>
      </c>
      <c r="N2404" s="802"/>
      <c r="O2404" s="631">
        <v>27823</v>
      </c>
      <c r="P2404" s="802"/>
      <c r="Q2404" s="586">
        <v>19900</v>
      </c>
      <c r="R2404" s="803">
        <f t="shared" ref="R2404:R2416" si="343">M2404/G2404</f>
        <v>2000</v>
      </c>
      <c r="S2404" s="575">
        <f t="shared" si="342"/>
        <v>0</v>
      </c>
      <c r="T2404" s="856"/>
      <c r="U2404" s="857"/>
      <c r="V2404" s="589"/>
      <c r="W2404" s="856"/>
      <c r="X2404" s="856"/>
      <c r="Y2404" s="856"/>
      <c r="Z2404" s="856"/>
    </row>
    <row r="2405" spans="1:26" s="102" customFormat="1" hidden="1">
      <c r="A2405" s="679">
        <f t="shared" si="340"/>
        <v>16</v>
      </c>
      <c r="B2405" s="592" t="s">
        <v>2025</v>
      </c>
      <c r="C2405" s="593" t="s">
        <v>221</v>
      </c>
      <c r="D2405" s="619">
        <v>2628</v>
      </c>
      <c r="E2405" s="646">
        <v>876</v>
      </c>
      <c r="F2405" s="768" t="s">
        <v>223</v>
      </c>
      <c r="G2405" s="619">
        <v>1108</v>
      </c>
      <c r="H2405" s="599">
        <v>2</v>
      </c>
      <c r="I2405" s="599">
        <v>3</v>
      </c>
      <c r="J2405" s="599">
        <v>21</v>
      </c>
      <c r="K2405" s="590" t="s">
        <v>261</v>
      </c>
      <c r="L2405" s="595">
        <f t="shared" si="339"/>
        <v>4474049.66</v>
      </c>
      <c r="M2405" s="745">
        <v>4432000</v>
      </c>
      <c r="N2405" s="630">
        <v>29245</v>
      </c>
      <c r="O2405" s="822"/>
      <c r="P2405" s="802"/>
      <c r="Q2405" s="586">
        <v>12804.66</v>
      </c>
      <c r="R2405" s="582">
        <f t="shared" si="343"/>
        <v>4000</v>
      </c>
      <c r="S2405" s="575">
        <f t="shared" si="342"/>
        <v>1.4915713109076023E-10</v>
      </c>
      <c r="T2405" s="856"/>
      <c r="U2405" s="857"/>
      <c r="V2405" s="589"/>
      <c r="W2405" s="856"/>
      <c r="X2405" s="856"/>
      <c r="Y2405" s="856"/>
      <c r="Z2405" s="856"/>
    </row>
    <row r="2406" spans="1:26" s="90" customFormat="1" ht="37.5" hidden="1">
      <c r="A2406" s="679">
        <f t="shared" si="340"/>
        <v>17</v>
      </c>
      <c r="B2406" s="592" t="s">
        <v>2026</v>
      </c>
      <c r="C2406" s="593" t="s">
        <v>221</v>
      </c>
      <c r="D2406" s="619">
        <v>3008</v>
      </c>
      <c r="E2406" s="619">
        <v>661</v>
      </c>
      <c r="F2406" s="619" t="s">
        <v>222</v>
      </c>
      <c r="G2406" s="619">
        <v>700</v>
      </c>
      <c r="H2406" s="599">
        <v>2</v>
      </c>
      <c r="I2406" s="599">
        <v>2</v>
      </c>
      <c r="J2406" s="599">
        <v>16</v>
      </c>
      <c r="K2406" s="590" t="s">
        <v>262</v>
      </c>
      <c r="L2406" s="584">
        <f t="shared" si="339"/>
        <v>1783024.81</v>
      </c>
      <c r="M2406" s="585">
        <v>1750000</v>
      </c>
      <c r="N2406" s="630">
        <v>29804</v>
      </c>
      <c r="O2406" s="587"/>
      <c r="P2406" s="586"/>
      <c r="Q2406" s="586">
        <v>3220.81</v>
      </c>
      <c r="R2406" s="582">
        <f t="shared" si="343"/>
        <v>2500</v>
      </c>
      <c r="S2406" s="575">
        <f t="shared" si="342"/>
        <v>5.5933924159035087E-11</v>
      </c>
      <c r="T2406" s="738">
        <f>L2406-M2406-N2406-O2406-Q2406</f>
        <v>5.5933924159035087E-11</v>
      </c>
      <c r="U2406" s="737"/>
      <c r="V2406" s="589"/>
      <c r="W2406" s="748"/>
      <c r="X2406" s="748"/>
      <c r="Y2406" s="748"/>
      <c r="Z2406" s="748"/>
    </row>
    <row r="2407" spans="1:26" s="90" customFormat="1" ht="37.5" hidden="1">
      <c r="A2407" s="679">
        <f t="shared" si="340"/>
        <v>18</v>
      </c>
      <c r="B2407" s="592" t="s">
        <v>2027</v>
      </c>
      <c r="C2407" s="593" t="s">
        <v>221</v>
      </c>
      <c r="D2407" s="619">
        <v>2941</v>
      </c>
      <c r="E2407" s="619">
        <v>632</v>
      </c>
      <c r="F2407" s="619" t="s">
        <v>222</v>
      </c>
      <c r="G2407" s="619">
        <v>697</v>
      </c>
      <c r="H2407" s="599">
        <v>2</v>
      </c>
      <c r="I2407" s="599">
        <v>2</v>
      </c>
      <c r="J2407" s="599">
        <v>16</v>
      </c>
      <c r="K2407" s="590" t="s">
        <v>262</v>
      </c>
      <c r="L2407" s="584">
        <f t="shared" si="339"/>
        <v>1705912.52</v>
      </c>
      <c r="M2407" s="585">
        <v>1672800</v>
      </c>
      <c r="N2407" s="630">
        <v>30033</v>
      </c>
      <c r="O2407" s="587"/>
      <c r="P2407" s="586"/>
      <c r="Q2407" s="586">
        <v>3079.52</v>
      </c>
      <c r="R2407" s="582">
        <f t="shared" si="343"/>
        <v>2400</v>
      </c>
      <c r="S2407" s="575">
        <f t="shared" si="342"/>
        <v>1.8644641386345029E-11</v>
      </c>
      <c r="T2407" s="738">
        <f>L2407-M2407-N2407-O2407-Q2407</f>
        <v>1.8644641386345029E-11</v>
      </c>
      <c r="U2407" s="737"/>
      <c r="V2407" s="589"/>
      <c r="W2407" s="748"/>
      <c r="X2407" s="748"/>
      <c r="Y2407" s="748"/>
      <c r="Z2407" s="748"/>
    </row>
    <row r="2408" spans="1:26" s="102" customFormat="1" ht="37.5" hidden="1">
      <c r="A2408" s="679">
        <f t="shared" si="340"/>
        <v>19</v>
      </c>
      <c r="B2408" s="592" t="s">
        <v>2028</v>
      </c>
      <c r="C2408" s="593" t="s">
        <v>221</v>
      </c>
      <c r="D2408" s="619">
        <v>2900</v>
      </c>
      <c r="E2408" s="619">
        <v>677</v>
      </c>
      <c r="F2408" s="619" t="s">
        <v>222</v>
      </c>
      <c r="G2408" s="619">
        <v>687</v>
      </c>
      <c r="H2408" s="599">
        <v>2</v>
      </c>
      <c r="I2408" s="599">
        <v>2</v>
      </c>
      <c r="J2408" s="599">
        <v>16</v>
      </c>
      <c r="K2408" s="590" t="s">
        <v>262</v>
      </c>
      <c r="L2408" s="584">
        <f t="shared" si="339"/>
        <v>1682027.42</v>
      </c>
      <c r="M2408" s="585">
        <v>1648800</v>
      </c>
      <c r="N2408" s="630">
        <v>29929</v>
      </c>
      <c r="O2408" s="587"/>
      <c r="P2408" s="586"/>
      <c r="Q2408" s="586">
        <v>3298.42</v>
      </c>
      <c r="R2408" s="582">
        <f t="shared" si="343"/>
        <v>2400</v>
      </c>
      <c r="S2408" s="575">
        <f t="shared" si="342"/>
        <v>-7.4578565545380116E-11</v>
      </c>
      <c r="T2408" s="738">
        <f>L2408-M2408-N2408-O2408-Q2408</f>
        <v>-7.4578565545380116E-11</v>
      </c>
      <c r="U2408" s="589"/>
      <c r="V2408" s="589"/>
      <c r="W2408" s="856"/>
      <c r="X2408" s="856"/>
      <c r="Y2408" s="856"/>
      <c r="Z2408" s="856"/>
    </row>
    <row r="2409" spans="1:26" s="102" customFormat="1" ht="37.5" hidden="1">
      <c r="A2409" s="679">
        <f t="shared" si="340"/>
        <v>20</v>
      </c>
      <c r="B2409" s="592" t="s">
        <v>2029</v>
      </c>
      <c r="C2409" s="593" t="s">
        <v>221</v>
      </c>
      <c r="D2409" s="619">
        <v>2825</v>
      </c>
      <c r="E2409" s="619">
        <v>691</v>
      </c>
      <c r="F2409" s="619" t="s">
        <v>222</v>
      </c>
      <c r="G2409" s="619">
        <v>693.2</v>
      </c>
      <c r="H2409" s="599">
        <v>2</v>
      </c>
      <c r="I2409" s="599">
        <v>2</v>
      </c>
      <c r="J2409" s="599">
        <v>16</v>
      </c>
      <c r="K2409" s="590" t="s">
        <v>262</v>
      </c>
      <c r="L2409" s="595">
        <f t="shared" si="339"/>
        <v>1707184.83</v>
      </c>
      <c r="M2409" s="596">
        <v>1663680</v>
      </c>
      <c r="N2409" s="675">
        <v>29741</v>
      </c>
      <c r="O2409" s="598"/>
      <c r="P2409" s="802"/>
      <c r="Q2409" s="586">
        <v>13763.83</v>
      </c>
      <c r="R2409" s="599">
        <f t="shared" si="343"/>
        <v>2400</v>
      </c>
      <c r="S2409" s="575">
        <f t="shared" si="342"/>
        <v>7.4578565545380116E-11</v>
      </c>
      <c r="T2409" s="856"/>
      <c r="U2409" s="857"/>
      <c r="V2409" s="589"/>
      <c r="W2409" s="856"/>
      <c r="X2409" s="856"/>
      <c r="Y2409" s="856"/>
      <c r="Z2409" s="856"/>
    </row>
    <row r="2410" spans="1:26" s="102" customFormat="1" ht="37.5" hidden="1">
      <c r="A2410" s="679">
        <f t="shared" si="340"/>
        <v>21</v>
      </c>
      <c r="B2410" s="592" t="s">
        <v>2030</v>
      </c>
      <c r="C2410" s="593" t="s">
        <v>221</v>
      </c>
      <c r="D2410" s="619">
        <v>2495</v>
      </c>
      <c r="E2410" s="619">
        <v>538.6</v>
      </c>
      <c r="F2410" s="619" t="s">
        <v>222</v>
      </c>
      <c r="G2410" s="619">
        <v>690.9</v>
      </c>
      <c r="H2410" s="599">
        <v>2</v>
      </c>
      <c r="I2410" s="599">
        <v>2</v>
      </c>
      <c r="J2410" s="599">
        <v>16</v>
      </c>
      <c r="K2410" s="590" t="s">
        <v>262</v>
      </c>
      <c r="L2410" s="595">
        <f t="shared" si="339"/>
        <v>1699606.91</v>
      </c>
      <c r="M2410" s="596">
        <v>1658160</v>
      </c>
      <c r="N2410" s="675">
        <v>29291</v>
      </c>
      <c r="O2410" s="598"/>
      <c r="P2410" s="802"/>
      <c r="Q2410" s="586">
        <v>12155.91</v>
      </c>
      <c r="R2410" s="599">
        <f t="shared" si="343"/>
        <v>2400</v>
      </c>
      <c r="S2410" s="575">
        <f t="shared" si="342"/>
        <v>-8.3673512563109398E-11</v>
      </c>
      <c r="T2410" s="856"/>
      <c r="U2410" s="857"/>
      <c r="V2410" s="589"/>
      <c r="W2410" s="856"/>
      <c r="X2410" s="856"/>
      <c r="Y2410" s="856"/>
      <c r="Z2410" s="856"/>
    </row>
    <row r="2411" spans="1:26" s="102" customFormat="1" ht="37.5" hidden="1">
      <c r="A2411" s="679">
        <f t="shared" si="340"/>
        <v>22</v>
      </c>
      <c r="B2411" s="592" t="s">
        <v>2031</v>
      </c>
      <c r="C2411" s="593" t="s">
        <v>221</v>
      </c>
      <c r="D2411" s="646">
        <v>3901</v>
      </c>
      <c r="E2411" s="646">
        <v>1314</v>
      </c>
      <c r="F2411" s="768" t="s">
        <v>222</v>
      </c>
      <c r="G2411" s="646">
        <v>931</v>
      </c>
      <c r="H2411" s="582">
        <v>3</v>
      </c>
      <c r="I2411" s="582">
        <v>3</v>
      </c>
      <c r="J2411" s="582">
        <v>32</v>
      </c>
      <c r="K2411" s="590" t="s">
        <v>262</v>
      </c>
      <c r="L2411" s="595">
        <f t="shared" si="339"/>
        <v>2274068.56</v>
      </c>
      <c r="M2411" s="596">
        <v>2234400</v>
      </c>
      <c r="N2411" s="675">
        <v>27641</v>
      </c>
      <c r="O2411" s="598"/>
      <c r="P2411" s="597"/>
      <c r="Q2411" s="586">
        <v>12027.56</v>
      </c>
      <c r="R2411" s="599">
        <f t="shared" si="343"/>
        <v>2400</v>
      </c>
      <c r="S2411" s="575">
        <f t="shared" si="342"/>
        <v>5.6388671509921551E-11</v>
      </c>
      <c r="T2411" s="856"/>
      <c r="U2411" s="857"/>
      <c r="V2411" s="589"/>
      <c r="W2411" s="856"/>
      <c r="X2411" s="856"/>
      <c r="Y2411" s="856"/>
      <c r="Z2411" s="856"/>
    </row>
    <row r="2412" spans="1:26" s="102" customFormat="1" ht="37.5" hidden="1">
      <c r="A2412" s="679">
        <f t="shared" si="340"/>
        <v>23</v>
      </c>
      <c r="B2412" s="592" t="s">
        <v>2032</v>
      </c>
      <c r="C2412" s="593" t="s">
        <v>221</v>
      </c>
      <c r="D2412" s="646">
        <v>12189</v>
      </c>
      <c r="E2412" s="646">
        <v>1314</v>
      </c>
      <c r="F2412" s="768" t="s">
        <v>222</v>
      </c>
      <c r="G2412" s="646">
        <v>1108</v>
      </c>
      <c r="H2412" s="582">
        <v>3</v>
      </c>
      <c r="I2412" s="582">
        <v>3</v>
      </c>
      <c r="J2412" s="582">
        <v>33</v>
      </c>
      <c r="K2412" s="590" t="s">
        <v>262</v>
      </c>
      <c r="L2412" s="595">
        <f t="shared" si="339"/>
        <v>2706082.56</v>
      </c>
      <c r="M2412" s="596">
        <v>2659200</v>
      </c>
      <c r="N2412" s="675">
        <v>34855</v>
      </c>
      <c r="O2412" s="598"/>
      <c r="P2412" s="597"/>
      <c r="Q2412" s="586">
        <v>12027.56</v>
      </c>
      <c r="R2412" s="599">
        <f t="shared" si="343"/>
        <v>2400</v>
      </c>
      <c r="S2412" s="575">
        <f t="shared" si="342"/>
        <v>5.6388671509921551E-11</v>
      </c>
      <c r="T2412" s="856"/>
      <c r="U2412" s="857"/>
      <c r="V2412" s="589"/>
      <c r="W2412" s="856"/>
      <c r="X2412" s="856"/>
      <c r="Y2412" s="856"/>
      <c r="Z2412" s="856"/>
    </row>
    <row r="2413" spans="1:26" s="102" customFormat="1" ht="37.5" hidden="1">
      <c r="A2413" s="679">
        <f t="shared" si="340"/>
        <v>24</v>
      </c>
      <c r="B2413" s="592" t="s">
        <v>2033</v>
      </c>
      <c r="C2413" s="593" t="s">
        <v>221</v>
      </c>
      <c r="D2413" s="646">
        <v>7259</v>
      </c>
      <c r="E2413" s="646">
        <v>1314</v>
      </c>
      <c r="F2413" s="768" t="s">
        <v>222</v>
      </c>
      <c r="G2413" s="646">
        <v>939</v>
      </c>
      <c r="H2413" s="582">
        <v>3</v>
      </c>
      <c r="I2413" s="582">
        <v>3</v>
      </c>
      <c r="J2413" s="582">
        <v>36</v>
      </c>
      <c r="K2413" s="590" t="s">
        <v>262</v>
      </c>
      <c r="L2413" s="595">
        <f t="shared" si="339"/>
        <v>2296541.56</v>
      </c>
      <c r="M2413" s="596">
        <v>2253600</v>
      </c>
      <c r="N2413" s="675">
        <v>30914</v>
      </c>
      <c r="O2413" s="598"/>
      <c r="P2413" s="597"/>
      <c r="Q2413" s="586">
        <v>12027.56</v>
      </c>
      <c r="R2413" s="599">
        <f t="shared" si="343"/>
        <v>2400</v>
      </c>
      <c r="S2413" s="575">
        <f t="shared" si="342"/>
        <v>5.6388671509921551E-11</v>
      </c>
      <c r="T2413" s="856"/>
      <c r="U2413" s="857"/>
      <c r="V2413" s="589"/>
      <c r="W2413" s="856"/>
      <c r="X2413" s="856"/>
      <c r="Y2413" s="856"/>
      <c r="Z2413" s="856"/>
    </row>
    <row r="2414" spans="1:26" s="102" customFormat="1" ht="37.5" hidden="1">
      <c r="A2414" s="679">
        <f t="shared" si="340"/>
        <v>25</v>
      </c>
      <c r="B2414" s="592" t="s">
        <v>2034</v>
      </c>
      <c r="C2414" s="593" t="s">
        <v>221</v>
      </c>
      <c r="D2414" s="619">
        <v>5839.68</v>
      </c>
      <c r="E2414" s="646">
        <v>636</v>
      </c>
      <c r="F2414" s="768" t="s">
        <v>222</v>
      </c>
      <c r="G2414" s="619">
        <v>723</v>
      </c>
      <c r="H2414" s="599">
        <v>2</v>
      </c>
      <c r="I2414" s="599">
        <v>2</v>
      </c>
      <c r="J2414" s="599">
        <v>12</v>
      </c>
      <c r="K2414" s="590" t="s">
        <v>262</v>
      </c>
      <c r="L2414" s="595">
        <f t="shared" si="339"/>
        <v>1785653.23</v>
      </c>
      <c r="M2414" s="596">
        <v>1742567</v>
      </c>
      <c r="N2414" s="675">
        <v>34376</v>
      </c>
      <c r="O2414" s="598"/>
      <c r="P2414" s="597"/>
      <c r="Q2414" s="586">
        <v>8710.23</v>
      </c>
      <c r="R2414" s="599">
        <f t="shared" si="343"/>
        <v>2410.1894882434303</v>
      </c>
      <c r="S2414" s="575">
        <f t="shared" si="342"/>
        <v>-1.8189894035458565E-11</v>
      </c>
      <c r="T2414" s="856"/>
      <c r="U2414" s="857"/>
      <c r="V2414" s="589"/>
      <c r="W2414" s="856"/>
      <c r="X2414" s="856"/>
      <c r="Y2414" s="856"/>
      <c r="Z2414" s="856"/>
    </row>
    <row r="2415" spans="1:26" s="92" customFormat="1" ht="37.5" hidden="1">
      <c r="A2415" s="679">
        <f t="shared" si="340"/>
        <v>26</v>
      </c>
      <c r="B2415" s="592" t="s">
        <v>2035</v>
      </c>
      <c r="C2415" s="593" t="s">
        <v>221</v>
      </c>
      <c r="D2415" s="619">
        <v>2600.3999999999996</v>
      </c>
      <c r="E2415" s="646">
        <v>396</v>
      </c>
      <c r="F2415" s="768" t="s">
        <v>222</v>
      </c>
      <c r="G2415" s="619">
        <v>625.29999999999995</v>
      </c>
      <c r="H2415" s="599">
        <v>2</v>
      </c>
      <c r="I2415" s="599">
        <v>1</v>
      </c>
      <c r="J2415" s="599">
        <v>5</v>
      </c>
      <c r="K2415" s="590" t="s">
        <v>262</v>
      </c>
      <c r="L2415" s="595">
        <f t="shared" si="339"/>
        <v>1543659.84</v>
      </c>
      <c r="M2415" s="596">
        <v>1500720</v>
      </c>
      <c r="N2415" s="675">
        <v>29176</v>
      </c>
      <c r="O2415" s="598"/>
      <c r="P2415" s="597"/>
      <c r="Q2415" s="586">
        <v>13763.84</v>
      </c>
      <c r="R2415" s="599">
        <f t="shared" si="343"/>
        <v>2400</v>
      </c>
      <c r="S2415" s="575">
        <f t="shared" si="342"/>
        <v>8.3673512563109398E-11</v>
      </c>
      <c r="T2415" s="799"/>
      <c r="U2415" s="800"/>
      <c r="V2415" s="589"/>
      <c r="W2415" s="799"/>
      <c r="X2415" s="799"/>
      <c r="Y2415" s="799"/>
      <c r="Z2415" s="799"/>
    </row>
    <row r="2416" spans="1:26" s="102" customFormat="1" ht="37.5" hidden="1">
      <c r="A2416" s="679">
        <f t="shared" si="340"/>
        <v>27</v>
      </c>
      <c r="B2416" s="592" t="s">
        <v>2036</v>
      </c>
      <c r="C2416" s="593" t="s">
        <v>221</v>
      </c>
      <c r="D2416" s="646">
        <v>7259</v>
      </c>
      <c r="E2416" s="646">
        <v>1314</v>
      </c>
      <c r="F2416" s="768" t="s">
        <v>222</v>
      </c>
      <c r="G2416" s="646">
        <v>879</v>
      </c>
      <c r="H2416" s="582">
        <v>3</v>
      </c>
      <c r="I2416" s="582">
        <v>3</v>
      </c>
      <c r="J2416" s="582">
        <v>33</v>
      </c>
      <c r="K2416" s="590" t="s">
        <v>262</v>
      </c>
      <c r="L2416" s="595">
        <f t="shared" si="339"/>
        <v>2152541.56</v>
      </c>
      <c r="M2416" s="596">
        <v>2109600</v>
      </c>
      <c r="N2416" s="675">
        <v>30914</v>
      </c>
      <c r="O2416" s="598"/>
      <c r="P2416" s="597"/>
      <c r="Q2416" s="586">
        <v>12027.56</v>
      </c>
      <c r="R2416" s="599">
        <f t="shared" si="343"/>
        <v>2400</v>
      </c>
      <c r="S2416" s="575">
        <f t="shared" si="342"/>
        <v>5.6388671509921551E-11</v>
      </c>
      <c r="T2416" s="856"/>
      <c r="U2416" s="857"/>
      <c r="V2416" s="589"/>
      <c r="W2416" s="856"/>
      <c r="X2416" s="856"/>
      <c r="Y2416" s="856"/>
      <c r="Z2416" s="856"/>
    </row>
    <row r="2417" spans="1:26 16383:16383" s="102" customFormat="1" hidden="1">
      <c r="A2417" s="679">
        <f t="shared" si="340"/>
        <v>28</v>
      </c>
      <c r="B2417" s="592" t="s">
        <v>2037</v>
      </c>
      <c r="C2417" s="593" t="s">
        <v>239</v>
      </c>
      <c r="D2417" s="619">
        <v>3417</v>
      </c>
      <c r="E2417" s="646">
        <v>642</v>
      </c>
      <c r="F2417" s="768" t="s">
        <v>222</v>
      </c>
      <c r="G2417" s="619">
        <v>614</v>
      </c>
      <c r="H2417" s="599">
        <v>2</v>
      </c>
      <c r="I2417" s="599">
        <v>2</v>
      </c>
      <c r="J2417" s="599">
        <v>12</v>
      </c>
      <c r="K2417" s="590" t="s">
        <v>246</v>
      </c>
      <c r="L2417" s="584">
        <f t="shared" si="339"/>
        <v>1189783.05</v>
      </c>
      <c r="M2417" s="745">
        <v>1155600</v>
      </c>
      <c r="N2417" s="747"/>
      <c r="O2417" s="631">
        <v>12501</v>
      </c>
      <c r="P2417" s="747"/>
      <c r="Q2417" s="586">
        <v>21682.05</v>
      </c>
      <c r="R2417" s="599">
        <f>M2417/E2417</f>
        <v>1800</v>
      </c>
      <c r="S2417" s="575">
        <f t="shared" si="342"/>
        <v>4.7293724492192268E-11</v>
      </c>
      <c r="T2417" s="738">
        <f>L2417-M2417-N2417-O2417-Q2417</f>
        <v>4.7293724492192268E-11</v>
      </c>
      <c r="U2417" s="589"/>
      <c r="V2417" s="589"/>
      <c r="W2417" s="856"/>
      <c r="X2417" s="856"/>
      <c r="Y2417" s="856"/>
      <c r="Z2417" s="856"/>
    </row>
    <row r="2418" spans="1:26 16383:16383" s="102" customFormat="1" hidden="1">
      <c r="A2418" s="679">
        <f t="shared" si="340"/>
        <v>29</v>
      </c>
      <c r="B2418" s="592" t="s">
        <v>2038</v>
      </c>
      <c r="C2418" s="593" t="s">
        <v>239</v>
      </c>
      <c r="D2418" s="619">
        <v>9900</v>
      </c>
      <c r="E2418" s="646">
        <v>2737.8</v>
      </c>
      <c r="F2418" s="768" t="s">
        <v>222</v>
      </c>
      <c r="G2418" s="619">
        <v>1444.625</v>
      </c>
      <c r="H2418" s="599">
        <v>3</v>
      </c>
      <c r="I2418" s="599">
        <v>4</v>
      </c>
      <c r="J2418" s="599">
        <v>27</v>
      </c>
      <c r="K2418" s="590" t="s">
        <v>246</v>
      </c>
      <c r="L2418" s="584">
        <f t="shared" si="339"/>
        <v>4954868.75</v>
      </c>
      <c r="M2418" s="745">
        <v>4928040</v>
      </c>
      <c r="N2418" s="747"/>
      <c r="O2418" s="631">
        <v>13247</v>
      </c>
      <c r="P2418" s="747"/>
      <c r="Q2418" s="586">
        <v>13581.75</v>
      </c>
      <c r="R2418" s="599">
        <f>M2418/E2418</f>
        <v>1799.9999999999998</v>
      </c>
      <c r="S2418" s="575">
        <f t="shared" si="342"/>
        <v>0</v>
      </c>
      <c r="T2418" s="738">
        <f>L2418-M2418-N2418-O2418-Q2418</f>
        <v>0</v>
      </c>
      <c r="U2418" s="589"/>
      <c r="V2418" s="589"/>
      <c r="W2418" s="856"/>
      <c r="X2418" s="856"/>
      <c r="Y2418" s="856"/>
      <c r="Z2418" s="856"/>
    </row>
    <row r="2419" spans="1:26 16383:16383" s="71" customFormat="1" ht="37.5" hidden="1">
      <c r="A2419" s="679">
        <f t="shared" si="340"/>
        <v>30</v>
      </c>
      <c r="B2419" s="592" t="s">
        <v>2039</v>
      </c>
      <c r="C2419" s="593" t="s">
        <v>239</v>
      </c>
      <c r="D2419" s="646">
        <v>3587</v>
      </c>
      <c r="E2419" s="646">
        <v>636</v>
      </c>
      <c r="F2419" s="768" t="s">
        <v>222</v>
      </c>
      <c r="G2419" s="646">
        <v>707</v>
      </c>
      <c r="H2419" s="582">
        <v>2</v>
      </c>
      <c r="I2419" s="582">
        <v>2</v>
      </c>
      <c r="J2419" s="582">
        <v>12</v>
      </c>
      <c r="K2419" s="590" t="s">
        <v>262</v>
      </c>
      <c r="L2419" s="595">
        <f t="shared" si="339"/>
        <v>1815800.18</v>
      </c>
      <c r="M2419" s="596">
        <v>1767500</v>
      </c>
      <c r="N2419" s="675">
        <v>30824</v>
      </c>
      <c r="O2419" s="598"/>
      <c r="P2419" s="597"/>
      <c r="Q2419" s="586">
        <v>17476.18</v>
      </c>
      <c r="R2419" s="599">
        <f>M2419/G2419</f>
        <v>2500</v>
      </c>
      <c r="S2419" s="575">
        <f t="shared" si="342"/>
        <v>-6.5483618527650833E-11</v>
      </c>
      <c r="T2419" s="737"/>
      <c r="U2419" s="737"/>
      <c r="V2419" s="589"/>
      <c r="W2419" s="737"/>
      <c r="X2419" s="737"/>
      <c r="Y2419" s="737"/>
      <c r="Z2419" s="737"/>
    </row>
    <row r="2420" spans="1:26 16383:16383" s="71" customFormat="1" ht="37.5" hidden="1">
      <c r="A2420" s="679">
        <f t="shared" si="340"/>
        <v>31</v>
      </c>
      <c r="B2420" s="592" t="s">
        <v>2040</v>
      </c>
      <c r="C2420" s="593" t="s">
        <v>221</v>
      </c>
      <c r="D2420" s="646">
        <v>19999</v>
      </c>
      <c r="E2420" s="646">
        <v>636</v>
      </c>
      <c r="F2420" s="768" t="s">
        <v>222</v>
      </c>
      <c r="G2420" s="646">
        <v>717</v>
      </c>
      <c r="H2420" s="582">
        <v>2</v>
      </c>
      <c r="I2420" s="582">
        <v>2</v>
      </c>
      <c r="J2420" s="582">
        <v>12</v>
      </c>
      <c r="K2420" s="590" t="s">
        <v>262</v>
      </c>
      <c r="L2420" s="595">
        <f t="shared" si="339"/>
        <v>1857243.77</v>
      </c>
      <c r="M2420" s="596">
        <v>1792500</v>
      </c>
      <c r="N2420" s="675">
        <v>47983</v>
      </c>
      <c r="O2420" s="598"/>
      <c r="P2420" s="597"/>
      <c r="Q2420" s="586">
        <v>16760.77</v>
      </c>
      <c r="R2420" s="599">
        <f>M2420/G2420</f>
        <v>2500</v>
      </c>
      <c r="S2420" s="575">
        <f t="shared" si="342"/>
        <v>0</v>
      </c>
      <c r="T2420" s="737"/>
      <c r="U2420" s="737"/>
      <c r="V2420" s="589"/>
      <c r="W2420" s="737"/>
      <c r="X2420" s="737"/>
      <c r="Y2420" s="737"/>
      <c r="Z2420" s="737"/>
    </row>
    <row r="2421" spans="1:26 16383:16383" s="71" customFormat="1" ht="37.5" hidden="1">
      <c r="A2421" s="679">
        <f t="shared" si="340"/>
        <v>32</v>
      </c>
      <c r="B2421" s="592" t="s">
        <v>3964</v>
      </c>
      <c r="C2421" s="593" t="s">
        <v>239</v>
      </c>
      <c r="D2421" s="619">
        <v>3440</v>
      </c>
      <c r="E2421" s="646">
        <v>636</v>
      </c>
      <c r="F2421" s="619" t="s">
        <v>222</v>
      </c>
      <c r="G2421" s="619">
        <v>682</v>
      </c>
      <c r="H2421" s="599">
        <v>2</v>
      </c>
      <c r="I2421" s="599">
        <v>2</v>
      </c>
      <c r="J2421" s="599">
        <v>12</v>
      </c>
      <c r="K2421" s="590" t="s">
        <v>262</v>
      </c>
      <c r="L2421" s="595">
        <f t="shared" si="339"/>
        <v>1752224.77</v>
      </c>
      <c r="M2421" s="596">
        <v>1705000</v>
      </c>
      <c r="N2421" s="675">
        <v>30464</v>
      </c>
      <c r="O2421" s="598"/>
      <c r="P2421" s="802"/>
      <c r="Q2421" s="586">
        <v>16760.77</v>
      </c>
      <c r="R2421" s="599">
        <f>M2421/G2421</f>
        <v>2500</v>
      </c>
      <c r="S2421" s="575">
        <f t="shared" si="342"/>
        <v>0</v>
      </c>
      <c r="T2421" s="737"/>
      <c r="U2421" s="737"/>
      <c r="V2421" s="589"/>
      <c r="W2421" s="737"/>
      <c r="X2421" s="737"/>
      <c r="Y2421" s="737"/>
      <c r="Z2421" s="737"/>
    </row>
    <row r="2422" spans="1:26 16383:16383" s="71" customFormat="1" hidden="1">
      <c r="A2422" s="679">
        <f t="shared" si="340"/>
        <v>33</v>
      </c>
      <c r="B2422" s="592" t="s">
        <v>2041</v>
      </c>
      <c r="C2422" s="593" t="s">
        <v>221</v>
      </c>
      <c r="D2422" s="646">
        <v>5806</v>
      </c>
      <c r="E2422" s="646">
        <v>3990</v>
      </c>
      <c r="F2422" s="768" t="s">
        <v>233</v>
      </c>
      <c r="G2422" s="646">
        <v>1281</v>
      </c>
      <c r="H2422" s="582">
        <v>5</v>
      </c>
      <c r="I2422" s="582">
        <v>6</v>
      </c>
      <c r="J2422" s="582">
        <v>86</v>
      </c>
      <c r="K2422" s="812" t="s">
        <v>33</v>
      </c>
      <c r="L2422" s="595">
        <f t="shared" si="339"/>
        <v>2602696</v>
      </c>
      <c r="M2422" s="745">
        <v>2562000</v>
      </c>
      <c r="N2422" s="802"/>
      <c r="O2422" s="631">
        <v>20796</v>
      </c>
      <c r="P2422" s="802"/>
      <c r="Q2422" s="586">
        <v>19900</v>
      </c>
      <c r="R2422" s="803">
        <f>M2422/G2422</f>
        <v>2000</v>
      </c>
      <c r="S2422" s="575">
        <f t="shared" si="342"/>
        <v>0</v>
      </c>
      <c r="T2422" s="737"/>
      <c r="U2422" s="737"/>
      <c r="V2422" s="589"/>
      <c r="W2422" s="737"/>
      <c r="X2422" s="737"/>
      <c r="Y2422" s="737"/>
      <c r="Z2422" s="737"/>
    </row>
    <row r="2423" spans="1:26 16383:16383" s="102" customFormat="1" hidden="1">
      <c r="A2423" s="679">
        <f t="shared" si="340"/>
        <v>34</v>
      </c>
      <c r="B2423" s="592" t="s">
        <v>2042</v>
      </c>
      <c r="C2423" s="593" t="s">
        <v>239</v>
      </c>
      <c r="D2423" s="646">
        <v>2842</v>
      </c>
      <c r="E2423" s="646">
        <v>653</v>
      </c>
      <c r="F2423" s="768" t="s">
        <v>222</v>
      </c>
      <c r="G2423" s="646">
        <v>544</v>
      </c>
      <c r="H2423" s="582">
        <v>2</v>
      </c>
      <c r="I2423" s="582">
        <v>2</v>
      </c>
      <c r="J2423" s="582">
        <v>8</v>
      </c>
      <c r="K2423" s="590" t="s">
        <v>246</v>
      </c>
      <c r="L2423" s="584">
        <f t="shared" si="339"/>
        <v>1205797.3799999999</v>
      </c>
      <c r="M2423" s="745">
        <v>1175400</v>
      </c>
      <c r="N2423" s="747"/>
      <c r="O2423" s="631">
        <v>12364</v>
      </c>
      <c r="P2423" s="747"/>
      <c r="Q2423" s="586">
        <v>18033.38</v>
      </c>
      <c r="R2423" s="599">
        <f>M2423/E2423</f>
        <v>1800</v>
      </c>
      <c r="S2423" s="575">
        <f t="shared" si="342"/>
        <v>-1.127773430198431E-10</v>
      </c>
      <c r="T2423" s="738">
        <f>L2423-M2423-N2423-O2423-Q2423</f>
        <v>-1.127773430198431E-10</v>
      </c>
      <c r="U2423" s="857"/>
      <c r="V2423" s="589"/>
      <c r="W2423" s="856"/>
      <c r="X2423" s="856"/>
      <c r="Y2423" s="856"/>
      <c r="Z2423" s="856"/>
      <c r="XFC2423" s="102">
        <v>5118907.46</v>
      </c>
    </row>
    <row r="2424" spans="1:26 16383:16383" s="90" customFormat="1" hidden="1">
      <c r="A2424" s="679">
        <f t="shared" si="340"/>
        <v>35</v>
      </c>
      <c r="B2424" s="592" t="s">
        <v>2044</v>
      </c>
      <c r="C2424" s="593" t="s">
        <v>221</v>
      </c>
      <c r="D2424" s="619">
        <v>17853</v>
      </c>
      <c r="E2424" s="816">
        <v>2209.8000000000002</v>
      </c>
      <c r="F2424" s="619" t="s">
        <v>233</v>
      </c>
      <c r="G2424" s="619">
        <v>1252.9000000000001</v>
      </c>
      <c r="H2424" s="599">
        <v>5</v>
      </c>
      <c r="I2424" s="599">
        <v>6</v>
      </c>
      <c r="J2424" s="599">
        <v>100</v>
      </c>
      <c r="K2424" s="590" t="s">
        <v>33</v>
      </c>
      <c r="L2424" s="595">
        <f t="shared" si="339"/>
        <v>2548497</v>
      </c>
      <c r="M2424" s="745">
        <v>2505800</v>
      </c>
      <c r="N2424" s="802"/>
      <c r="O2424" s="631">
        <v>22797</v>
      </c>
      <c r="P2424" s="802"/>
      <c r="Q2424" s="586">
        <v>19900</v>
      </c>
      <c r="R2424" s="803">
        <f>M2424/G2424</f>
        <v>1999.9999999999998</v>
      </c>
      <c r="S2424" s="575">
        <f t="shared" si="342"/>
        <v>0</v>
      </c>
      <c r="T2424" s="748"/>
      <c r="U2424" s="737"/>
      <c r="V2424" s="589"/>
      <c r="W2424" s="748"/>
      <c r="X2424" s="748"/>
      <c r="Y2424" s="748"/>
      <c r="Z2424" s="748"/>
    </row>
    <row r="2425" spans="1:26 16383:16383" s="102" customFormat="1" ht="37.5" hidden="1">
      <c r="A2425" s="679">
        <f t="shared" si="340"/>
        <v>36</v>
      </c>
      <c r="B2425" s="592" t="s">
        <v>3666</v>
      </c>
      <c r="C2425" s="593" t="s">
        <v>221</v>
      </c>
      <c r="D2425" s="619">
        <v>5265</v>
      </c>
      <c r="E2425" s="619">
        <v>1139.5</v>
      </c>
      <c r="F2425" s="768" t="s">
        <v>222</v>
      </c>
      <c r="G2425" s="619">
        <v>882.33600000000001</v>
      </c>
      <c r="H2425" s="599">
        <v>4</v>
      </c>
      <c r="I2425" s="599">
        <v>2</v>
      </c>
      <c r="J2425" s="599">
        <v>32</v>
      </c>
      <c r="K2425" s="590" t="s">
        <v>262</v>
      </c>
      <c r="L2425" s="740">
        <f t="shared" si="339"/>
        <v>2512913</v>
      </c>
      <c r="M2425" s="741">
        <v>2470541</v>
      </c>
      <c r="N2425" s="1076">
        <v>26058</v>
      </c>
      <c r="O2425" s="587"/>
      <c r="P2425" s="802"/>
      <c r="Q2425" s="586">
        <v>16314</v>
      </c>
      <c r="R2425" s="744">
        <v>2800.0002266710189</v>
      </c>
      <c r="S2425" s="575">
        <f t="shared" si="342"/>
        <v>0</v>
      </c>
      <c r="T2425" s="856"/>
      <c r="U2425" s="857"/>
      <c r="V2425" s="589"/>
      <c r="W2425" s="856"/>
      <c r="X2425" s="856"/>
      <c r="Y2425" s="856"/>
      <c r="Z2425" s="856"/>
    </row>
    <row r="2426" spans="1:26 16383:16383" s="90" customFormat="1" hidden="1">
      <c r="A2426" s="679">
        <f t="shared" si="340"/>
        <v>37</v>
      </c>
      <c r="B2426" s="592" t="s">
        <v>3629</v>
      </c>
      <c r="C2426" s="593" t="s">
        <v>221</v>
      </c>
      <c r="D2426" s="619">
        <v>13219</v>
      </c>
      <c r="E2426" s="816">
        <v>2432</v>
      </c>
      <c r="F2426" s="619" t="s">
        <v>222</v>
      </c>
      <c r="G2426" s="619">
        <v>1269</v>
      </c>
      <c r="H2426" s="599">
        <v>5</v>
      </c>
      <c r="I2426" s="599">
        <v>4</v>
      </c>
      <c r="J2426" s="599">
        <v>70</v>
      </c>
      <c r="K2426" s="590" t="s">
        <v>224</v>
      </c>
      <c r="L2426" s="595">
        <f t="shared" si="339"/>
        <v>1584856.91</v>
      </c>
      <c r="M2426" s="745">
        <v>1540000</v>
      </c>
      <c r="N2426" s="630">
        <v>32699</v>
      </c>
      <c r="O2426" s="822"/>
      <c r="P2426" s="802"/>
      <c r="Q2426" s="586">
        <v>12157.91</v>
      </c>
      <c r="R2426" s="803">
        <f>M2426/J2426</f>
        <v>22000</v>
      </c>
      <c r="S2426" s="575">
        <f t="shared" si="342"/>
        <v>-8.3673512563109398E-11</v>
      </c>
      <c r="T2426" s="748"/>
      <c r="U2426" s="737"/>
      <c r="V2426" s="589"/>
      <c r="W2426" s="748"/>
      <c r="X2426" s="748"/>
      <c r="Y2426" s="748"/>
      <c r="Z2426" s="748"/>
    </row>
    <row r="2427" spans="1:26 16383:16383" s="90" customFormat="1" ht="37.5" hidden="1">
      <c r="A2427" s="679">
        <f t="shared" si="340"/>
        <v>38</v>
      </c>
      <c r="B2427" s="592" t="s">
        <v>3665</v>
      </c>
      <c r="C2427" s="594" t="s">
        <v>221</v>
      </c>
      <c r="D2427" s="619">
        <v>12235</v>
      </c>
      <c r="E2427" s="619">
        <v>2232</v>
      </c>
      <c r="F2427" s="619" t="s">
        <v>233</v>
      </c>
      <c r="G2427" s="619">
        <v>1300</v>
      </c>
      <c r="H2427" s="599">
        <v>5</v>
      </c>
      <c r="I2427" s="599">
        <v>4</v>
      </c>
      <c r="J2427" s="599">
        <v>59</v>
      </c>
      <c r="K2427" s="590" t="s">
        <v>30</v>
      </c>
      <c r="L2427" s="584">
        <f t="shared" si="339"/>
        <v>1514363</v>
      </c>
      <c r="M2427" s="741">
        <v>1475000</v>
      </c>
      <c r="N2427" s="742"/>
      <c r="O2427" s="1054">
        <v>4872</v>
      </c>
      <c r="P2427" s="630"/>
      <c r="Q2427" s="753">
        <v>34491</v>
      </c>
      <c r="R2427" s="803">
        <f>M2427/J2427</f>
        <v>25000</v>
      </c>
      <c r="S2427" s="748"/>
      <c r="T2427" s="738"/>
      <c r="U2427" s="737"/>
      <c r="V2427" s="748"/>
      <c r="W2427" s="748"/>
      <c r="X2427" s="748"/>
      <c r="Y2427" s="748"/>
      <c r="Z2427" s="748"/>
    </row>
    <row r="2428" spans="1:26 16383:16383" s="90" customFormat="1" hidden="1">
      <c r="A2428" s="679">
        <f t="shared" si="340"/>
        <v>39</v>
      </c>
      <c r="B2428" s="592" t="s">
        <v>2043</v>
      </c>
      <c r="C2428" s="594" t="s">
        <v>221</v>
      </c>
      <c r="D2428" s="619">
        <v>8305</v>
      </c>
      <c r="E2428" s="619">
        <v>3990</v>
      </c>
      <c r="F2428" s="619" t="s">
        <v>233</v>
      </c>
      <c r="G2428" s="619">
        <v>1293.4000000000001</v>
      </c>
      <c r="H2428" s="599">
        <v>5</v>
      </c>
      <c r="I2428" s="599">
        <v>6</v>
      </c>
      <c r="J2428" s="599">
        <v>60</v>
      </c>
      <c r="K2428" s="590" t="s">
        <v>33</v>
      </c>
      <c r="L2428" s="584">
        <f t="shared" si="339"/>
        <v>2612856</v>
      </c>
      <c r="M2428" s="741">
        <v>2586800</v>
      </c>
      <c r="N2428" s="742"/>
      <c r="O2428" s="872">
        <v>6056</v>
      </c>
      <c r="P2428" s="630"/>
      <c r="Q2428" s="753">
        <v>20000</v>
      </c>
      <c r="R2428" s="744">
        <f>M2428/G2428</f>
        <v>1999.9999999999998</v>
      </c>
      <c r="S2428" s="748"/>
      <c r="T2428" s="738"/>
      <c r="U2428" s="737"/>
      <c r="V2428" s="748"/>
      <c r="W2428" s="748"/>
      <c r="X2428" s="748"/>
      <c r="Y2428" s="748"/>
      <c r="Z2428" s="748"/>
    </row>
    <row r="2429" spans="1:26 16383:16383" s="91" customFormat="1" hidden="1">
      <c r="A2429" s="679">
        <f t="shared" si="340"/>
        <v>40</v>
      </c>
      <c r="B2429" s="592" t="s">
        <v>3945</v>
      </c>
      <c r="C2429" s="594" t="s">
        <v>221</v>
      </c>
      <c r="D2429" s="619">
        <v>2472.4699999999998</v>
      </c>
      <c r="E2429" s="619">
        <v>481.20000000000005</v>
      </c>
      <c r="F2429" s="619" t="s">
        <v>222</v>
      </c>
      <c r="G2429" s="619">
        <v>494.49400000000003</v>
      </c>
      <c r="H2429" s="599">
        <v>2</v>
      </c>
      <c r="I2429" s="599">
        <v>1</v>
      </c>
      <c r="J2429" s="599">
        <v>8</v>
      </c>
      <c r="K2429" s="590" t="s">
        <v>33</v>
      </c>
      <c r="L2429" s="584">
        <f t="shared" si="339"/>
        <v>1421098.2000000002</v>
      </c>
      <c r="M2429" s="741">
        <v>1384583.2000000002</v>
      </c>
      <c r="N2429" s="742">
        <v>28854</v>
      </c>
      <c r="O2429" s="743"/>
      <c r="P2429" s="586"/>
      <c r="Q2429" s="742">
        <v>7661</v>
      </c>
      <c r="R2429" s="744">
        <f>M2429/G2429</f>
        <v>2800</v>
      </c>
      <c r="S2429" s="748"/>
      <c r="T2429" s="738"/>
      <c r="U2429" s="737"/>
      <c r="V2429" s="748"/>
      <c r="W2429" s="748"/>
      <c r="X2429" s="748"/>
      <c r="Y2429" s="748"/>
      <c r="Z2429" s="748"/>
    </row>
    <row r="2430" spans="1:26 16383:16383" s="91" customFormat="1" hidden="1">
      <c r="A2430" s="679">
        <f t="shared" si="340"/>
        <v>41</v>
      </c>
      <c r="B2430" s="592" t="s">
        <v>3942</v>
      </c>
      <c r="C2430" s="594" t="s">
        <v>221</v>
      </c>
      <c r="D2430" s="619">
        <v>19526.400000000001</v>
      </c>
      <c r="E2430" s="619">
        <v>2745.6</v>
      </c>
      <c r="F2430" s="619" t="s">
        <v>222</v>
      </c>
      <c r="G2430" s="619">
        <v>1586.52</v>
      </c>
      <c r="H2430" s="599">
        <v>5</v>
      </c>
      <c r="I2430" s="599">
        <v>4</v>
      </c>
      <c r="J2430" s="599">
        <v>50</v>
      </c>
      <c r="K2430" s="590" t="s">
        <v>33</v>
      </c>
      <c r="L2430" s="584">
        <f t="shared" si="339"/>
        <v>4512105</v>
      </c>
      <c r="M2430" s="741">
        <v>4442256</v>
      </c>
      <c r="N2430" s="742">
        <v>29849</v>
      </c>
      <c r="O2430" s="743"/>
      <c r="P2430" s="586"/>
      <c r="Q2430" s="742">
        <v>40000</v>
      </c>
      <c r="R2430" s="744">
        <f>M2430/G2430</f>
        <v>2800</v>
      </c>
      <c r="S2430" s="748"/>
      <c r="T2430" s="738"/>
      <c r="U2430" s="737"/>
      <c r="V2430" s="748"/>
      <c r="W2430" s="748"/>
      <c r="X2430" s="748"/>
      <c r="Y2430" s="748"/>
      <c r="Z2430" s="748"/>
    </row>
    <row r="2431" spans="1:26 16383:16383" s="28" customFormat="1" hidden="1">
      <c r="A2431" s="1361" t="s">
        <v>117</v>
      </c>
      <c r="B2431" s="1361"/>
      <c r="C2431" s="920" t="s">
        <v>28</v>
      </c>
      <c r="D2431" s="646">
        <f>SUM(D2390:D2430)</f>
        <v>401904.016</v>
      </c>
      <c r="E2431" s="646">
        <f>SUM(E2390:E2430)</f>
        <v>73835.940000000017</v>
      </c>
      <c r="F2431" s="646" t="s">
        <v>28</v>
      </c>
      <c r="G2431" s="646">
        <f>SUM(G2390:G2430)</f>
        <v>42165.17500000001</v>
      </c>
      <c r="H2431" s="582" t="s">
        <v>28</v>
      </c>
      <c r="I2431" s="582" t="s">
        <v>28</v>
      </c>
      <c r="J2431" s="646">
        <f>SUM(J2390:J2430)</f>
        <v>2189</v>
      </c>
      <c r="K2431" s="772" t="s">
        <v>28</v>
      </c>
      <c r="L2431" s="585">
        <f t="shared" ref="L2431:Q2431" si="344">SUM(L2390:L2430)</f>
        <v>100746468.66000001</v>
      </c>
      <c r="M2431" s="585">
        <f t="shared" si="344"/>
        <v>98843765.200000003</v>
      </c>
      <c r="N2431" s="586">
        <f t="shared" si="344"/>
        <v>1105839</v>
      </c>
      <c r="O2431" s="587">
        <f t="shared" si="344"/>
        <v>158705</v>
      </c>
      <c r="P2431" s="646">
        <f t="shared" si="344"/>
        <v>0</v>
      </c>
      <c r="Q2431" s="646">
        <f t="shared" si="344"/>
        <v>638159.46</v>
      </c>
      <c r="R2431" s="582" t="s">
        <v>28</v>
      </c>
      <c r="S2431" s="645">
        <f>L2431-M2431-N2431-O2431-P2431-Q2431</f>
        <v>8.3819031715393066E-9</v>
      </c>
      <c r="T2431" s="645"/>
      <c r="U2431" s="591"/>
      <c r="V2431" s="589"/>
      <c r="W2431" s="592"/>
      <c r="X2431" s="592"/>
      <c r="Y2431" s="592"/>
      <c r="Z2431" s="592"/>
    </row>
    <row r="2432" spans="1:26 16383:16383" s="28" customFormat="1" hidden="1">
      <c r="A2432" s="1347" t="s">
        <v>82</v>
      </c>
      <c r="B2432" s="1347"/>
      <c r="C2432" s="1347"/>
      <c r="D2432" s="1347"/>
      <c r="E2432" s="1347"/>
      <c r="F2432" s="1347"/>
      <c r="G2432" s="1347"/>
      <c r="H2432" s="1347"/>
      <c r="I2432" s="1347"/>
      <c r="J2432" s="1347"/>
      <c r="K2432" s="1347"/>
      <c r="L2432" s="1347"/>
      <c r="M2432" s="1347"/>
      <c r="N2432" s="1347"/>
      <c r="O2432" s="1347"/>
      <c r="P2432" s="1347"/>
      <c r="Q2432" s="1347"/>
      <c r="R2432" s="582"/>
      <c r="S2432" s="645"/>
      <c r="T2432" s="645"/>
      <c r="U2432" s="591"/>
      <c r="V2432" s="589"/>
      <c r="W2432" s="592"/>
      <c r="X2432" s="592"/>
      <c r="Y2432" s="592"/>
      <c r="Z2432" s="592"/>
    </row>
    <row r="2433" spans="1:26" s="99" customFormat="1" ht="37.5" hidden="1">
      <c r="A2433" s="735">
        <v>1</v>
      </c>
      <c r="B2433" s="785" t="s">
        <v>1092</v>
      </c>
      <c r="C2433" s="744" t="s">
        <v>221</v>
      </c>
      <c r="D2433" s="854">
        <v>887.6</v>
      </c>
      <c r="E2433" s="854">
        <v>746</v>
      </c>
      <c r="F2433" s="789" t="s">
        <v>222</v>
      </c>
      <c r="G2433" s="789">
        <f>(25*I2433)*13*1.2</f>
        <v>390</v>
      </c>
      <c r="H2433" s="643">
        <v>5</v>
      </c>
      <c r="I2433" s="643">
        <v>1</v>
      </c>
      <c r="J2433" s="643">
        <v>18</v>
      </c>
      <c r="K2433" s="855" t="s">
        <v>33</v>
      </c>
      <c r="L2433" s="740">
        <f>M2433+N2433+O2433+P2433+Q2433</f>
        <v>994353.75</v>
      </c>
      <c r="M2433" s="585">
        <v>965250</v>
      </c>
      <c r="N2433" s="742">
        <v>29103.75</v>
      </c>
      <c r="O2433" s="743"/>
      <c r="P2433" s="742"/>
      <c r="Q2433" s="586"/>
      <c r="R2433" s="744">
        <f>M2433/G2433</f>
        <v>2475</v>
      </c>
      <c r="S2433" s="645">
        <f>L2433-M2433-N2433-O2433-P2433-Q2433</f>
        <v>0</v>
      </c>
      <c r="T2433" s="791"/>
      <c r="U2433" s="791"/>
      <c r="V2433" s="589"/>
      <c r="W2433" s="791"/>
      <c r="X2433" s="791"/>
      <c r="Y2433" s="791"/>
      <c r="Z2433" s="791"/>
    </row>
    <row r="2434" spans="1:26" s="28" customFormat="1" hidden="1">
      <c r="A2434" s="1349" t="s">
        <v>83</v>
      </c>
      <c r="B2434" s="1349"/>
      <c r="C2434" s="592" t="s">
        <v>28</v>
      </c>
      <c r="D2434" s="646">
        <f>SUM(D2433)</f>
        <v>887.6</v>
      </c>
      <c r="E2434" s="646">
        <f>SUM(E2433)</f>
        <v>746</v>
      </c>
      <c r="F2434" s="646" t="s">
        <v>28</v>
      </c>
      <c r="G2434" s="646">
        <f>SUM(G2433)</f>
        <v>390</v>
      </c>
      <c r="H2434" s="582" t="s">
        <v>28</v>
      </c>
      <c r="I2434" s="582" t="s">
        <v>28</v>
      </c>
      <c r="J2434" s="646">
        <f>SUM(J2433)</f>
        <v>18</v>
      </c>
      <c r="K2434" s="772" t="s">
        <v>28</v>
      </c>
      <c r="L2434" s="585">
        <f t="shared" ref="L2434:Q2434" si="345">SUM(L2433)</f>
        <v>994353.75</v>
      </c>
      <c r="M2434" s="585">
        <f t="shared" si="345"/>
        <v>965250</v>
      </c>
      <c r="N2434" s="586">
        <f t="shared" si="345"/>
        <v>29103.75</v>
      </c>
      <c r="O2434" s="587">
        <f t="shared" si="345"/>
        <v>0</v>
      </c>
      <c r="P2434" s="646">
        <f t="shared" si="345"/>
        <v>0</v>
      </c>
      <c r="Q2434" s="646">
        <f t="shared" si="345"/>
        <v>0</v>
      </c>
      <c r="R2434" s="582" t="s">
        <v>28</v>
      </c>
      <c r="S2434" s="645">
        <f>L2434-M2434-N2434-O2434-P2434-Q2434</f>
        <v>0</v>
      </c>
      <c r="T2434" s="645"/>
      <c r="U2434" s="591"/>
      <c r="V2434" s="589"/>
      <c r="W2434" s="592"/>
      <c r="X2434" s="592"/>
      <c r="Y2434" s="592"/>
      <c r="Z2434" s="592"/>
    </row>
    <row r="2435" spans="1:26" s="28" customFormat="1" hidden="1">
      <c r="A2435" s="1347" t="s">
        <v>84</v>
      </c>
      <c r="B2435" s="1347"/>
      <c r="C2435" s="1347"/>
      <c r="D2435" s="1347"/>
      <c r="E2435" s="1347"/>
      <c r="F2435" s="1347"/>
      <c r="G2435" s="1347"/>
      <c r="H2435" s="1347"/>
      <c r="I2435" s="1347"/>
      <c r="J2435" s="1347"/>
      <c r="K2435" s="1347"/>
      <c r="L2435" s="1347"/>
      <c r="M2435" s="1347"/>
      <c r="N2435" s="1347"/>
      <c r="O2435" s="1347"/>
      <c r="P2435" s="1347"/>
      <c r="Q2435" s="1347"/>
      <c r="R2435" s="590"/>
      <c r="S2435" s="645"/>
      <c r="T2435" s="645"/>
      <c r="U2435" s="591"/>
      <c r="V2435" s="589"/>
      <c r="W2435" s="592"/>
      <c r="X2435" s="592"/>
      <c r="Y2435" s="592"/>
      <c r="Z2435" s="592"/>
    </row>
    <row r="2436" spans="1:26" s="28" customFormat="1" hidden="1">
      <c r="A2436" s="667">
        <v>1</v>
      </c>
      <c r="B2436" s="592" t="s">
        <v>2057</v>
      </c>
      <c r="C2436" s="874" t="s">
        <v>221</v>
      </c>
      <c r="D2436" s="646">
        <v>6344</v>
      </c>
      <c r="E2436" s="646">
        <v>1132.08</v>
      </c>
      <c r="F2436" s="646" t="s">
        <v>222</v>
      </c>
      <c r="G2436" s="646">
        <v>1114.78</v>
      </c>
      <c r="H2436" s="582">
        <v>2</v>
      </c>
      <c r="I2436" s="582">
        <v>3</v>
      </c>
      <c r="J2436" s="582">
        <v>18</v>
      </c>
      <c r="K2436" s="590" t="s">
        <v>33</v>
      </c>
      <c r="L2436" s="740">
        <f>M2436+N2436+O2436+P2436+Q2436</f>
        <v>2473235.6800000002</v>
      </c>
      <c r="M2436" s="741">
        <v>2407289</v>
      </c>
      <c r="N2436" s="753">
        <v>35037</v>
      </c>
      <c r="O2436" s="743"/>
      <c r="P2436" s="742"/>
      <c r="Q2436" s="586">
        <v>30909.68</v>
      </c>
      <c r="R2436" s="744">
        <f>M2436/G2436</f>
        <v>2159.4296632519422</v>
      </c>
      <c r="S2436" s="645">
        <f>L2436-M2436-N2436-O2436-P2436-Q2436</f>
        <v>1.673470251262188E-10</v>
      </c>
      <c r="T2436" s="645"/>
      <c r="U2436" s="591"/>
      <c r="V2436" s="589"/>
      <c r="W2436" s="592"/>
      <c r="X2436" s="592"/>
      <c r="Y2436" s="592"/>
      <c r="Z2436" s="592"/>
    </row>
    <row r="2437" spans="1:26" s="28" customFormat="1" hidden="1">
      <c r="A2437" s="735">
        <f>A2436+1</f>
        <v>2</v>
      </c>
      <c r="B2437" s="592" t="s">
        <v>2058</v>
      </c>
      <c r="C2437" s="814" t="s">
        <v>221</v>
      </c>
      <c r="D2437" s="646">
        <f>E2437*2.9</f>
        <v>1995.2</v>
      </c>
      <c r="E2437" s="646">
        <v>688</v>
      </c>
      <c r="F2437" s="646" t="s">
        <v>228</v>
      </c>
      <c r="G2437" s="646">
        <v>770</v>
      </c>
      <c r="H2437" s="582">
        <v>2</v>
      </c>
      <c r="I2437" s="582">
        <v>3</v>
      </c>
      <c r="J2437" s="582">
        <v>22</v>
      </c>
      <c r="K2437" s="590" t="s">
        <v>268</v>
      </c>
      <c r="L2437" s="584">
        <f>M2437+N2437+O2437+P2437+Q2437</f>
        <v>455064.03</v>
      </c>
      <c r="M2437" s="596">
        <v>440000</v>
      </c>
      <c r="N2437" s="597"/>
      <c r="O2437" s="1054">
        <v>10890</v>
      </c>
      <c r="P2437" s="597"/>
      <c r="Q2437" s="586">
        <v>4174.03</v>
      </c>
      <c r="R2437" s="582">
        <f>M2437/J2437</f>
        <v>20000</v>
      </c>
      <c r="S2437" s="645">
        <f>L2437-M2437-N2437-O2437-P2437-Q2437</f>
        <v>2.8194335754960775E-11</v>
      </c>
      <c r="T2437" s="645"/>
      <c r="U2437" s="591"/>
      <c r="V2437" s="589"/>
      <c r="W2437" s="592"/>
      <c r="X2437" s="592"/>
      <c r="Y2437" s="592"/>
      <c r="Z2437" s="592"/>
    </row>
    <row r="2438" spans="1:26" s="28" customFormat="1" ht="37.5" hidden="1">
      <c r="A2438" s="590">
        <f>A2437+1</f>
        <v>3</v>
      </c>
      <c r="B2438" s="592" t="s">
        <v>2059</v>
      </c>
      <c r="C2438" s="814" t="s">
        <v>221</v>
      </c>
      <c r="D2438" s="646">
        <v>841</v>
      </c>
      <c r="E2438" s="646">
        <v>290</v>
      </c>
      <c r="F2438" s="646" t="s">
        <v>228</v>
      </c>
      <c r="G2438" s="646">
        <v>544</v>
      </c>
      <c r="H2438" s="599">
        <v>2</v>
      </c>
      <c r="I2438" s="599">
        <v>2</v>
      </c>
      <c r="J2438" s="582">
        <v>16</v>
      </c>
      <c r="K2438" s="590" t="s">
        <v>30</v>
      </c>
      <c r="L2438" s="740">
        <f>M2438+N2438+O2438+P2438+Q2438</f>
        <v>416349.71</v>
      </c>
      <c r="M2438" s="741">
        <v>400000</v>
      </c>
      <c r="N2438" s="597"/>
      <c r="O2438" s="1054">
        <v>10321</v>
      </c>
      <c r="P2438" s="597"/>
      <c r="Q2438" s="586">
        <v>6028.71</v>
      </c>
      <c r="R2438" s="803">
        <f>M2438/J2438</f>
        <v>25000</v>
      </c>
      <c r="S2438" s="575">
        <f>L2438-M2438-N2438-O2438-P2438-Q2438</f>
        <v>2.0918378140777349E-11</v>
      </c>
      <c r="T2438" s="645"/>
      <c r="U2438" s="591"/>
      <c r="V2438" s="589"/>
      <c r="W2438" s="592"/>
      <c r="X2438" s="592"/>
      <c r="Y2438" s="592"/>
      <c r="Z2438" s="592"/>
    </row>
    <row r="2439" spans="1:26" s="28" customFormat="1" hidden="1">
      <c r="A2439" s="590">
        <v>4</v>
      </c>
      <c r="B2439" s="592" t="s">
        <v>2060</v>
      </c>
      <c r="C2439" s="814" t="s">
        <v>221</v>
      </c>
      <c r="D2439" s="646">
        <v>1557.3</v>
      </c>
      <c r="E2439" s="646">
        <v>537</v>
      </c>
      <c r="F2439" s="646" t="s">
        <v>228</v>
      </c>
      <c r="G2439" s="646">
        <v>592</v>
      </c>
      <c r="H2439" s="582">
        <v>2</v>
      </c>
      <c r="I2439" s="582">
        <v>1</v>
      </c>
      <c r="J2439" s="582">
        <v>16</v>
      </c>
      <c r="K2439" s="590" t="s">
        <v>224</v>
      </c>
      <c r="L2439" s="584">
        <f>M2439+N2439+O2439+P2439+Q2439</f>
        <v>378457.87</v>
      </c>
      <c r="M2439" s="596">
        <v>352000</v>
      </c>
      <c r="N2439" s="753">
        <v>21258</v>
      </c>
      <c r="O2439" s="743"/>
      <c r="P2439" s="742"/>
      <c r="Q2439" s="586">
        <v>5199.87</v>
      </c>
      <c r="R2439" s="803">
        <f>M2439/J2439</f>
        <v>22000</v>
      </c>
      <c r="S2439" s="575">
        <f>L2439-M2439-N2439-O2439-P2439-Q2439</f>
        <v>0</v>
      </c>
      <c r="T2439" s="645"/>
      <c r="U2439" s="591"/>
      <c r="V2439" s="589"/>
      <c r="W2439" s="592"/>
      <c r="X2439" s="592"/>
      <c r="Y2439" s="592"/>
      <c r="Z2439" s="592"/>
    </row>
    <row r="2440" spans="1:26" s="28" customFormat="1" hidden="1">
      <c r="A2440" s="1349" t="s">
        <v>135</v>
      </c>
      <c r="B2440" s="1349"/>
      <c r="C2440" s="593" t="s">
        <v>28</v>
      </c>
      <c r="D2440" s="646">
        <f>SUM(D2436:D2439)</f>
        <v>10737.5</v>
      </c>
      <c r="E2440" s="646">
        <f>SUM(E2436:E2439)</f>
        <v>2647.08</v>
      </c>
      <c r="F2440" s="646" t="s">
        <v>28</v>
      </c>
      <c r="G2440" s="646">
        <f>SUM(G2436:G2439)</f>
        <v>3020.7799999999997</v>
      </c>
      <c r="H2440" s="582" t="s">
        <v>28</v>
      </c>
      <c r="I2440" s="582" t="s">
        <v>28</v>
      </c>
      <c r="J2440" s="582">
        <f>SUM(J2436:J2439)</f>
        <v>72</v>
      </c>
      <c r="K2440" s="590" t="s">
        <v>28</v>
      </c>
      <c r="L2440" s="584">
        <f>SUM(L2436:L2439)</f>
        <v>3723107.29</v>
      </c>
      <c r="M2440" s="585">
        <f>SUM(M2436:M2439)</f>
        <v>3599289</v>
      </c>
      <c r="N2440" s="586">
        <f>SUM(N2436:N2439)</f>
        <v>56295</v>
      </c>
      <c r="O2440" s="587">
        <f>SUM(O2436:O2439)</f>
        <v>21211</v>
      </c>
      <c r="P2440" s="586"/>
      <c r="Q2440" s="586">
        <f>SUM(Q2436:Q2439)</f>
        <v>46312.29</v>
      </c>
      <c r="R2440" s="582" t="s">
        <v>28</v>
      </c>
      <c r="S2440" s="592"/>
      <c r="T2440" s="645"/>
      <c r="U2440" s="591"/>
      <c r="V2440" s="589"/>
      <c r="W2440" s="592"/>
      <c r="X2440" s="592"/>
      <c r="Y2440" s="592"/>
      <c r="Z2440" s="592"/>
    </row>
    <row r="2441" spans="1:26" s="28" customFormat="1" hidden="1">
      <c r="A2441" s="1347" t="s">
        <v>85</v>
      </c>
      <c r="B2441" s="1347"/>
      <c r="C2441" s="1347"/>
      <c r="D2441" s="1347"/>
      <c r="E2441" s="1347"/>
      <c r="F2441" s="1347"/>
      <c r="G2441" s="1347"/>
      <c r="H2441" s="1347"/>
      <c r="I2441" s="1347"/>
      <c r="J2441" s="1347"/>
      <c r="K2441" s="1347"/>
      <c r="L2441" s="1347"/>
      <c r="M2441" s="1347"/>
      <c r="N2441" s="1347"/>
      <c r="O2441" s="1347"/>
      <c r="P2441" s="1347"/>
      <c r="Q2441" s="1347"/>
      <c r="R2441" s="590"/>
      <c r="S2441" s="592"/>
      <c r="T2441" s="645"/>
      <c r="U2441" s="591"/>
      <c r="V2441" s="589"/>
      <c r="W2441" s="592"/>
      <c r="X2441" s="592"/>
      <c r="Y2441" s="592"/>
      <c r="Z2441" s="592"/>
    </row>
    <row r="2442" spans="1:26" s="530" customFormat="1" hidden="1">
      <c r="A2442" s="792">
        <v>1</v>
      </c>
      <c r="B2442" s="788" t="s">
        <v>2061</v>
      </c>
      <c r="C2442" s="744" t="s">
        <v>221</v>
      </c>
      <c r="D2442" s="789">
        <v>9486</v>
      </c>
      <c r="E2442" s="789">
        <v>2102</v>
      </c>
      <c r="F2442" s="789" t="s">
        <v>227</v>
      </c>
      <c r="G2442" s="789">
        <v>1440</v>
      </c>
      <c r="H2442" s="744">
        <v>5</v>
      </c>
      <c r="I2442" s="744">
        <v>6</v>
      </c>
      <c r="J2442" s="744">
        <v>60</v>
      </c>
      <c r="K2442" s="792" t="s">
        <v>33</v>
      </c>
      <c r="L2442" s="740">
        <f t="shared" ref="L2442:L2447" si="346">M2442+N2442+O2442+P2442+Q2442</f>
        <v>2633559</v>
      </c>
      <c r="M2442" s="741">
        <v>2592000</v>
      </c>
      <c r="N2442" s="742"/>
      <c r="O2442" s="1054">
        <v>21659</v>
      </c>
      <c r="P2442" s="742"/>
      <c r="Q2442" s="586">
        <v>19900</v>
      </c>
      <c r="R2442" s="744">
        <f t="shared" ref="R2442:R2447" si="347">M2442/G2442</f>
        <v>1800</v>
      </c>
      <c r="S2442" s="575">
        <f t="shared" ref="S2442:S2447" si="348">L2442-M2442-N2442-O2442-P2442-Q2442</f>
        <v>0</v>
      </c>
      <c r="T2442" s="788"/>
      <c r="U2442" s="791"/>
      <c r="V2442" s="589"/>
      <c r="W2442" s="788"/>
      <c r="X2442" s="788"/>
      <c r="Y2442" s="788"/>
      <c r="Z2442" s="788"/>
    </row>
    <row r="2443" spans="1:26" s="530" customFormat="1" hidden="1">
      <c r="A2443" s="792">
        <f>A2442+1</f>
        <v>2</v>
      </c>
      <c r="B2443" s="865" t="s">
        <v>2062</v>
      </c>
      <c r="C2443" s="744" t="s">
        <v>221</v>
      </c>
      <c r="D2443" s="789">
        <v>9368</v>
      </c>
      <c r="E2443" s="789">
        <f>(20*I2443)*13*1.3</f>
        <v>1014</v>
      </c>
      <c r="F2443" s="789" t="s">
        <v>227</v>
      </c>
      <c r="G2443" s="789">
        <v>1235</v>
      </c>
      <c r="H2443" s="744">
        <v>3</v>
      </c>
      <c r="I2443" s="744">
        <v>3</v>
      </c>
      <c r="J2443" s="744">
        <v>27</v>
      </c>
      <c r="K2443" s="590" t="s">
        <v>261</v>
      </c>
      <c r="L2443" s="740">
        <f t="shared" si="346"/>
        <v>4218371</v>
      </c>
      <c r="M2443" s="741">
        <v>4165173</v>
      </c>
      <c r="N2443" s="753">
        <v>33298</v>
      </c>
      <c r="O2443" s="743"/>
      <c r="P2443" s="742"/>
      <c r="Q2443" s="586">
        <v>19900</v>
      </c>
      <c r="R2443" s="582">
        <f t="shared" si="347"/>
        <v>3372.6097165991905</v>
      </c>
      <c r="S2443" s="575">
        <f t="shared" si="348"/>
        <v>0</v>
      </c>
      <c r="T2443" s="788"/>
      <c r="U2443" s="791"/>
      <c r="V2443" s="589"/>
      <c r="W2443" s="788"/>
      <c r="X2443" s="788"/>
      <c r="Y2443" s="788"/>
      <c r="Z2443" s="788"/>
    </row>
    <row r="2444" spans="1:26" s="530" customFormat="1" hidden="1">
      <c r="A2444" s="792">
        <v>3</v>
      </c>
      <c r="B2444" s="788" t="s">
        <v>2063</v>
      </c>
      <c r="C2444" s="744" t="s">
        <v>221</v>
      </c>
      <c r="D2444" s="789">
        <v>4719</v>
      </c>
      <c r="E2444" s="789">
        <f>(20*I2444)*13*1.3</f>
        <v>1014</v>
      </c>
      <c r="F2444" s="789" t="s">
        <v>227</v>
      </c>
      <c r="G2444" s="789">
        <v>851</v>
      </c>
      <c r="H2444" s="744">
        <v>2</v>
      </c>
      <c r="I2444" s="744">
        <v>3</v>
      </c>
      <c r="J2444" s="744">
        <v>22</v>
      </c>
      <c r="K2444" s="590" t="s">
        <v>261</v>
      </c>
      <c r="L2444" s="740">
        <f t="shared" si="346"/>
        <v>3031088</v>
      </c>
      <c r="M2444" s="741">
        <v>2978500</v>
      </c>
      <c r="N2444" s="753">
        <v>32688</v>
      </c>
      <c r="O2444" s="743"/>
      <c r="P2444" s="742"/>
      <c r="Q2444" s="586">
        <v>19900</v>
      </c>
      <c r="R2444" s="582">
        <f t="shared" si="347"/>
        <v>3500</v>
      </c>
      <c r="S2444" s="575">
        <f t="shared" si="348"/>
        <v>0</v>
      </c>
      <c r="T2444" s="788"/>
      <c r="U2444" s="791"/>
      <c r="V2444" s="589"/>
      <c r="W2444" s="788"/>
      <c r="X2444" s="788"/>
      <c r="Y2444" s="788"/>
      <c r="Z2444" s="788"/>
    </row>
    <row r="2445" spans="1:26" s="530" customFormat="1" hidden="1">
      <c r="A2445" s="792">
        <f>A2444+1</f>
        <v>4</v>
      </c>
      <c r="B2445" s="788" t="s">
        <v>2064</v>
      </c>
      <c r="C2445" s="744" t="s">
        <v>221</v>
      </c>
      <c r="D2445" s="789">
        <v>4306</v>
      </c>
      <c r="E2445" s="789">
        <f>(20*I2445)*13*1.3</f>
        <v>676</v>
      </c>
      <c r="F2445" s="789" t="s">
        <v>227</v>
      </c>
      <c r="G2445" s="789">
        <v>797</v>
      </c>
      <c r="H2445" s="744">
        <v>3</v>
      </c>
      <c r="I2445" s="744">
        <v>2</v>
      </c>
      <c r="J2445" s="744">
        <v>18</v>
      </c>
      <c r="K2445" s="590" t="s">
        <v>261</v>
      </c>
      <c r="L2445" s="740">
        <f t="shared" si="346"/>
        <v>2830471.28</v>
      </c>
      <c r="M2445" s="741">
        <v>2789500</v>
      </c>
      <c r="N2445" s="753">
        <v>27695</v>
      </c>
      <c r="O2445" s="743"/>
      <c r="P2445" s="742"/>
      <c r="Q2445" s="586">
        <v>13276.28</v>
      </c>
      <c r="R2445" s="582">
        <f t="shared" si="347"/>
        <v>3500</v>
      </c>
      <c r="S2445" s="575">
        <f t="shared" si="348"/>
        <v>-2.0554580260068178E-10</v>
      </c>
      <c r="T2445" s="788"/>
      <c r="U2445" s="791"/>
      <c r="V2445" s="589"/>
      <c r="W2445" s="788"/>
      <c r="X2445" s="788"/>
      <c r="Y2445" s="788"/>
      <c r="Z2445" s="788"/>
    </row>
    <row r="2446" spans="1:26" s="530" customFormat="1" hidden="1">
      <c r="A2446" s="792">
        <v>5</v>
      </c>
      <c r="B2446" s="788" t="s">
        <v>2065</v>
      </c>
      <c r="C2446" s="744" t="s">
        <v>221</v>
      </c>
      <c r="D2446" s="789">
        <v>6920</v>
      </c>
      <c r="E2446" s="789">
        <f>(20*I2446)*13*1.3</f>
        <v>676</v>
      </c>
      <c r="F2446" s="789" t="s">
        <v>227</v>
      </c>
      <c r="G2446" s="789">
        <v>719</v>
      </c>
      <c r="H2446" s="744">
        <v>4</v>
      </c>
      <c r="I2446" s="744">
        <v>2</v>
      </c>
      <c r="J2446" s="744">
        <v>24</v>
      </c>
      <c r="K2446" s="590" t="s">
        <v>261</v>
      </c>
      <c r="L2446" s="740">
        <f t="shared" si="346"/>
        <v>2562776</v>
      </c>
      <c r="M2446" s="741">
        <v>2516500</v>
      </c>
      <c r="N2446" s="753">
        <v>26376</v>
      </c>
      <c r="O2446" s="743"/>
      <c r="P2446" s="742"/>
      <c r="Q2446" s="586">
        <v>19900</v>
      </c>
      <c r="R2446" s="582">
        <f t="shared" si="347"/>
        <v>3500</v>
      </c>
      <c r="S2446" s="575">
        <f t="shared" si="348"/>
        <v>0</v>
      </c>
      <c r="T2446" s="788"/>
      <c r="U2446" s="791"/>
      <c r="V2446" s="589"/>
      <c r="W2446" s="788"/>
      <c r="X2446" s="788"/>
      <c r="Y2446" s="788"/>
      <c r="Z2446" s="788"/>
    </row>
    <row r="2447" spans="1:26" s="530" customFormat="1" hidden="1">
      <c r="A2447" s="792">
        <v>6</v>
      </c>
      <c r="B2447" s="788" t="s">
        <v>2066</v>
      </c>
      <c r="C2447" s="593" t="s">
        <v>221</v>
      </c>
      <c r="D2447" s="789">
        <v>7414</v>
      </c>
      <c r="E2447" s="789">
        <v>1214</v>
      </c>
      <c r="F2447" s="789" t="s">
        <v>222</v>
      </c>
      <c r="G2447" s="789">
        <v>680</v>
      </c>
      <c r="H2447" s="744">
        <v>4</v>
      </c>
      <c r="I2447" s="744">
        <v>2</v>
      </c>
      <c r="J2447" s="744">
        <v>53</v>
      </c>
      <c r="K2447" s="792" t="s">
        <v>33</v>
      </c>
      <c r="L2447" s="740">
        <f t="shared" si="346"/>
        <v>1409557.13</v>
      </c>
      <c r="M2447" s="741">
        <v>1360000</v>
      </c>
      <c r="N2447" s="753">
        <v>26699</v>
      </c>
      <c r="O2447" s="743"/>
      <c r="P2447" s="742"/>
      <c r="Q2447" s="586">
        <v>22858.13</v>
      </c>
      <c r="R2447" s="744">
        <f t="shared" si="347"/>
        <v>2000</v>
      </c>
      <c r="S2447" s="575">
        <f t="shared" si="348"/>
        <v>-1.127773430198431E-10</v>
      </c>
      <c r="T2447" s="788"/>
      <c r="U2447" s="791"/>
      <c r="V2447" s="589"/>
      <c r="W2447" s="788"/>
      <c r="X2447" s="788"/>
      <c r="Y2447" s="788"/>
      <c r="Z2447" s="788"/>
    </row>
    <row r="2448" spans="1:26" s="28" customFormat="1" hidden="1">
      <c r="A2448" s="1349" t="s">
        <v>86</v>
      </c>
      <c r="B2448" s="1349"/>
      <c r="C2448" s="593" t="s">
        <v>28</v>
      </c>
      <c r="D2448" s="646">
        <f>SUM(D2442:D2447)</f>
        <v>42213</v>
      </c>
      <c r="E2448" s="646">
        <f>SUM(E2442:E2447)</f>
        <v>6696</v>
      </c>
      <c r="F2448" s="646" t="s">
        <v>28</v>
      </c>
      <c r="G2448" s="646">
        <f>SUM(G2442:G2447)</f>
        <v>5722</v>
      </c>
      <c r="H2448" s="582" t="s">
        <v>28</v>
      </c>
      <c r="I2448" s="582" t="s">
        <v>28</v>
      </c>
      <c r="J2448" s="646">
        <f>SUM(J2442:J2447)</f>
        <v>204</v>
      </c>
      <c r="K2448" s="590" t="s">
        <v>28</v>
      </c>
      <c r="L2448" s="584">
        <f t="shared" ref="L2448:Q2448" si="349">SUM(L2442:L2447)</f>
        <v>16685822.41</v>
      </c>
      <c r="M2448" s="585">
        <f t="shared" si="349"/>
        <v>16401673</v>
      </c>
      <c r="N2448" s="586">
        <f t="shared" si="349"/>
        <v>146756</v>
      </c>
      <c r="O2448" s="587">
        <f t="shared" si="349"/>
        <v>21659</v>
      </c>
      <c r="P2448" s="646">
        <f t="shared" si="349"/>
        <v>0</v>
      </c>
      <c r="Q2448" s="586">
        <f t="shared" si="349"/>
        <v>115734.41</v>
      </c>
      <c r="R2448" s="582" t="s">
        <v>28</v>
      </c>
      <c r="S2448" s="592"/>
      <c r="T2448" s="645"/>
      <c r="U2448" s="591"/>
      <c r="V2448" s="589"/>
      <c r="W2448" s="592"/>
      <c r="X2448" s="592"/>
      <c r="Y2448" s="592"/>
      <c r="Z2448" s="592"/>
    </row>
    <row r="2449" spans="1:26" s="28" customFormat="1" hidden="1">
      <c r="A2449" s="1347" t="s">
        <v>87</v>
      </c>
      <c r="B2449" s="1347"/>
      <c r="C2449" s="1347"/>
      <c r="D2449" s="1347"/>
      <c r="E2449" s="1347"/>
      <c r="F2449" s="1347"/>
      <c r="G2449" s="1347"/>
      <c r="H2449" s="1347"/>
      <c r="I2449" s="1347"/>
      <c r="J2449" s="1347"/>
      <c r="K2449" s="1347"/>
      <c r="L2449" s="1347"/>
      <c r="M2449" s="1347"/>
      <c r="N2449" s="1347"/>
      <c r="O2449" s="1347"/>
      <c r="P2449" s="1347"/>
      <c r="Q2449" s="1347"/>
      <c r="R2449" s="590"/>
      <c r="S2449" s="592"/>
      <c r="T2449" s="645"/>
      <c r="U2449" s="591"/>
      <c r="V2449" s="589"/>
      <c r="W2449" s="592"/>
      <c r="X2449" s="592"/>
      <c r="Y2449" s="592"/>
      <c r="Z2449" s="592"/>
    </row>
    <row r="2450" spans="1:26" s="90" customFormat="1" ht="37.5" hidden="1">
      <c r="A2450" s="697">
        <v>1</v>
      </c>
      <c r="B2450" s="873" t="s">
        <v>2067</v>
      </c>
      <c r="C2450" s="874" t="s">
        <v>221</v>
      </c>
      <c r="D2450" s="849">
        <v>3009</v>
      </c>
      <c r="E2450" s="849">
        <v>311.22000000000003</v>
      </c>
      <c r="F2450" s="849" t="s">
        <v>222</v>
      </c>
      <c r="G2450" s="849">
        <v>686</v>
      </c>
      <c r="H2450" s="852">
        <v>2</v>
      </c>
      <c r="I2450" s="852">
        <v>2</v>
      </c>
      <c r="J2450" s="852">
        <v>16</v>
      </c>
      <c r="K2450" s="590" t="s">
        <v>237</v>
      </c>
      <c r="L2450" s="584">
        <f>M2450+N2450+O2450+P2450+Q2450</f>
        <v>422325.07</v>
      </c>
      <c r="M2450" s="596">
        <f>J2450*25000</f>
        <v>400000</v>
      </c>
      <c r="N2450" s="597"/>
      <c r="O2450" s="631">
        <v>11195</v>
      </c>
      <c r="P2450" s="597"/>
      <c r="Q2450" s="586">
        <v>11130.07</v>
      </c>
      <c r="R2450" s="582">
        <f>M2450/J2450</f>
        <v>25000</v>
      </c>
      <c r="S2450" s="575">
        <f>L2450-M2450-N2450-O2450-P2450-Q2450</f>
        <v>0</v>
      </c>
      <c r="T2450" s="748"/>
      <c r="U2450" s="737"/>
      <c r="V2450" s="589"/>
      <c r="W2450" s="748"/>
      <c r="X2450" s="748"/>
      <c r="Y2450" s="748"/>
      <c r="Z2450" s="748"/>
    </row>
    <row r="2451" spans="1:26" s="90" customFormat="1" ht="37.5" hidden="1">
      <c r="A2451" s="792">
        <f>A2450+1</f>
        <v>2</v>
      </c>
      <c r="B2451" s="873" t="s">
        <v>2068</v>
      </c>
      <c r="C2451" s="874" t="s">
        <v>221</v>
      </c>
      <c r="D2451" s="849">
        <v>3585</v>
      </c>
      <c r="E2451" s="849">
        <v>334.23</v>
      </c>
      <c r="F2451" s="849" t="s">
        <v>222</v>
      </c>
      <c r="G2451" s="849">
        <v>519.6</v>
      </c>
      <c r="H2451" s="852">
        <v>2</v>
      </c>
      <c r="I2451" s="852">
        <v>2</v>
      </c>
      <c r="J2451" s="852">
        <v>16</v>
      </c>
      <c r="K2451" s="590" t="s">
        <v>30</v>
      </c>
      <c r="L2451" s="584">
        <f>M2451+N2451+O2451+P2451+Q2451</f>
        <v>422862.07</v>
      </c>
      <c r="M2451" s="596">
        <f>J2451*25000</f>
        <v>400000</v>
      </c>
      <c r="N2451" s="597"/>
      <c r="O2451" s="631">
        <v>11732</v>
      </c>
      <c r="P2451" s="597"/>
      <c r="Q2451" s="586">
        <v>11130.07</v>
      </c>
      <c r="R2451" s="582">
        <f>M2451/J2451</f>
        <v>25000</v>
      </c>
      <c r="S2451" s="575">
        <f>L2451-M2451-N2451-O2451-P2451-Q2451</f>
        <v>0</v>
      </c>
      <c r="T2451" s="748"/>
      <c r="U2451" s="737"/>
      <c r="V2451" s="589"/>
      <c r="W2451" s="748"/>
      <c r="X2451" s="748"/>
      <c r="Y2451" s="748"/>
      <c r="Z2451" s="748"/>
    </row>
    <row r="2452" spans="1:26" s="90" customFormat="1" ht="37.5" hidden="1">
      <c r="A2452" s="792">
        <f>A2451+1</f>
        <v>3</v>
      </c>
      <c r="B2452" s="873" t="s">
        <v>2069</v>
      </c>
      <c r="C2452" s="874" t="s">
        <v>221</v>
      </c>
      <c r="D2452" s="849">
        <v>7481</v>
      </c>
      <c r="E2452" s="849">
        <v>313.3</v>
      </c>
      <c r="F2452" s="849" t="s">
        <v>222</v>
      </c>
      <c r="G2452" s="849">
        <v>808.9</v>
      </c>
      <c r="H2452" s="852">
        <v>2</v>
      </c>
      <c r="I2452" s="852">
        <v>3</v>
      </c>
      <c r="J2452" s="852">
        <v>22</v>
      </c>
      <c r="K2452" s="590" t="s">
        <v>237</v>
      </c>
      <c r="L2452" s="584">
        <f>M2452+N2452+O2452+P2452+Q2452</f>
        <v>582856.80000000005</v>
      </c>
      <c r="M2452" s="596">
        <f>J2452*25000</f>
        <v>550000</v>
      </c>
      <c r="N2452" s="597"/>
      <c r="O2452" s="631">
        <v>11523</v>
      </c>
      <c r="P2452" s="597"/>
      <c r="Q2452" s="586">
        <v>21333.8</v>
      </c>
      <c r="R2452" s="582">
        <f>M2452/J2452</f>
        <v>25000</v>
      </c>
      <c r="S2452" s="575">
        <f>L2452-M2452-N2452-O2452-P2452-Q2452</f>
        <v>4.7293724492192268E-11</v>
      </c>
      <c r="T2452" s="748"/>
      <c r="U2452" s="737"/>
      <c r="V2452" s="589"/>
      <c r="W2452" s="748"/>
      <c r="X2452" s="748"/>
      <c r="Y2452" s="748"/>
      <c r="Z2452" s="748"/>
    </row>
    <row r="2453" spans="1:26" s="28" customFormat="1" hidden="1">
      <c r="A2453" s="1349" t="s">
        <v>88</v>
      </c>
      <c r="B2453" s="1349"/>
      <c r="C2453" s="593" t="s">
        <v>28</v>
      </c>
      <c r="D2453" s="646">
        <f>SUM(D2450:D2452)</f>
        <v>14075</v>
      </c>
      <c r="E2453" s="646">
        <f>SUM(E2450:E2452)</f>
        <v>958.75</v>
      </c>
      <c r="F2453" s="646" t="s">
        <v>28</v>
      </c>
      <c r="G2453" s="646">
        <f>SUM(G2450:G2452)</f>
        <v>2014.5</v>
      </c>
      <c r="H2453" s="582" t="s">
        <v>28</v>
      </c>
      <c r="I2453" s="582" t="s">
        <v>28</v>
      </c>
      <c r="J2453" s="582">
        <f>SUM(J2450:J2452)</f>
        <v>54</v>
      </c>
      <c r="K2453" s="590" t="s">
        <v>28</v>
      </c>
      <c r="L2453" s="584">
        <f>SUM(L2450:L2452)</f>
        <v>1428043.94</v>
      </c>
      <c r="M2453" s="585">
        <f>SUM(M2450:M2452)</f>
        <v>1350000</v>
      </c>
      <c r="N2453" s="586"/>
      <c r="O2453" s="587">
        <f>SUM(O2450:O2452)</f>
        <v>34450</v>
      </c>
      <c r="P2453" s="586"/>
      <c r="Q2453" s="586">
        <f>SUM(Q2450:Q2452)</f>
        <v>43593.94</v>
      </c>
      <c r="R2453" s="582" t="s">
        <v>28</v>
      </c>
      <c r="S2453" s="592"/>
      <c r="T2453" s="645"/>
      <c r="U2453" s="591"/>
      <c r="V2453" s="589"/>
      <c r="W2453" s="592"/>
      <c r="X2453" s="592"/>
      <c r="Y2453" s="592"/>
      <c r="Z2453" s="592"/>
    </row>
    <row r="2454" spans="1:26" s="28" customFormat="1" hidden="1">
      <c r="A2454" s="1347" t="s">
        <v>89</v>
      </c>
      <c r="B2454" s="1347"/>
      <c r="C2454" s="1347"/>
      <c r="D2454" s="1347"/>
      <c r="E2454" s="1347"/>
      <c r="F2454" s="1347"/>
      <c r="G2454" s="1347"/>
      <c r="H2454" s="1347"/>
      <c r="I2454" s="1347"/>
      <c r="J2454" s="1347"/>
      <c r="K2454" s="1347"/>
      <c r="L2454" s="1347"/>
      <c r="M2454" s="1347"/>
      <c r="N2454" s="1347"/>
      <c r="O2454" s="1347"/>
      <c r="P2454" s="1347"/>
      <c r="Q2454" s="1347"/>
      <c r="R2454" s="590"/>
      <c r="S2454" s="592"/>
      <c r="T2454" s="645"/>
      <c r="U2454" s="591"/>
      <c r="V2454" s="589"/>
      <c r="W2454" s="592"/>
      <c r="X2454" s="592"/>
      <c r="Y2454" s="592"/>
      <c r="Z2454" s="592"/>
    </row>
    <row r="2455" spans="1:26" s="90" customFormat="1" hidden="1">
      <c r="A2455" s="792">
        <v>1</v>
      </c>
      <c r="B2455" s="875" t="s">
        <v>2070</v>
      </c>
      <c r="C2455" s="814" t="s">
        <v>217</v>
      </c>
      <c r="D2455" s="815">
        <v>15996</v>
      </c>
      <c r="E2455" s="815">
        <v>3100.7</v>
      </c>
      <c r="F2455" s="815" t="s">
        <v>233</v>
      </c>
      <c r="G2455" s="815">
        <v>1114.7</v>
      </c>
      <c r="H2455" s="864">
        <v>5</v>
      </c>
      <c r="I2455" s="864">
        <v>6</v>
      </c>
      <c r="J2455" s="864">
        <v>90</v>
      </c>
      <c r="K2455" s="812" t="s">
        <v>33</v>
      </c>
      <c r="L2455" s="746">
        <f t="shared" ref="L2455:L2462" si="350">M2455+N2455+O2455+P2455+Q2455</f>
        <v>2271433</v>
      </c>
      <c r="M2455" s="745">
        <v>2229400</v>
      </c>
      <c r="N2455" s="747"/>
      <c r="O2455" s="631">
        <v>22133</v>
      </c>
      <c r="P2455" s="763"/>
      <c r="Q2455" s="586">
        <v>19900</v>
      </c>
      <c r="R2455" s="864">
        <f>M2455/G2455</f>
        <v>2000</v>
      </c>
      <c r="S2455" s="575">
        <f t="shared" ref="S2455:S2462" si="351">L2455-M2455-N2455-O2455-P2455-Q2455</f>
        <v>0</v>
      </c>
      <c r="T2455" s="748"/>
      <c r="U2455" s="1059"/>
      <c r="V2455" s="589"/>
      <c r="W2455" s="748"/>
      <c r="X2455" s="748"/>
      <c r="Y2455" s="748"/>
      <c r="Z2455" s="748"/>
    </row>
    <row r="2456" spans="1:26" s="90" customFormat="1" hidden="1">
      <c r="A2456" s="812">
        <f t="shared" ref="A2456:A2462" si="352">A2455+1</f>
        <v>2</v>
      </c>
      <c r="B2456" s="875" t="s">
        <v>2071</v>
      </c>
      <c r="C2456" s="814" t="s">
        <v>217</v>
      </c>
      <c r="D2456" s="815">
        <v>15772</v>
      </c>
      <c r="E2456" s="815">
        <v>3063</v>
      </c>
      <c r="F2456" s="789" t="s">
        <v>233</v>
      </c>
      <c r="G2456" s="815">
        <v>1118</v>
      </c>
      <c r="H2456" s="877">
        <v>5</v>
      </c>
      <c r="I2456" s="877">
        <v>6</v>
      </c>
      <c r="J2456" s="877">
        <v>90</v>
      </c>
      <c r="K2456" s="812" t="s">
        <v>33</v>
      </c>
      <c r="L2456" s="584">
        <f t="shared" si="350"/>
        <v>2277953</v>
      </c>
      <c r="M2456" s="585">
        <v>2236000</v>
      </c>
      <c r="N2456" s="586"/>
      <c r="O2456" s="631">
        <v>22053</v>
      </c>
      <c r="P2456" s="586"/>
      <c r="Q2456" s="586">
        <v>19900</v>
      </c>
      <c r="R2456" s="582">
        <f>M2456/G2456</f>
        <v>2000</v>
      </c>
      <c r="S2456" s="575">
        <f t="shared" si="351"/>
        <v>0</v>
      </c>
      <c r="T2456" s="748"/>
      <c r="U2456" s="737"/>
      <c r="V2456" s="589"/>
      <c r="W2456" s="748"/>
      <c r="X2456" s="748"/>
      <c r="Y2456" s="748"/>
      <c r="Z2456" s="748"/>
    </row>
    <row r="2457" spans="1:26" s="90" customFormat="1" ht="37.5" hidden="1">
      <c r="A2457" s="812">
        <f t="shared" si="352"/>
        <v>3</v>
      </c>
      <c r="B2457" s="875" t="s">
        <v>2072</v>
      </c>
      <c r="C2457" s="814" t="s">
        <v>217</v>
      </c>
      <c r="D2457" s="815">
        <v>14254</v>
      </c>
      <c r="E2457" s="815">
        <v>2500</v>
      </c>
      <c r="F2457" s="815" t="s">
        <v>233</v>
      </c>
      <c r="G2457" s="815">
        <v>914.3</v>
      </c>
      <c r="H2457" s="864">
        <v>5</v>
      </c>
      <c r="I2457" s="864">
        <v>4</v>
      </c>
      <c r="J2457" s="864">
        <v>60</v>
      </c>
      <c r="K2457" s="812" t="s">
        <v>237</v>
      </c>
      <c r="L2457" s="746">
        <f t="shared" si="350"/>
        <v>1249442.55</v>
      </c>
      <c r="M2457" s="745">
        <v>1200000</v>
      </c>
      <c r="N2457" s="586"/>
      <c r="O2457" s="631">
        <v>15124</v>
      </c>
      <c r="P2457" s="747"/>
      <c r="Q2457" s="586">
        <v>34318.550000000003</v>
      </c>
      <c r="R2457" s="864">
        <f>M2457/J2457</f>
        <v>20000</v>
      </c>
      <c r="S2457" s="575">
        <f t="shared" si="351"/>
        <v>0</v>
      </c>
      <c r="T2457" s="748"/>
      <c r="U2457" s="1059"/>
      <c r="V2457" s="589"/>
      <c r="W2457" s="748"/>
      <c r="X2457" s="748"/>
      <c r="Y2457" s="748"/>
      <c r="Z2457" s="748"/>
    </row>
    <row r="2458" spans="1:26" s="90" customFormat="1" ht="37.5" hidden="1">
      <c r="A2458" s="812">
        <f t="shared" si="352"/>
        <v>4</v>
      </c>
      <c r="B2458" s="875" t="s">
        <v>2073</v>
      </c>
      <c r="C2458" s="814" t="s">
        <v>217</v>
      </c>
      <c r="D2458" s="815">
        <v>17692</v>
      </c>
      <c r="E2458" s="815">
        <v>3278</v>
      </c>
      <c r="F2458" s="815" t="s">
        <v>233</v>
      </c>
      <c r="G2458" s="815">
        <v>1244</v>
      </c>
      <c r="H2458" s="864">
        <v>5</v>
      </c>
      <c r="I2458" s="864">
        <v>6</v>
      </c>
      <c r="J2458" s="864">
        <v>90</v>
      </c>
      <c r="K2458" s="812" t="s">
        <v>269</v>
      </c>
      <c r="L2458" s="746">
        <f t="shared" si="350"/>
        <v>1585256</v>
      </c>
      <c r="M2458" s="745">
        <v>1530000</v>
      </c>
      <c r="N2458" s="747"/>
      <c r="O2458" s="631">
        <v>15456</v>
      </c>
      <c r="P2458" s="747"/>
      <c r="Q2458" s="586">
        <v>39800</v>
      </c>
      <c r="R2458" s="864">
        <f>M2458/J2458</f>
        <v>17000</v>
      </c>
      <c r="S2458" s="575">
        <f t="shared" si="351"/>
        <v>0</v>
      </c>
      <c r="T2458" s="1094"/>
      <c r="U2458" s="737"/>
      <c r="V2458" s="589"/>
      <c r="W2458" s="748"/>
      <c r="X2458" s="748"/>
      <c r="Y2458" s="748"/>
      <c r="Z2458" s="748"/>
    </row>
    <row r="2459" spans="1:26" s="90" customFormat="1" ht="56.25" hidden="1">
      <c r="A2459" s="812">
        <f t="shared" si="352"/>
        <v>5</v>
      </c>
      <c r="B2459" s="875" t="s">
        <v>2074</v>
      </c>
      <c r="C2459" s="814" t="s">
        <v>221</v>
      </c>
      <c r="D2459" s="815">
        <v>13149</v>
      </c>
      <c r="E2459" s="815">
        <v>1650</v>
      </c>
      <c r="F2459" s="789" t="s">
        <v>222</v>
      </c>
      <c r="G2459" s="815">
        <v>1123</v>
      </c>
      <c r="H2459" s="864">
        <v>5</v>
      </c>
      <c r="I2459" s="864">
        <v>4</v>
      </c>
      <c r="J2459" s="864">
        <v>70</v>
      </c>
      <c r="K2459" s="812" t="s">
        <v>263</v>
      </c>
      <c r="L2459" s="746">
        <f t="shared" si="350"/>
        <v>3517005</v>
      </c>
      <c r="M2459" s="876">
        <v>3470000</v>
      </c>
      <c r="N2459" s="747"/>
      <c r="O2459" s="631">
        <v>17155</v>
      </c>
      <c r="P2459" s="747"/>
      <c r="Q2459" s="586">
        <v>29850</v>
      </c>
      <c r="R2459" s="599">
        <f>M2459/E2459</f>
        <v>2103.030303030303</v>
      </c>
      <c r="S2459" s="575">
        <f t="shared" si="351"/>
        <v>0</v>
      </c>
      <c r="T2459" s="1094"/>
      <c r="U2459" s="737"/>
      <c r="V2459" s="589"/>
      <c r="W2459" s="748"/>
      <c r="X2459" s="748"/>
      <c r="Y2459" s="748"/>
      <c r="Z2459" s="748"/>
    </row>
    <row r="2460" spans="1:26" s="90" customFormat="1" ht="37.5" hidden="1">
      <c r="A2460" s="812">
        <f t="shared" si="352"/>
        <v>6</v>
      </c>
      <c r="B2460" s="875" t="s">
        <v>2075</v>
      </c>
      <c r="C2460" s="814" t="s">
        <v>221</v>
      </c>
      <c r="D2460" s="815">
        <v>21660</v>
      </c>
      <c r="E2460" s="815">
        <v>3961.2</v>
      </c>
      <c r="F2460" s="789" t="s">
        <v>222</v>
      </c>
      <c r="G2460" s="815">
        <v>2206</v>
      </c>
      <c r="H2460" s="877">
        <v>5</v>
      </c>
      <c r="I2460" s="877">
        <v>6</v>
      </c>
      <c r="J2460" s="877">
        <v>73</v>
      </c>
      <c r="K2460" s="812" t="s">
        <v>262</v>
      </c>
      <c r="L2460" s="746">
        <f t="shared" si="350"/>
        <v>4482623</v>
      </c>
      <c r="M2460" s="741">
        <v>4412000</v>
      </c>
      <c r="N2460" s="753">
        <v>30823</v>
      </c>
      <c r="O2460" s="743"/>
      <c r="P2460" s="742"/>
      <c r="Q2460" s="586">
        <v>39800</v>
      </c>
      <c r="R2460" s="744">
        <f>M2460/G2460</f>
        <v>2000</v>
      </c>
      <c r="S2460" s="575">
        <f t="shared" si="351"/>
        <v>0</v>
      </c>
      <c r="T2460" s="1094"/>
      <c r="U2460" s="737"/>
      <c r="V2460" s="589"/>
      <c r="W2460" s="748"/>
      <c r="X2460" s="748"/>
      <c r="Y2460" s="748"/>
      <c r="Z2460" s="748"/>
    </row>
    <row r="2461" spans="1:26" s="90" customFormat="1" ht="37.5" hidden="1">
      <c r="A2461" s="812">
        <f t="shared" si="352"/>
        <v>7</v>
      </c>
      <c r="B2461" s="875" t="s">
        <v>2076</v>
      </c>
      <c r="C2461" s="814" t="s">
        <v>221</v>
      </c>
      <c r="D2461" s="815">
        <v>3313</v>
      </c>
      <c r="E2461" s="815">
        <v>893</v>
      </c>
      <c r="F2461" s="789" t="s">
        <v>222</v>
      </c>
      <c r="G2461" s="815">
        <v>845</v>
      </c>
      <c r="H2461" s="877">
        <v>2</v>
      </c>
      <c r="I2461" s="877">
        <v>2</v>
      </c>
      <c r="J2461" s="877">
        <v>16</v>
      </c>
      <c r="K2461" s="812" t="s">
        <v>262</v>
      </c>
      <c r="L2461" s="746">
        <f t="shared" si="350"/>
        <v>1738829.88</v>
      </c>
      <c r="M2461" s="741">
        <v>1692535</v>
      </c>
      <c r="N2461" s="753">
        <v>30153</v>
      </c>
      <c r="O2461" s="743"/>
      <c r="P2461" s="742"/>
      <c r="Q2461" s="586">
        <v>16141.88</v>
      </c>
      <c r="R2461" s="744">
        <f>M2461/G2461</f>
        <v>2003</v>
      </c>
      <c r="S2461" s="575">
        <f t="shared" si="351"/>
        <v>-1.1095835361629725E-10</v>
      </c>
      <c r="T2461" s="748"/>
      <c r="U2461" s="737"/>
      <c r="V2461" s="589"/>
      <c r="W2461" s="748"/>
      <c r="X2461" s="748"/>
      <c r="Y2461" s="748"/>
      <c r="Z2461" s="748"/>
    </row>
    <row r="2462" spans="1:26" s="90" customFormat="1" ht="37.5" hidden="1">
      <c r="A2462" s="812">
        <f t="shared" si="352"/>
        <v>8</v>
      </c>
      <c r="B2462" s="875" t="s">
        <v>2077</v>
      </c>
      <c r="C2462" s="814" t="s">
        <v>221</v>
      </c>
      <c r="D2462" s="815">
        <v>4826</v>
      </c>
      <c r="E2462" s="815">
        <v>1408.1</v>
      </c>
      <c r="F2462" s="815" t="s">
        <v>222</v>
      </c>
      <c r="G2462" s="815">
        <v>1200</v>
      </c>
      <c r="H2462" s="877">
        <v>2</v>
      </c>
      <c r="I2462" s="877">
        <v>3</v>
      </c>
      <c r="J2462" s="877">
        <v>24</v>
      </c>
      <c r="K2462" s="812" t="s">
        <v>262</v>
      </c>
      <c r="L2462" s="746">
        <f t="shared" si="350"/>
        <v>2575998.85</v>
      </c>
      <c r="M2462" s="741">
        <v>2520000</v>
      </c>
      <c r="N2462" s="753">
        <v>32486</v>
      </c>
      <c r="O2462" s="743"/>
      <c r="P2462" s="742"/>
      <c r="Q2462" s="586">
        <v>23512.85</v>
      </c>
      <c r="R2462" s="744">
        <f>M2462/G2462</f>
        <v>2100</v>
      </c>
      <c r="S2462" s="575">
        <f t="shared" si="351"/>
        <v>9.4587448984384537E-11</v>
      </c>
      <c r="T2462" s="748"/>
      <c r="U2462" s="1059"/>
      <c r="V2462" s="589"/>
      <c r="W2462" s="748"/>
      <c r="X2462" s="748"/>
      <c r="Y2462" s="748"/>
      <c r="Z2462" s="748"/>
    </row>
    <row r="2463" spans="1:26" s="28" customFormat="1" hidden="1">
      <c r="A2463" s="1349" t="s">
        <v>136</v>
      </c>
      <c r="B2463" s="1349"/>
      <c r="C2463" s="593" t="s">
        <v>28</v>
      </c>
      <c r="D2463" s="646">
        <f>SUM(D2455:D2462)</f>
        <v>106662</v>
      </c>
      <c r="E2463" s="646">
        <f>SUM(E2455:E2462)</f>
        <v>19854</v>
      </c>
      <c r="F2463" s="646" t="s">
        <v>28</v>
      </c>
      <c r="G2463" s="646">
        <f>SUM(G2455:G2462)</f>
        <v>9765</v>
      </c>
      <c r="H2463" s="582" t="s">
        <v>28</v>
      </c>
      <c r="I2463" s="582" t="s">
        <v>28</v>
      </c>
      <c r="J2463" s="582">
        <f>SUM(J2455:J2462)</f>
        <v>513</v>
      </c>
      <c r="K2463" s="606" t="s">
        <v>28</v>
      </c>
      <c r="L2463" s="584">
        <f>SUM(L2455:L2462)</f>
        <v>19698541.280000001</v>
      </c>
      <c r="M2463" s="585">
        <f>SUM(M2455:M2462)</f>
        <v>19289935</v>
      </c>
      <c r="N2463" s="586">
        <f>SUM(N2455:N2462)</f>
        <v>93462</v>
      </c>
      <c r="O2463" s="587">
        <f>SUM(O2455:O2462)</f>
        <v>91921</v>
      </c>
      <c r="P2463" s="586"/>
      <c r="Q2463" s="586">
        <f>SUM(Q2455:Q2462)</f>
        <v>223223.28</v>
      </c>
      <c r="R2463" s="582" t="s">
        <v>28</v>
      </c>
      <c r="S2463" s="592"/>
      <c r="T2463" s="645"/>
      <c r="U2463" s="591"/>
      <c r="V2463" s="589"/>
      <c r="W2463" s="592"/>
      <c r="X2463" s="592"/>
      <c r="Y2463" s="592"/>
      <c r="Z2463" s="592"/>
    </row>
    <row r="2464" spans="1:26" s="28" customFormat="1" hidden="1">
      <c r="A2464" s="1368" t="s">
        <v>160</v>
      </c>
      <c r="B2464" s="1368"/>
      <c r="C2464" s="1368"/>
      <c r="D2464" s="1368"/>
      <c r="E2464" s="1368"/>
      <c r="F2464" s="1368"/>
      <c r="G2464" s="1368"/>
      <c r="H2464" s="1368"/>
      <c r="I2464" s="1368"/>
      <c r="J2464" s="1368"/>
      <c r="K2464" s="1368"/>
      <c r="L2464" s="1368"/>
      <c r="M2464" s="1368"/>
      <c r="N2464" s="1368"/>
      <c r="O2464" s="1368"/>
      <c r="P2464" s="1368"/>
      <c r="Q2464" s="1368"/>
      <c r="R2464" s="556"/>
      <c r="S2464" s="564">
        <f>L2464-M2464-N2464-O2464-P2464-Q2464</f>
        <v>0</v>
      </c>
      <c r="T2464" s="577"/>
      <c r="U2464" s="591"/>
      <c r="V2464" s="589"/>
      <c r="W2464" s="592"/>
      <c r="X2464" s="592"/>
      <c r="Y2464" s="592"/>
      <c r="Z2464" s="592"/>
    </row>
    <row r="2465" spans="1:26" s="28" customFormat="1" hidden="1">
      <c r="A2465" s="1362" t="s">
        <v>161</v>
      </c>
      <c r="B2465" s="1362"/>
      <c r="C2465" s="582" t="s">
        <v>28</v>
      </c>
      <c r="D2465" s="586">
        <f>D2493+D2548+D2566+D2675+D2688+D2692+D2696+D2701+D2709+D2746+D2751+D2754+D2757+D2793+D2798+D2802+D2805+D2829+D2836+D2847+D2870+D2874+D2881</f>
        <v>5333728.7280509202</v>
      </c>
      <c r="E2465" s="586">
        <f>E2493+E2548+E2566+E2675+E2688+E2692+E2696+E2701+E2709+E2746+E2751+E2754+E2757+E2793+E2798+E2802+E2805+E2829+E2836+E2847+E2870+E2874+E2881</f>
        <v>1020800.54</v>
      </c>
      <c r="F2465" s="561" t="s">
        <v>28</v>
      </c>
      <c r="G2465" s="586">
        <f>G2493+G2548+G2566+G2675+G2688+G2692+G2696+G2701+G2709+G2746+G2751+G2754+G2757+G2793+G2798+G2802+G2805+G2829+G2836+G2847+G2870+G2874+G2881</f>
        <v>398223.03700000001</v>
      </c>
      <c r="H2465" s="561" t="s">
        <v>28</v>
      </c>
      <c r="I2465" s="561" t="s">
        <v>28</v>
      </c>
      <c r="J2465" s="582">
        <f>J2493+J2548+J2566+J2675+J2688+J2692+J2696+J2701+J2709+J2746+J2751+J2754+J2757+J2793+J2798+J2802+J2805+J2829+J2836+J2847+J2870+J2874+J2881</f>
        <v>27399</v>
      </c>
      <c r="K2465" s="590" t="s">
        <v>28</v>
      </c>
      <c r="L2465" s="584">
        <f t="shared" ref="L2465:Q2465" si="353">L2493+L2548+L2566+L2675+L2688+L2692+L2696+L2701+L2709+L2746+L2751+L2754+L2757+L2793+L2798+L2802+L2805+L2829+L2836+L2847+L2870+L2874+L2881</f>
        <v>1170359897.5799997</v>
      </c>
      <c r="M2465" s="585">
        <f t="shared" si="353"/>
        <v>1147953110.5</v>
      </c>
      <c r="N2465" s="586">
        <f t="shared" si="353"/>
        <v>13536978</v>
      </c>
      <c r="O2465" s="587">
        <f t="shared" si="353"/>
        <v>2967268.28</v>
      </c>
      <c r="P2465" s="586">
        <f t="shared" si="353"/>
        <v>0</v>
      </c>
      <c r="Q2465" s="586">
        <f t="shared" si="353"/>
        <v>5902540.7999999989</v>
      </c>
      <c r="R2465" s="582" t="s">
        <v>28</v>
      </c>
      <c r="S2465" s="564">
        <f>L2465-M2465-N2465-O2465-P2465-Q2465</f>
        <v>-3.1292438507080078E-7</v>
      </c>
      <c r="T2465" s="577" t="e">
        <f>'1.перечень МКД'!#REF!</f>
        <v>#REF!</v>
      </c>
      <c r="U2465" s="589" t="e">
        <f>L2465-T2465</f>
        <v>#REF!</v>
      </c>
      <c r="V2465" s="589"/>
      <c r="W2465" s="592"/>
      <c r="X2465" s="592"/>
      <c r="Y2465" s="592"/>
      <c r="Z2465" s="592"/>
    </row>
    <row r="2466" spans="1:26" s="28" customFormat="1" hidden="1">
      <c r="A2466" s="1347" t="s">
        <v>163</v>
      </c>
      <c r="B2466" s="1347"/>
      <c r="C2466" s="1347"/>
      <c r="D2466" s="1347"/>
      <c r="E2466" s="1347"/>
      <c r="F2466" s="1347"/>
      <c r="G2466" s="1347"/>
      <c r="H2466" s="1347"/>
      <c r="I2466" s="1347"/>
      <c r="J2466" s="1347"/>
      <c r="K2466" s="1347"/>
      <c r="L2466" s="1347"/>
      <c r="M2466" s="1347"/>
      <c r="N2466" s="1347"/>
      <c r="O2466" s="1347"/>
      <c r="P2466" s="1347"/>
      <c r="Q2466" s="1347"/>
      <c r="R2466" s="590"/>
      <c r="S2466" s="592"/>
      <c r="T2466" s="592"/>
      <c r="U2466" s="591"/>
      <c r="V2466" s="589"/>
      <c r="W2466" s="592"/>
      <c r="X2466" s="592"/>
      <c r="Y2466" s="592">
        <v>1</v>
      </c>
      <c r="Z2466" s="592"/>
    </row>
    <row r="2467" spans="1:26" s="28" customFormat="1" ht="37.5" hidden="1">
      <c r="A2467" s="591">
        <v>1</v>
      </c>
      <c r="B2467" s="827" t="s">
        <v>2092</v>
      </c>
      <c r="C2467" s="593" t="s">
        <v>282</v>
      </c>
      <c r="D2467" s="878">
        <v>15030</v>
      </c>
      <c r="E2467" s="878">
        <v>6292</v>
      </c>
      <c r="F2467" s="878" t="s">
        <v>233</v>
      </c>
      <c r="G2467" s="878">
        <v>437</v>
      </c>
      <c r="H2467" s="879">
        <v>9</v>
      </c>
      <c r="I2467" s="593">
        <v>1</v>
      </c>
      <c r="J2467" s="880">
        <v>58</v>
      </c>
      <c r="K2467" s="881" t="s">
        <v>219</v>
      </c>
      <c r="L2467" s="584">
        <f t="shared" ref="L2467:L2491" si="354">SUM(M2467:Q2467)</f>
        <v>2085000</v>
      </c>
      <c r="M2467" s="882">
        <v>2000000</v>
      </c>
      <c r="N2467" s="883">
        <v>85000</v>
      </c>
      <c r="O2467" s="884"/>
      <c r="P2467" s="883"/>
      <c r="Q2467" s="883"/>
      <c r="R2467" s="599">
        <f>M2467/I2467</f>
        <v>2000000</v>
      </c>
      <c r="S2467" s="575">
        <f t="shared" ref="S2467:S2493" si="355">L2467-M2467-N2467-O2467-P2467-Q2467</f>
        <v>0</v>
      </c>
      <c r="T2467" s="597"/>
      <c r="U2467" s="738">
        <v>2000000</v>
      </c>
      <c r="V2467" s="589">
        <f>M2467-U2467</f>
        <v>0</v>
      </c>
      <c r="W2467" s="592"/>
      <c r="X2467" s="592"/>
      <c r="Y2467" s="592">
        <v>1</v>
      </c>
      <c r="Z2467" s="592"/>
    </row>
    <row r="2468" spans="1:26" s="28" customFormat="1" ht="37.5" hidden="1">
      <c r="A2468" s="591">
        <f>A2467+1</f>
        <v>2</v>
      </c>
      <c r="B2468" s="827" t="s">
        <v>2096</v>
      </c>
      <c r="C2468" s="593" t="s">
        <v>217</v>
      </c>
      <c r="D2468" s="878">
        <v>15209</v>
      </c>
      <c r="E2468" s="878">
        <v>3139</v>
      </c>
      <c r="F2468" s="878" t="s">
        <v>233</v>
      </c>
      <c r="G2468" s="878">
        <v>783</v>
      </c>
      <c r="H2468" s="879">
        <v>9</v>
      </c>
      <c r="I2468" s="593">
        <v>2</v>
      </c>
      <c r="J2468" s="880">
        <v>72</v>
      </c>
      <c r="K2468" s="881" t="s">
        <v>219</v>
      </c>
      <c r="L2468" s="584">
        <f t="shared" si="354"/>
        <v>4106250</v>
      </c>
      <c r="M2468" s="882">
        <v>4000000</v>
      </c>
      <c r="N2468" s="883">
        <v>106250</v>
      </c>
      <c r="O2468" s="884"/>
      <c r="P2468" s="883"/>
      <c r="Q2468" s="883"/>
      <c r="R2468" s="599">
        <f>M2468/I2468</f>
        <v>2000000</v>
      </c>
      <c r="S2468" s="575">
        <f t="shared" si="355"/>
        <v>0</v>
      </c>
      <c r="T2468" s="597"/>
      <c r="U2468" s="738">
        <v>4000000</v>
      </c>
      <c r="V2468" s="589">
        <f t="shared" ref="V2468:V2492" si="356">M2468-U2468</f>
        <v>0</v>
      </c>
      <c r="W2468" s="592"/>
      <c r="X2468" s="592"/>
      <c r="Y2468" s="592">
        <v>1</v>
      </c>
      <c r="Z2468" s="592"/>
    </row>
    <row r="2469" spans="1:26" s="89" customFormat="1" ht="37.5" hidden="1">
      <c r="A2469" s="591">
        <f>A2468+1</f>
        <v>3</v>
      </c>
      <c r="B2469" s="827" t="s">
        <v>3968</v>
      </c>
      <c r="C2469" s="878" t="s">
        <v>3969</v>
      </c>
      <c r="D2469" s="645"/>
      <c r="E2469" s="645">
        <v>7430</v>
      </c>
      <c r="F2469" s="878" t="s">
        <v>3970</v>
      </c>
      <c r="G2469" s="888">
        <v>3900</v>
      </c>
      <c r="H2469" s="879">
        <v>9</v>
      </c>
      <c r="I2469" s="593">
        <v>10</v>
      </c>
      <c r="J2469" s="880">
        <v>313</v>
      </c>
      <c r="K2469" s="881" t="s">
        <v>219</v>
      </c>
      <c r="L2469" s="585">
        <f t="shared" si="354"/>
        <v>6127500</v>
      </c>
      <c r="M2469" s="882">
        <v>6000000</v>
      </c>
      <c r="N2469" s="883">
        <f>85000*1.5</f>
        <v>127500</v>
      </c>
      <c r="O2469" s="884"/>
      <c r="P2469" s="883"/>
      <c r="Q2469" s="883"/>
      <c r="R2469" s="744">
        <f>M2469/3</f>
        <v>2000000</v>
      </c>
      <c r="S2469" s="575">
        <f t="shared" si="355"/>
        <v>0</v>
      </c>
      <c r="T2469" s="597"/>
      <c r="U2469" s="1095">
        <v>6000000</v>
      </c>
      <c r="V2469" s="589">
        <f t="shared" si="356"/>
        <v>0</v>
      </c>
      <c r="W2469" s="592"/>
      <c r="X2469" s="592"/>
      <c r="Y2469" s="592">
        <v>1</v>
      </c>
      <c r="Z2469" s="592"/>
    </row>
    <row r="2470" spans="1:26" s="28" customFormat="1" hidden="1">
      <c r="A2470" s="591">
        <f t="shared" ref="A2470:A2492" si="357">A2469+1</f>
        <v>4</v>
      </c>
      <c r="B2470" s="827" t="s">
        <v>2078</v>
      </c>
      <c r="C2470" s="593" t="s">
        <v>217</v>
      </c>
      <c r="D2470" s="878">
        <v>31896</v>
      </c>
      <c r="E2470" s="878">
        <v>3714.9</v>
      </c>
      <c r="F2470" s="878" t="s">
        <v>233</v>
      </c>
      <c r="G2470" s="878">
        <v>1582</v>
      </c>
      <c r="H2470" s="879">
        <v>9</v>
      </c>
      <c r="I2470" s="593">
        <v>4</v>
      </c>
      <c r="J2470" s="880">
        <v>158</v>
      </c>
      <c r="K2470" s="881" t="s">
        <v>38</v>
      </c>
      <c r="L2470" s="584">
        <f t="shared" si="354"/>
        <v>3078732</v>
      </c>
      <c r="M2470" s="882">
        <v>3026162</v>
      </c>
      <c r="N2470" s="883"/>
      <c r="O2470" s="897">
        <v>22720</v>
      </c>
      <c r="P2470" s="883"/>
      <c r="Q2470" s="883">
        <v>29850</v>
      </c>
      <c r="R2470" s="599">
        <f>M2470/E2470</f>
        <v>814.60120057067479</v>
      </c>
      <c r="S2470" s="575">
        <f t="shared" si="355"/>
        <v>0</v>
      </c>
      <c r="T2470" s="597"/>
      <c r="U2470" s="738">
        <v>3026162</v>
      </c>
      <c r="V2470" s="589">
        <f t="shared" si="356"/>
        <v>0</v>
      </c>
      <c r="W2470" s="592"/>
      <c r="X2470" s="592"/>
      <c r="Y2470" s="592">
        <v>1</v>
      </c>
      <c r="Z2470" s="592"/>
    </row>
    <row r="2471" spans="1:26" s="28" customFormat="1" hidden="1">
      <c r="A2471" s="591">
        <f t="shared" si="357"/>
        <v>5</v>
      </c>
      <c r="B2471" s="827" t="s">
        <v>2079</v>
      </c>
      <c r="C2471" s="593" t="s">
        <v>282</v>
      </c>
      <c r="D2471" s="878">
        <v>14073</v>
      </c>
      <c r="E2471" s="878">
        <v>2745</v>
      </c>
      <c r="F2471" s="878" t="s">
        <v>233</v>
      </c>
      <c r="G2471" s="878">
        <v>1194</v>
      </c>
      <c r="H2471" s="879">
        <v>5</v>
      </c>
      <c r="I2471" s="593">
        <v>5</v>
      </c>
      <c r="J2471" s="880">
        <v>55</v>
      </c>
      <c r="K2471" s="881" t="s">
        <v>224</v>
      </c>
      <c r="L2471" s="584">
        <f t="shared" si="354"/>
        <v>1164068.3</v>
      </c>
      <c r="M2471" s="883">
        <v>1117686</v>
      </c>
      <c r="N2471" s="898">
        <v>33172</v>
      </c>
      <c r="O2471" s="884"/>
      <c r="P2471" s="883"/>
      <c r="Q2471" s="883">
        <v>13210.3</v>
      </c>
      <c r="R2471" s="599">
        <f>M2471/J2471</f>
        <v>20321.563636363637</v>
      </c>
      <c r="S2471" s="575">
        <f t="shared" si="355"/>
        <v>4.7293724492192268E-11</v>
      </c>
      <c r="T2471" s="597"/>
      <c r="U2471" s="738">
        <v>1210000</v>
      </c>
      <c r="V2471" s="589">
        <f t="shared" si="356"/>
        <v>-92314</v>
      </c>
      <c r="W2471" s="592"/>
      <c r="X2471" s="592"/>
      <c r="Y2471" s="592">
        <v>1</v>
      </c>
      <c r="Z2471" s="592"/>
    </row>
    <row r="2472" spans="1:26" s="28" customFormat="1" hidden="1">
      <c r="A2472" s="591">
        <f t="shared" si="357"/>
        <v>6</v>
      </c>
      <c r="B2472" s="827" t="s">
        <v>2080</v>
      </c>
      <c r="C2472" s="593" t="s">
        <v>282</v>
      </c>
      <c r="D2472" s="878">
        <v>38304</v>
      </c>
      <c r="E2472" s="878">
        <v>8927</v>
      </c>
      <c r="F2472" s="878" t="s">
        <v>233</v>
      </c>
      <c r="G2472" s="878">
        <v>2852</v>
      </c>
      <c r="H2472" s="879">
        <v>5</v>
      </c>
      <c r="I2472" s="593">
        <v>13</v>
      </c>
      <c r="J2472" s="880">
        <v>185</v>
      </c>
      <c r="K2472" s="881" t="s">
        <v>33</v>
      </c>
      <c r="L2472" s="584">
        <f t="shared" si="354"/>
        <v>5748371</v>
      </c>
      <c r="M2472" s="882">
        <f>G2472*2000</f>
        <v>5704000</v>
      </c>
      <c r="N2472" s="883"/>
      <c r="O2472" s="897">
        <v>24471</v>
      </c>
      <c r="P2472" s="883"/>
      <c r="Q2472" s="883">
        <v>19900</v>
      </c>
      <c r="R2472" s="599">
        <f t="shared" ref="R2472:R2479" si="358">M2472/G2472</f>
        <v>2000</v>
      </c>
      <c r="S2472" s="575">
        <f t="shared" si="355"/>
        <v>0</v>
      </c>
      <c r="T2472" s="597"/>
      <c r="U2472" s="738">
        <v>5704000</v>
      </c>
      <c r="V2472" s="589">
        <f t="shared" si="356"/>
        <v>0</v>
      </c>
      <c r="W2472" s="592"/>
      <c r="X2472" s="592"/>
      <c r="Y2472" s="592">
        <v>1</v>
      </c>
      <c r="Z2472" s="592"/>
    </row>
    <row r="2473" spans="1:26" s="28" customFormat="1" hidden="1">
      <c r="A2473" s="591">
        <f t="shared" si="357"/>
        <v>7</v>
      </c>
      <c r="B2473" s="827" t="s">
        <v>2081</v>
      </c>
      <c r="C2473" s="593" t="s">
        <v>282</v>
      </c>
      <c r="D2473" s="878">
        <v>11535</v>
      </c>
      <c r="E2473" s="878">
        <v>2517</v>
      </c>
      <c r="F2473" s="878" t="s">
        <v>233</v>
      </c>
      <c r="G2473" s="878">
        <v>960</v>
      </c>
      <c r="H2473" s="879">
        <v>5</v>
      </c>
      <c r="I2473" s="593">
        <v>2</v>
      </c>
      <c r="J2473" s="880">
        <v>120</v>
      </c>
      <c r="K2473" s="881" t="s">
        <v>33</v>
      </c>
      <c r="L2473" s="584">
        <f t="shared" si="354"/>
        <v>1961719</v>
      </c>
      <c r="M2473" s="882">
        <f>G2473*2000</f>
        <v>1920000</v>
      </c>
      <c r="N2473" s="883"/>
      <c r="O2473" s="897">
        <v>21819</v>
      </c>
      <c r="P2473" s="883"/>
      <c r="Q2473" s="883">
        <v>19900</v>
      </c>
      <c r="R2473" s="599">
        <f t="shared" si="358"/>
        <v>2000</v>
      </c>
      <c r="S2473" s="575">
        <f t="shared" si="355"/>
        <v>0</v>
      </c>
      <c r="T2473" s="597"/>
      <c r="U2473" s="738">
        <v>1920000</v>
      </c>
      <c r="V2473" s="589">
        <f t="shared" si="356"/>
        <v>0</v>
      </c>
      <c r="W2473" s="592"/>
      <c r="X2473" s="592"/>
      <c r="Y2473" s="592">
        <v>1</v>
      </c>
      <c r="Z2473" s="592"/>
    </row>
    <row r="2474" spans="1:26" s="28" customFormat="1" hidden="1">
      <c r="A2474" s="591">
        <f t="shared" si="357"/>
        <v>8</v>
      </c>
      <c r="B2474" s="827" t="s">
        <v>2082</v>
      </c>
      <c r="C2474" s="593" t="s">
        <v>282</v>
      </c>
      <c r="D2474" s="878">
        <v>5027</v>
      </c>
      <c r="E2474" s="878">
        <v>1149</v>
      </c>
      <c r="F2474" s="878" t="s">
        <v>230</v>
      </c>
      <c r="G2474" s="878">
        <v>573</v>
      </c>
      <c r="H2474" s="879">
        <v>4</v>
      </c>
      <c r="I2474" s="593">
        <v>2</v>
      </c>
      <c r="J2474" s="880">
        <v>32</v>
      </c>
      <c r="K2474" s="881" t="s">
        <v>33</v>
      </c>
      <c r="L2474" s="584">
        <f t="shared" si="354"/>
        <v>1612778.63</v>
      </c>
      <c r="M2474" s="882">
        <v>1566191</v>
      </c>
      <c r="N2474" s="898">
        <v>22095</v>
      </c>
      <c r="O2474" s="884"/>
      <c r="P2474" s="883"/>
      <c r="Q2474" s="883">
        <v>24492.63</v>
      </c>
      <c r="R2474" s="599">
        <f t="shared" si="358"/>
        <v>2733.3176265270508</v>
      </c>
      <c r="S2474" s="575">
        <f t="shared" si="355"/>
        <v>-1.127773430198431E-10</v>
      </c>
      <c r="T2474" s="597"/>
      <c r="U2474" s="738">
        <v>1604400</v>
      </c>
      <c r="V2474" s="589">
        <f t="shared" si="356"/>
        <v>-38209</v>
      </c>
      <c r="W2474" s="592"/>
      <c r="X2474" s="592"/>
      <c r="Y2474" s="592">
        <v>1</v>
      </c>
      <c r="Z2474" s="592"/>
    </row>
    <row r="2475" spans="1:26" s="28" customFormat="1" hidden="1">
      <c r="A2475" s="591">
        <f t="shared" si="357"/>
        <v>9</v>
      </c>
      <c r="B2475" s="827" t="s">
        <v>2083</v>
      </c>
      <c r="C2475" s="593" t="s">
        <v>282</v>
      </c>
      <c r="D2475" s="878">
        <v>5683</v>
      </c>
      <c r="E2475" s="878">
        <v>1214</v>
      </c>
      <c r="F2475" s="878" t="s">
        <v>230</v>
      </c>
      <c r="G2475" s="878">
        <v>885</v>
      </c>
      <c r="H2475" s="879">
        <v>3</v>
      </c>
      <c r="I2475" s="593">
        <v>3</v>
      </c>
      <c r="J2475" s="880">
        <v>31</v>
      </c>
      <c r="K2475" s="881" t="s">
        <v>33</v>
      </c>
      <c r="L2475" s="584">
        <f t="shared" si="354"/>
        <v>2277919.81</v>
      </c>
      <c r="M2475" s="882">
        <v>2221029</v>
      </c>
      <c r="N2475" s="898">
        <v>29202</v>
      </c>
      <c r="O2475" s="884"/>
      <c r="P2475" s="883"/>
      <c r="Q2475" s="883">
        <v>27688.81</v>
      </c>
      <c r="R2475" s="599">
        <f t="shared" si="358"/>
        <v>2509.6372881355933</v>
      </c>
      <c r="S2475" s="575">
        <f t="shared" si="355"/>
        <v>5.4569682106375694E-11</v>
      </c>
      <c r="T2475" s="597"/>
      <c r="U2475" s="738">
        <v>2478000</v>
      </c>
      <c r="V2475" s="589">
        <f t="shared" si="356"/>
        <v>-256971</v>
      </c>
      <c r="W2475" s="592"/>
      <c r="X2475" s="592"/>
      <c r="Y2475" s="592">
        <v>1</v>
      </c>
      <c r="Z2475" s="592"/>
    </row>
    <row r="2476" spans="1:26" s="28" customFormat="1" hidden="1">
      <c r="A2476" s="591">
        <f t="shared" si="357"/>
        <v>10</v>
      </c>
      <c r="B2476" s="827" t="s">
        <v>2084</v>
      </c>
      <c r="C2476" s="593" t="s">
        <v>282</v>
      </c>
      <c r="D2476" s="878">
        <v>5038</v>
      </c>
      <c r="E2476" s="878">
        <v>1227</v>
      </c>
      <c r="F2476" s="878" t="s">
        <v>230</v>
      </c>
      <c r="G2476" s="878">
        <v>571</v>
      </c>
      <c r="H2476" s="879">
        <v>4</v>
      </c>
      <c r="I2476" s="593">
        <v>2</v>
      </c>
      <c r="J2476" s="880">
        <v>30</v>
      </c>
      <c r="K2476" s="881" t="s">
        <v>33</v>
      </c>
      <c r="L2476" s="584">
        <f t="shared" si="354"/>
        <v>1645715.69</v>
      </c>
      <c r="M2476" s="882">
        <v>1608088</v>
      </c>
      <c r="N2476" s="898">
        <v>22095</v>
      </c>
      <c r="O2476" s="884"/>
      <c r="P2476" s="883"/>
      <c r="Q2476" s="883">
        <v>15532.69</v>
      </c>
      <c r="R2476" s="599">
        <f t="shared" si="358"/>
        <v>2816.2661996497372</v>
      </c>
      <c r="S2476" s="575">
        <f t="shared" si="355"/>
        <v>-5.6388671509921551E-11</v>
      </c>
      <c r="T2476" s="597"/>
      <c r="U2476" s="738">
        <v>1598800</v>
      </c>
      <c r="V2476" s="589">
        <f t="shared" si="356"/>
        <v>9288</v>
      </c>
      <c r="W2476" s="592"/>
      <c r="X2476" s="592"/>
      <c r="Y2476" s="592">
        <v>1</v>
      </c>
      <c r="Z2476" s="592"/>
    </row>
    <row r="2477" spans="1:26" s="28" customFormat="1" hidden="1">
      <c r="A2477" s="591">
        <f t="shared" si="357"/>
        <v>11</v>
      </c>
      <c r="B2477" s="827" t="s">
        <v>2085</v>
      </c>
      <c r="C2477" s="593" t="s">
        <v>282</v>
      </c>
      <c r="D2477" s="878">
        <v>19547</v>
      </c>
      <c r="E2477" s="878">
        <v>2403</v>
      </c>
      <c r="F2477" s="878" t="s">
        <v>230</v>
      </c>
      <c r="G2477" s="878">
        <v>1059</v>
      </c>
      <c r="H2477" s="879">
        <v>5</v>
      </c>
      <c r="I2477" s="593">
        <v>4</v>
      </c>
      <c r="J2477" s="880">
        <v>64</v>
      </c>
      <c r="K2477" s="881" t="s">
        <v>33</v>
      </c>
      <c r="L2477" s="584">
        <f t="shared" si="354"/>
        <v>2909108</v>
      </c>
      <c r="M2477" s="882">
        <v>2839450</v>
      </c>
      <c r="N2477" s="898">
        <v>29858</v>
      </c>
      <c r="O2477" s="884"/>
      <c r="P2477" s="883"/>
      <c r="Q2477" s="883">
        <v>39800</v>
      </c>
      <c r="R2477" s="599">
        <f t="shared" si="358"/>
        <v>2681.2559017941453</v>
      </c>
      <c r="S2477" s="575">
        <f t="shared" si="355"/>
        <v>0</v>
      </c>
      <c r="T2477" s="597"/>
      <c r="U2477" s="738">
        <v>2965200</v>
      </c>
      <c r="V2477" s="589">
        <f t="shared" si="356"/>
        <v>-125750</v>
      </c>
      <c r="W2477" s="592"/>
      <c r="X2477" s="592"/>
      <c r="Y2477" s="592">
        <v>1</v>
      </c>
      <c r="Z2477" s="592"/>
    </row>
    <row r="2478" spans="1:26" s="28" customFormat="1" hidden="1">
      <c r="A2478" s="591">
        <f t="shared" si="357"/>
        <v>12</v>
      </c>
      <c r="B2478" s="827" t="s">
        <v>2086</v>
      </c>
      <c r="C2478" s="593" t="s">
        <v>282</v>
      </c>
      <c r="D2478" s="878">
        <v>12972</v>
      </c>
      <c r="E2478" s="878">
        <v>2674</v>
      </c>
      <c r="F2478" s="878" t="s">
        <v>233</v>
      </c>
      <c r="G2478" s="878">
        <v>971</v>
      </c>
      <c r="H2478" s="879">
        <v>5</v>
      </c>
      <c r="I2478" s="593">
        <v>2</v>
      </c>
      <c r="J2478" s="880">
        <v>69</v>
      </c>
      <c r="K2478" s="881" t="s">
        <v>33</v>
      </c>
      <c r="L2478" s="584">
        <f t="shared" si="354"/>
        <v>1983608</v>
      </c>
      <c r="M2478" s="882">
        <f>G2478*2000</f>
        <v>1942000</v>
      </c>
      <c r="N2478" s="883"/>
      <c r="O2478" s="897">
        <v>21708</v>
      </c>
      <c r="P2478" s="883"/>
      <c r="Q2478" s="883">
        <v>19900</v>
      </c>
      <c r="R2478" s="599">
        <f t="shared" si="358"/>
        <v>2000</v>
      </c>
      <c r="S2478" s="575">
        <f t="shared" si="355"/>
        <v>0</v>
      </c>
      <c r="T2478" s="597"/>
      <c r="U2478" s="738">
        <v>1942000</v>
      </c>
      <c r="V2478" s="589">
        <f t="shared" si="356"/>
        <v>0</v>
      </c>
      <c r="W2478" s="592"/>
      <c r="X2478" s="592"/>
      <c r="Y2478" s="592">
        <v>1</v>
      </c>
      <c r="Z2478" s="592"/>
    </row>
    <row r="2479" spans="1:26" s="28" customFormat="1" hidden="1">
      <c r="A2479" s="591">
        <f t="shared" si="357"/>
        <v>13</v>
      </c>
      <c r="B2479" s="827" t="s">
        <v>2087</v>
      </c>
      <c r="C2479" s="593" t="s">
        <v>282</v>
      </c>
      <c r="D2479" s="878">
        <v>12967</v>
      </c>
      <c r="E2479" s="878">
        <v>2517</v>
      </c>
      <c r="F2479" s="878" t="s">
        <v>230</v>
      </c>
      <c r="G2479" s="878">
        <v>1144</v>
      </c>
      <c r="H2479" s="879">
        <v>5</v>
      </c>
      <c r="I2479" s="593">
        <v>4</v>
      </c>
      <c r="J2479" s="880">
        <v>68</v>
      </c>
      <c r="K2479" s="881" t="s">
        <v>33</v>
      </c>
      <c r="L2479" s="584">
        <f t="shared" si="354"/>
        <v>3010076</v>
      </c>
      <c r="M2479" s="882">
        <v>2942255</v>
      </c>
      <c r="N2479" s="898">
        <v>28021</v>
      </c>
      <c r="O2479" s="884"/>
      <c r="P2479" s="883"/>
      <c r="Q2479" s="883">
        <v>39800</v>
      </c>
      <c r="R2479" s="599">
        <f t="shared" si="358"/>
        <v>2571.9012237762236</v>
      </c>
      <c r="S2479" s="575">
        <f t="shared" si="355"/>
        <v>0</v>
      </c>
      <c r="T2479" s="597"/>
      <c r="U2479" s="738">
        <v>3203200</v>
      </c>
      <c r="V2479" s="589">
        <f t="shared" si="356"/>
        <v>-260945</v>
      </c>
      <c r="W2479" s="592"/>
      <c r="X2479" s="592"/>
      <c r="Y2479" s="592">
        <v>1</v>
      </c>
      <c r="Z2479" s="592"/>
    </row>
    <row r="2480" spans="1:26" s="28" customFormat="1" hidden="1">
      <c r="A2480" s="591">
        <f t="shared" si="357"/>
        <v>14</v>
      </c>
      <c r="B2480" s="827" t="s">
        <v>2088</v>
      </c>
      <c r="C2480" s="593" t="s">
        <v>282</v>
      </c>
      <c r="D2480" s="878">
        <v>15404</v>
      </c>
      <c r="E2480" s="878">
        <v>2547</v>
      </c>
      <c r="F2480" s="878" t="s">
        <v>230</v>
      </c>
      <c r="G2480" s="878">
        <v>1146</v>
      </c>
      <c r="H2480" s="879">
        <v>5</v>
      </c>
      <c r="I2480" s="593">
        <v>4</v>
      </c>
      <c r="J2480" s="880">
        <v>70</v>
      </c>
      <c r="K2480" s="881" t="s">
        <v>224</v>
      </c>
      <c r="L2480" s="584">
        <f t="shared" si="354"/>
        <v>1027723.47</v>
      </c>
      <c r="M2480" s="882">
        <v>981465</v>
      </c>
      <c r="N2480" s="898">
        <v>33909</v>
      </c>
      <c r="O2480" s="884"/>
      <c r="P2480" s="883"/>
      <c r="Q2480" s="883">
        <v>12349.47</v>
      </c>
      <c r="R2480" s="599">
        <f>M2480/J2480</f>
        <v>14020.928571428571</v>
      </c>
      <c r="S2480" s="575">
        <f t="shared" si="355"/>
        <v>-2.7284841053187847E-11</v>
      </c>
      <c r="T2480" s="597"/>
      <c r="U2480" s="738">
        <v>1540000</v>
      </c>
      <c r="V2480" s="589">
        <f t="shared" si="356"/>
        <v>-558535</v>
      </c>
      <c r="W2480" s="592"/>
      <c r="X2480" s="592"/>
      <c r="Y2480" s="592">
        <v>1</v>
      </c>
      <c r="Z2480" s="592"/>
    </row>
    <row r="2481" spans="1:26" s="28" customFormat="1" hidden="1">
      <c r="A2481" s="591">
        <f t="shared" si="357"/>
        <v>15</v>
      </c>
      <c r="B2481" s="827" t="s">
        <v>2089</v>
      </c>
      <c r="C2481" s="593" t="s">
        <v>282</v>
      </c>
      <c r="D2481" s="878">
        <v>12319</v>
      </c>
      <c r="E2481" s="878">
        <v>2239</v>
      </c>
      <c r="F2481" s="878" t="s">
        <v>222</v>
      </c>
      <c r="G2481" s="878">
        <v>975</v>
      </c>
      <c r="H2481" s="879">
        <v>5</v>
      </c>
      <c r="I2481" s="593">
        <v>4</v>
      </c>
      <c r="J2481" s="880">
        <v>66</v>
      </c>
      <c r="K2481" s="881" t="s">
        <v>33</v>
      </c>
      <c r="L2481" s="584">
        <f t="shared" si="354"/>
        <v>2708368.79</v>
      </c>
      <c r="M2481" s="882">
        <v>2642676</v>
      </c>
      <c r="N2481" s="898">
        <v>27712</v>
      </c>
      <c r="O2481" s="884"/>
      <c r="P2481" s="883"/>
      <c r="Q2481" s="883">
        <v>37980.79</v>
      </c>
      <c r="R2481" s="599">
        <f>M2481/G2481</f>
        <v>2710.436923076923</v>
      </c>
      <c r="S2481" s="575">
        <f t="shared" si="355"/>
        <v>0</v>
      </c>
      <c r="T2481" s="597"/>
      <c r="U2481" s="738">
        <v>2437500</v>
      </c>
      <c r="V2481" s="589">
        <f t="shared" si="356"/>
        <v>205176</v>
      </c>
      <c r="W2481" s="592"/>
      <c r="X2481" s="592"/>
      <c r="Y2481" s="592">
        <v>1</v>
      </c>
      <c r="Z2481" s="592"/>
    </row>
    <row r="2482" spans="1:26" s="28" customFormat="1" hidden="1">
      <c r="A2482" s="591">
        <f t="shared" si="357"/>
        <v>16</v>
      </c>
      <c r="B2482" s="827" t="s">
        <v>2090</v>
      </c>
      <c r="C2482" s="593" t="s">
        <v>282</v>
      </c>
      <c r="D2482" s="878">
        <v>12787</v>
      </c>
      <c r="E2482" s="878">
        <v>2314</v>
      </c>
      <c r="F2482" s="878" t="s">
        <v>230</v>
      </c>
      <c r="G2482" s="878">
        <v>1124</v>
      </c>
      <c r="H2482" s="879">
        <v>5</v>
      </c>
      <c r="I2482" s="593">
        <v>3</v>
      </c>
      <c r="J2482" s="880">
        <v>159</v>
      </c>
      <c r="K2482" s="881" t="s">
        <v>33</v>
      </c>
      <c r="L2482" s="584">
        <f t="shared" si="354"/>
        <v>3174450.68</v>
      </c>
      <c r="M2482" s="882">
        <v>3107092</v>
      </c>
      <c r="N2482" s="898">
        <v>27935</v>
      </c>
      <c r="O2482" s="884"/>
      <c r="P2482" s="883"/>
      <c r="Q2482" s="883">
        <v>39423.68</v>
      </c>
      <c r="R2482" s="599">
        <f>M2482/G2482</f>
        <v>2764.3167259786478</v>
      </c>
      <c r="S2482" s="575">
        <f t="shared" si="355"/>
        <v>1.673470251262188E-10</v>
      </c>
      <c r="T2482" s="597"/>
      <c r="U2482" s="738">
        <v>3147200</v>
      </c>
      <c r="V2482" s="589">
        <f t="shared" si="356"/>
        <v>-40108</v>
      </c>
      <c r="W2482" s="592"/>
      <c r="X2482" s="592"/>
      <c r="Y2482" s="592">
        <v>1</v>
      </c>
      <c r="Z2482" s="592"/>
    </row>
    <row r="2483" spans="1:26" s="28" customFormat="1" hidden="1">
      <c r="A2483" s="591">
        <f t="shared" si="357"/>
        <v>17</v>
      </c>
      <c r="B2483" s="827" t="s">
        <v>2091</v>
      </c>
      <c r="C2483" s="593" t="s">
        <v>282</v>
      </c>
      <c r="D2483" s="878">
        <v>24691</v>
      </c>
      <c r="E2483" s="878">
        <v>3559</v>
      </c>
      <c r="F2483" s="878" t="s">
        <v>230</v>
      </c>
      <c r="G2483" s="878">
        <v>1775</v>
      </c>
      <c r="H2483" s="879">
        <v>5</v>
      </c>
      <c r="I2483" s="593">
        <v>6</v>
      </c>
      <c r="J2483" s="880">
        <v>96</v>
      </c>
      <c r="K2483" s="881" t="s">
        <v>33</v>
      </c>
      <c r="L2483" s="584">
        <f t="shared" si="354"/>
        <v>4180906</v>
      </c>
      <c r="M2483" s="882">
        <v>4108899</v>
      </c>
      <c r="N2483" s="898">
        <v>32207</v>
      </c>
      <c r="O2483" s="884"/>
      <c r="P2483" s="883"/>
      <c r="Q2483" s="883">
        <v>39800</v>
      </c>
      <c r="R2483" s="599">
        <f>M2483/G2483</f>
        <v>2314.8726760563382</v>
      </c>
      <c r="S2483" s="575">
        <f t="shared" si="355"/>
        <v>0</v>
      </c>
      <c r="T2483" s="597"/>
      <c r="U2483" s="738">
        <v>4970000</v>
      </c>
      <c r="V2483" s="589">
        <f t="shared" si="356"/>
        <v>-861101</v>
      </c>
      <c r="W2483" s="592"/>
      <c r="X2483" s="592"/>
      <c r="Y2483" s="592">
        <v>1</v>
      </c>
      <c r="Z2483" s="592"/>
    </row>
    <row r="2484" spans="1:26" s="28" customFormat="1" hidden="1">
      <c r="A2484" s="591">
        <f t="shared" si="357"/>
        <v>18</v>
      </c>
      <c r="B2484" s="827" t="s">
        <v>2094</v>
      </c>
      <c r="C2484" s="593" t="s">
        <v>282</v>
      </c>
      <c r="D2484" s="878">
        <v>21062</v>
      </c>
      <c r="E2484" s="878">
        <v>3720</v>
      </c>
      <c r="F2484" s="878" t="s">
        <v>233</v>
      </c>
      <c r="G2484" s="878">
        <v>1382</v>
      </c>
      <c r="H2484" s="879">
        <v>5</v>
      </c>
      <c r="I2484" s="593">
        <v>5</v>
      </c>
      <c r="J2484" s="880">
        <v>74</v>
      </c>
      <c r="K2484" s="881" t="s">
        <v>224</v>
      </c>
      <c r="L2484" s="584">
        <f t="shared" si="354"/>
        <v>1424219.88</v>
      </c>
      <c r="M2484" s="882">
        <v>1369571</v>
      </c>
      <c r="N2484" s="898">
        <v>35358</v>
      </c>
      <c r="O2484" s="884"/>
      <c r="P2484" s="883"/>
      <c r="Q2484" s="883">
        <v>19290.88</v>
      </c>
      <c r="R2484" s="599">
        <f>M2484/J2484</f>
        <v>18507.716216216217</v>
      </c>
      <c r="S2484" s="575">
        <f t="shared" si="355"/>
        <v>-1.127773430198431E-10</v>
      </c>
      <c r="T2484" s="597"/>
      <c r="U2484" s="738">
        <v>1628000</v>
      </c>
      <c r="V2484" s="589">
        <f t="shared" si="356"/>
        <v>-258429</v>
      </c>
      <c r="W2484" s="592"/>
      <c r="X2484" s="592"/>
      <c r="Y2484" s="592">
        <v>1</v>
      </c>
      <c r="Z2484" s="592"/>
    </row>
    <row r="2485" spans="1:26" s="28" customFormat="1" hidden="1">
      <c r="A2485" s="591">
        <f t="shared" si="357"/>
        <v>19</v>
      </c>
      <c r="B2485" s="827" t="s">
        <v>2095</v>
      </c>
      <c r="C2485" s="593" t="s">
        <v>282</v>
      </c>
      <c r="D2485" s="878">
        <v>47162</v>
      </c>
      <c r="E2485" s="878">
        <v>7968</v>
      </c>
      <c r="F2485" s="878" t="s">
        <v>233</v>
      </c>
      <c r="G2485" s="878">
        <v>2930</v>
      </c>
      <c r="H2485" s="879">
        <v>5</v>
      </c>
      <c r="I2485" s="593">
        <v>12</v>
      </c>
      <c r="J2485" s="880">
        <v>165</v>
      </c>
      <c r="K2485" s="881" t="s">
        <v>33</v>
      </c>
      <c r="L2485" s="584">
        <f t="shared" si="354"/>
        <v>5768197</v>
      </c>
      <c r="M2485" s="882">
        <v>5722290</v>
      </c>
      <c r="N2485" s="883"/>
      <c r="O2485" s="897">
        <v>26007</v>
      </c>
      <c r="P2485" s="883"/>
      <c r="Q2485" s="883">
        <v>19900</v>
      </c>
      <c r="R2485" s="599">
        <f>M2485/G2485</f>
        <v>1953</v>
      </c>
      <c r="S2485" s="575">
        <f t="shared" si="355"/>
        <v>0</v>
      </c>
      <c r="T2485" s="597"/>
      <c r="U2485" s="738">
        <v>5722290</v>
      </c>
      <c r="V2485" s="589">
        <f t="shared" si="356"/>
        <v>0</v>
      </c>
      <c r="W2485" s="592"/>
      <c r="X2485" s="592"/>
      <c r="Y2485" s="592">
        <v>1</v>
      </c>
      <c r="Z2485" s="592"/>
    </row>
    <row r="2486" spans="1:26" s="28" customFormat="1" hidden="1">
      <c r="A2486" s="591">
        <f t="shared" si="357"/>
        <v>20</v>
      </c>
      <c r="B2486" s="827" t="s">
        <v>2097</v>
      </c>
      <c r="C2486" s="593" t="s">
        <v>282</v>
      </c>
      <c r="D2486" s="878">
        <v>20926</v>
      </c>
      <c r="E2486" s="878">
        <v>3191</v>
      </c>
      <c r="F2486" s="878" t="s">
        <v>233</v>
      </c>
      <c r="G2486" s="878">
        <v>1572</v>
      </c>
      <c r="H2486" s="879">
        <v>5</v>
      </c>
      <c r="I2486" s="593">
        <v>6</v>
      </c>
      <c r="J2486" s="880">
        <v>79</v>
      </c>
      <c r="K2486" s="881" t="s">
        <v>33</v>
      </c>
      <c r="L2486" s="584">
        <f t="shared" si="354"/>
        <v>3029104</v>
      </c>
      <c r="M2486" s="882">
        <v>2986800</v>
      </c>
      <c r="N2486" s="883"/>
      <c r="O2486" s="897">
        <v>22404</v>
      </c>
      <c r="P2486" s="883"/>
      <c r="Q2486" s="883">
        <v>19900</v>
      </c>
      <c r="R2486" s="599">
        <f>M2486/G2486</f>
        <v>1900</v>
      </c>
      <c r="S2486" s="575">
        <f t="shared" si="355"/>
        <v>0</v>
      </c>
      <c r="T2486" s="597"/>
      <c r="U2486" s="738">
        <v>2986800</v>
      </c>
      <c r="V2486" s="589">
        <f t="shared" si="356"/>
        <v>0</v>
      </c>
      <c r="W2486" s="592"/>
      <c r="X2486" s="592"/>
      <c r="Y2486" s="592">
        <v>1</v>
      </c>
      <c r="Z2486" s="592"/>
    </row>
    <row r="2487" spans="1:26" s="28" customFormat="1" hidden="1">
      <c r="A2487" s="591">
        <f t="shared" si="357"/>
        <v>21</v>
      </c>
      <c r="B2487" s="827" t="s">
        <v>2098</v>
      </c>
      <c r="C2487" s="593" t="s">
        <v>282</v>
      </c>
      <c r="D2487" s="878">
        <v>28611</v>
      </c>
      <c r="E2487" s="878">
        <v>5312</v>
      </c>
      <c r="F2487" s="878" t="s">
        <v>233</v>
      </c>
      <c r="G2487" s="878">
        <v>1767</v>
      </c>
      <c r="H2487" s="879">
        <v>5</v>
      </c>
      <c r="I2487" s="593">
        <v>8</v>
      </c>
      <c r="J2487" s="880">
        <v>88</v>
      </c>
      <c r="K2487" s="881" t="s">
        <v>224</v>
      </c>
      <c r="L2487" s="584">
        <f t="shared" si="354"/>
        <v>1616859</v>
      </c>
      <c r="M2487" s="882">
        <v>1557611</v>
      </c>
      <c r="N2487" s="898">
        <v>39348</v>
      </c>
      <c r="O2487" s="884"/>
      <c r="P2487" s="883"/>
      <c r="Q2487" s="883">
        <v>19900</v>
      </c>
      <c r="R2487" s="599">
        <f>M2487/J2487</f>
        <v>17700.125</v>
      </c>
      <c r="S2487" s="575">
        <f t="shared" si="355"/>
        <v>0</v>
      </c>
      <c r="T2487" s="597"/>
      <c r="U2487" s="738">
        <v>1936000</v>
      </c>
      <c r="V2487" s="589">
        <f t="shared" si="356"/>
        <v>-378389</v>
      </c>
      <c r="W2487" s="592"/>
      <c r="X2487" s="592"/>
      <c r="Y2487" s="592">
        <v>1</v>
      </c>
      <c r="Z2487" s="592"/>
    </row>
    <row r="2488" spans="1:26" s="28" customFormat="1" hidden="1">
      <c r="A2488" s="591">
        <f t="shared" si="357"/>
        <v>22</v>
      </c>
      <c r="B2488" s="827" t="s">
        <v>2099</v>
      </c>
      <c r="C2488" s="593" t="s">
        <v>282</v>
      </c>
      <c r="D2488" s="878">
        <v>4238</v>
      </c>
      <c r="E2488" s="878">
        <v>718</v>
      </c>
      <c r="F2488" s="878" t="s">
        <v>230</v>
      </c>
      <c r="G2488" s="878">
        <v>888</v>
      </c>
      <c r="H2488" s="879">
        <v>2</v>
      </c>
      <c r="I2488" s="593">
        <v>3</v>
      </c>
      <c r="J2488" s="880">
        <v>18</v>
      </c>
      <c r="K2488" s="881" t="s">
        <v>33</v>
      </c>
      <c r="L2488" s="584">
        <f t="shared" si="354"/>
        <v>2424467.4500000002</v>
      </c>
      <c r="M2488" s="882">
        <v>2371839</v>
      </c>
      <c r="N2488" s="898">
        <v>31980</v>
      </c>
      <c r="O2488" s="884"/>
      <c r="P2488" s="883"/>
      <c r="Q2488" s="883">
        <v>20648.45</v>
      </c>
      <c r="R2488" s="599">
        <f>M2488/G2488</f>
        <v>2670.989864864865</v>
      </c>
      <c r="S2488" s="575">
        <f t="shared" si="355"/>
        <v>1.8553691916167736E-10</v>
      </c>
      <c r="T2488" s="597"/>
      <c r="U2488" s="738">
        <v>2486400</v>
      </c>
      <c r="V2488" s="589">
        <f t="shared" si="356"/>
        <v>-114561</v>
      </c>
      <c r="W2488" s="592"/>
      <c r="X2488" s="592"/>
      <c r="Y2488" s="592">
        <v>1</v>
      </c>
      <c r="Z2488" s="592"/>
    </row>
    <row r="2489" spans="1:26" s="28" customFormat="1" hidden="1">
      <c r="A2489" s="591">
        <f t="shared" si="357"/>
        <v>23</v>
      </c>
      <c r="B2489" s="827" t="s">
        <v>2100</v>
      </c>
      <c r="C2489" s="593" t="s">
        <v>282</v>
      </c>
      <c r="D2489" s="878">
        <v>4019</v>
      </c>
      <c r="E2489" s="878">
        <v>773</v>
      </c>
      <c r="F2489" s="878" t="s">
        <v>233</v>
      </c>
      <c r="G2489" s="878">
        <v>787</v>
      </c>
      <c r="H2489" s="879">
        <v>2</v>
      </c>
      <c r="I2489" s="593">
        <v>3</v>
      </c>
      <c r="J2489" s="880">
        <v>18</v>
      </c>
      <c r="K2489" s="881" t="s">
        <v>38</v>
      </c>
      <c r="L2489" s="584">
        <f t="shared" si="354"/>
        <v>1642404.41</v>
      </c>
      <c r="M2489" s="882">
        <v>1604281</v>
      </c>
      <c r="N2489" s="883"/>
      <c r="O2489" s="897">
        <v>12622</v>
      </c>
      <c r="P2489" s="883"/>
      <c r="Q2489" s="883">
        <v>25501.41</v>
      </c>
      <c r="R2489" s="599">
        <f>M2489/E2489</f>
        <v>2075.3958602846055</v>
      </c>
      <c r="S2489" s="575">
        <f t="shared" si="355"/>
        <v>-8.3673512563109398E-11</v>
      </c>
      <c r="T2489" s="597"/>
      <c r="U2489" s="738">
        <v>1604281</v>
      </c>
      <c r="V2489" s="589">
        <f t="shared" si="356"/>
        <v>0</v>
      </c>
      <c r="W2489" s="592"/>
      <c r="X2489" s="592"/>
      <c r="Y2489" s="592">
        <v>1</v>
      </c>
      <c r="Z2489" s="592"/>
    </row>
    <row r="2490" spans="1:26" s="89" customFormat="1" ht="33.75" hidden="1">
      <c r="A2490" s="591">
        <f t="shared" si="357"/>
        <v>24</v>
      </c>
      <c r="B2490" s="827" t="s">
        <v>3966</v>
      </c>
      <c r="C2490" s="593" t="s">
        <v>229</v>
      </c>
      <c r="D2490" s="878"/>
      <c r="E2490" s="878">
        <v>645</v>
      </c>
      <c r="F2490" s="878" t="s">
        <v>222</v>
      </c>
      <c r="G2490" s="878">
        <v>324</v>
      </c>
      <c r="H2490" s="879">
        <v>2</v>
      </c>
      <c r="I2490" s="593">
        <v>1</v>
      </c>
      <c r="J2490" s="880">
        <v>8</v>
      </c>
      <c r="K2490" s="881" t="s">
        <v>33</v>
      </c>
      <c r="L2490" s="585">
        <f t="shared" si="354"/>
        <v>1172269</v>
      </c>
      <c r="M2490" s="882">
        <v>1132406</v>
      </c>
      <c r="N2490" s="898">
        <v>28728</v>
      </c>
      <c r="O2490" s="884"/>
      <c r="P2490" s="883"/>
      <c r="Q2490" s="898">
        <v>11135</v>
      </c>
      <c r="R2490" s="744">
        <f>M2490/G2490</f>
        <v>3495.0802469135801</v>
      </c>
      <c r="S2490" s="575">
        <f t="shared" si="355"/>
        <v>0</v>
      </c>
      <c r="T2490" s="597"/>
      <c r="U2490" s="1095">
        <v>972000</v>
      </c>
      <c r="V2490" s="589">
        <f t="shared" si="356"/>
        <v>160406</v>
      </c>
      <c r="W2490" s="592"/>
      <c r="X2490" s="592"/>
      <c r="Y2490" s="592">
        <v>1</v>
      </c>
      <c r="Z2490" s="592"/>
    </row>
    <row r="2491" spans="1:26" s="89" customFormat="1" ht="33.75" hidden="1">
      <c r="A2491" s="591">
        <f t="shared" si="357"/>
        <v>25</v>
      </c>
      <c r="B2491" s="827" t="s">
        <v>3967</v>
      </c>
      <c r="C2491" s="593" t="s">
        <v>282</v>
      </c>
      <c r="D2491" s="878"/>
      <c r="E2491" s="878">
        <v>3276</v>
      </c>
      <c r="F2491" s="878" t="s">
        <v>222</v>
      </c>
      <c r="G2491" s="878">
        <v>1156</v>
      </c>
      <c r="H2491" s="879">
        <v>5</v>
      </c>
      <c r="I2491" s="593">
        <v>4</v>
      </c>
      <c r="J2491" s="880">
        <v>70</v>
      </c>
      <c r="K2491" s="881" t="s">
        <v>33</v>
      </c>
      <c r="L2491" s="585">
        <f t="shared" si="354"/>
        <v>3267461</v>
      </c>
      <c r="M2491" s="882">
        <v>3201219</v>
      </c>
      <c r="N2491" s="898">
        <v>27760</v>
      </c>
      <c r="O2491" s="884"/>
      <c r="P2491" s="883"/>
      <c r="Q2491" s="898">
        <v>38482</v>
      </c>
      <c r="R2491" s="744">
        <f>M2491/G2491</f>
        <v>2769.2205882352941</v>
      </c>
      <c r="S2491" s="575">
        <f t="shared" si="355"/>
        <v>0</v>
      </c>
      <c r="T2491" s="597"/>
      <c r="U2491" s="1095">
        <v>3468000</v>
      </c>
      <c r="V2491" s="589">
        <f t="shared" si="356"/>
        <v>-266781</v>
      </c>
      <c r="W2491" s="592"/>
      <c r="X2491" s="592"/>
      <c r="Y2491" s="592">
        <v>1</v>
      </c>
      <c r="Z2491" s="592"/>
    </row>
    <row r="2492" spans="1:26" s="89" customFormat="1" hidden="1">
      <c r="A2492" s="591">
        <f t="shared" si="357"/>
        <v>26</v>
      </c>
      <c r="B2492" s="827" t="s">
        <v>1154</v>
      </c>
      <c r="C2492" s="593" t="s">
        <v>282</v>
      </c>
      <c r="D2492" s="878">
        <v>26490</v>
      </c>
      <c r="E2492" s="878">
        <v>10236.900000000001</v>
      </c>
      <c r="F2492" s="878" t="s">
        <v>233</v>
      </c>
      <c r="G2492" s="878">
        <v>1329</v>
      </c>
      <c r="H2492" s="879">
        <v>9</v>
      </c>
      <c r="I2492" s="593">
        <v>2</v>
      </c>
      <c r="J2492" s="880">
        <v>108</v>
      </c>
      <c r="K2492" s="881" t="s">
        <v>38</v>
      </c>
      <c r="L2492" s="746">
        <f>M2492+N2492+O2492+P2492+Q2492</f>
        <v>7017045</v>
      </c>
      <c r="M2492" s="882">
        <v>6965474</v>
      </c>
      <c r="N2492" s="883"/>
      <c r="O2492" s="897">
        <v>21571</v>
      </c>
      <c r="P2492" s="883"/>
      <c r="Q2492" s="630">
        <v>30000</v>
      </c>
      <c r="R2492" s="599">
        <f>M2492/E2492</f>
        <v>680.42805927575716</v>
      </c>
      <c r="S2492" s="575">
        <f t="shared" si="355"/>
        <v>0</v>
      </c>
      <c r="T2492" s="597"/>
      <c r="U2492" s="738">
        <v>4309107.2</v>
      </c>
      <c r="V2492" s="589">
        <f t="shared" si="356"/>
        <v>2656366.7999999998</v>
      </c>
      <c r="W2492" s="592"/>
      <c r="X2492" s="592"/>
      <c r="Y2492" s="592">
        <v>1</v>
      </c>
      <c r="Z2492" s="592"/>
    </row>
    <row r="2493" spans="1:26" s="28" customFormat="1" hidden="1">
      <c r="A2493" s="1349" t="s">
        <v>142</v>
      </c>
      <c r="B2493" s="1349"/>
      <c r="C2493" s="593" t="s">
        <v>28</v>
      </c>
      <c r="D2493" s="586">
        <f>SUM(D2467:D2492)</f>
        <v>404990</v>
      </c>
      <c r="E2493" s="586">
        <f>SUM(E2467:E2492)</f>
        <v>92447.799999999988</v>
      </c>
      <c r="F2493" s="593" t="s">
        <v>28</v>
      </c>
      <c r="G2493" s="586">
        <f>SUM(G2467:G2492)</f>
        <v>34066</v>
      </c>
      <c r="H2493" s="593" t="s">
        <v>28</v>
      </c>
      <c r="I2493" s="593" t="s">
        <v>28</v>
      </c>
      <c r="J2493" s="586">
        <f>SUM(J2467:J2492)</f>
        <v>2274</v>
      </c>
      <c r="K2493" s="590" t="s">
        <v>28</v>
      </c>
      <c r="L2493" s="585">
        <f t="shared" ref="L2493:Q2493" si="359">SUM(L2467:L2492)</f>
        <v>76164322.109999999</v>
      </c>
      <c r="M2493" s="585">
        <f t="shared" si="359"/>
        <v>74638484</v>
      </c>
      <c r="N2493" s="586">
        <f t="shared" si="359"/>
        <v>768130</v>
      </c>
      <c r="O2493" s="587">
        <f t="shared" si="359"/>
        <v>173322</v>
      </c>
      <c r="P2493" s="586">
        <f t="shared" si="359"/>
        <v>0</v>
      </c>
      <c r="Q2493" s="586">
        <f t="shared" si="359"/>
        <v>584386.11</v>
      </c>
      <c r="R2493" s="582" t="s">
        <v>28</v>
      </c>
      <c r="S2493" s="575">
        <f t="shared" si="355"/>
        <v>0</v>
      </c>
      <c r="T2493" s="577" t="e">
        <f>'1.перечень МКД'!#REF!</f>
        <v>#REF!</v>
      </c>
      <c r="U2493" s="589" t="e">
        <f>L2493-T2493</f>
        <v>#REF!</v>
      </c>
      <c r="V2493" s="589"/>
      <c r="W2493" s="592"/>
      <c r="X2493" s="592"/>
      <c r="Y2493" s="592">
        <v>1</v>
      </c>
      <c r="Z2493" s="592"/>
    </row>
    <row r="2494" spans="1:26" s="28" customFormat="1" hidden="1">
      <c r="A2494" s="1347" t="s">
        <v>164</v>
      </c>
      <c r="B2494" s="1347"/>
      <c r="C2494" s="1347"/>
      <c r="D2494" s="1347"/>
      <c r="E2494" s="1347"/>
      <c r="F2494" s="1347"/>
      <c r="G2494" s="1347"/>
      <c r="H2494" s="1347"/>
      <c r="I2494" s="1347"/>
      <c r="J2494" s="1347"/>
      <c r="K2494" s="1347"/>
      <c r="L2494" s="1347"/>
      <c r="M2494" s="1347"/>
      <c r="N2494" s="1347"/>
      <c r="O2494" s="1347"/>
      <c r="P2494" s="1347"/>
      <c r="Q2494" s="1347"/>
      <c r="R2494" s="590"/>
      <c r="S2494" s="592"/>
      <c r="T2494" s="592"/>
      <c r="U2494" s="591"/>
      <c r="V2494" s="589"/>
      <c r="W2494" s="592"/>
      <c r="X2494" s="592"/>
      <c r="Y2494" s="592">
        <v>1</v>
      </c>
      <c r="Z2494" s="592"/>
    </row>
    <row r="2495" spans="1:26" s="28" customFormat="1" ht="37.5" hidden="1">
      <c r="A2495" s="580">
        <v>1</v>
      </c>
      <c r="B2495" s="827" t="s">
        <v>2103</v>
      </c>
      <c r="C2495" s="593" t="s">
        <v>221</v>
      </c>
      <c r="D2495" s="878">
        <v>21140</v>
      </c>
      <c r="E2495" s="878">
        <v>4050</v>
      </c>
      <c r="F2495" s="878" t="s">
        <v>227</v>
      </c>
      <c r="G2495" s="878">
        <v>1051</v>
      </c>
      <c r="H2495" s="879">
        <v>9</v>
      </c>
      <c r="I2495" s="593">
        <v>1</v>
      </c>
      <c r="J2495" s="880">
        <v>143</v>
      </c>
      <c r="K2495" s="881" t="s">
        <v>219</v>
      </c>
      <c r="L2495" s="584">
        <f>SUM(M2495:Q2495)</f>
        <v>2085000</v>
      </c>
      <c r="M2495" s="882">
        <f>I2495*R2495</f>
        <v>2000000</v>
      </c>
      <c r="N2495" s="883">
        <v>85000</v>
      </c>
      <c r="O2495" s="884"/>
      <c r="P2495" s="883"/>
      <c r="Q2495" s="883"/>
      <c r="R2495" s="599">
        <v>2000000</v>
      </c>
      <c r="S2495" s="575">
        <f>L2495-M2495-N2495-O2495-P2495-Q2495</f>
        <v>0</v>
      </c>
      <c r="T2495" s="597"/>
      <c r="U2495" s="738"/>
      <c r="V2495" s="589">
        <v>2000000</v>
      </c>
      <c r="W2495" s="645">
        <f>V2495-M2495</f>
        <v>0</v>
      </c>
      <c r="X2495" s="592"/>
      <c r="Y2495" s="592">
        <v>1</v>
      </c>
      <c r="Z2495" s="592"/>
    </row>
    <row r="2496" spans="1:26" s="28" customFormat="1" ht="37.5" hidden="1">
      <c r="A2496" s="591">
        <f>A2495+1</f>
        <v>2</v>
      </c>
      <c r="B2496" s="827" t="s">
        <v>4074</v>
      </c>
      <c r="C2496" s="593" t="s">
        <v>217</v>
      </c>
      <c r="D2496" s="878">
        <v>16408</v>
      </c>
      <c r="E2496" s="878">
        <v>4356</v>
      </c>
      <c r="F2496" s="878" t="s">
        <v>227</v>
      </c>
      <c r="G2496" s="878">
        <v>788.8</v>
      </c>
      <c r="H2496" s="879">
        <v>9</v>
      </c>
      <c r="I2496" s="593">
        <v>2</v>
      </c>
      <c r="J2496" s="880">
        <v>88</v>
      </c>
      <c r="K2496" s="881" t="s">
        <v>219</v>
      </c>
      <c r="L2496" s="584">
        <f>SUM(M2496:Q2496)</f>
        <v>4106250</v>
      </c>
      <c r="M2496" s="882">
        <v>4000000</v>
      </c>
      <c r="N2496" s="898">
        <v>106250</v>
      </c>
      <c r="O2496" s="897"/>
      <c r="P2496" s="883"/>
      <c r="Q2496" s="883"/>
      <c r="R2496" s="599">
        <v>2000000</v>
      </c>
      <c r="S2496" s="575">
        <f>L2496-M2496-N2496-O2496-P2496-Q2496</f>
        <v>0</v>
      </c>
      <c r="T2496" s="597"/>
      <c r="U2496" s="738"/>
      <c r="V2496" s="589">
        <v>4000000</v>
      </c>
      <c r="W2496" s="645">
        <f t="shared" ref="W2496:W2547" si="360">V2496-M2496</f>
        <v>0</v>
      </c>
      <c r="X2496" s="592"/>
      <c r="Y2496" s="592">
        <v>1</v>
      </c>
      <c r="Z2496" s="592"/>
    </row>
    <row r="2497" spans="1:26" s="28" customFormat="1" ht="37.5" hidden="1">
      <c r="A2497" s="591">
        <f>A2496+1</f>
        <v>3</v>
      </c>
      <c r="B2497" s="827" t="s">
        <v>2119</v>
      </c>
      <c r="C2497" s="593" t="s">
        <v>217</v>
      </c>
      <c r="D2497" s="878">
        <v>39963</v>
      </c>
      <c r="E2497" s="878">
        <v>8730</v>
      </c>
      <c r="F2497" s="878" t="s">
        <v>227</v>
      </c>
      <c r="G2497" s="878">
        <v>1886</v>
      </c>
      <c r="H2497" s="879">
        <v>9</v>
      </c>
      <c r="I2497" s="593">
        <v>5</v>
      </c>
      <c r="J2497" s="880">
        <v>194</v>
      </c>
      <c r="K2497" s="881" t="s">
        <v>219</v>
      </c>
      <c r="L2497" s="584">
        <f>SUM(M2497:Q2497)</f>
        <v>10170000</v>
      </c>
      <c r="M2497" s="882">
        <v>10000000</v>
      </c>
      <c r="N2497" s="898">
        <v>170000</v>
      </c>
      <c r="O2497" s="897"/>
      <c r="P2497" s="883"/>
      <c r="Q2497" s="883"/>
      <c r="R2497" s="599">
        <v>2000000</v>
      </c>
      <c r="S2497" s="575">
        <f>L2497-M2497-N2497-O2497-P2497-Q2497</f>
        <v>0</v>
      </c>
      <c r="T2497" s="597"/>
      <c r="U2497" s="738"/>
      <c r="V2497" s="589">
        <v>10000000</v>
      </c>
      <c r="W2497" s="645">
        <f t="shared" si="360"/>
        <v>0</v>
      </c>
      <c r="X2497" s="592"/>
      <c r="Y2497" s="592">
        <v>1</v>
      </c>
      <c r="Z2497" s="592"/>
    </row>
    <row r="2498" spans="1:26" s="28" customFormat="1" ht="37.5" hidden="1">
      <c r="A2498" s="591">
        <f>A2497+1</f>
        <v>4</v>
      </c>
      <c r="B2498" s="827" t="s">
        <v>2120</v>
      </c>
      <c r="C2498" s="593" t="s">
        <v>217</v>
      </c>
      <c r="D2498" s="878">
        <v>24885</v>
      </c>
      <c r="E2498" s="878">
        <v>2280</v>
      </c>
      <c r="F2498" s="878" t="s">
        <v>227</v>
      </c>
      <c r="G2498" s="878">
        <v>1132</v>
      </c>
      <c r="H2498" s="879">
        <v>9</v>
      </c>
      <c r="I2498" s="593">
        <v>3</v>
      </c>
      <c r="J2498" s="880">
        <v>122</v>
      </c>
      <c r="K2498" s="881" t="s">
        <v>219</v>
      </c>
      <c r="L2498" s="584">
        <f>SUM(M2498:Q2498)</f>
        <v>6127500</v>
      </c>
      <c r="M2498" s="882">
        <v>6000000</v>
      </c>
      <c r="N2498" s="630">
        <v>127500</v>
      </c>
      <c r="O2498" s="897"/>
      <c r="P2498" s="883"/>
      <c r="Q2498" s="883"/>
      <c r="R2498" s="599">
        <f>M2498/3</f>
        <v>2000000</v>
      </c>
      <c r="S2498" s="575">
        <f>L2498-M2498-N2498-O2498-P2498-Q2498</f>
        <v>0</v>
      </c>
      <c r="T2498" s="597"/>
      <c r="U2498" s="591"/>
      <c r="V2498" s="589">
        <v>6000000</v>
      </c>
      <c r="W2498" s="645">
        <f t="shared" si="360"/>
        <v>0</v>
      </c>
      <c r="X2498" s="592"/>
      <c r="Y2498" s="592">
        <v>1</v>
      </c>
      <c r="Z2498" s="592"/>
    </row>
    <row r="2499" spans="1:26" s="28" customFormat="1" hidden="1">
      <c r="A2499" s="591">
        <f>A2498+1</f>
        <v>5</v>
      </c>
      <c r="B2499" s="1388" t="s">
        <v>2130</v>
      </c>
      <c r="C2499" s="593" t="s">
        <v>217</v>
      </c>
      <c r="D2499" s="878">
        <v>70599</v>
      </c>
      <c r="E2499" s="878">
        <v>14664</v>
      </c>
      <c r="F2499" s="878" t="s">
        <v>227</v>
      </c>
      <c r="G2499" s="878">
        <v>3069</v>
      </c>
      <c r="H2499" s="879">
        <v>9</v>
      </c>
      <c r="I2499" s="593">
        <v>8</v>
      </c>
      <c r="J2499" s="880">
        <v>310</v>
      </c>
      <c r="K2499" s="881" t="s">
        <v>33</v>
      </c>
      <c r="L2499" s="1354">
        <f>M2499+N2499+O2499+Q2499+M2500+N2500+O2500+Q2500</f>
        <v>23036396</v>
      </c>
      <c r="M2499" s="882">
        <f>G2499*2200</f>
        <v>6751800</v>
      </c>
      <c r="N2499" s="898"/>
      <c r="O2499" s="884">
        <v>30946</v>
      </c>
      <c r="P2499" s="883"/>
      <c r="Q2499" s="883">
        <v>19900</v>
      </c>
      <c r="R2499" s="599">
        <f>M2499/G2499</f>
        <v>2200</v>
      </c>
      <c r="S2499" s="575">
        <f>L2499-M2499-N2499-O2499-P2499-Q2499</f>
        <v>16233750</v>
      </c>
      <c r="T2499" s="597"/>
      <c r="U2499" s="738">
        <v>30946</v>
      </c>
      <c r="V2499" s="589">
        <v>6751800</v>
      </c>
      <c r="W2499" s="645">
        <f t="shared" si="360"/>
        <v>0</v>
      </c>
      <c r="X2499" s="592"/>
      <c r="Y2499" s="592">
        <v>1</v>
      </c>
      <c r="Z2499" s="592"/>
    </row>
    <row r="2500" spans="1:26" s="28" customFormat="1" ht="37.5" hidden="1">
      <c r="A2500" s="591"/>
      <c r="B2500" s="1388"/>
      <c r="C2500" s="593"/>
      <c r="D2500" s="878"/>
      <c r="E2500" s="878"/>
      <c r="F2500" s="878"/>
      <c r="G2500" s="878"/>
      <c r="H2500" s="879"/>
      <c r="I2500" s="593"/>
      <c r="J2500" s="880"/>
      <c r="K2500" s="881" t="s">
        <v>219</v>
      </c>
      <c r="L2500" s="1354"/>
      <c r="M2500" s="912">
        <v>16000000</v>
      </c>
      <c r="N2500" s="898">
        <v>233750</v>
      </c>
      <c r="O2500" s="897"/>
      <c r="P2500" s="898"/>
      <c r="Q2500" s="898"/>
      <c r="R2500" s="599"/>
      <c r="S2500" s="575"/>
      <c r="T2500" s="597"/>
      <c r="U2500" s="738"/>
      <c r="V2500" s="589">
        <v>16000000</v>
      </c>
      <c r="W2500" s="645">
        <f t="shared" si="360"/>
        <v>0</v>
      </c>
      <c r="X2500" s="592"/>
      <c r="Y2500" s="592">
        <v>1</v>
      </c>
      <c r="Z2500" s="592"/>
    </row>
    <row r="2501" spans="1:26" s="28" customFormat="1" ht="37.5" hidden="1">
      <c r="A2501" s="591">
        <v>6</v>
      </c>
      <c r="B2501" s="827" t="s">
        <v>2134</v>
      </c>
      <c r="C2501" s="593" t="s">
        <v>217</v>
      </c>
      <c r="D2501" s="878">
        <v>36954</v>
      </c>
      <c r="E2501" s="878">
        <v>6566</v>
      </c>
      <c r="F2501" s="878" t="s">
        <v>227</v>
      </c>
      <c r="G2501" s="878">
        <v>1528</v>
      </c>
      <c r="H2501" s="879">
        <v>9</v>
      </c>
      <c r="I2501" s="593">
        <v>4</v>
      </c>
      <c r="J2501" s="880">
        <v>158</v>
      </c>
      <c r="K2501" s="881" t="s">
        <v>219</v>
      </c>
      <c r="L2501" s="584">
        <f t="shared" ref="L2501:L2510" si="361">SUM(M2501:Q2501)</f>
        <v>8148750</v>
      </c>
      <c r="M2501" s="912">
        <v>8000000</v>
      </c>
      <c r="N2501" s="898">
        <v>148750</v>
      </c>
      <c r="O2501" s="897"/>
      <c r="P2501" s="883"/>
      <c r="Q2501" s="883"/>
      <c r="R2501" s="599">
        <f t="shared" ref="R2501:R2510" si="362">M2501/I2501</f>
        <v>2000000</v>
      </c>
      <c r="S2501" s="575">
        <f t="shared" ref="S2501:S2548" si="363">L2501-M2501-N2501-O2501-P2501-Q2501</f>
        <v>0</v>
      </c>
      <c r="T2501" s="597"/>
      <c r="U2501" s="738"/>
      <c r="V2501" s="589">
        <v>8000000</v>
      </c>
      <c r="W2501" s="645">
        <f t="shared" si="360"/>
        <v>0</v>
      </c>
      <c r="X2501" s="592"/>
      <c r="Y2501" s="592">
        <v>1</v>
      </c>
      <c r="Z2501" s="592"/>
    </row>
    <row r="2502" spans="1:26" s="82" customFormat="1" ht="37.5" hidden="1">
      <c r="A2502" s="591">
        <f>A2501+1</f>
        <v>7</v>
      </c>
      <c r="B2502" s="580" t="s">
        <v>3543</v>
      </c>
      <c r="C2502" s="591" t="s">
        <v>282</v>
      </c>
      <c r="D2502" s="1096">
        <v>12431</v>
      </c>
      <c r="E2502" s="1097">
        <v>1828.7</v>
      </c>
      <c r="F2502" s="1096" t="s">
        <v>253</v>
      </c>
      <c r="G2502" s="1096">
        <v>479</v>
      </c>
      <c r="H2502" s="879">
        <v>9</v>
      </c>
      <c r="I2502" s="1098">
        <v>1</v>
      </c>
      <c r="J2502" s="1099">
        <v>48</v>
      </c>
      <c r="K2502" s="881" t="s">
        <v>219</v>
      </c>
      <c r="L2502" s="584">
        <f t="shared" si="361"/>
        <v>2085000</v>
      </c>
      <c r="M2502" s="585">
        <v>2000000</v>
      </c>
      <c r="N2502" s="586">
        <v>85000</v>
      </c>
      <c r="O2502" s="1100"/>
      <c r="P2502" s="588"/>
      <c r="Q2502" s="588"/>
      <c r="R2502" s="599">
        <f t="shared" si="362"/>
        <v>2000000</v>
      </c>
      <c r="S2502" s="575">
        <f t="shared" si="363"/>
        <v>0</v>
      </c>
      <c r="T2502" s="591"/>
      <c r="U2502" s="591"/>
      <c r="V2502" s="589">
        <v>2000000</v>
      </c>
      <c r="W2502" s="645">
        <f t="shared" si="360"/>
        <v>0</v>
      </c>
      <c r="X2502" s="591"/>
      <c r="Y2502" s="592">
        <v>1</v>
      </c>
      <c r="Z2502" s="591"/>
    </row>
    <row r="2503" spans="1:26" s="82" customFormat="1" ht="37.5" hidden="1">
      <c r="A2503" s="591">
        <f t="shared" ref="A2503:A2510" si="364">A2502+1</f>
        <v>8</v>
      </c>
      <c r="B2503" s="580" t="s">
        <v>4012</v>
      </c>
      <c r="C2503" s="714" t="s">
        <v>217</v>
      </c>
      <c r="D2503" s="580">
        <v>32803</v>
      </c>
      <c r="E2503" s="591">
        <v>6005</v>
      </c>
      <c r="F2503" s="580" t="s">
        <v>4013</v>
      </c>
      <c r="G2503" s="580">
        <v>1538</v>
      </c>
      <c r="H2503" s="1098">
        <v>9</v>
      </c>
      <c r="I2503" s="1098">
        <v>4</v>
      </c>
      <c r="J2503" s="580">
        <v>144</v>
      </c>
      <c r="K2503" s="881" t="s">
        <v>219</v>
      </c>
      <c r="L2503" s="584">
        <f t="shared" si="361"/>
        <v>8148750</v>
      </c>
      <c r="M2503" s="585">
        <v>8000000</v>
      </c>
      <c r="N2503" s="586">
        <v>148750</v>
      </c>
      <c r="O2503" s="1100"/>
      <c r="P2503" s="588"/>
      <c r="Q2503" s="588"/>
      <c r="R2503" s="599">
        <f t="shared" si="362"/>
        <v>2000000</v>
      </c>
      <c r="S2503" s="575">
        <f t="shared" si="363"/>
        <v>0</v>
      </c>
      <c r="T2503" s="591"/>
      <c r="U2503" s="591"/>
      <c r="V2503" s="589">
        <v>8000000</v>
      </c>
      <c r="W2503" s="645">
        <f t="shared" si="360"/>
        <v>0</v>
      </c>
      <c r="X2503" s="591"/>
      <c r="Y2503" s="592">
        <v>1</v>
      </c>
      <c r="Z2503" s="591"/>
    </row>
    <row r="2504" spans="1:26" s="82" customFormat="1" ht="37.5" hidden="1">
      <c r="A2504" s="591">
        <f t="shared" si="364"/>
        <v>9</v>
      </c>
      <c r="B2504" s="580" t="s">
        <v>3063</v>
      </c>
      <c r="C2504" s="714" t="s">
        <v>217</v>
      </c>
      <c r="D2504" s="580">
        <v>63736</v>
      </c>
      <c r="E2504" s="591">
        <v>12735</v>
      </c>
      <c r="F2504" s="580" t="s">
        <v>4013</v>
      </c>
      <c r="G2504" s="580">
        <v>3011</v>
      </c>
      <c r="H2504" s="1098">
        <v>9</v>
      </c>
      <c r="I2504" s="1098">
        <v>8</v>
      </c>
      <c r="J2504" s="580">
        <v>301</v>
      </c>
      <c r="K2504" s="881" t="s">
        <v>219</v>
      </c>
      <c r="L2504" s="584">
        <f t="shared" si="361"/>
        <v>16233750</v>
      </c>
      <c r="M2504" s="585">
        <v>16000000</v>
      </c>
      <c r="N2504" s="883">
        <v>233750</v>
      </c>
      <c r="O2504" s="1100"/>
      <c r="P2504" s="588"/>
      <c r="Q2504" s="588"/>
      <c r="R2504" s="599">
        <f t="shared" si="362"/>
        <v>2000000</v>
      </c>
      <c r="S2504" s="575">
        <f t="shared" si="363"/>
        <v>0</v>
      </c>
      <c r="T2504" s="591"/>
      <c r="U2504" s="591"/>
      <c r="V2504" s="589">
        <v>16000000</v>
      </c>
      <c r="W2504" s="645">
        <f t="shared" si="360"/>
        <v>0</v>
      </c>
      <c r="X2504" s="591"/>
      <c r="Y2504" s="592">
        <v>1</v>
      </c>
      <c r="Z2504" s="591"/>
    </row>
    <row r="2505" spans="1:26" s="82" customFormat="1" ht="37.5" hidden="1">
      <c r="A2505" s="591">
        <f t="shared" si="364"/>
        <v>10</v>
      </c>
      <c r="B2505" s="1101" t="s">
        <v>3070</v>
      </c>
      <c r="C2505" s="591" t="s">
        <v>4014</v>
      </c>
      <c r="D2505" s="1096">
        <v>23690</v>
      </c>
      <c r="E2505" s="1097">
        <v>2280</v>
      </c>
      <c r="F2505" s="1096" t="s">
        <v>253</v>
      </c>
      <c r="G2505" s="1096">
        <v>1132</v>
      </c>
      <c r="H2505" s="879">
        <v>9</v>
      </c>
      <c r="I2505" s="1098">
        <v>3</v>
      </c>
      <c r="J2505" s="1096">
        <v>126</v>
      </c>
      <c r="K2505" s="881" t="s">
        <v>219</v>
      </c>
      <c r="L2505" s="584">
        <f t="shared" si="361"/>
        <v>6127500</v>
      </c>
      <c r="M2505" s="585">
        <v>6000000</v>
      </c>
      <c r="N2505" s="586">
        <v>127500</v>
      </c>
      <c r="O2505" s="1100"/>
      <c r="P2505" s="588"/>
      <c r="Q2505" s="588"/>
      <c r="R2505" s="599">
        <f t="shared" si="362"/>
        <v>2000000</v>
      </c>
      <c r="S2505" s="575">
        <f t="shared" si="363"/>
        <v>0</v>
      </c>
      <c r="T2505" s="591"/>
      <c r="U2505" s="591"/>
      <c r="V2505" s="589">
        <v>6000000</v>
      </c>
      <c r="W2505" s="645">
        <f t="shared" si="360"/>
        <v>0</v>
      </c>
      <c r="X2505" s="591"/>
      <c r="Y2505" s="592">
        <v>1</v>
      </c>
      <c r="Z2505" s="591"/>
    </row>
    <row r="2506" spans="1:26" s="82" customFormat="1" ht="37.5" hidden="1">
      <c r="A2506" s="591">
        <f t="shared" si="364"/>
        <v>11</v>
      </c>
      <c r="B2506" s="580" t="s">
        <v>4015</v>
      </c>
      <c r="C2506" s="714" t="s">
        <v>217</v>
      </c>
      <c r="D2506" s="580">
        <v>24536</v>
      </c>
      <c r="E2506" s="591">
        <v>6190</v>
      </c>
      <c r="F2506" s="580" t="s">
        <v>4013</v>
      </c>
      <c r="G2506" s="580">
        <v>834</v>
      </c>
      <c r="H2506" s="1098">
        <v>9</v>
      </c>
      <c r="I2506" s="1098">
        <v>3</v>
      </c>
      <c r="J2506" s="580">
        <v>129</v>
      </c>
      <c r="K2506" s="881" t="s">
        <v>219</v>
      </c>
      <c r="L2506" s="584">
        <f t="shared" si="361"/>
        <v>6127500</v>
      </c>
      <c r="M2506" s="585">
        <v>6000000</v>
      </c>
      <c r="N2506" s="586">
        <v>127500</v>
      </c>
      <c r="O2506" s="1100"/>
      <c r="P2506" s="588"/>
      <c r="Q2506" s="588"/>
      <c r="R2506" s="599">
        <f t="shared" si="362"/>
        <v>2000000</v>
      </c>
      <c r="S2506" s="575">
        <f t="shared" si="363"/>
        <v>0</v>
      </c>
      <c r="T2506" s="591"/>
      <c r="U2506" s="591"/>
      <c r="V2506" s="589">
        <v>6000000</v>
      </c>
      <c r="W2506" s="645">
        <f t="shared" si="360"/>
        <v>0</v>
      </c>
      <c r="X2506" s="591"/>
      <c r="Y2506" s="592">
        <v>1</v>
      </c>
      <c r="Z2506" s="591"/>
    </row>
    <row r="2507" spans="1:26" s="82" customFormat="1" ht="37.5" hidden="1">
      <c r="A2507" s="591">
        <f t="shared" si="364"/>
        <v>12</v>
      </c>
      <c r="B2507" s="580" t="s">
        <v>4016</v>
      </c>
      <c r="C2507" s="714" t="s">
        <v>217</v>
      </c>
      <c r="D2507" s="1102">
        <v>55455</v>
      </c>
      <c r="E2507" s="591">
        <v>11300</v>
      </c>
      <c r="F2507" s="580" t="s">
        <v>4013</v>
      </c>
      <c r="G2507" s="580">
        <v>1920</v>
      </c>
      <c r="H2507" s="1098">
        <v>9</v>
      </c>
      <c r="I2507" s="1098">
        <v>7</v>
      </c>
      <c r="J2507" s="580">
        <v>279</v>
      </c>
      <c r="K2507" s="881" t="s">
        <v>219</v>
      </c>
      <c r="L2507" s="584">
        <f t="shared" si="361"/>
        <v>14212500</v>
      </c>
      <c r="M2507" s="585">
        <v>14000000</v>
      </c>
      <c r="N2507" s="586">
        <v>212500</v>
      </c>
      <c r="O2507" s="1100"/>
      <c r="P2507" s="588"/>
      <c r="Q2507" s="588"/>
      <c r="R2507" s="599">
        <f t="shared" si="362"/>
        <v>2000000</v>
      </c>
      <c r="S2507" s="575">
        <f t="shared" si="363"/>
        <v>0</v>
      </c>
      <c r="T2507" s="591"/>
      <c r="U2507" s="591"/>
      <c r="V2507" s="589">
        <v>14000000</v>
      </c>
      <c r="W2507" s="645">
        <f t="shared" si="360"/>
        <v>0</v>
      </c>
      <c r="X2507" s="591"/>
      <c r="Y2507" s="592">
        <v>1</v>
      </c>
      <c r="Z2507" s="591"/>
    </row>
    <row r="2508" spans="1:26" s="82" customFormat="1" ht="37.5" hidden="1">
      <c r="A2508" s="591">
        <f t="shared" si="364"/>
        <v>13</v>
      </c>
      <c r="B2508" s="580" t="s">
        <v>4017</v>
      </c>
      <c r="C2508" s="714" t="s">
        <v>217</v>
      </c>
      <c r="D2508" s="580">
        <v>31965</v>
      </c>
      <c r="E2508" s="591">
        <v>6566</v>
      </c>
      <c r="F2508" s="580" t="s">
        <v>4013</v>
      </c>
      <c r="G2508" s="580">
        <v>1073</v>
      </c>
      <c r="H2508" s="1098">
        <v>9</v>
      </c>
      <c r="I2508" s="1098">
        <v>4</v>
      </c>
      <c r="J2508" s="580">
        <v>158</v>
      </c>
      <c r="K2508" s="881" t="s">
        <v>219</v>
      </c>
      <c r="L2508" s="584">
        <f t="shared" si="361"/>
        <v>8148750</v>
      </c>
      <c r="M2508" s="585">
        <v>8000000</v>
      </c>
      <c r="N2508" s="586">
        <v>148750</v>
      </c>
      <c r="O2508" s="1100"/>
      <c r="P2508" s="588"/>
      <c r="Q2508" s="588"/>
      <c r="R2508" s="599">
        <f t="shared" si="362"/>
        <v>2000000</v>
      </c>
      <c r="S2508" s="575">
        <f t="shared" si="363"/>
        <v>0</v>
      </c>
      <c r="T2508" s="591"/>
      <c r="U2508" s="591"/>
      <c r="V2508" s="589">
        <v>8000000</v>
      </c>
      <c r="W2508" s="645">
        <f t="shared" si="360"/>
        <v>0</v>
      </c>
      <c r="X2508" s="591"/>
      <c r="Y2508" s="592">
        <v>1</v>
      </c>
      <c r="Z2508" s="591"/>
    </row>
    <row r="2509" spans="1:26" s="82" customFormat="1" ht="37.5" hidden="1">
      <c r="A2509" s="591">
        <f t="shared" si="364"/>
        <v>14</v>
      </c>
      <c r="B2509" s="580" t="s">
        <v>4018</v>
      </c>
      <c r="C2509" s="714" t="s">
        <v>217</v>
      </c>
      <c r="D2509" s="580">
        <v>32220</v>
      </c>
      <c r="E2509" s="591">
        <v>6566</v>
      </c>
      <c r="F2509" s="580" t="s">
        <v>4013</v>
      </c>
      <c r="G2509" s="580">
        <v>1073</v>
      </c>
      <c r="H2509" s="1098">
        <v>9</v>
      </c>
      <c r="I2509" s="1098">
        <v>4</v>
      </c>
      <c r="J2509" s="580">
        <v>157</v>
      </c>
      <c r="K2509" s="881" t="s">
        <v>219</v>
      </c>
      <c r="L2509" s="584">
        <f t="shared" si="361"/>
        <v>8148750</v>
      </c>
      <c r="M2509" s="585">
        <v>8000000</v>
      </c>
      <c r="N2509" s="586">
        <v>148750</v>
      </c>
      <c r="O2509" s="1100"/>
      <c r="P2509" s="588"/>
      <c r="Q2509" s="588"/>
      <c r="R2509" s="599">
        <f t="shared" si="362"/>
        <v>2000000</v>
      </c>
      <c r="S2509" s="575">
        <f t="shared" si="363"/>
        <v>0</v>
      </c>
      <c r="T2509" s="591"/>
      <c r="U2509" s="591"/>
      <c r="V2509" s="589">
        <v>8000000</v>
      </c>
      <c r="W2509" s="645">
        <f t="shared" si="360"/>
        <v>0</v>
      </c>
      <c r="X2509" s="591"/>
      <c r="Y2509" s="592">
        <v>1</v>
      </c>
      <c r="Z2509" s="591"/>
    </row>
    <row r="2510" spans="1:26" s="80" customFormat="1" ht="37.5" hidden="1">
      <c r="A2510" s="591">
        <f t="shared" si="364"/>
        <v>15</v>
      </c>
      <c r="B2510" s="580" t="s">
        <v>4019</v>
      </c>
      <c r="C2510" s="714" t="s">
        <v>217</v>
      </c>
      <c r="D2510" s="580">
        <v>32614</v>
      </c>
      <c r="E2510" s="591">
        <v>6566</v>
      </c>
      <c r="F2510" s="580" t="s">
        <v>4013</v>
      </c>
      <c r="G2510" s="580">
        <v>1073</v>
      </c>
      <c r="H2510" s="1098">
        <v>9</v>
      </c>
      <c r="I2510" s="1098">
        <v>4</v>
      </c>
      <c r="J2510" s="580">
        <v>161</v>
      </c>
      <c r="K2510" s="881" t="s">
        <v>219</v>
      </c>
      <c r="L2510" s="584">
        <f t="shared" si="361"/>
        <v>8148750</v>
      </c>
      <c r="M2510" s="585">
        <v>8000000</v>
      </c>
      <c r="N2510" s="586">
        <v>148750</v>
      </c>
      <c r="O2510" s="1100"/>
      <c r="P2510" s="588"/>
      <c r="Q2510" s="588"/>
      <c r="R2510" s="599">
        <f t="shared" si="362"/>
        <v>2000000</v>
      </c>
      <c r="S2510" s="575">
        <f t="shared" si="363"/>
        <v>0</v>
      </c>
      <c r="T2510" s="557"/>
      <c r="U2510" s="559"/>
      <c r="V2510" s="589">
        <v>8000000</v>
      </c>
      <c r="W2510" s="645">
        <f t="shared" si="360"/>
        <v>0</v>
      </c>
      <c r="X2510" s="583"/>
      <c r="Y2510" s="592">
        <v>1</v>
      </c>
      <c r="Z2510" s="583"/>
    </row>
    <row r="2511" spans="1:26" s="28" customFormat="1" hidden="1">
      <c r="A2511" s="591">
        <f t="shared" ref="A2511:A2512" si="365">A2510+1</f>
        <v>16</v>
      </c>
      <c r="B2511" s="827" t="s">
        <v>2102</v>
      </c>
      <c r="C2511" s="593" t="s">
        <v>217</v>
      </c>
      <c r="D2511" s="878">
        <v>19671</v>
      </c>
      <c r="E2511" s="878">
        <v>3552</v>
      </c>
      <c r="F2511" s="878" t="s">
        <v>233</v>
      </c>
      <c r="G2511" s="878">
        <v>1700</v>
      </c>
      <c r="H2511" s="879">
        <v>5</v>
      </c>
      <c r="I2511" s="593">
        <v>6</v>
      </c>
      <c r="J2511" s="880">
        <v>119</v>
      </c>
      <c r="K2511" s="881" t="s">
        <v>226</v>
      </c>
      <c r="L2511" s="584">
        <f>M2511+N2511+O2511+P2511+Q2511</f>
        <v>7166824</v>
      </c>
      <c r="M2511" s="882">
        <f>E2511*2000</f>
        <v>7104000</v>
      </c>
      <c r="N2511" s="898">
        <v>32974</v>
      </c>
      <c r="O2511" s="884"/>
      <c r="P2511" s="883"/>
      <c r="Q2511" s="883">
        <v>29850</v>
      </c>
      <c r="R2511" s="599">
        <f>M2511/E2511</f>
        <v>2000</v>
      </c>
      <c r="S2511" s="575">
        <f t="shared" si="363"/>
        <v>0</v>
      </c>
      <c r="T2511" s="597"/>
      <c r="U2511" s="738"/>
      <c r="V2511" s="589">
        <v>7104000</v>
      </c>
      <c r="W2511" s="645">
        <f t="shared" si="360"/>
        <v>0</v>
      </c>
      <c r="X2511" s="592"/>
      <c r="Y2511" s="592">
        <v>1</v>
      </c>
      <c r="Z2511" s="592"/>
    </row>
    <row r="2512" spans="1:26" s="28" customFormat="1" hidden="1">
      <c r="A2512" s="591">
        <f t="shared" si="365"/>
        <v>17</v>
      </c>
      <c r="B2512" s="827" t="s">
        <v>2104</v>
      </c>
      <c r="C2512" s="593" t="s">
        <v>221</v>
      </c>
      <c r="D2512" s="878">
        <v>12718</v>
      </c>
      <c r="E2512" s="878">
        <v>390</v>
      </c>
      <c r="F2512" s="878" t="s">
        <v>227</v>
      </c>
      <c r="G2512" s="878">
        <v>1049</v>
      </c>
      <c r="H2512" s="879">
        <v>5</v>
      </c>
      <c r="I2512" s="593">
        <v>4</v>
      </c>
      <c r="J2512" s="880">
        <v>80</v>
      </c>
      <c r="K2512" s="881" t="s">
        <v>434</v>
      </c>
      <c r="L2512" s="584">
        <f>SUM(M2512:Q2512)</f>
        <v>1034324</v>
      </c>
      <c r="M2512" s="882">
        <f>E2512*2500</f>
        <v>975000</v>
      </c>
      <c r="N2512" s="883">
        <v>29474</v>
      </c>
      <c r="O2512" s="884"/>
      <c r="P2512" s="883"/>
      <c r="Q2512" s="883">
        <v>29850</v>
      </c>
      <c r="R2512" s="599">
        <f>M2512/E2512</f>
        <v>2500</v>
      </c>
      <c r="S2512" s="575">
        <f t="shared" si="363"/>
        <v>0</v>
      </c>
      <c r="T2512" s="597"/>
      <c r="U2512" s="738"/>
      <c r="V2512" s="589">
        <v>975000</v>
      </c>
      <c r="W2512" s="645">
        <f t="shared" si="360"/>
        <v>0</v>
      </c>
      <c r="X2512" s="592"/>
      <c r="Y2512" s="592">
        <v>1</v>
      </c>
      <c r="Z2512" s="592"/>
    </row>
    <row r="2513" spans="1:26" s="28" customFormat="1" hidden="1">
      <c r="A2513" s="591">
        <f t="shared" ref="A2513:A2547" si="366">A2512+1</f>
        <v>18</v>
      </c>
      <c r="B2513" s="827" t="s">
        <v>2105</v>
      </c>
      <c r="C2513" s="593" t="s">
        <v>221</v>
      </c>
      <c r="D2513" s="878">
        <v>10605</v>
      </c>
      <c r="E2513" s="878">
        <v>2038</v>
      </c>
      <c r="F2513" s="878" t="s">
        <v>253</v>
      </c>
      <c r="G2513" s="878">
        <v>892</v>
      </c>
      <c r="H2513" s="879">
        <v>5</v>
      </c>
      <c r="I2513" s="593">
        <v>4</v>
      </c>
      <c r="J2513" s="880">
        <v>70</v>
      </c>
      <c r="K2513" s="881" t="s">
        <v>33</v>
      </c>
      <c r="L2513" s="584">
        <f>SUM(M2513:Q2513)</f>
        <v>2003766</v>
      </c>
      <c r="M2513" s="882">
        <f>G2513*2200</f>
        <v>1962400</v>
      </c>
      <c r="N2513" s="883"/>
      <c r="O2513" s="897">
        <v>21466</v>
      </c>
      <c r="P2513" s="883"/>
      <c r="Q2513" s="883">
        <v>19900</v>
      </c>
      <c r="R2513" s="599">
        <f>M2513/G2513</f>
        <v>2200</v>
      </c>
      <c r="S2513" s="575">
        <f t="shared" si="363"/>
        <v>0</v>
      </c>
      <c r="T2513" s="597"/>
      <c r="U2513" s="738">
        <v>21466</v>
      </c>
      <c r="V2513" s="589">
        <v>1962400</v>
      </c>
      <c r="W2513" s="645">
        <f t="shared" si="360"/>
        <v>0</v>
      </c>
      <c r="X2513" s="592"/>
      <c r="Y2513" s="592">
        <v>1</v>
      </c>
      <c r="Z2513" s="592"/>
    </row>
    <row r="2514" spans="1:26" s="28" customFormat="1" hidden="1">
      <c r="A2514" s="591">
        <f t="shared" si="366"/>
        <v>19</v>
      </c>
      <c r="B2514" s="827" t="s">
        <v>2106</v>
      </c>
      <c r="C2514" s="593" t="s">
        <v>221</v>
      </c>
      <c r="D2514" s="878">
        <v>17610</v>
      </c>
      <c r="E2514" s="878">
        <v>4103</v>
      </c>
      <c r="F2514" s="878" t="s">
        <v>227</v>
      </c>
      <c r="G2514" s="878">
        <v>1468</v>
      </c>
      <c r="H2514" s="879">
        <v>5</v>
      </c>
      <c r="I2514" s="593">
        <v>6</v>
      </c>
      <c r="J2514" s="880">
        <v>90</v>
      </c>
      <c r="K2514" s="881" t="s">
        <v>33</v>
      </c>
      <c r="L2514" s="584">
        <f>SUM(M2514:Q2514)</f>
        <v>4179174</v>
      </c>
      <c r="M2514" s="882">
        <f>G2514*2800</f>
        <v>4110400</v>
      </c>
      <c r="N2514" s="899">
        <v>28974</v>
      </c>
      <c r="O2514" s="897"/>
      <c r="P2514" s="883"/>
      <c r="Q2514" s="883">
        <v>39800</v>
      </c>
      <c r="R2514" s="599">
        <f>M2514/G2514</f>
        <v>2800</v>
      </c>
      <c r="S2514" s="575">
        <f t="shared" si="363"/>
        <v>0</v>
      </c>
      <c r="T2514" s="597"/>
      <c r="U2514" s="738"/>
      <c r="V2514" s="589">
        <v>4110400</v>
      </c>
      <c r="W2514" s="645">
        <f t="shared" si="360"/>
        <v>0</v>
      </c>
      <c r="X2514" s="592"/>
      <c r="Y2514" s="592">
        <v>1</v>
      </c>
      <c r="Z2514" s="592"/>
    </row>
    <row r="2515" spans="1:26" s="28" customFormat="1" hidden="1">
      <c r="A2515" s="591">
        <f t="shared" si="366"/>
        <v>20</v>
      </c>
      <c r="B2515" s="827" t="s">
        <v>2107</v>
      </c>
      <c r="C2515" s="593" t="s">
        <v>239</v>
      </c>
      <c r="D2515" s="878">
        <v>12136</v>
      </c>
      <c r="E2515" s="878">
        <v>2453</v>
      </c>
      <c r="F2515" s="878" t="s">
        <v>251</v>
      </c>
      <c r="G2515" s="878">
        <v>1149</v>
      </c>
      <c r="H2515" s="879">
        <v>4</v>
      </c>
      <c r="I2515" s="593">
        <v>3</v>
      </c>
      <c r="J2515" s="880">
        <v>48</v>
      </c>
      <c r="K2515" s="881" t="s">
        <v>38</v>
      </c>
      <c r="L2515" s="584">
        <f>M2515+N2515+O2515+P2515+Q2515</f>
        <v>4951109</v>
      </c>
      <c r="M2515" s="882">
        <f>E2515*2000</f>
        <v>4906000</v>
      </c>
      <c r="N2515" s="883"/>
      <c r="O2515" s="884">
        <v>15259</v>
      </c>
      <c r="P2515" s="883"/>
      <c r="Q2515" s="883">
        <v>29850</v>
      </c>
      <c r="R2515" s="599">
        <f>M2515/E2515</f>
        <v>2000</v>
      </c>
      <c r="S2515" s="575">
        <f t="shared" si="363"/>
        <v>0</v>
      </c>
      <c r="T2515" s="597"/>
      <c r="U2515" s="738">
        <v>15259</v>
      </c>
      <c r="V2515" s="589">
        <v>4906000</v>
      </c>
      <c r="W2515" s="645">
        <f t="shared" si="360"/>
        <v>0</v>
      </c>
      <c r="X2515" s="592"/>
      <c r="Y2515" s="592">
        <v>1</v>
      </c>
      <c r="Z2515" s="592"/>
    </row>
    <row r="2516" spans="1:26" s="28" customFormat="1" hidden="1">
      <c r="A2516" s="591">
        <f t="shared" si="366"/>
        <v>21</v>
      </c>
      <c r="B2516" s="827" t="s">
        <v>2108</v>
      </c>
      <c r="C2516" s="593" t="s">
        <v>239</v>
      </c>
      <c r="D2516" s="878">
        <v>3288</v>
      </c>
      <c r="E2516" s="878">
        <v>746</v>
      </c>
      <c r="F2516" s="878" t="s">
        <v>251</v>
      </c>
      <c r="G2516" s="878">
        <v>642</v>
      </c>
      <c r="H2516" s="879">
        <v>2</v>
      </c>
      <c r="I2516" s="593">
        <v>2</v>
      </c>
      <c r="J2516" s="880">
        <v>12</v>
      </c>
      <c r="K2516" s="881" t="s">
        <v>33</v>
      </c>
      <c r="L2516" s="584">
        <f t="shared" ref="L2516:L2525" si="367">SUM(M2516:Q2516)</f>
        <v>1844118.85</v>
      </c>
      <c r="M2516" s="882">
        <f>G2516*2800</f>
        <v>1797600</v>
      </c>
      <c r="N2516" s="898">
        <v>30499</v>
      </c>
      <c r="O2516" s="884"/>
      <c r="P2516" s="883"/>
      <c r="Q2516" s="883">
        <v>16019.85</v>
      </c>
      <c r="R2516" s="599">
        <f>M2516/G2516</f>
        <v>2800</v>
      </c>
      <c r="S2516" s="575">
        <f t="shared" si="363"/>
        <v>9.276845958083868E-11</v>
      </c>
      <c r="T2516" s="597"/>
      <c r="U2516" s="738"/>
      <c r="V2516" s="589">
        <v>1797600</v>
      </c>
      <c r="W2516" s="645">
        <f t="shared" si="360"/>
        <v>0</v>
      </c>
      <c r="X2516" s="592"/>
      <c r="Y2516" s="592">
        <v>1</v>
      </c>
      <c r="Z2516" s="592"/>
    </row>
    <row r="2517" spans="1:26" s="28" customFormat="1" ht="56.25" hidden="1">
      <c r="A2517" s="591">
        <f t="shared" si="366"/>
        <v>22</v>
      </c>
      <c r="B2517" s="827" t="s">
        <v>2109</v>
      </c>
      <c r="C2517" s="593" t="s">
        <v>239</v>
      </c>
      <c r="D2517" s="878">
        <v>1941</v>
      </c>
      <c r="E2517" s="878">
        <v>455</v>
      </c>
      <c r="F2517" s="878" t="s">
        <v>251</v>
      </c>
      <c r="G2517" s="878">
        <v>376</v>
      </c>
      <c r="H2517" s="879">
        <v>2</v>
      </c>
      <c r="I2517" s="593">
        <v>1</v>
      </c>
      <c r="J2517" s="880">
        <v>8</v>
      </c>
      <c r="K2517" s="881" t="s">
        <v>319</v>
      </c>
      <c r="L2517" s="584">
        <f t="shared" si="367"/>
        <v>1162100</v>
      </c>
      <c r="M2517" s="882">
        <f>E2517*2500</f>
        <v>1137500</v>
      </c>
      <c r="N2517" s="883"/>
      <c r="O2517" s="897">
        <v>12239</v>
      </c>
      <c r="P2517" s="883"/>
      <c r="Q2517" s="883">
        <v>12361</v>
      </c>
      <c r="R2517" s="599">
        <f>M2517/E2517</f>
        <v>2500</v>
      </c>
      <c r="S2517" s="575">
        <f t="shared" si="363"/>
        <v>0</v>
      </c>
      <c r="T2517" s="597"/>
      <c r="U2517" s="738">
        <v>12239</v>
      </c>
      <c r="V2517" s="589">
        <v>1137500</v>
      </c>
      <c r="W2517" s="645">
        <f t="shared" si="360"/>
        <v>0</v>
      </c>
      <c r="X2517" s="592"/>
      <c r="Y2517" s="592">
        <v>1</v>
      </c>
      <c r="Z2517" s="592"/>
    </row>
    <row r="2518" spans="1:26" s="28" customFormat="1" hidden="1">
      <c r="A2518" s="591">
        <f t="shared" si="366"/>
        <v>23</v>
      </c>
      <c r="B2518" s="827" t="s">
        <v>2110</v>
      </c>
      <c r="C2518" s="593" t="s">
        <v>239</v>
      </c>
      <c r="D2518" s="878">
        <v>2699</v>
      </c>
      <c r="E2518" s="878">
        <v>609</v>
      </c>
      <c r="F2518" s="878" t="s">
        <v>251</v>
      </c>
      <c r="G2518" s="878">
        <v>549</v>
      </c>
      <c r="H2518" s="879">
        <v>2</v>
      </c>
      <c r="I2518" s="593">
        <v>2</v>
      </c>
      <c r="J2518" s="880">
        <v>12</v>
      </c>
      <c r="K2518" s="881" t="s">
        <v>33</v>
      </c>
      <c r="L2518" s="584">
        <f t="shared" si="367"/>
        <v>1578940.06</v>
      </c>
      <c r="M2518" s="882">
        <f>G2518*2800</f>
        <v>1537200</v>
      </c>
      <c r="N2518" s="898">
        <v>29424</v>
      </c>
      <c r="O2518" s="884"/>
      <c r="P2518" s="883"/>
      <c r="Q2518" s="883">
        <v>12316.06</v>
      </c>
      <c r="R2518" s="599">
        <f>M2518/G2518</f>
        <v>2800</v>
      </c>
      <c r="S2518" s="575">
        <f t="shared" si="363"/>
        <v>5.6388671509921551E-11</v>
      </c>
      <c r="T2518" s="597"/>
      <c r="U2518" s="738"/>
      <c r="V2518" s="589">
        <v>1537200</v>
      </c>
      <c r="W2518" s="645">
        <f t="shared" si="360"/>
        <v>0</v>
      </c>
      <c r="X2518" s="592"/>
      <c r="Y2518" s="592">
        <v>1</v>
      </c>
      <c r="Z2518" s="592"/>
    </row>
    <row r="2519" spans="1:26" s="28" customFormat="1" hidden="1">
      <c r="A2519" s="591">
        <f t="shared" si="366"/>
        <v>24</v>
      </c>
      <c r="B2519" s="827" t="s">
        <v>2111</v>
      </c>
      <c r="C2519" s="593" t="s">
        <v>239</v>
      </c>
      <c r="D2519" s="878">
        <v>2885</v>
      </c>
      <c r="E2519" s="878">
        <v>620</v>
      </c>
      <c r="F2519" s="878" t="s">
        <v>251</v>
      </c>
      <c r="G2519" s="878">
        <v>564</v>
      </c>
      <c r="H2519" s="879">
        <v>2</v>
      </c>
      <c r="I2519" s="593">
        <v>2</v>
      </c>
      <c r="J2519" s="880">
        <v>12</v>
      </c>
      <c r="K2519" s="881" t="s">
        <v>33</v>
      </c>
      <c r="L2519" s="584">
        <f t="shared" si="367"/>
        <v>1623148.35</v>
      </c>
      <c r="M2519" s="882">
        <f>G2519*2800</f>
        <v>1579200</v>
      </c>
      <c r="N2519" s="898">
        <v>29892</v>
      </c>
      <c r="O2519" s="884"/>
      <c r="P2519" s="883"/>
      <c r="Q2519" s="883">
        <v>14056.35</v>
      </c>
      <c r="R2519" s="599">
        <f>M2519/G2519</f>
        <v>2800</v>
      </c>
      <c r="S2519" s="575">
        <f t="shared" si="363"/>
        <v>9.276845958083868E-11</v>
      </c>
      <c r="T2519" s="597"/>
      <c r="U2519" s="738"/>
      <c r="V2519" s="589">
        <v>1579200</v>
      </c>
      <c r="W2519" s="645">
        <f t="shared" si="360"/>
        <v>0</v>
      </c>
      <c r="X2519" s="592"/>
      <c r="Y2519" s="592">
        <v>1</v>
      </c>
      <c r="Z2519" s="592"/>
    </row>
    <row r="2520" spans="1:26" s="28" customFormat="1" hidden="1">
      <c r="A2520" s="591">
        <f t="shared" si="366"/>
        <v>25</v>
      </c>
      <c r="B2520" s="827" t="s">
        <v>2112</v>
      </c>
      <c r="C2520" s="593" t="s">
        <v>239</v>
      </c>
      <c r="D2520" s="878">
        <v>2855</v>
      </c>
      <c r="E2520" s="878">
        <v>636</v>
      </c>
      <c r="F2520" s="878" t="s">
        <v>251</v>
      </c>
      <c r="G2520" s="878">
        <v>558</v>
      </c>
      <c r="H2520" s="879">
        <v>2</v>
      </c>
      <c r="I2520" s="593">
        <v>2</v>
      </c>
      <c r="J2520" s="880">
        <v>12</v>
      </c>
      <c r="K2520" s="881" t="s">
        <v>33</v>
      </c>
      <c r="L2520" s="584">
        <f t="shared" si="367"/>
        <v>1606272.35</v>
      </c>
      <c r="M2520" s="882">
        <f>G2520*2800</f>
        <v>1562400</v>
      </c>
      <c r="N2520" s="898">
        <v>29816</v>
      </c>
      <c r="O2520" s="884"/>
      <c r="P2520" s="883"/>
      <c r="Q2520" s="883">
        <v>14056.35</v>
      </c>
      <c r="R2520" s="599">
        <f>M2520/G2520</f>
        <v>2800</v>
      </c>
      <c r="S2520" s="575">
        <f t="shared" si="363"/>
        <v>9.276845958083868E-11</v>
      </c>
      <c r="T2520" s="597"/>
      <c r="U2520" s="738"/>
      <c r="V2520" s="589">
        <v>1562400</v>
      </c>
      <c r="W2520" s="645">
        <f t="shared" si="360"/>
        <v>0</v>
      </c>
      <c r="X2520" s="592"/>
      <c r="Y2520" s="592">
        <v>1</v>
      </c>
      <c r="Z2520" s="592"/>
    </row>
    <row r="2521" spans="1:26" s="28" customFormat="1" hidden="1">
      <c r="A2521" s="591">
        <f t="shared" si="366"/>
        <v>26</v>
      </c>
      <c r="B2521" s="827" t="s">
        <v>2113</v>
      </c>
      <c r="C2521" s="593" t="s">
        <v>239</v>
      </c>
      <c r="D2521" s="878">
        <v>1923</v>
      </c>
      <c r="E2521" s="878">
        <v>449</v>
      </c>
      <c r="F2521" s="878" t="s">
        <v>251</v>
      </c>
      <c r="G2521" s="878">
        <v>384</v>
      </c>
      <c r="H2521" s="879">
        <v>2</v>
      </c>
      <c r="I2521" s="593">
        <v>1</v>
      </c>
      <c r="J2521" s="880">
        <v>8</v>
      </c>
      <c r="K2521" s="881" t="s">
        <v>33</v>
      </c>
      <c r="L2521" s="584">
        <f t="shared" si="367"/>
        <v>1112764.27</v>
      </c>
      <c r="M2521" s="882">
        <f>G2521*2800</f>
        <v>1075200</v>
      </c>
      <c r="N2521" s="898">
        <v>28195</v>
      </c>
      <c r="O2521" s="884"/>
      <c r="P2521" s="883"/>
      <c r="Q2521" s="883">
        <v>9369.27</v>
      </c>
      <c r="R2521" s="599">
        <f>M2521/G2521</f>
        <v>2800</v>
      </c>
      <c r="S2521" s="575">
        <f t="shared" si="363"/>
        <v>1.8189894035458565E-11</v>
      </c>
      <c r="T2521" s="597"/>
      <c r="U2521" s="738"/>
      <c r="V2521" s="589">
        <v>1075200</v>
      </c>
      <c r="W2521" s="645">
        <f t="shared" si="360"/>
        <v>0</v>
      </c>
      <c r="X2521" s="592"/>
      <c r="Y2521" s="592">
        <v>1</v>
      </c>
      <c r="Z2521" s="592"/>
    </row>
    <row r="2522" spans="1:26" s="28" customFormat="1" hidden="1">
      <c r="A2522" s="591">
        <f t="shared" si="366"/>
        <v>27</v>
      </c>
      <c r="B2522" s="827" t="s">
        <v>2114</v>
      </c>
      <c r="C2522" s="593" t="s">
        <v>239</v>
      </c>
      <c r="D2522" s="878">
        <v>1937</v>
      </c>
      <c r="E2522" s="878">
        <v>449</v>
      </c>
      <c r="F2522" s="878" t="s">
        <v>251</v>
      </c>
      <c r="G2522" s="878">
        <v>384</v>
      </c>
      <c r="H2522" s="879">
        <v>2</v>
      </c>
      <c r="I2522" s="593">
        <v>1</v>
      </c>
      <c r="J2522" s="880">
        <v>8</v>
      </c>
      <c r="K2522" s="1103" t="s">
        <v>33</v>
      </c>
      <c r="L2522" s="584">
        <f t="shared" si="367"/>
        <v>1127594.68</v>
      </c>
      <c r="M2522" s="912">
        <v>1075200</v>
      </c>
      <c r="N2522" s="898">
        <v>27869</v>
      </c>
      <c r="O2522" s="884">
        <v>12235</v>
      </c>
      <c r="P2522" s="883"/>
      <c r="Q2522" s="883">
        <v>12290.68</v>
      </c>
      <c r="R2522" s="599">
        <f>M2522/E2522</f>
        <v>2394.6547884187084</v>
      </c>
      <c r="S2522" s="575">
        <f t="shared" si="363"/>
        <v>-6.5483618527650833E-11</v>
      </c>
      <c r="T2522" s="597"/>
      <c r="U2522" s="738">
        <v>12235</v>
      </c>
      <c r="V2522" s="589">
        <v>1075200</v>
      </c>
      <c r="W2522" s="645">
        <f t="shared" si="360"/>
        <v>0</v>
      </c>
      <c r="X2522" s="592"/>
      <c r="Y2522" s="592">
        <v>1</v>
      </c>
      <c r="Z2522" s="592"/>
    </row>
    <row r="2523" spans="1:26" s="28" customFormat="1" hidden="1">
      <c r="A2523" s="591">
        <f t="shared" si="366"/>
        <v>28</v>
      </c>
      <c r="B2523" s="827" t="s">
        <v>2115</v>
      </c>
      <c r="C2523" s="593" t="s">
        <v>239</v>
      </c>
      <c r="D2523" s="878">
        <v>3439</v>
      </c>
      <c r="E2523" s="878">
        <v>746</v>
      </c>
      <c r="F2523" s="878" t="s">
        <v>251</v>
      </c>
      <c r="G2523" s="878">
        <v>661</v>
      </c>
      <c r="H2523" s="879">
        <v>2</v>
      </c>
      <c r="I2523" s="593">
        <v>2</v>
      </c>
      <c r="J2523" s="880">
        <v>12</v>
      </c>
      <c r="K2523" s="881" t="s">
        <v>33</v>
      </c>
      <c r="L2523" s="584">
        <f t="shared" si="367"/>
        <v>1898428.55</v>
      </c>
      <c r="M2523" s="882">
        <f>G2523*2800</f>
        <v>1850800</v>
      </c>
      <c r="N2523" s="898">
        <v>30873</v>
      </c>
      <c r="O2523" s="884"/>
      <c r="P2523" s="883"/>
      <c r="Q2523" s="883">
        <v>16755.55</v>
      </c>
      <c r="R2523" s="599">
        <f>M2523/G2523</f>
        <v>2800</v>
      </c>
      <c r="S2523" s="575">
        <f t="shared" si="363"/>
        <v>4.7293724492192268E-11</v>
      </c>
      <c r="T2523" s="597"/>
      <c r="U2523" s="738"/>
      <c r="V2523" s="589">
        <v>1850800</v>
      </c>
      <c r="W2523" s="645">
        <f t="shared" si="360"/>
        <v>0</v>
      </c>
      <c r="X2523" s="592"/>
      <c r="Y2523" s="592">
        <v>1</v>
      </c>
      <c r="Z2523" s="592"/>
    </row>
    <row r="2524" spans="1:26" s="28" customFormat="1" hidden="1">
      <c r="A2524" s="591">
        <f t="shared" si="366"/>
        <v>29</v>
      </c>
      <c r="B2524" s="827" t="s">
        <v>2116</v>
      </c>
      <c r="C2524" s="593" t="s">
        <v>239</v>
      </c>
      <c r="D2524" s="878">
        <v>3330</v>
      </c>
      <c r="E2524" s="878">
        <v>746</v>
      </c>
      <c r="F2524" s="878" t="s">
        <v>251</v>
      </c>
      <c r="G2524" s="878">
        <v>661</v>
      </c>
      <c r="H2524" s="879">
        <v>2</v>
      </c>
      <c r="I2524" s="593">
        <v>2</v>
      </c>
      <c r="J2524" s="880">
        <v>12</v>
      </c>
      <c r="K2524" s="881" t="s">
        <v>33</v>
      </c>
      <c r="L2524" s="584">
        <f t="shared" si="367"/>
        <v>1897627.48</v>
      </c>
      <c r="M2524" s="882">
        <f>G2524*2800</f>
        <v>1850800</v>
      </c>
      <c r="N2524" s="898">
        <v>30603</v>
      </c>
      <c r="O2524" s="884"/>
      <c r="P2524" s="883"/>
      <c r="Q2524" s="883">
        <v>16224.48</v>
      </c>
      <c r="R2524" s="599">
        <f>M2524/G2524</f>
        <v>2800</v>
      </c>
      <c r="S2524" s="575">
        <f t="shared" si="363"/>
        <v>-1.8189894035458565E-11</v>
      </c>
      <c r="T2524" s="597"/>
      <c r="U2524" s="738"/>
      <c r="V2524" s="589">
        <v>1850800</v>
      </c>
      <c r="W2524" s="645">
        <f t="shared" si="360"/>
        <v>0</v>
      </c>
      <c r="X2524" s="592"/>
      <c r="Y2524" s="592">
        <v>1</v>
      </c>
      <c r="Z2524" s="592"/>
    </row>
    <row r="2525" spans="1:26" s="28" customFormat="1" hidden="1">
      <c r="A2525" s="591">
        <f t="shared" si="366"/>
        <v>30</v>
      </c>
      <c r="B2525" s="827" t="s">
        <v>2117</v>
      </c>
      <c r="C2525" s="593" t="s">
        <v>239</v>
      </c>
      <c r="D2525" s="878">
        <v>1968</v>
      </c>
      <c r="E2525" s="878">
        <v>465</v>
      </c>
      <c r="F2525" s="878" t="s">
        <v>251</v>
      </c>
      <c r="G2525" s="878">
        <v>377</v>
      </c>
      <c r="H2525" s="879">
        <v>2</v>
      </c>
      <c r="I2525" s="593">
        <v>2</v>
      </c>
      <c r="J2525" s="880">
        <v>12</v>
      </c>
      <c r="K2525" s="881" t="s">
        <v>33</v>
      </c>
      <c r="L2525" s="584">
        <f t="shared" si="367"/>
        <v>1093499.53</v>
      </c>
      <c r="M2525" s="882">
        <f>G2525*2800</f>
        <v>1055600</v>
      </c>
      <c r="N2525" s="898">
        <v>28311</v>
      </c>
      <c r="O2525" s="884"/>
      <c r="P2525" s="883"/>
      <c r="Q2525" s="883">
        <v>9588.5300000000007</v>
      </c>
      <c r="R2525" s="599">
        <f>M2525/G2525</f>
        <v>2800</v>
      </c>
      <c r="S2525" s="575">
        <f t="shared" si="363"/>
        <v>2.7284841053187847E-11</v>
      </c>
      <c r="T2525" s="597"/>
      <c r="U2525" s="738"/>
      <c r="V2525" s="589">
        <v>1055600</v>
      </c>
      <c r="W2525" s="645">
        <f t="shared" si="360"/>
        <v>0</v>
      </c>
      <c r="X2525" s="592"/>
      <c r="Y2525" s="592">
        <v>1</v>
      </c>
      <c r="Z2525" s="592"/>
    </row>
    <row r="2526" spans="1:26" s="28" customFormat="1" hidden="1">
      <c r="A2526" s="591">
        <f t="shared" si="366"/>
        <v>31</v>
      </c>
      <c r="B2526" s="827" t="s">
        <v>2118</v>
      </c>
      <c r="C2526" s="593" t="s">
        <v>239</v>
      </c>
      <c r="D2526" s="878">
        <v>3308</v>
      </c>
      <c r="E2526" s="878">
        <v>736</v>
      </c>
      <c r="F2526" s="878" t="s">
        <v>251</v>
      </c>
      <c r="G2526" s="878">
        <v>656</v>
      </c>
      <c r="H2526" s="879">
        <v>2</v>
      </c>
      <c r="I2526" s="593">
        <v>2</v>
      </c>
      <c r="J2526" s="880">
        <v>12</v>
      </c>
      <c r="K2526" s="881" t="s">
        <v>38</v>
      </c>
      <c r="L2526" s="584">
        <f>M2526+N2526+O2526+P2526+Q2526</f>
        <v>1505318.97</v>
      </c>
      <c r="M2526" s="882">
        <f>E2526*2000</f>
        <v>1472000</v>
      </c>
      <c r="N2526" s="883"/>
      <c r="O2526" s="897">
        <v>12329</v>
      </c>
      <c r="P2526" s="883"/>
      <c r="Q2526" s="883">
        <v>20989.97</v>
      </c>
      <c r="R2526" s="599">
        <f>M2526/E2526</f>
        <v>2000</v>
      </c>
      <c r="S2526" s="575">
        <f t="shared" si="363"/>
        <v>-2.9103830456733704E-11</v>
      </c>
      <c r="T2526" s="597"/>
      <c r="U2526" s="738">
        <v>12329</v>
      </c>
      <c r="V2526" s="589">
        <v>1472000</v>
      </c>
      <c r="W2526" s="645">
        <f t="shared" si="360"/>
        <v>0</v>
      </c>
      <c r="X2526" s="592"/>
      <c r="Y2526" s="592">
        <v>1</v>
      </c>
      <c r="Z2526" s="592"/>
    </row>
    <row r="2527" spans="1:26" s="28" customFormat="1" hidden="1">
      <c r="A2527" s="591">
        <f t="shared" si="366"/>
        <v>32</v>
      </c>
      <c r="B2527" s="827" t="s">
        <v>2121</v>
      </c>
      <c r="C2527" s="593" t="s">
        <v>239</v>
      </c>
      <c r="D2527" s="878">
        <v>15321</v>
      </c>
      <c r="E2527" s="878">
        <v>2638</v>
      </c>
      <c r="F2527" s="878" t="s">
        <v>251</v>
      </c>
      <c r="G2527" s="878">
        <v>1451</v>
      </c>
      <c r="H2527" s="879">
        <v>4</v>
      </c>
      <c r="I2527" s="593">
        <v>2</v>
      </c>
      <c r="J2527" s="880">
        <v>72</v>
      </c>
      <c r="K2527" s="1103" t="s">
        <v>33</v>
      </c>
      <c r="L2527" s="584">
        <f t="shared" ref="L2527:L2539" si="368">SUM(M2527:Q2527)</f>
        <v>3687298</v>
      </c>
      <c r="M2527" s="882">
        <v>3627500</v>
      </c>
      <c r="N2527" s="898">
        <v>29948</v>
      </c>
      <c r="O2527" s="897"/>
      <c r="P2527" s="883"/>
      <c r="Q2527" s="883">
        <v>29850</v>
      </c>
      <c r="R2527" s="599">
        <f>M2527/E2527</f>
        <v>1375.0947687642154</v>
      </c>
      <c r="S2527" s="575">
        <f t="shared" si="363"/>
        <v>0</v>
      </c>
      <c r="T2527" s="597"/>
      <c r="U2527" s="738"/>
      <c r="V2527" s="589">
        <v>3168750</v>
      </c>
      <c r="W2527" s="645">
        <f t="shared" si="360"/>
        <v>-458750</v>
      </c>
      <c r="X2527" s="592"/>
      <c r="Y2527" s="592">
        <v>1</v>
      </c>
      <c r="Z2527" s="592"/>
    </row>
    <row r="2528" spans="1:26" s="28" customFormat="1" hidden="1">
      <c r="A2528" s="591">
        <f t="shared" si="366"/>
        <v>33</v>
      </c>
      <c r="B2528" s="827" t="s">
        <v>2122</v>
      </c>
      <c r="C2528" s="593" t="s">
        <v>239</v>
      </c>
      <c r="D2528" s="878">
        <v>1942</v>
      </c>
      <c r="E2528" s="878">
        <v>440</v>
      </c>
      <c r="F2528" s="878" t="s">
        <v>251</v>
      </c>
      <c r="G2528" s="878">
        <v>374</v>
      </c>
      <c r="H2528" s="879">
        <v>2</v>
      </c>
      <c r="I2528" s="593">
        <v>1</v>
      </c>
      <c r="J2528" s="880">
        <v>8</v>
      </c>
      <c r="K2528" s="881" t="s">
        <v>33</v>
      </c>
      <c r="L2528" s="584">
        <f t="shared" si="368"/>
        <v>1084905.8400000001</v>
      </c>
      <c r="M2528" s="882">
        <f>G2528*2800</f>
        <v>1047200</v>
      </c>
      <c r="N2528" s="898">
        <v>28244</v>
      </c>
      <c r="O2528" s="897"/>
      <c r="P2528" s="883"/>
      <c r="Q2528" s="883">
        <v>9461.84</v>
      </c>
      <c r="R2528" s="599">
        <f>M2528/G2528</f>
        <v>2800</v>
      </c>
      <c r="S2528" s="575">
        <f t="shared" si="363"/>
        <v>8.3673512563109398E-11</v>
      </c>
      <c r="T2528" s="597"/>
      <c r="U2528" s="738"/>
      <c r="V2528" s="589">
        <v>1047200</v>
      </c>
      <c r="W2528" s="645">
        <f t="shared" si="360"/>
        <v>0</v>
      </c>
      <c r="X2528" s="592"/>
      <c r="Y2528" s="592">
        <v>1</v>
      </c>
      <c r="Z2528" s="592"/>
    </row>
    <row r="2529" spans="1:26" s="28" customFormat="1" hidden="1">
      <c r="A2529" s="591">
        <f t="shared" si="366"/>
        <v>34</v>
      </c>
      <c r="B2529" s="827" t="s">
        <v>2123</v>
      </c>
      <c r="C2529" s="593" t="s">
        <v>239</v>
      </c>
      <c r="D2529" s="878">
        <v>1839</v>
      </c>
      <c r="E2529" s="878">
        <v>428</v>
      </c>
      <c r="F2529" s="878" t="s">
        <v>251</v>
      </c>
      <c r="G2529" s="878">
        <v>373</v>
      </c>
      <c r="H2529" s="879">
        <v>2</v>
      </c>
      <c r="I2529" s="593">
        <v>1</v>
      </c>
      <c r="J2529" s="880">
        <v>8</v>
      </c>
      <c r="K2529" s="881" t="s">
        <v>33</v>
      </c>
      <c r="L2529" s="584">
        <f t="shared" si="368"/>
        <v>1081338</v>
      </c>
      <c r="M2529" s="882">
        <f>G2529*2800</f>
        <v>1044400</v>
      </c>
      <c r="N2529" s="898">
        <v>27978</v>
      </c>
      <c r="O2529" s="897"/>
      <c r="P2529" s="883"/>
      <c r="Q2529" s="883">
        <v>8960</v>
      </c>
      <c r="R2529" s="599">
        <f>M2529/G2529</f>
        <v>2800</v>
      </c>
      <c r="S2529" s="575">
        <f t="shared" si="363"/>
        <v>0</v>
      </c>
      <c r="T2529" s="597"/>
      <c r="U2529" s="738"/>
      <c r="V2529" s="589">
        <v>1044400</v>
      </c>
      <c r="W2529" s="645">
        <f t="shared" si="360"/>
        <v>0</v>
      </c>
      <c r="X2529" s="592"/>
      <c r="Y2529" s="592">
        <v>1</v>
      </c>
      <c r="Z2529" s="592"/>
    </row>
    <row r="2530" spans="1:26" s="28" customFormat="1" ht="37.5" hidden="1">
      <c r="A2530" s="591">
        <f t="shared" si="366"/>
        <v>35</v>
      </c>
      <c r="B2530" s="827" t="s">
        <v>2124</v>
      </c>
      <c r="C2530" s="593" t="s">
        <v>239</v>
      </c>
      <c r="D2530" s="878">
        <v>8382</v>
      </c>
      <c r="E2530" s="878">
        <v>1568</v>
      </c>
      <c r="F2530" s="878" t="s">
        <v>251</v>
      </c>
      <c r="G2530" s="878">
        <v>1081</v>
      </c>
      <c r="H2530" s="879">
        <v>3</v>
      </c>
      <c r="I2530" s="593">
        <v>3</v>
      </c>
      <c r="J2530" s="880">
        <v>24</v>
      </c>
      <c r="K2530" s="881" t="s">
        <v>320</v>
      </c>
      <c r="L2530" s="584">
        <f t="shared" si="368"/>
        <v>3180129</v>
      </c>
      <c r="M2530" s="882">
        <f>E2530*2000</f>
        <v>3136000</v>
      </c>
      <c r="N2530" s="898"/>
      <c r="O2530" s="897">
        <v>14279</v>
      </c>
      <c r="P2530" s="883"/>
      <c r="Q2530" s="883">
        <v>29850</v>
      </c>
      <c r="R2530" s="599">
        <f>M2530/E2530</f>
        <v>2000</v>
      </c>
      <c r="S2530" s="575">
        <f t="shared" si="363"/>
        <v>0</v>
      </c>
      <c r="T2530" s="597"/>
      <c r="U2530" s="738">
        <v>14279</v>
      </c>
      <c r="V2530" s="589">
        <v>3136000</v>
      </c>
      <c r="W2530" s="645">
        <f t="shared" si="360"/>
        <v>0</v>
      </c>
      <c r="X2530" s="592"/>
      <c r="Y2530" s="592">
        <v>1</v>
      </c>
      <c r="Z2530" s="592"/>
    </row>
    <row r="2531" spans="1:26" s="28" customFormat="1" hidden="1">
      <c r="A2531" s="591">
        <f t="shared" si="366"/>
        <v>36</v>
      </c>
      <c r="B2531" s="827" t="s">
        <v>2125</v>
      </c>
      <c r="C2531" s="593" t="s">
        <v>221</v>
      </c>
      <c r="D2531" s="878">
        <v>13072</v>
      </c>
      <c r="E2531" s="878">
        <v>4150</v>
      </c>
      <c r="F2531" s="878" t="s">
        <v>227</v>
      </c>
      <c r="G2531" s="878">
        <v>1050</v>
      </c>
      <c r="H2531" s="879">
        <v>5</v>
      </c>
      <c r="I2531" s="593">
        <v>4</v>
      </c>
      <c r="J2531" s="880">
        <v>64</v>
      </c>
      <c r="K2531" s="881" t="s">
        <v>33</v>
      </c>
      <c r="L2531" s="584">
        <f t="shared" si="368"/>
        <v>2351645</v>
      </c>
      <c r="M2531" s="882">
        <f>G2531*2200</f>
        <v>2310000</v>
      </c>
      <c r="N2531" s="898"/>
      <c r="O2531" s="897">
        <v>21745</v>
      </c>
      <c r="P2531" s="883"/>
      <c r="Q2531" s="883">
        <v>19900</v>
      </c>
      <c r="R2531" s="599">
        <f>M2531/G2531</f>
        <v>2200</v>
      </c>
      <c r="S2531" s="575">
        <f t="shared" si="363"/>
        <v>0</v>
      </c>
      <c r="T2531" s="597"/>
      <c r="U2531" s="738">
        <v>21745</v>
      </c>
      <c r="V2531" s="589">
        <v>2310000</v>
      </c>
      <c r="W2531" s="645">
        <f t="shared" si="360"/>
        <v>0</v>
      </c>
      <c r="X2531" s="592"/>
      <c r="Y2531" s="592">
        <v>1</v>
      </c>
      <c r="Z2531" s="592"/>
    </row>
    <row r="2532" spans="1:26" s="28" customFormat="1" hidden="1">
      <c r="A2532" s="591">
        <f t="shared" si="366"/>
        <v>37</v>
      </c>
      <c r="B2532" s="827" t="s">
        <v>2126</v>
      </c>
      <c r="C2532" s="593" t="s">
        <v>221</v>
      </c>
      <c r="D2532" s="878">
        <v>12570</v>
      </c>
      <c r="E2532" s="878">
        <v>2400</v>
      </c>
      <c r="F2532" s="878" t="s">
        <v>227</v>
      </c>
      <c r="G2532" s="878">
        <v>1061</v>
      </c>
      <c r="H2532" s="879">
        <v>5</v>
      </c>
      <c r="I2532" s="593">
        <v>4</v>
      </c>
      <c r="J2532" s="880">
        <v>78</v>
      </c>
      <c r="K2532" s="1103" t="s">
        <v>238</v>
      </c>
      <c r="L2532" s="584">
        <f t="shared" si="368"/>
        <v>2404861.94</v>
      </c>
      <c r="M2532" s="882">
        <v>2340000</v>
      </c>
      <c r="N2532" s="898">
        <v>30543</v>
      </c>
      <c r="O2532" s="897"/>
      <c r="P2532" s="883"/>
      <c r="Q2532" s="883">
        <v>34318.94</v>
      </c>
      <c r="R2532" s="599">
        <f>M2532/J2532</f>
        <v>30000</v>
      </c>
      <c r="S2532" s="575">
        <f t="shared" si="363"/>
        <v>-5.8207660913467407E-11</v>
      </c>
      <c r="T2532" s="597"/>
      <c r="U2532" s="738"/>
      <c r="V2532" s="589">
        <v>2340000</v>
      </c>
      <c r="W2532" s="645">
        <f t="shared" si="360"/>
        <v>0</v>
      </c>
      <c r="X2532" s="592"/>
      <c r="Y2532" s="592">
        <v>1</v>
      </c>
      <c r="Z2532" s="592"/>
    </row>
    <row r="2533" spans="1:26" s="28" customFormat="1" hidden="1">
      <c r="A2533" s="591">
        <f t="shared" si="366"/>
        <v>38</v>
      </c>
      <c r="B2533" s="827" t="s">
        <v>2127</v>
      </c>
      <c r="C2533" s="593" t="s">
        <v>221</v>
      </c>
      <c r="D2533" s="878">
        <v>12641</v>
      </c>
      <c r="E2533" s="878">
        <v>2400</v>
      </c>
      <c r="F2533" s="878" t="s">
        <v>227</v>
      </c>
      <c r="G2533" s="878">
        <v>1061</v>
      </c>
      <c r="H2533" s="879">
        <v>5</v>
      </c>
      <c r="I2533" s="593">
        <v>4</v>
      </c>
      <c r="J2533" s="880">
        <v>80</v>
      </c>
      <c r="K2533" s="881" t="s">
        <v>33</v>
      </c>
      <c r="L2533" s="584">
        <f t="shared" si="368"/>
        <v>2376340</v>
      </c>
      <c r="M2533" s="882">
        <f>G2533*2200</f>
        <v>2334200</v>
      </c>
      <c r="N2533" s="898"/>
      <c r="O2533" s="897">
        <v>22240</v>
      </c>
      <c r="P2533" s="883"/>
      <c r="Q2533" s="883">
        <v>19900</v>
      </c>
      <c r="R2533" s="599">
        <f>M2533/G2533</f>
        <v>2200</v>
      </c>
      <c r="S2533" s="575">
        <f t="shared" si="363"/>
        <v>0</v>
      </c>
      <c r="T2533" s="597"/>
      <c r="U2533" s="738">
        <v>22240</v>
      </c>
      <c r="V2533" s="589">
        <v>2334200</v>
      </c>
      <c r="W2533" s="645">
        <f t="shared" si="360"/>
        <v>0</v>
      </c>
      <c r="X2533" s="592"/>
      <c r="Y2533" s="592">
        <v>1</v>
      </c>
      <c r="Z2533" s="592"/>
    </row>
    <row r="2534" spans="1:26" s="28" customFormat="1" hidden="1">
      <c r="A2534" s="591">
        <f t="shared" si="366"/>
        <v>39</v>
      </c>
      <c r="B2534" s="827" t="s">
        <v>2128</v>
      </c>
      <c r="C2534" s="593" t="s">
        <v>221</v>
      </c>
      <c r="D2534" s="878">
        <v>13252</v>
      </c>
      <c r="E2534" s="878">
        <v>1653</v>
      </c>
      <c r="F2534" s="878" t="s">
        <v>227</v>
      </c>
      <c r="G2534" s="878">
        <v>1041</v>
      </c>
      <c r="H2534" s="879">
        <v>5</v>
      </c>
      <c r="I2534" s="593">
        <v>4</v>
      </c>
      <c r="J2534" s="880">
        <v>64</v>
      </c>
      <c r="K2534" s="881" t="s">
        <v>33</v>
      </c>
      <c r="L2534" s="584">
        <f t="shared" si="368"/>
        <v>2331911</v>
      </c>
      <c r="M2534" s="882">
        <f>G2534*2200</f>
        <v>2290200</v>
      </c>
      <c r="N2534" s="898"/>
      <c r="O2534" s="897">
        <v>21811</v>
      </c>
      <c r="P2534" s="883"/>
      <c r="Q2534" s="883">
        <v>19900</v>
      </c>
      <c r="R2534" s="599">
        <f>M2534/G2534</f>
        <v>2200</v>
      </c>
      <c r="S2534" s="575">
        <f t="shared" si="363"/>
        <v>0</v>
      </c>
      <c r="T2534" s="597"/>
      <c r="U2534" s="738">
        <v>21811</v>
      </c>
      <c r="V2534" s="589">
        <v>2290200</v>
      </c>
      <c r="W2534" s="645">
        <f t="shared" si="360"/>
        <v>0</v>
      </c>
      <c r="X2534" s="592"/>
      <c r="Y2534" s="592">
        <v>1</v>
      </c>
      <c r="Z2534" s="592"/>
    </row>
    <row r="2535" spans="1:26" s="28" customFormat="1" hidden="1">
      <c r="A2535" s="591">
        <f t="shared" si="366"/>
        <v>40</v>
      </c>
      <c r="B2535" s="827" t="s">
        <v>2129</v>
      </c>
      <c r="C2535" s="593" t="s">
        <v>221</v>
      </c>
      <c r="D2535" s="878">
        <v>40866</v>
      </c>
      <c r="E2535" s="878">
        <v>4038</v>
      </c>
      <c r="F2535" s="878" t="s">
        <v>227</v>
      </c>
      <c r="G2535" s="878">
        <v>1486</v>
      </c>
      <c r="H2535" s="879">
        <v>9</v>
      </c>
      <c r="I2535" s="593">
        <v>4</v>
      </c>
      <c r="J2535" s="880">
        <v>128</v>
      </c>
      <c r="K2535" s="881" t="s">
        <v>33</v>
      </c>
      <c r="L2535" s="584">
        <f t="shared" si="368"/>
        <v>3317615</v>
      </c>
      <c r="M2535" s="882">
        <f>G2535*2200</f>
        <v>3269200</v>
      </c>
      <c r="N2535" s="898"/>
      <c r="O2535" s="897">
        <v>28515</v>
      </c>
      <c r="P2535" s="883"/>
      <c r="Q2535" s="883">
        <v>19900</v>
      </c>
      <c r="R2535" s="599">
        <f>M2535/G2535</f>
        <v>2200</v>
      </c>
      <c r="S2535" s="575">
        <f t="shared" si="363"/>
        <v>0</v>
      </c>
      <c r="T2535" s="597"/>
      <c r="U2535" s="738">
        <v>28515</v>
      </c>
      <c r="V2535" s="589">
        <v>3269200</v>
      </c>
      <c r="W2535" s="645">
        <f t="shared" si="360"/>
        <v>0</v>
      </c>
      <c r="X2535" s="592"/>
      <c r="Y2535" s="592">
        <v>1</v>
      </c>
      <c r="Z2535" s="592"/>
    </row>
    <row r="2536" spans="1:26" s="28" customFormat="1" hidden="1">
      <c r="A2536" s="591">
        <f t="shared" si="366"/>
        <v>41</v>
      </c>
      <c r="B2536" s="827" t="s">
        <v>2131</v>
      </c>
      <c r="C2536" s="593" t="s">
        <v>221</v>
      </c>
      <c r="D2536" s="878">
        <v>12314</v>
      </c>
      <c r="E2536" s="878">
        <v>2400</v>
      </c>
      <c r="F2536" s="878" t="s">
        <v>227</v>
      </c>
      <c r="G2536" s="878">
        <v>1041</v>
      </c>
      <c r="H2536" s="879">
        <v>5</v>
      </c>
      <c r="I2536" s="593">
        <v>4</v>
      </c>
      <c r="J2536" s="880">
        <v>79</v>
      </c>
      <c r="K2536" s="881" t="s">
        <v>33</v>
      </c>
      <c r="L2536" s="584">
        <f t="shared" si="368"/>
        <v>2332216</v>
      </c>
      <c r="M2536" s="882">
        <f>G2536*2200</f>
        <v>2290200</v>
      </c>
      <c r="N2536" s="898"/>
      <c r="O2536" s="897">
        <v>22116</v>
      </c>
      <c r="P2536" s="883"/>
      <c r="Q2536" s="883">
        <v>19900</v>
      </c>
      <c r="R2536" s="599">
        <f>M2536/G2536</f>
        <v>2200</v>
      </c>
      <c r="S2536" s="575">
        <f t="shared" si="363"/>
        <v>0</v>
      </c>
      <c r="T2536" s="597"/>
      <c r="U2536" s="738">
        <v>22116</v>
      </c>
      <c r="V2536" s="589">
        <v>2290200</v>
      </c>
      <c r="W2536" s="645">
        <f t="shared" si="360"/>
        <v>0</v>
      </c>
      <c r="X2536" s="592"/>
      <c r="Y2536" s="592">
        <v>1</v>
      </c>
      <c r="Z2536" s="592"/>
    </row>
    <row r="2537" spans="1:26" s="28" customFormat="1" hidden="1">
      <c r="A2537" s="591">
        <f t="shared" si="366"/>
        <v>42</v>
      </c>
      <c r="B2537" s="827" t="s">
        <v>2132</v>
      </c>
      <c r="C2537" s="593" t="s">
        <v>217</v>
      </c>
      <c r="D2537" s="878">
        <v>17896</v>
      </c>
      <c r="E2537" s="878">
        <v>4117</v>
      </c>
      <c r="F2537" s="878" t="s">
        <v>227</v>
      </c>
      <c r="G2537" s="878">
        <v>1524</v>
      </c>
      <c r="H2537" s="879">
        <v>5</v>
      </c>
      <c r="I2537" s="593">
        <v>6</v>
      </c>
      <c r="J2537" s="880">
        <v>92</v>
      </c>
      <c r="K2537" s="881" t="s">
        <v>33</v>
      </c>
      <c r="L2537" s="584">
        <f t="shared" si="368"/>
        <v>3394800</v>
      </c>
      <c r="M2537" s="882">
        <f>G2537*2200</f>
        <v>3352800</v>
      </c>
      <c r="N2537" s="898"/>
      <c r="O2537" s="897">
        <v>22100</v>
      </c>
      <c r="P2537" s="883"/>
      <c r="Q2537" s="883">
        <v>19900</v>
      </c>
      <c r="R2537" s="599">
        <f>M2537/G2537</f>
        <v>2200</v>
      </c>
      <c r="S2537" s="575">
        <f t="shared" si="363"/>
        <v>0</v>
      </c>
      <c r="T2537" s="597"/>
      <c r="U2537" s="738">
        <v>22100</v>
      </c>
      <c r="V2537" s="589">
        <v>3352800</v>
      </c>
      <c r="W2537" s="645">
        <f t="shared" si="360"/>
        <v>0</v>
      </c>
      <c r="X2537" s="592"/>
      <c r="Y2537" s="592">
        <v>1</v>
      </c>
      <c r="Z2537" s="592"/>
    </row>
    <row r="2538" spans="1:26" s="28" customFormat="1" hidden="1">
      <c r="A2538" s="591">
        <f t="shared" si="366"/>
        <v>43</v>
      </c>
      <c r="B2538" s="827" t="s">
        <v>2133</v>
      </c>
      <c r="C2538" s="593" t="s">
        <v>217</v>
      </c>
      <c r="D2538" s="878">
        <v>18167</v>
      </c>
      <c r="E2538" s="878">
        <v>440</v>
      </c>
      <c r="F2538" s="878" t="s">
        <v>227</v>
      </c>
      <c r="G2538" s="878">
        <v>1524</v>
      </c>
      <c r="H2538" s="879">
        <v>5</v>
      </c>
      <c r="I2538" s="593">
        <v>6</v>
      </c>
      <c r="J2538" s="880">
        <v>92</v>
      </c>
      <c r="K2538" s="881" t="s">
        <v>434</v>
      </c>
      <c r="L2538" s="584">
        <f t="shared" si="368"/>
        <v>1162067</v>
      </c>
      <c r="M2538" s="882">
        <f>E2538*2500</f>
        <v>1100000</v>
      </c>
      <c r="N2538" s="898">
        <v>32217</v>
      </c>
      <c r="O2538" s="897"/>
      <c r="P2538" s="883"/>
      <c r="Q2538" s="883">
        <v>29850</v>
      </c>
      <c r="R2538" s="599">
        <f>M2538/E2538</f>
        <v>2500</v>
      </c>
      <c r="S2538" s="575">
        <f t="shared" si="363"/>
        <v>0</v>
      </c>
      <c r="T2538" s="597"/>
      <c r="U2538" s="738"/>
      <c r="V2538" s="589">
        <v>1100000</v>
      </c>
      <c r="W2538" s="645">
        <f t="shared" si="360"/>
        <v>0</v>
      </c>
      <c r="X2538" s="592"/>
      <c r="Y2538" s="592">
        <v>1</v>
      </c>
      <c r="Z2538" s="592"/>
    </row>
    <row r="2539" spans="1:26" s="28" customFormat="1" hidden="1">
      <c r="A2539" s="591">
        <f t="shared" si="366"/>
        <v>44</v>
      </c>
      <c r="B2539" s="827" t="s">
        <v>2135</v>
      </c>
      <c r="C2539" s="593" t="s">
        <v>239</v>
      </c>
      <c r="D2539" s="878">
        <v>1954</v>
      </c>
      <c r="E2539" s="878">
        <v>449</v>
      </c>
      <c r="F2539" s="878" t="s">
        <v>251</v>
      </c>
      <c r="G2539" s="878">
        <v>384</v>
      </c>
      <c r="H2539" s="879">
        <v>2</v>
      </c>
      <c r="I2539" s="593">
        <v>1</v>
      </c>
      <c r="J2539" s="880">
        <v>8</v>
      </c>
      <c r="K2539" s="881" t="s">
        <v>33</v>
      </c>
      <c r="L2539" s="584">
        <f t="shared" si="368"/>
        <v>1112995.31</v>
      </c>
      <c r="M2539" s="882">
        <f>G2539*2800</f>
        <v>1075200</v>
      </c>
      <c r="N2539" s="898">
        <v>28275</v>
      </c>
      <c r="O2539" s="897"/>
      <c r="P2539" s="883"/>
      <c r="Q2539" s="883">
        <v>9520.31</v>
      </c>
      <c r="R2539" s="599">
        <f>M2539/G2539</f>
        <v>2800</v>
      </c>
      <c r="S2539" s="575">
        <f t="shared" si="363"/>
        <v>5.6388671509921551E-11</v>
      </c>
      <c r="T2539" s="597"/>
      <c r="U2539" s="738"/>
      <c r="V2539" s="589">
        <v>1075200</v>
      </c>
      <c r="W2539" s="645">
        <f t="shared" si="360"/>
        <v>0</v>
      </c>
      <c r="X2539" s="592"/>
      <c r="Y2539" s="592">
        <v>1</v>
      </c>
      <c r="Z2539" s="592"/>
    </row>
    <row r="2540" spans="1:26" s="28" customFormat="1" hidden="1">
      <c r="A2540" s="591">
        <f t="shared" si="366"/>
        <v>45</v>
      </c>
      <c r="B2540" s="827" t="s">
        <v>2136</v>
      </c>
      <c r="C2540" s="593" t="s">
        <v>239</v>
      </c>
      <c r="D2540" s="878">
        <v>1854</v>
      </c>
      <c r="E2540" s="878">
        <v>447</v>
      </c>
      <c r="F2540" s="878" t="s">
        <v>251</v>
      </c>
      <c r="G2540" s="878">
        <v>377</v>
      </c>
      <c r="H2540" s="879">
        <v>2</v>
      </c>
      <c r="I2540" s="593">
        <v>1</v>
      </c>
      <c r="J2540" s="880">
        <v>8</v>
      </c>
      <c r="K2540" s="881" t="s">
        <v>38</v>
      </c>
      <c r="L2540" s="584">
        <f>M2540+N2540+O2540+P2540+Q2540</f>
        <v>917906.02</v>
      </c>
      <c r="M2540" s="882">
        <f>E2540*2000</f>
        <v>894000</v>
      </c>
      <c r="N2540" s="898"/>
      <c r="O2540" s="897">
        <v>12142</v>
      </c>
      <c r="P2540" s="883"/>
      <c r="Q2540" s="883">
        <v>11764.02</v>
      </c>
      <c r="R2540" s="599">
        <f>M2540/E2540</f>
        <v>2000</v>
      </c>
      <c r="S2540" s="575">
        <f t="shared" si="363"/>
        <v>1.8189894035458565E-11</v>
      </c>
      <c r="T2540" s="597"/>
      <c r="U2540" s="738">
        <v>12142</v>
      </c>
      <c r="V2540" s="589">
        <v>894000</v>
      </c>
      <c r="W2540" s="645">
        <f t="shared" si="360"/>
        <v>0</v>
      </c>
      <c r="X2540" s="592"/>
      <c r="Y2540" s="592">
        <v>1</v>
      </c>
      <c r="Z2540" s="592"/>
    </row>
    <row r="2541" spans="1:26" s="28" customFormat="1" hidden="1">
      <c r="A2541" s="591">
        <f t="shared" si="366"/>
        <v>46</v>
      </c>
      <c r="B2541" s="827" t="s">
        <v>2137</v>
      </c>
      <c r="C2541" s="593" t="s">
        <v>239</v>
      </c>
      <c r="D2541" s="878">
        <v>2603</v>
      </c>
      <c r="E2541" s="878">
        <v>629</v>
      </c>
      <c r="F2541" s="878" t="s">
        <v>251</v>
      </c>
      <c r="G2541" s="878">
        <v>543</v>
      </c>
      <c r="H2541" s="879">
        <v>2</v>
      </c>
      <c r="I2541" s="593">
        <v>2</v>
      </c>
      <c r="J2541" s="880">
        <v>16</v>
      </c>
      <c r="K2541" s="881" t="s">
        <v>33</v>
      </c>
      <c r="L2541" s="584">
        <f t="shared" ref="L2541:L2547" si="369">SUM(M2541:Q2541)</f>
        <v>1562650.37</v>
      </c>
      <c r="M2541" s="882">
        <f>G2541*2800</f>
        <v>1520400</v>
      </c>
      <c r="N2541" s="898">
        <v>29566</v>
      </c>
      <c r="O2541" s="897"/>
      <c r="P2541" s="883"/>
      <c r="Q2541" s="883">
        <v>12684.37</v>
      </c>
      <c r="R2541" s="599">
        <f>M2541/G2541</f>
        <v>2800</v>
      </c>
      <c r="S2541" s="575">
        <f t="shared" si="363"/>
        <v>1.1095835361629725E-10</v>
      </c>
      <c r="T2541" s="597"/>
      <c r="U2541" s="738"/>
      <c r="V2541" s="589">
        <v>1520400</v>
      </c>
      <c r="W2541" s="645">
        <f t="shared" si="360"/>
        <v>0</v>
      </c>
      <c r="X2541" s="592"/>
      <c r="Y2541" s="592">
        <v>1</v>
      </c>
      <c r="Z2541" s="592"/>
    </row>
    <row r="2542" spans="1:26" s="28" customFormat="1" hidden="1">
      <c r="A2542" s="591">
        <f t="shared" si="366"/>
        <v>47</v>
      </c>
      <c r="B2542" s="827" t="s">
        <v>2138</v>
      </c>
      <c r="C2542" s="593" t="s">
        <v>221</v>
      </c>
      <c r="D2542" s="878">
        <v>7034</v>
      </c>
      <c r="E2542" s="878">
        <v>1610.7</v>
      </c>
      <c r="F2542" s="878" t="s">
        <v>233</v>
      </c>
      <c r="G2542" s="878">
        <v>926</v>
      </c>
      <c r="H2542" s="879">
        <v>3</v>
      </c>
      <c r="I2542" s="593">
        <v>3</v>
      </c>
      <c r="J2542" s="880">
        <v>36</v>
      </c>
      <c r="K2542" s="881" t="s">
        <v>226</v>
      </c>
      <c r="L2542" s="584">
        <f t="shared" si="369"/>
        <v>4081410.53</v>
      </c>
      <c r="M2542" s="882">
        <f>E2542*2500</f>
        <v>4026750</v>
      </c>
      <c r="N2542" s="898">
        <v>26703</v>
      </c>
      <c r="O2542" s="897"/>
      <c r="P2542" s="883"/>
      <c r="Q2542" s="883">
        <v>27957.53</v>
      </c>
      <c r="R2542" s="599">
        <f>M2542/E2542</f>
        <v>2500</v>
      </c>
      <c r="S2542" s="575">
        <f t="shared" si="363"/>
        <v>-2.0372681319713593E-10</v>
      </c>
      <c r="T2542" s="597"/>
      <c r="U2542" s="738"/>
      <c r="V2542" s="589">
        <v>4026750</v>
      </c>
      <c r="W2542" s="645">
        <f t="shared" si="360"/>
        <v>0</v>
      </c>
      <c r="X2542" s="592"/>
      <c r="Y2542" s="592">
        <v>1</v>
      </c>
      <c r="Z2542" s="592"/>
    </row>
    <row r="2543" spans="1:26" s="28" customFormat="1" hidden="1">
      <c r="A2543" s="591">
        <f t="shared" si="366"/>
        <v>48</v>
      </c>
      <c r="B2543" s="827" t="s">
        <v>2139</v>
      </c>
      <c r="C2543" s="593" t="s">
        <v>239</v>
      </c>
      <c r="D2543" s="878">
        <v>2603</v>
      </c>
      <c r="E2543" s="878">
        <v>559</v>
      </c>
      <c r="F2543" s="878" t="s">
        <v>251</v>
      </c>
      <c r="G2543" s="878">
        <v>552</v>
      </c>
      <c r="H2543" s="879">
        <v>2</v>
      </c>
      <c r="I2543" s="593">
        <v>2</v>
      </c>
      <c r="J2543" s="880">
        <v>12</v>
      </c>
      <c r="K2543" s="881" t="s">
        <v>224</v>
      </c>
      <c r="L2543" s="584">
        <f t="shared" si="369"/>
        <v>300483.64</v>
      </c>
      <c r="M2543" s="882">
        <f>J2543*23000</f>
        <v>276000</v>
      </c>
      <c r="N2543" s="898">
        <v>22390</v>
      </c>
      <c r="O2543" s="897"/>
      <c r="P2543" s="883"/>
      <c r="Q2543" s="883">
        <v>2093.64</v>
      </c>
      <c r="R2543" s="599">
        <f>M2543/J2543</f>
        <v>23000</v>
      </c>
      <c r="S2543" s="575">
        <f t="shared" si="363"/>
        <v>1.4097167877480388E-11</v>
      </c>
      <c r="T2543" s="597"/>
      <c r="U2543" s="738"/>
      <c r="V2543" s="589">
        <v>276000</v>
      </c>
      <c r="W2543" s="645">
        <f t="shared" si="360"/>
        <v>0</v>
      </c>
      <c r="X2543" s="592"/>
      <c r="Y2543" s="592">
        <v>1</v>
      </c>
      <c r="Z2543" s="592"/>
    </row>
    <row r="2544" spans="1:26" s="28" customFormat="1" hidden="1">
      <c r="A2544" s="591">
        <f t="shared" si="366"/>
        <v>49</v>
      </c>
      <c r="B2544" s="827" t="s">
        <v>2140</v>
      </c>
      <c r="C2544" s="593" t="s">
        <v>221</v>
      </c>
      <c r="D2544" s="878">
        <v>5939</v>
      </c>
      <c r="E2544" s="878">
        <v>1343</v>
      </c>
      <c r="F2544" s="878" t="s">
        <v>233</v>
      </c>
      <c r="G2544" s="878">
        <v>488</v>
      </c>
      <c r="H2544" s="879">
        <v>5</v>
      </c>
      <c r="I2544" s="593">
        <v>2</v>
      </c>
      <c r="J2544" s="880">
        <v>30</v>
      </c>
      <c r="K2544" s="1103" t="s">
        <v>226</v>
      </c>
      <c r="L2544" s="584">
        <f t="shared" si="369"/>
        <v>3023609.58</v>
      </c>
      <c r="M2544" s="883">
        <v>2954600</v>
      </c>
      <c r="N2544" s="898">
        <v>29971</v>
      </c>
      <c r="O2544" s="897">
        <v>20728</v>
      </c>
      <c r="P2544" s="883"/>
      <c r="Q2544" s="883">
        <v>18310.580000000002</v>
      </c>
      <c r="R2544" s="599">
        <f>M2544/G2544</f>
        <v>6054.5081967213118</v>
      </c>
      <c r="S2544" s="575">
        <f t="shared" si="363"/>
        <v>7.2759576141834259E-11</v>
      </c>
      <c r="T2544" s="597"/>
      <c r="U2544" s="738">
        <v>20728</v>
      </c>
      <c r="V2544" s="589">
        <v>2954600</v>
      </c>
      <c r="W2544" s="645">
        <f t="shared" si="360"/>
        <v>0</v>
      </c>
      <c r="X2544" s="592"/>
      <c r="Y2544" s="592">
        <v>1</v>
      </c>
      <c r="Z2544" s="592"/>
    </row>
    <row r="2545" spans="1:26" s="28" customFormat="1" hidden="1">
      <c r="A2545" s="591">
        <f t="shared" si="366"/>
        <v>50</v>
      </c>
      <c r="B2545" s="827" t="s">
        <v>2141</v>
      </c>
      <c r="C2545" s="593" t="s">
        <v>221</v>
      </c>
      <c r="D2545" s="878">
        <v>5626</v>
      </c>
      <c r="E2545" s="878">
        <v>1294</v>
      </c>
      <c r="F2545" s="878" t="s">
        <v>233</v>
      </c>
      <c r="G2545" s="878">
        <v>505</v>
      </c>
      <c r="H2545" s="879">
        <v>5</v>
      </c>
      <c r="I2545" s="593">
        <v>2</v>
      </c>
      <c r="J2545" s="880">
        <v>30</v>
      </c>
      <c r="K2545" s="881" t="s">
        <v>33</v>
      </c>
      <c r="L2545" s="584">
        <f t="shared" si="369"/>
        <v>1149068.56</v>
      </c>
      <c r="M2545" s="882">
        <f>G2545*2200</f>
        <v>1111000</v>
      </c>
      <c r="N2545" s="898"/>
      <c r="O2545" s="897">
        <v>20723</v>
      </c>
      <c r="P2545" s="883"/>
      <c r="Q2545" s="883">
        <v>17345.560000000001</v>
      </c>
      <c r="R2545" s="599">
        <f>M2545/G2545</f>
        <v>2200</v>
      </c>
      <c r="S2545" s="575">
        <f t="shared" si="363"/>
        <v>5.4569682106375694E-11</v>
      </c>
      <c r="T2545" s="597"/>
      <c r="U2545" s="738">
        <v>20723</v>
      </c>
      <c r="V2545" s="589">
        <v>1111000</v>
      </c>
      <c r="W2545" s="645">
        <f t="shared" si="360"/>
        <v>0</v>
      </c>
      <c r="X2545" s="592"/>
      <c r="Y2545" s="592">
        <v>1</v>
      </c>
      <c r="Z2545" s="592"/>
    </row>
    <row r="2546" spans="1:26" s="28" customFormat="1" hidden="1">
      <c r="A2546" s="591">
        <f t="shared" si="366"/>
        <v>51</v>
      </c>
      <c r="B2546" s="827" t="s">
        <v>2142</v>
      </c>
      <c r="C2546" s="593" t="s">
        <v>239</v>
      </c>
      <c r="D2546" s="878">
        <v>1892</v>
      </c>
      <c r="E2546" s="878">
        <v>430</v>
      </c>
      <c r="F2546" s="878" t="s">
        <v>251</v>
      </c>
      <c r="G2546" s="878">
        <v>381</v>
      </c>
      <c r="H2546" s="879">
        <v>2</v>
      </c>
      <c r="I2546" s="593">
        <v>1</v>
      </c>
      <c r="J2546" s="880">
        <v>8</v>
      </c>
      <c r="K2546" s="881" t="s">
        <v>33</v>
      </c>
      <c r="L2546" s="584">
        <f t="shared" si="369"/>
        <v>1104133.24</v>
      </c>
      <c r="M2546" s="882">
        <f>G2546*2800</f>
        <v>1066800</v>
      </c>
      <c r="N2546" s="898">
        <v>28115</v>
      </c>
      <c r="O2546" s="897"/>
      <c r="P2546" s="883"/>
      <c r="Q2546" s="883">
        <v>9218.24</v>
      </c>
      <c r="R2546" s="599">
        <f>M2546/G2546</f>
        <v>2800</v>
      </c>
      <c r="S2546" s="575">
        <f t="shared" si="363"/>
        <v>0</v>
      </c>
      <c r="T2546" s="597"/>
      <c r="U2546" s="738"/>
      <c r="V2546" s="589">
        <v>1066800</v>
      </c>
      <c r="W2546" s="645">
        <f t="shared" si="360"/>
        <v>0</v>
      </c>
      <c r="X2546" s="592"/>
      <c r="Y2546" s="592">
        <v>1</v>
      </c>
      <c r="Z2546" s="592"/>
    </row>
    <row r="2547" spans="1:26" s="28" customFormat="1" hidden="1">
      <c r="A2547" s="591">
        <f t="shared" si="366"/>
        <v>52</v>
      </c>
      <c r="B2547" s="827" t="s">
        <v>2143</v>
      </c>
      <c r="C2547" s="593" t="s">
        <v>239</v>
      </c>
      <c r="D2547" s="878">
        <v>3241</v>
      </c>
      <c r="E2547" s="878">
        <v>758</v>
      </c>
      <c r="F2547" s="878" t="s">
        <v>251</v>
      </c>
      <c r="G2547" s="878">
        <v>653</v>
      </c>
      <c r="H2547" s="879">
        <v>2</v>
      </c>
      <c r="I2547" s="593">
        <v>2</v>
      </c>
      <c r="J2547" s="880">
        <v>12</v>
      </c>
      <c r="K2547" s="881" t="s">
        <v>33</v>
      </c>
      <c r="L2547" s="584">
        <f t="shared" si="369"/>
        <v>1874572.85</v>
      </c>
      <c r="M2547" s="882">
        <f>G2547*2800</f>
        <v>1828400</v>
      </c>
      <c r="N2547" s="898">
        <v>30382</v>
      </c>
      <c r="O2547" s="884"/>
      <c r="P2547" s="883"/>
      <c r="Q2547" s="883">
        <v>15790.85</v>
      </c>
      <c r="R2547" s="599">
        <f>M2547/G2547</f>
        <v>2800</v>
      </c>
      <c r="S2547" s="575">
        <f t="shared" si="363"/>
        <v>9.276845958083868E-11</v>
      </c>
      <c r="T2547" s="597"/>
      <c r="U2547" s="738"/>
      <c r="V2547" s="589">
        <v>1828400</v>
      </c>
      <c r="W2547" s="645">
        <f t="shared" si="360"/>
        <v>0</v>
      </c>
      <c r="X2547" s="592"/>
      <c r="Y2547" s="592">
        <v>1</v>
      </c>
      <c r="Z2547" s="592"/>
    </row>
    <row r="2548" spans="1:26" s="28" customFormat="1" hidden="1">
      <c r="A2548" s="1349" t="s">
        <v>143</v>
      </c>
      <c r="B2548" s="1349"/>
      <c r="C2548" s="586" t="s">
        <v>28</v>
      </c>
      <c r="D2548" s="586">
        <f>SUM(D2495:D2547)</f>
        <v>822720</v>
      </c>
      <c r="E2548" s="586">
        <f>SUM(E2495:E2547)</f>
        <v>154067.40000000002</v>
      </c>
      <c r="F2548" s="586" t="s">
        <v>28</v>
      </c>
      <c r="G2548" s="586">
        <f>SUM(G2495:G2547)</f>
        <v>51533.8</v>
      </c>
      <c r="H2548" s="586" t="s">
        <v>28</v>
      </c>
      <c r="I2548" s="586" t="s">
        <v>28</v>
      </c>
      <c r="J2548" s="586">
        <f>SUM(J2495:J2547)</f>
        <v>3994</v>
      </c>
      <c r="K2548" s="590" t="s">
        <v>28</v>
      </c>
      <c r="L2548" s="585">
        <f t="shared" ref="L2548:Q2548" si="370">SUM(L2495:L2547)</f>
        <v>210672112.97000003</v>
      </c>
      <c r="M2548" s="585">
        <f t="shared" si="370"/>
        <v>206697950</v>
      </c>
      <c r="N2548" s="586">
        <f t="shared" si="370"/>
        <v>2953736</v>
      </c>
      <c r="O2548" s="587">
        <f t="shared" si="370"/>
        <v>310873</v>
      </c>
      <c r="P2548" s="586">
        <f t="shared" si="370"/>
        <v>0</v>
      </c>
      <c r="Q2548" s="586">
        <f t="shared" si="370"/>
        <v>709553.97000000009</v>
      </c>
      <c r="R2548" s="582" t="s">
        <v>28</v>
      </c>
      <c r="S2548" s="564">
        <f t="shared" si="363"/>
        <v>2.852175384759903E-8</v>
      </c>
      <c r="T2548" s="577" t="e">
        <f>'1.перечень МКД'!#REF!</f>
        <v>#REF!</v>
      </c>
      <c r="U2548" s="589" t="e">
        <f>L2548-T2548</f>
        <v>#REF!</v>
      </c>
      <c r="V2548" s="589"/>
      <c r="W2548" s="592"/>
      <c r="X2548" s="592"/>
      <c r="Y2548" s="592">
        <v>1</v>
      </c>
      <c r="Z2548" s="592"/>
    </row>
    <row r="2549" spans="1:26" s="28" customFormat="1" hidden="1">
      <c r="A2549" s="1347" t="s">
        <v>165</v>
      </c>
      <c r="B2549" s="1347"/>
      <c r="C2549" s="1347"/>
      <c r="D2549" s="1347"/>
      <c r="E2549" s="1347"/>
      <c r="F2549" s="1347"/>
      <c r="G2549" s="1347"/>
      <c r="H2549" s="1347"/>
      <c r="I2549" s="1347"/>
      <c r="J2549" s="1347"/>
      <c r="K2549" s="1347"/>
      <c r="L2549" s="1347"/>
      <c r="M2549" s="1347"/>
      <c r="N2549" s="1347"/>
      <c r="O2549" s="1347"/>
      <c r="P2549" s="1347"/>
      <c r="Q2549" s="1347"/>
      <c r="R2549" s="590"/>
      <c r="S2549" s="592"/>
      <c r="T2549" s="592"/>
      <c r="U2549" s="591"/>
      <c r="V2549" s="589"/>
      <c r="W2549" s="592"/>
      <c r="X2549" s="592"/>
      <c r="Y2549" s="592">
        <v>1</v>
      </c>
      <c r="Z2549" s="592"/>
    </row>
    <row r="2550" spans="1:26" s="28" customFormat="1" ht="37.5" hidden="1">
      <c r="A2550" s="591">
        <v>1</v>
      </c>
      <c r="B2550" s="592" t="s">
        <v>2147</v>
      </c>
      <c r="C2550" s="602" t="s">
        <v>321</v>
      </c>
      <c r="D2550" s="878"/>
      <c r="E2550" s="878"/>
      <c r="F2550" s="878" t="s">
        <v>233</v>
      </c>
      <c r="G2550" s="878">
        <v>3234</v>
      </c>
      <c r="H2550" s="900">
        <v>9</v>
      </c>
      <c r="I2550" s="900">
        <v>1</v>
      </c>
      <c r="J2550" s="880">
        <v>72</v>
      </c>
      <c r="K2550" s="881" t="s">
        <v>219</v>
      </c>
      <c r="L2550" s="584">
        <f>SUBTOTAL(9,M2550:Q2550)</f>
        <v>2085000</v>
      </c>
      <c r="M2550" s="882">
        <v>2000000</v>
      </c>
      <c r="N2550" s="883">
        <f>85000*1</f>
        <v>85000</v>
      </c>
      <c r="O2550" s="884"/>
      <c r="P2550" s="883"/>
      <c r="Q2550" s="597"/>
      <c r="R2550" s="901">
        <f>M2550/I2550</f>
        <v>2000000</v>
      </c>
      <c r="S2550" s="575">
        <f>L2550-M2550-N2550-O2550-P2550-Q2550</f>
        <v>0</v>
      </c>
      <c r="T2550" s="597"/>
      <c r="U2550" s="738"/>
      <c r="V2550" s="589"/>
      <c r="W2550" s="592"/>
      <c r="X2550" s="592"/>
      <c r="Y2550" s="592">
        <v>1</v>
      </c>
      <c r="Z2550" s="592"/>
    </row>
    <row r="2551" spans="1:26" s="89" customFormat="1" ht="37.5" hidden="1">
      <c r="A2551" s="591">
        <f>A2550+1</f>
        <v>2</v>
      </c>
      <c r="B2551" s="592" t="s">
        <v>3109</v>
      </c>
      <c r="C2551" s="602" t="s">
        <v>342</v>
      </c>
      <c r="D2551" s="878"/>
      <c r="E2551" s="878">
        <v>4198</v>
      </c>
      <c r="F2551" s="878" t="s">
        <v>233</v>
      </c>
      <c r="G2551" s="878">
        <v>3075</v>
      </c>
      <c r="H2551" s="900">
        <v>9</v>
      </c>
      <c r="I2551" s="900">
        <v>1</v>
      </c>
      <c r="J2551" s="880">
        <v>96</v>
      </c>
      <c r="K2551" s="881" t="s">
        <v>219</v>
      </c>
      <c r="L2551" s="584">
        <f>SUM(M2551:Q2551)</f>
        <v>2085000</v>
      </c>
      <c r="M2551" s="882">
        <v>2000000</v>
      </c>
      <c r="N2551" s="883">
        <f>85000</f>
        <v>85000</v>
      </c>
      <c r="O2551" s="884"/>
      <c r="P2551" s="883"/>
      <c r="Q2551" s="597"/>
      <c r="R2551" s="901">
        <f>M2551/I2551</f>
        <v>2000000</v>
      </c>
      <c r="S2551" s="1104"/>
      <c r="T2551" s="597"/>
      <c r="U2551" s="738"/>
      <c r="V2551" s="589"/>
      <c r="W2551" s="592"/>
      <c r="X2551" s="592"/>
      <c r="Y2551" s="592">
        <v>1</v>
      </c>
      <c r="Z2551" s="592"/>
    </row>
    <row r="2552" spans="1:26" s="28" customFormat="1" hidden="1">
      <c r="A2552" s="591">
        <f>A2551+1</f>
        <v>3</v>
      </c>
      <c r="B2552" s="592" t="s">
        <v>2144</v>
      </c>
      <c r="C2552" s="602" t="s">
        <v>293</v>
      </c>
      <c r="D2552" s="878"/>
      <c r="E2552" s="878">
        <v>399</v>
      </c>
      <c r="F2552" s="878" t="s">
        <v>251</v>
      </c>
      <c r="G2552" s="878">
        <v>378</v>
      </c>
      <c r="H2552" s="900">
        <v>2</v>
      </c>
      <c r="I2552" s="900">
        <v>1</v>
      </c>
      <c r="J2552" s="880">
        <v>8</v>
      </c>
      <c r="K2552" s="881" t="s">
        <v>33</v>
      </c>
      <c r="L2552" s="1348">
        <f>SUM(M2552:Q2552)+SUM(M2553:Q2553)</f>
        <v>1748796</v>
      </c>
      <c r="M2552" s="882">
        <f>G2552*2800</f>
        <v>1058400</v>
      </c>
      <c r="N2552" s="898">
        <v>26983</v>
      </c>
      <c r="O2552" s="884"/>
      <c r="P2552" s="883"/>
      <c r="Q2552" s="597">
        <v>8834</v>
      </c>
      <c r="R2552" s="901">
        <f>M2552/G2552</f>
        <v>2800</v>
      </c>
      <c r="S2552" s="575">
        <f t="shared" ref="S2552:S2566" si="371">L2552-M2552-N2552-O2552-P2552-Q2552</f>
        <v>654579</v>
      </c>
      <c r="T2552" s="597"/>
      <c r="U2552" s="738"/>
      <c r="V2552" s="589"/>
      <c r="W2552" s="592"/>
      <c r="X2552" s="592"/>
      <c r="Y2552" s="592">
        <v>1</v>
      </c>
      <c r="Z2552" s="592"/>
    </row>
    <row r="2553" spans="1:26" s="28" customFormat="1" hidden="1">
      <c r="A2553" s="591"/>
      <c r="B2553" s="592"/>
      <c r="C2553" s="602"/>
      <c r="D2553" s="878"/>
      <c r="E2553" s="878"/>
      <c r="F2553" s="878"/>
      <c r="G2553" s="878"/>
      <c r="H2553" s="900"/>
      <c r="I2553" s="900"/>
      <c r="J2553" s="880"/>
      <c r="K2553" s="881" t="s">
        <v>38</v>
      </c>
      <c r="L2553" s="1348"/>
      <c r="M2553" s="882">
        <v>630724</v>
      </c>
      <c r="N2553" s="883"/>
      <c r="O2553" s="897">
        <v>12351</v>
      </c>
      <c r="P2553" s="586"/>
      <c r="Q2553" s="597">
        <v>11504</v>
      </c>
      <c r="R2553" s="599">
        <f>M2553/E2552</f>
        <v>1580.7619047619048</v>
      </c>
      <c r="S2553" s="575">
        <f t="shared" si="371"/>
        <v>-654579</v>
      </c>
      <c r="T2553" s="597"/>
      <c r="U2553" s="738"/>
      <c r="V2553" s="589"/>
      <c r="W2553" s="592"/>
      <c r="X2553" s="592"/>
      <c r="Y2553" s="592">
        <v>1</v>
      </c>
      <c r="Z2553" s="592"/>
    </row>
    <row r="2554" spans="1:26" s="28" customFormat="1" hidden="1">
      <c r="A2554" s="591">
        <f>A2552+1</f>
        <v>4</v>
      </c>
      <c r="B2554" s="592" t="s">
        <v>2145</v>
      </c>
      <c r="C2554" s="602" t="s">
        <v>321</v>
      </c>
      <c r="D2554" s="878"/>
      <c r="E2554" s="878">
        <v>1048</v>
      </c>
      <c r="F2554" s="878" t="s">
        <v>251</v>
      </c>
      <c r="G2554" s="878">
        <v>993.7</v>
      </c>
      <c r="H2554" s="900">
        <v>5</v>
      </c>
      <c r="I2554" s="900">
        <v>4</v>
      </c>
      <c r="J2554" s="880">
        <v>70</v>
      </c>
      <c r="K2554" s="881" t="s">
        <v>33</v>
      </c>
      <c r="L2554" s="584">
        <f t="shared" ref="L2554:L2565" si="372">SUM(M2554:Q2554)</f>
        <v>2722228</v>
      </c>
      <c r="M2554" s="882">
        <v>2655248</v>
      </c>
      <c r="N2554" s="898">
        <v>27780</v>
      </c>
      <c r="O2554" s="884"/>
      <c r="P2554" s="883"/>
      <c r="Q2554" s="597">
        <v>39200</v>
      </c>
      <c r="R2554" s="901">
        <f t="shared" ref="R2554:R2561" si="373">M2554/G2554</f>
        <v>2672.0821173392369</v>
      </c>
      <c r="S2554" s="575">
        <f t="shared" si="371"/>
        <v>0</v>
      </c>
      <c r="T2554" s="597"/>
      <c r="U2554" s="738"/>
      <c r="V2554" s="589"/>
      <c r="W2554" s="592"/>
      <c r="X2554" s="592"/>
      <c r="Y2554" s="592">
        <v>1</v>
      </c>
      <c r="Z2554" s="592"/>
    </row>
    <row r="2555" spans="1:26" s="28" customFormat="1" hidden="1">
      <c r="A2555" s="591">
        <f>A2554+1</f>
        <v>5</v>
      </c>
      <c r="B2555" s="592" t="s">
        <v>2146</v>
      </c>
      <c r="C2555" s="602" t="s">
        <v>321</v>
      </c>
      <c r="D2555" s="878"/>
      <c r="E2555" s="878">
        <v>2948</v>
      </c>
      <c r="F2555" s="878" t="s">
        <v>251</v>
      </c>
      <c r="G2555" s="878">
        <v>1644</v>
      </c>
      <c r="H2555" s="900">
        <v>5</v>
      </c>
      <c r="I2555" s="900">
        <v>6</v>
      </c>
      <c r="J2555" s="880">
        <v>100</v>
      </c>
      <c r="K2555" s="881" t="s">
        <v>33</v>
      </c>
      <c r="L2555" s="584">
        <f t="shared" si="372"/>
        <v>5054047</v>
      </c>
      <c r="M2555" s="882">
        <v>4984388</v>
      </c>
      <c r="N2555" s="898">
        <v>29659</v>
      </c>
      <c r="O2555" s="884"/>
      <c r="P2555" s="883"/>
      <c r="Q2555" s="597">
        <v>40000</v>
      </c>
      <c r="R2555" s="901">
        <f t="shared" si="373"/>
        <v>3031.8661800486616</v>
      </c>
      <c r="S2555" s="575">
        <f t="shared" si="371"/>
        <v>0</v>
      </c>
      <c r="T2555" s="597"/>
      <c r="U2555" s="738"/>
      <c r="V2555" s="589"/>
      <c r="W2555" s="592"/>
      <c r="X2555" s="592"/>
      <c r="Y2555" s="592">
        <v>1</v>
      </c>
      <c r="Z2555" s="592"/>
    </row>
    <row r="2556" spans="1:26" s="28" customFormat="1" hidden="1">
      <c r="A2556" s="591">
        <f t="shared" ref="A2556:A2565" si="374">A2555+1</f>
        <v>6</v>
      </c>
      <c r="B2556" s="592" t="s">
        <v>2148</v>
      </c>
      <c r="C2556" s="602" t="s">
        <v>293</v>
      </c>
      <c r="D2556" s="878"/>
      <c r="E2556" s="878">
        <v>4159.4399999999996</v>
      </c>
      <c r="F2556" s="878" t="s">
        <v>251</v>
      </c>
      <c r="G2556" s="878">
        <v>1894.82</v>
      </c>
      <c r="H2556" s="900">
        <v>5</v>
      </c>
      <c r="I2556" s="900">
        <v>8</v>
      </c>
      <c r="J2556" s="880">
        <v>96</v>
      </c>
      <c r="K2556" s="881" t="s">
        <v>33</v>
      </c>
      <c r="L2556" s="584">
        <f t="shared" si="372"/>
        <v>4640998</v>
      </c>
      <c r="M2556" s="882">
        <v>4569423</v>
      </c>
      <c r="N2556" s="898">
        <v>31575</v>
      </c>
      <c r="O2556" s="884"/>
      <c r="P2556" s="883"/>
      <c r="Q2556" s="597">
        <v>40000</v>
      </c>
      <c r="R2556" s="901">
        <f t="shared" si="373"/>
        <v>2411.5340771155043</v>
      </c>
      <c r="S2556" s="575">
        <f t="shared" si="371"/>
        <v>0</v>
      </c>
      <c r="T2556" s="597"/>
      <c r="U2556" s="738"/>
      <c r="V2556" s="589"/>
      <c r="W2556" s="592"/>
      <c r="X2556" s="592"/>
      <c r="Y2556" s="592">
        <v>1</v>
      </c>
      <c r="Z2556" s="592"/>
    </row>
    <row r="2557" spans="1:26" s="28" customFormat="1" hidden="1">
      <c r="A2557" s="591">
        <f t="shared" si="374"/>
        <v>7</v>
      </c>
      <c r="B2557" s="592" t="s">
        <v>2149</v>
      </c>
      <c r="C2557" s="602" t="s">
        <v>221</v>
      </c>
      <c r="D2557" s="878"/>
      <c r="E2557" s="878">
        <v>2224</v>
      </c>
      <c r="F2557" s="878" t="s">
        <v>251</v>
      </c>
      <c r="G2557" s="878">
        <v>1144</v>
      </c>
      <c r="H2557" s="900">
        <v>5</v>
      </c>
      <c r="I2557" s="900">
        <v>4</v>
      </c>
      <c r="J2557" s="880">
        <v>76</v>
      </c>
      <c r="K2557" s="881" t="s">
        <v>33</v>
      </c>
      <c r="L2557" s="584">
        <f t="shared" si="372"/>
        <v>3225150</v>
      </c>
      <c r="M2557" s="882">
        <v>3158777</v>
      </c>
      <c r="N2557" s="898">
        <v>27780</v>
      </c>
      <c r="O2557" s="884"/>
      <c r="P2557" s="883"/>
      <c r="Q2557" s="597">
        <v>38593</v>
      </c>
      <c r="R2557" s="901">
        <f t="shared" si="373"/>
        <v>2761.1687062937062</v>
      </c>
      <c r="S2557" s="575">
        <f t="shared" si="371"/>
        <v>0</v>
      </c>
      <c r="T2557" s="597"/>
      <c r="U2557" s="738"/>
      <c r="V2557" s="589"/>
      <c r="W2557" s="592"/>
      <c r="X2557" s="592"/>
      <c r="Y2557" s="592">
        <v>1</v>
      </c>
      <c r="Z2557" s="592"/>
    </row>
    <row r="2558" spans="1:26" s="28" customFormat="1" ht="37.5" hidden="1">
      <c r="A2558" s="591">
        <f t="shared" si="374"/>
        <v>8</v>
      </c>
      <c r="B2558" s="592" t="s">
        <v>2150</v>
      </c>
      <c r="C2558" s="602" t="s">
        <v>322</v>
      </c>
      <c r="D2558" s="878"/>
      <c r="E2558" s="878">
        <v>1938</v>
      </c>
      <c r="F2558" s="878" t="s">
        <v>223</v>
      </c>
      <c r="G2558" s="878">
        <v>1568</v>
      </c>
      <c r="H2558" s="900">
        <v>3</v>
      </c>
      <c r="I2558" s="900">
        <v>4</v>
      </c>
      <c r="J2558" s="880">
        <v>45</v>
      </c>
      <c r="K2558" s="881" t="s">
        <v>297</v>
      </c>
      <c r="L2558" s="584">
        <f t="shared" si="372"/>
        <v>7895000</v>
      </c>
      <c r="M2558" s="882">
        <f>G2558*5000</f>
        <v>7840000</v>
      </c>
      <c r="N2558" s="883">
        <v>35000</v>
      </c>
      <c r="O2558" s="884"/>
      <c r="P2558" s="883"/>
      <c r="Q2558" s="597">
        <v>20000</v>
      </c>
      <c r="R2558" s="582">
        <f t="shared" si="373"/>
        <v>5000</v>
      </c>
      <c r="S2558" s="575">
        <f t="shared" si="371"/>
        <v>0</v>
      </c>
      <c r="T2558" s="597"/>
      <c r="U2558" s="738"/>
      <c r="V2558" s="589"/>
      <c r="W2558" s="592"/>
      <c r="X2558" s="592"/>
      <c r="Y2558" s="592">
        <v>1</v>
      </c>
      <c r="Z2558" s="592"/>
    </row>
    <row r="2559" spans="1:26" s="28" customFormat="1" hidden="1">
      <c r="A2559" s="591">
        <f t="shared" si="374"/>
        <v>9</v>
      </c>
      <c r="B2559" s="592" t="s">
        <v>2151</v>
      </c>
      <c r="C2559" s="602" t="s">
        <v>293</v>
      </c>
      <c r="D2559" s="878"/>
      <c r="E2559" s="878">
        <v>1168</v>
      </c>
      <c r="F2559" s="878" t="s">
        <v>251</v>
      </c>
      <c r="G2559" s="878">
        <v>908</v>
      </c>
      <c r="H2559" s="900">
        <v>3</v>
      </c>
      <c r="I2559" s="900">
        <v>3</v>
      </c>
      <c r="J2559" s="880">
        <v>36</v>
      </c>
      <c r="K2559" s="881" t="s">
        <v>33</v>
      </c>
      <c r="L2559" s="584">
        <f t="shared" si="372"/>
        <v>2444483</v>
      </c>
      <c r="M2559" s="882">
        <v>2395613</v>
      </c>
      <c r="N2559" s="898">
        <v>30579</v>
      </c>
      <c r="O2559" s="884"/>
      <c r="P2559" s="883"/>
      <c r="Q2559" s="597">
        <v>18291</v>
      </c>
      <c r="R2559" s="901">
        <f t="shared" si="373"/>
        <v>2638.3403083700441</v>
      </c>
      <c r="S2559" s="575">
        <f t="shared" si="371"/>
        <v>0</v>
      </c>
      <c r="T2559" s="597"/>
      <c r="U2559" s="738"/>
      <c r="V2559" s="589"/>
      <c r="W2559" s="592"/>
      <c r="X2559" s="592"/>
      <c r="Y2559" s="592">
        <v>1</v>
      </c>
      <c r="Z2559" s="592"/>
    </row>
    <row r="2560" spans="1:26" s="28" customFormat="1" hidden="1">
      <c r="A2560" s="591">
        <f t="shared" si="374"/>
        <v>10</v>
      </c>
      <c r="B2560" s="592" t="s">
        <v>2152</v>
      </c>
      <c r="C2560" s="602" t="s">
        <v>293</v>
      </c>
      <c r="D2560" s="878"/>
      <c r="E2560" s="878">
        <v>1170</v>
      </c>
      <c r="F2560" s="878" t="s">
        <v>251</v>
      </c>
      <c r="G2560" s="878">
        <v>904</v>
      </c>
      <c r="H2560" s="900">
        <v>3</v>
      </c>
      <c r="I2560" s="900">
        <v>3</v>
      </c>
      <c r="J2560" s="880">
        <v>36</v>
      </c>
      <c r="K2560" s="881" t="s">
        <v>33</v>
      </c>
      <c r="L2560" s="584">
        <f t="shared" si="372"/>
        <v>2627623</v>
      </c>
      <c r="M2560" s="882">
        <v>2573318</v>
      </c>
      <c r="N2560" s="898">
        <v>30579</v>
      </c>
      <c r="O2560" s="884"/>
      <c r="P2560" s="883"/>
      <c r="Q2560" s="597">
        <v>23726</v>
      </c>
      <c r="R2560" s="901">
        <f t="shared" si="373"/>
        <v>2846.5907079646017</v>
      </c>
      <c r="S2560" s="575">
        <f t="shared" si="371"/>
        <v>0</v>
      </c>
      <c r="T2560" s="597"/>
      <c r="U2560" s="738"/>
      <c r="V2560" s="589"/>
      <c r="W2560" s="592"/>
      <c r="X2560" s="592"/>
      <c r="Y2560" s="592">
        <v>1</v>
      </c>
      <c r="Z2560" s="592"/>
    </row>
    <row r="2561" spans="1:26" s="28" customFormat="1" hidden="1">
      <c r="A2561" s="591">
        <f t="shared" si="374"/>
        <v>11</v>
      </c>
      <c r="B2561" s="592" t="s">
        <v>2153</v>
      </c>
      <c r="C2561" s="602" t="s">
        <v>293</v>
      </c>
      <c r="D2561" s="878"/>
      <c r="E2561" s="878">
        <v>858</v>
      </c>
      <c r="F2561" s="878" t="s">
        <v>251</v>
      </c>
      <c r="G2561" s="878">
        <v>582</v>
      </c>
      <c r="H2561" s="900">
        <v>3</v>
      </c>
      <c r="I2561" s="900">
        <v>2</v>
      </c>
      <c r="J2561" s="880">
        <v>24</v>
      </c>
      <c r="K2561" s="881" t="s">
        <v>33</v>
      </c>
      <c r="L2561" s="584">
        <f t="shared" si="372"/>
        <v>1554976</v>
      </c>
      <c r="M2561" s="882">
        <v>1512481</v>
      </c>
      <c r="N2561" s="898">
        <v>29202</v>
      </c>
      <c r="O2561" s="884"/>
      <c r="P2561" s="883"/>
      <c r="Q2561" s="597">
        <v>13293</v>
      </c>
      <c r="R2561" s="901">
        <f t="shared" si="373"/>
        <v>2598.7646048109964</v>
      </c>
      <c r="S2561" s="575">
        <f t="shared" si="371"/>
        <v>0</v>
      </c>
      <c r="T2561" s="597"/>
      <c r="U2561" s="738"/>
      <c r="V2561" s="589"/>
      <c r="W2561" s="592"/>
      <c r="X2561" s="592"/>
      <c r="Y2561" s="592">
        <v>1</v>
      </c>
      <c r="Z2561" s="592"/>
    </row>
    <row r="2562" spans="1:26" s="28" customFormat="1" hidden="1">
      <c r="A2562" s="591">
        <f t="shared" si="374"/>
        <v>12</v>
      </c>
      <c r="B2562" s="592" t="s">
        <v>2154</v>
      </c>
      <c r="C2562" s="602" t="s">
        <v>322</v>
      </c>
      <c r="D2562" s="878"/>
      <c r="E2562" s="878">
        <v>2017</v>
      </c>
      <c r="F2562" s="878" t="s">
        <v>291</v>
      </c>
      <c r="G2562" s="878">
        <v>1142</v>
      </c>
      <c r="H2562" s="900">
        <v>5</v>
      </c>
      <c r="I2562" s="900">
        <v>4</v>
      </c>
      <c r="J2562" s="880">
        <v>56</v>
      </c>
      <c r="K2562" s="881" t="s">
        <v>33</v>
      </c>
      <c r="L2562" s="584">
        <f t="shared" si="372"/>
        <v>2267955</v>
      </c>
      <c r="M2562" s="882">
        <v>2209026</v>
      </c>
      <c r="N2562" s="898">
        <v>27227</v>
      </c>
      <c r="O2562" s="884"/>
      <c r="P2562" s="883"/>
      <c r="Q2562" s="597">
        <v>31702</v>
      </c>
      <c r="R2562" s="901">
        <f>M2562/G2562</f>
        <v>1934.3485113835377</v>
      </c>
      <c r="S2562" s="575">
        <f t="shared" si="371"/>
        <v>0</v>
      </c>
      <c r="T2562" s="597"/>
      <c r="U2562" s="738"/>
      <c r="V2562" s="589"/>
      <c r="W2562" s="592"/>
      <c r="X2562" s="592"/>
      <c r="Y2562" s="592">
        <v>1</v>
      </c>
      <c r="Z2562" s="592"/>
    </row>
    <row r="2563" spans="1:26" s="89" customFormat="1" hidden="1">
      <c r="A2563" s="591">
        <f t="shared" si="374"/>
        <v>13</v>
      </c>
      <c r="B2563" s="592" t="s">
        <v>3118</v>
      </c>
      <c r="C2563" s="602" t="s">
        <v>239</v>
      </c>
      <c r="D2563" s="878">
        <v>10726</v>
      </c>
      <c r="E2563" s="878">
        <v>1873</v>
      </c>
      <c r="F2563" s="878" t="s">
        <v>291</v>
      </c>
      <c r="G2563" s="878">
        <v>985</v>
      </c>
      <c r="H2563" s="900">
        <v>5</v>
      </c>
      <c r="I2563" s="900">
        <v>2</v>
      </c>
      <c r="J2563" s="880">
        <v>70</v>
      </c>
      <c r="K2563" s="881" t="s">
        <v>33</v>
      </c>
      <c r="L2563" s="584">
        <f t="shared" si="372"/>
        <v>2818189</v>
      </c>
      <c r="M2563" s="882">
        <v>2758000</v>
      </c>
      <c r="N2563" s="883">
        <v>26953</v>
      </c>
      <c r="O2563" s="884"/>
      <c r="P2563" s="883"/>
      <c r="Q2563" s="597">
        <v>33236</v>
      </c>
      <c r="R2563" s="901">
        <f>M2563/G2563</f>
        <v>2800</v>
      </c>
      <c r="S2563" s="575"/>
      <c r="T2563" s="597"/>
      <c r="U2563" s="738"/>
      <c r="V2563" s="589"/>
      <c r="W2563" s="592"/>
      <c r="X2563" s="592"/>
      <c r="Y2563" s="592"/>
      <c r="Z2563" s="592"/>
    </row>
    <row r="2564" spans="1:26" s="89" customFormat="1" hidden="1">
      <c r="A2564" s="591">
        <f t="shared" si="374"/>
        <v>14</v>
      </c>
      <c r="B2564" s="592" t="s">
        <v>4357</v>
      </c>
      <c r="C2564" s="602" t="s">
        <v>239</v>
      </c>
      <c r="D2564" s="878">
        <v>3704</v>
      </c>
      <c r="E2564" s="878">
        <v>812.25</v>
      </c>
      <c r="F2564" s="878" t="s">
        <v>291</v>
      </c>
      <c r="G2564" s="878">
        <v>771.34</v>
      </c>
      <c r="H2564" s="900">
        <v>2</v>
      </c>
      <c r="I2564" s="900">
        <v>3</v>
      </c>
      <c r="J2564" s="880">
        <v>16</v>
      </c>
      <c r="K2564" s="881" t="s">
        <v>33</v>
      </c>
      <c r="L2564" s="584">
        <f t="shared" si="372"/>
        <v>2227748</v>
      </c>
      <c r="M2564" s="882">
        <v>2159752</v>
      </c>
      <c r="N2564" s="883">
        <v>35990</v>
      </c>
      <c r="O2564" s="884"/>
      <c r="P2564" s="883"/>
      <c r="Q2564" s="597">
        <v>32006</v>
      </c>
      <c r="R2564" s="901">
        <f>M2564/G2564</f>
        <v>2800</v>
      </c>
      <c r="S2564" s="575"/>
      <c r="T2564" s="597"/>
      <c r="U2564" s="738"/>
      <c r="V2564" s="589"/>
      <c r="W2564" s="592"/>
      <c r="X2564" s="592"/>
      <c r="Y2564" s="592"/>
      <c r="Z2564" s="592"/>
    </row>
    <row r="2565" spans="1:26" s="89" customFormat="1" hidden="1">
      <c r="A2565" s="591">
        <f t="shared" si="374"/>
        <v>15</v>
      </c>
      <c r="B2565" s="592" t="s">
        <v>4358</v>
      </c>
      <c r="C2565" s="602" t="s">
        <v>221</v>
      </c>
      <c r="D2565" s="878">
        <v>27661</v>
      </c>
      <c r="E2565" s="878">
        <v>3803.6</v>
      </c>
      <c r="F2565" s="878" t="s">
        <v>317</v>
      </c>
      <c r="G2565" s="878">
        <v>1532</v>
      </c>
      <c r="H2565" s="900">
        <v>6</v>
      </c>
      <c r="I2565" s="900">
        <v>4</v>
      </c>
      <c r="J2565" s="880">
        <v>124</v>
      </c>
      <c r="K2565" s="881" t="s">
        <v>33</v>
      </c>
      <c r="L2565" s="584">
        <f t="shared" si="372"/>
        <v>3417962</v>
      </c>
      <c r="M2565" s="882">
        <v>3370400</v>
      </c>
      <c r="N2565" s="883"/>
      <c r="O2565" s="884">
        <v>27562</v>
      </c>
      <c r="P2565" s="883"/>
      <c r="Q2565" s="597">
        <v>20000</v>
      </c>
      <c r="R2565" s="901">
        <f>M2565/G2565</f>
        <v>2200</v>
      </c>
      <c r="S2565" s="575"/>
      <c r="T2565" s="597"/>
      <c r="U2565" s="738"/>
      <c r="V2565" s="589"/>
      <c r="W2565" s="592"/>
      <c r="X2565" s="592"/>
      <c r="Y2565" s="592"/>
      <c r="Z2565" s="592"/>
    </row>
    <row r="2566" spans="1:26" s="28" customFormat="1" hidden="1">
      <c r="A2566" s="1349" t="s">
        <v>144</v>
      </c>
      <c r="B2566" s="1349"/>
      <c r="C2566" s="593" t="s">
        <v>28</v>
      </c>
      <c r="D2566" s="586">
        <f>SUM(D2552:D2565)</f>
        <v>42091</v>
      </c>
      <c r="E2566" s="586">
        <f>SUM(E2550:E2565)</f>
        <v>28616.289999999997</v>
      </c>
      <c r="F2566" s="593" t="s">
        <v>28</v>
      </c>
      <c r="G2566" s="586">
        <f>SUM(G2550:G2565)</f>
        <v>20755.86</v>
      </c>
      <c r="H2566" s="593" t="s">
        <v>28</v>
      </c>
      <c r="I2566" s="593" t="s">
        <v>28</v>
      </c>
      <c r="J2566" s="586">
        <f>SUM(J2550:J2565)</f>
        <v>925</v>
      </c>
      <c r="K2566" s="590" t="s">
        <v>28</v>
      </c>
      <c r="L2566" s="585">
        <f t="shared" ref="L2566:Q2566" si="375">SUM(L2550:L2565)</f>
        <v>46815155</v>
      </c>
      <c r="M2566" s="585">
        <f t="shared" si="375"/>
        <v>45875550</v>
      </c>
      <c r="N2566" s="586">
        <f t="shared" si="375"/>
        <v>529307</v>
      </c>
      <c r="O2566" s="587">
        <f t="shared" si="375"/>
        <v>39913</v>
      </c>
      <c r="P2566" s="586">
        <f t="shared" si="375"/>
        <v>0</v>
      </c>
      <c r="Q2566" s="586">
        <f t="shared" si="375"/>
        <v>370385</v>
      </c>
      <c r="R2566" s="582" t="s">
        <v>28</v>
      </c>
      <c r="S2566" s="564">
        <f t="shared" si="371"/>
        <v>0</v>
      </c>
      <c r="T2566" s="577" t="e">
        <f>'1.перечень МКД'!#REF!</f>
        <v>#REF!</v>
      </c>
      <c r="U2566" s="589" t="e">
        <f>L2566-T2566</f>
        <v>#REF!</v>
      </c>
      <c r="V2566" s="589"/>
      <c r="W2566" s="592"/>
      <c r="X2566" s="592"/>
      <c r="Y2566" s="592">
        <v>1</v>
      </c>
      <c r="Z2566" s="592"/>
    </row>
    <row r="2567" spans="1:26" s="28" customFormat="1" hidden="1">
      <c r="A2567" s="1347" t="s">
        <v>166</v>
      </c>
      <c r="B2567" s="1347"/>
      <c r="C2567" s="1347"/>
      <c r="D2567" s="1347"/>
      <c r="E2567" s="1347"/>
      <c r="F2567" s="1347"/>
      <c r="G2567" s="1347"/>
      <c r="H2567" s="1347"/>
      <c r="I2567" s="1347"/>
      <c r="J2567" s="1347"/>
      <c r="K2567" s="1347"/>
      <c r="L2567" s="1347"/>
      <c r="M2567" s="1347"/>
      <c r="N2567" s="1347"/>
      <c r="O2567" s="1347"/>
      <c r="P2567" s="1347"/>
      <c r="Q2567" s="1347"/>
      <c r="R2567" s="590"/>
      <c r="S2567" s="592"/>
      <c r="T2567" s="592"/>
      <c r="U2567" s="591"/>
      <c r="V2567" s="589"/>
      <c r="W2567" s="592"/>
      <c r="X2567" s="592"/>
      <c r="Y2567" s="592">
        <v>1</v>
      </c>
      <c r="Z2567" s="592"/>
    </row>
    <row r="2568" spans="1:26" s="36" customFormat="1" ht="37.5" hidden="1">
      <c r="A2568" s="591">
        <v>1</v>
      </c>
      <c r="B2568" s="616" t="s">
        <v>2160</v>
      </c>
      <c r="C2568" s="593" t="s">
        <v>298</v>
      </c>
      <c r="D2568" s="602">
        <f t="shared" ref="D2568:D2573" si="376">E2568/1.16/2*13</f>
        <v>26285.775862068967</v>
      </c>
      <c r="E2568" s="602">
        <v>4691</v>
      </c>
      <c r="F2568" s="593" t="s">
        <v>218</v>
      </c>
      <c r="G2568" s="602">
        <v>468</v>
      </c>
      <c r="H2568" s="602">
        <v>12</v>
      </c>
      <c r="I2568" s="602">
        <v>1</v>
      </c>
      <c r="J2568" s="582">
        <v>77</v>
      </c>
      <c r="K2568" s="606" t="s">
        <v>219</v>
      </c>
      <c r="L2568" s="562">
        <f>SUM(M2568:Q2568)</f>
        <v>4506250</v>
      </c>
      <c r="M2568" s="596">
        <v>4400000</v>
      </c>
      <c r="N2568" s="564">
        <v>106250</v>
      </c>
      <c r="O2568" s="587"/>
      <c r="P2568" s="586"/>
      <c r="Q2568" s="586"/>
      <c r="R2568" s="582">
        <v>2200000</v>
      </c>
      <c r="S2568" s="575">
        <f t="shared" ref="S2568:S2599" si="377">L2568-M2568-N2568-O2568-P2568-Q2568</f>
        <v>0</v>
      </c>
      <c r="T2568" s="593"/>
      <c r="U2568" s="591" t="s">
        <v>3596</v>
      </c>
      <c r="V2568" s="589"/>
      <c r="W2568" s="593"/>
      <c r="X2568" s="593"/>
      <c r="Y2568" s="592">
        <v>1</v>
      </c>
      <c r="Z2568" s="593"/>
    </row>
    <row r="2569" spans="1:26" s="36" customFormat="1" ht="37.5" hidden="1">
      <c r="A2569" s="591">
        <f>A2568+1</f>
        <v>2</v>
      </c>
      <c r="B2569" s="560" t="s">
        <v>2164</v>
      </c>
      <c r="C2569" s="593" t="s">
        <v>298</v>
      </c>
      <c r="D2569" s="602">
        <f t="shared" si="376"/>
        <v>80577.586206896551</v>
      </c>
      <c r="E2569" s="913">
        <v>14380</v>
      </c>
      <c r="F2569" s="593" t="s">
        <v>218</v>
      </c>
      <c r="G2569" s="913">
        <v>3570.1</v>
      </c>
      <c r="H2569" s="913">
        <v>9</v>
      </c>
      <c r="I2569" s="913">
        <v>10</v>
      </c>
      <c r="J2569" s="561">
        <v>415</v>
      </c>
      <c r="K2569" s="606" t="s">
        <v>219</v>
      </c>
      <c r="L2569" s="562">
        <f>SUM(M2569:Q2569)</f>
        <v>10170000</v>
      </c>
      <c r="M2569" s="596">
        <v>10000000</v>
      </c>
      <c r="N2569" s="564">
        <v>170000</v>
      </c>
      <c r="O2569" s="565"/>
      <c r="P2569" s="564"/>
      <c r="Q2569" s="586"/>
      <c r="R2569" s="599">
        <f>M2569/5</f>
        <v>2000000</v>
      </c>
      <c r="S2569" s="575">
        <f t="shared" si="377"/>
        <v>0</v>
      </c>
      <c r="T2569" s="593"/>
      <c r="U2569" s="591"/>
      <c r="V2569" s="589"/>
      <c r="W2569" s="593"/>
      <c r="X2569" s="593"/>
      <c r="Y2569" s="592">
        <v>1</v>
      </c>
      <c r="Z2569" s="593"/>
    </row>
    <row r="2570" spans="1:26" s="36" customFormat="1" ht="37.5" hidden="1">
      <c r="A2570" s="591">
        <f>A2569+1</f>
        <v>3</v>
      </c>
      <c r="B2570" s="592" t="s">
        <v>2183</v>
      </c>
      <c r="C2570" s="593" t="s">
        <v>298</v>
      </c>
      <c r="D2570" s="602">
        <f t="shared" si="376"/>
        <v>22469.827586206899</v>
      </c>
      <c r="E2570" s="593">
        <v>4010</v>
      </c>
      <c r="F2570" s="593" t="s">
        <v>218</v>
      </c>
      <c r="G2570" s="593">
        <v>566</v>
      </c>
      <c r="H2570" s="593">
        <v>9</v>
      </c>
      <c r="I2570" s="593">
        <v>1</v>
      </c>
      <c r="J2570" s="582">
        <v>133</v>
      </c>
      <c r="K2570" s="606" t="s">
        <v>219</v>
      </c>
      <c r="L2570" s="562">
        <f>SUM(M2570:Q2570)</f>
        <v>2085000</v>
      </c>
      <c r="M2570" s="596">
        <v>2000000</v>
      </c>
      <c r="N2570" s="564">
        <v>85000</v>
      </c>
      <c r="O2570" s="587"/>
      <c r="P2570" s="586"/>
      <c r="Q2570" s="586"/>
      <c r="R2570" s="582">
        <f>M2570/I2570</f>
        <v>2000000</v>
      </c>
      <c r="S2570" s="575">
        <f t="shared" si="377"/>
        <v>0</v>
      </c>
      <c r="T2570" s="593"/>
      <c r="U2570" s="591" t="s">
        <v>3596</v>
      </c>
      <c r="V2570" s="589"/>
      <c r="W2570" s="593"/>
      <c r="X2570" s="593"/>
      <c r="Y2570" s="592">
        <v>1</v>
      </c>
      <c r="Z2570" s="593"/>
    </row>
    <row r="2571" spans="1:26" s="36" customFormat="1" ht="37.5" hidden="1">
      <c r="A2571" s="591">
        <f>A2570+1</f>
        <v>4</v>
      </c>
      <c r="B2571" s="592" t="s">
        <v>2199</v>
      </c>
      <c r="C2571" s="593" t="s">
        <v>298</v>
      </c>
      <c r="D2571" s="602">
        <f t="shared" si="376"/>
        <v>55586.206896551725</v>
      </c>
      <c r="E2571" s="593">
        <v>9920</v>
      </c>
      <c r="F2571" s="593" t="s">
        <v>218</v>
      </c>
      <c r="G2571" s="593">
        <v>1798.2</v>
      </c>
      <c r="H2571" s="593">
        <v>9</v>
      </c>
      <c r="I2571" s="593">
        <v>5</v>
      </c>
      <c r="J2571" s="582">
        <v>169</v>
      </c>
      <c r="K2571" s="606" t="s">
        <v>219</v>
      </c>
      <c r="L2571" s="562">
        <f>SUM(M2571:Q2571)</f>
        <v>10170000</v>
      </c>
      <c r="M2571" s="596">
        <v>10000000</v>
      </c>
      <c r="N2571" s="564">
        <v>170000</v>
      </c>
      <c r="O2571" s="565"/>
      <c r="P2571" s="564"/>
      <c r="Q2571" s="586"/>
      <c r="R2571" s="582">
        <f>M2571/I2571</f>
        <v>2000000</v>
      </c>
      <c r="S2571" s="575">
        <f t="shared" si="377"/>
        <v>0</v>
      </c>
      <c r="T2571" s="593"/>
      <c r="U2571" s="591"/>
      <c r="V2571" s="589"/>
      <c r="W2571" s="593"/>
      <c r="X2571" s="593"/>
      <c r="Y2571" s="592">
        <v>1</v>
      </c>
      <c r="Z2571" s="593"/>
    </row>
    <row r="2572" spans="1:26" s="107" customFormat="1" ht="37.5" hidden="1">
      <c r="A2572" s="591">
        <f>A2571+1</f>
        <v>5</v>
      </c>
      <c r="B2572" s="560" t="s">
        <v>4069</v>
      </c>
      <c r="C2572" s="593" t="s">
        <v>298</v>
      </c>
      <c r="D2572" s="602">
        <v>28241.37931034483</v>
      </c>
      <c r="E2572" s="602">
        <v>5040</v>
      </c>
      <c r="F2572" s="593" t="s">
        <v>218</v>
      </c>
      <c r="G2572" s="602">
        <v>753</v>
      </c>
      <c r="H2572" s="602">
        <v>9</v>
      </c>
      <c r="I2572" s="602">
        <v>2</v>
      </c>
      <c r="J2572" s="582">
        <v>118</v>
      </c>
      <c r="K2572" s="606" t="s">
        <v>219</v>
      </c>
      <c r="L2572" s="562">
        <f>SUM(M2572:Q2572)</f>
        <v>4106250</v>
      </c>
      <c r="M2572" s="596">
        <v>4000000</v>
      </c>
      <c r="N2572" s="564">
        <v>106250</v>
      </c>
      <c r="O2572" s="565"/>
      <c r="P2572" s="564"/>
      <c r="Q2572" s="586"/>
      <c r="R2572" s="582">
        <f>M2572/I2572</f>
        <v>2000000</v>
      </c>
      <c r="S2572" s="575">
        <f t="shared" si="377"/>
        <v>0</v>
      </c>
      <c r="T2572" s="593"/>
      <c r="U2572" s="591"/>
      <c r="V2572" s="589"/>
      <c r="W2572" s="593"/>
      <c r="X2572" s="593"/>
      <c r="Y2572" s="592">
        <v>1</v>
      </c>
      <c r="Z2572" s="593"/>
    </row>
    <row r="2573" spans="1:26" s="36" customFormat="1" hidden="1">
      <c r="A2573" s="591">
        <f>A2572+1</f>
        <v>6</v>
      </c>
      <c r="B2573" s="1349" t="s">
        <v>2220</v>
      </c>
      <c r="C2573" s="593" t="s">
        <v>217</v>
      </c>
      <c r="D2573" s="913">
        <f t="shared" si="376"/>
        <v>38663.793103448275</v>
      </c>
      <c r="E2573" s="602">
        <v>6900</v>
      </c>
      <c r="F2573" s="593" t="s">
        <v>218</v>
      </c>
      <c r="G2573" s="602">
        <v>1610</v>
      </c>
      <c r="H2573" s="602">
        <v>9</v>
      </c>
      <c r="I2573" s="602">
        <v>5</v>
      </c>
      <c r="J2573" s="582">
        <v>180</v>
      </c>
      <c r="K2573" s="590" t="s">
        <v>33</v>
      </c>
      <c r="L2573" s="1359">
        <f>M2573+N2573+O2573+Q2573+M2574+N2574+O2574+Q2574</f>
        <v>14081873</v>
      </c>
      <c r="M2573" s="585">
        <f>G2573*2400</f>
        <v>3864000</v>
      </c>
      <c r="N2573" s="586"/>
      <c r="O2573" s="631">
        <v>27973</v>
      </c>
      <c r="P2573" s="586"/>
      <c r="Q2573" s="586">
        <v>19900</v>
      </c>
      <c r="R2573" s="582">
        <f>M2573/G2573</f>
        <v>2400</v>
      </c>
      <c r="S2573" s="575">
        <f t="shared" si="377"/>
        <v>10170000</v>
      </c>
      <c r="T2573" s="593"/>
      <c r="U2573" s="591"/>
      <c r="V2573" s="589"/>
      <c r="W2573" s="593"/>
      <c r="X2573" s="592"/>
      <c r="Y2573" s="592">
        <v>1</v>
      </c>
      <c r="Z2573" s="593"/>
    </row>
    <row r="2574" spans="1:26" s="107" customFormat="1" ht="37.5" hidden="1">
      <c r="A2574" s="591"/>
      <c r="B2574" s="1349"/>
      <c r="C2574" s="593"/>
      <c r="D2574" s="913"/>
      <c r="E2574" s="602"/>
      <c r="F2574" s="593"/>
      <c r="G2574" s="602"/>
      <c r="H2574" s="602"/>
      <c r="I2574" s="602"/>
      <c r="J2574" s="582"/>
      <c r="K2574" s="590" t="s">
        <v>219</v>
      </c>
      <c r="L2574" s="1359"/>
      <c r="M2574" s="585">
        <v>10000000</v>
      </c>
      <c r="N2574" s="564">
        <v>170000</v>
      </c>
      <c r="O2574" s="587"/>
      <c r="P2574" s="586"/>
      <c r="Q2574" s="586"/>
      <c r="R2574" s="582">
        <f>M2574/I2573</f>
        <v>2000000</v>
      </c>
      <c r="S2574" s="575">
        <f t="shared" si="377"/>
        <v>-10170000</v>
      </c>
      <c r="T2574" s="593"/>
      <c r="U2574" s="591"/>
      <c r="V2574" s="589"/>
      <c r="W2574" s="593"/>
      <c r="X2574" s="593"/>
      <c r="Y2574" s="592">
        <v>1</v>
      </c>
      <c r="Z2574" s="593"/>
    </row>
    <row r="2575" spans="1:26" s="36" customFormat="1" ht="37.5" hidden="1">
      <c r="A2575" s="591">
        <v>7</v>
      </c>
      <c r="B2575" s="592" t="s">
        <v>2225</v>
      </c>
      <c r="C2575" s="593" t="s">
        <v>298</v>
      </c>
      <c r="D2575" s="602">
        <f>E2575/1.16/2*13</f>
        <v>27675.431034482761</v>
      </c>
      <c r="E2575" s="593">
        <v>4939</v>
      </c>
      <c r="F2575" s="593" t="s">
        <v>218</v>
      </c>
      <c r="G2575" s="593">
        <v>1800</v>
      </c>
      <c r="H2575" s="593">
        <v>9</v>
      </c>
      <c r="I2575" s="593">
        <v>4</v>
      </c>
      <c r="J2575" s="582">
        <v>130</v>
      </c>
      <c r="K2575" s="606" t="s">
        <v>219</v>
      </c>
      <c r="L2575" s="562">
        <f>SUM(M2575:Q2575)</f>
        <v>8148750</v>
      </c>
      <c r="M2575" s="596">
        <v>8000000</v>
      </c>
      <c r="N2575" s="564">
        <v>148750</v>
      </c>
      <c r="O2575" s="565"/>
      <c r="P2575" s="564"/>
      <c r="Q2575" s="586"/>
      <c r="R2575" s="582">
        <f>M2575/I2575</f>
        <v>2000000</v>
      </c>
      <c r="S2575" s="575">
        <f t="shared" si="377"/>
        <v>0</v>
      </c>
      <c r="T2575" s="593"/>
      <c r="U2575" s="591"/>
      <c r="V2575" s="589"/>
      <c r="W2575" s="593"/>
      <c r="X2575" s="593"/>
      <c r="Y2575" s="592">
        <v>1</v>
      </c>
      <c r="Z2575" s="593"/>
    </row>
    <row r="2576" spans="1:26" s="36" customFormat="1" ht="37.5" hidden="1">
      <c r="A2576" s="591">
        <f>A2575+1</f>
        <v>8</v>
      </c>
      <c r="B2576" s="592" t="s">
        <v>2226</v>
      </c>
      <c r="C2576" s="593" t="s">
        <v>298</v>
      </c>
      <c r="D2576" s="602">
        <f>E2576/1.16/2*13</f>
        <v>27675.431034482761</v>
      </c>
      <c r="E2576" s="593">
        <v>4939</v>
      </c>
      <c r="F2576" s="593" t="s">
        <v>218</v>
      </c>
      <c r="G2576" s="593">
        <v>1800</v>
      </c>
      <c r="H2576" s="593">
        <v>9</v>
      </c>
      <c r="I2576" s="593">
        <v>4</v>
      </c>
      <c r="J2576" s="582">
        <v>131</v>
      </c>
      <c r="K2576" s="606" t="s">
        <v>219</v>
      </c>
      <c r="L2576" s="562">
        <f>SUM(M2576:Q2576)</f>
        <v>8148750</v>
      </c>
      <c r="M2576" s="596">
        <v>8000000</v>
      </c>
      <c r="N2576" s="564">
        <v>148750</v>
      </c>
      <c r="O2576" s="565"/>
      <c r="P2576" s="564"/>
      <c r="Q2576" s="586"/>
      <c r="R2576" s="582">
        <f>M2576/I2576</f>
        <v>2000000</v>
      </c>
      <c r="S2576" s="575">
        <f t="shared" si="377"/>
        <v>0</v>
      </c>
      <c r="T2576" s="593"/>
      <c r="U2576" s="591"/>
      <c r="V2576" s="589"/>
      <c r="W2576" s="593"/>
      <c r="X2576" s="593"/>
      <c r="Y2576" s="592">
        <v>1</v>
      </c>
      <c r="Z2576" s="593"/>
    </row>
    <row r="2577" spans="1:26" s="36" customFormat="1" ht="37.5" hidden="1">
      <c r="A2577" s="591">
        <f>A2576+1</f>
        <v>9</v>
      </c>
      <c r="B2577" s="592" t="s">
        <v>2228</v>
      </c>
      <c r="C2577" s="593" t="s">
        <v>298</v>
      </c>
      <c r="D2577" s="602">
        <f>E2577/1.16/2*13</f>
        <v>15280.603448275862</v>
      </c>
      <c r="E2577" s="593">
        <v>2727</v>
      </c>
      <c r="F2577" s="593" t="s">
        <v>218</v>
      </c>
      <c r="G2577" s="593">
        <v>500</v>
      </c>
      <c r="H2577" s="1105">
        <v>9</v>
      </c>
      <c r="I2577" s="602">
        <v>1</v>
      </c>
      <c r="J2577" s="582">
        <v>71</v>
      </c>
      <c r="K2577" s="606" t="s">
        <v>219</v>
      </c>
      <c r="L2577" s="562">
        <f>SUM(M2577:Q2577)</f>
        <v>2085000</v>
      </c>
      <c r="M2577" s="596">
        <v>2000000</v>
      </c>
      <c r="N2577" s="564">
        <v>85000</v>
      </c>
      <c r="O2577" s="587"/>
      <c r="P2577" s="586"/>
      <c r="Q2577" s="586"/>
      <c r="R2577" s="582">
        <f>M2577/I2577</f>
        <v>2000000</v>
      </c>
      <c r="S2577" s="575">
        <f t="shared" si="377"/>
        <v>0</v>
      </c>
      <c r="T2577" s="593"/>
      <c r="U2577" s="591" t="s">
        <v>3596</v>
      </c>
      <c r="V2577" s="589"/>
      <c r="W2577" s="593"/>
      <c r="X2577" s="593"/>
      <c r="Y2577" s="592">
        <v>1</v>
      </c>
      <c r="Z2577" s="593"/>
    </row>
    <row r="2578" spans="1:26" s="36" customFormat="1" hidden="1">
      <c r="A2578" s="591">
        <f>A2577+1</f>
        <v>10</v>
      </c>
      <c r="B2578" s="1347" t="s">
        <v>2231</v>
      </c>
      <c r="C2578" s="593" t="s">
        <v>217</v>
      </c>
      <c r="D2578" s="913">
        <f>E2578/1.16/2*13</f>
        <v>26459.482758620692</v>
      </c>
      <c r="E2578" s="602">
        <v>4722</v>
      </c>
      <c r="F2578" s="593" t="s">
        <v>218</v>
      </c>
      <c r="G2578" s="602">
        <v>1288</v>
      </c>
      <c r="H2578" s="602">
        <v>9</v>
      </c>
      <c r="I2578" s="602">
        <v>4</v>
      </c>
      <c r="J2578" s="582">
        <v>144</v>
      </c>
      <c r="K2578" s="606" t="s">
        <v>33</v>
      </c>
      <c r="L2578" s="1359">
        <f>M2578+N2578+O2578+Q2578+M2579+N2579+O2579+Q2579</f>
        <v>11285954</v>
      </c>
      <c r="M2578" s="585">
        <f>G2578*2400</f>
        <v>3091200</v>
      </c>
      <c r="N2578" s="586"/>
      <c r="O2578" s="631">
        <v>26104</v>
      </c>
      <c r="P2578" s="586"/>
      <c r="Q2578" s="586">
        <v>19900</v>
      </c>
      <c r="R2578" s="582">
        <f>M2578/G2578</f>
        <v>2400</v>
      </c>
      <c r="S2578" s="575">
        <f t="shared" si="377"/>
        <v>8148750</v>
      </c>
      <c r="T2578" s="593"/>
      <c r="U2578" s="591"/>
      <c r="V2578" s="589"/>
      <c r="W2578" s="593"/>
      <c r="X2578" s="592"/>
      <c r="Y2578" s="592">
        <v>1</v>
      </c>
      <c r="Z2578" s="593"/>
    </row>
    <row r="2579" spans="1:26" s="36" customFormat="1" ht="37.5" hidden="1">
      <c r="A2579" s="591"/>
      <c r="B2579" s="1347"/>
      <c r="C2579" s="593"/>
      <c r="D2579" s="913"/>
      <c r="E2579" s="602"/>
      <c r="F2579" s="593"/>
      <c r="G2579" s="602"/>
      <c r="H2579" s="602"/>
      <c r="I2579" s="602"/>
      <c r="J2579" s="582"/>
      <c r="K2579" s="590" t="s">
        <v>219</v>
      </c>
      <c r="L2579" s="1359"/>
      <c r="M2579" s="585">
        <v>8000000</v>
      </c>
      <c r="N2579" s="564">
        <v>148750</v>
      </c>
      <c r="O2579" s="587"/>
      <c r="P2579" s="586"/>
      <c r="Q2579" s="586"/>
      <c r="R2579" s="582">
        <f>M2579/I2578</f>
        <v>2000000</v>
      </c>
      <c r="S2579" s="575">
        <f t="shared" si="377"/>
        <v>-8148750</v>
      </c>
      <c r="T2579" s="593"/>
      <c r="U2579" s="591"/>
      <c r="V2579" s="589"/>
      <c r="W2579" s="593"/>
      <c r="X2579" s="593"/>
      <c r="Y2579" s="592">
        <v>1</v>
      </c>
      <c r="Z2579" s="593"/>
    </row>
    <row r="2580" spans="1:26" s="36" customFormat="1" ht="37.5" hidden="1">
      <c r="A2580" s="591">
        <v>11</v>
      </c>
      <c r="B2580" s="592" t="s">
        <v>2245</v>
      </c>
      <c r="C2580" s="593" t="s">
        <v>298</v>
      </c>
      <c r="D2580" s="602">
        <f>E2580/1.16/2*13</f>
        <v>20844.827586206899</v>
      </c>
      <c r="E2580" s="593">
        <v>3720</v>
      </c>
      <c r="F2580" s="593" t="s">
        <v>218</v>
      </c>
      <c r="G2580" s="593">
        <v>750</v>
      </c>
      <c r="H2580" s="594">
        <v>9</v>
      </c>
      <c r="I2580" s="602">
        <v>2</v>
      </c>
      <c r="J2580" s="582">
        <v>71</v>
      </c>
      <c r="K2580" s="606" t="s">
        <v>219</v>
      </c>
      <c r="L2580" s="562">
        <f t="shared" ref="L2580:L2611" si="378">SUM(M2580:Q2580)</f>
        <v>4106250</v>
      </c>
      <c r="M2580" s="596">
        <v>4000000</v>
      </c>
      <c r="N2580" s="564">
        <v>106250</v>
      </c>
      <c r="O2580" s="565"/>
      <c r="P2580" s="564"/>
      <c r="Q2580" s="586"/>
      <c r="R2580" s="582">
        <f>M2580/I2580</f>
        <v>2000000</v>
      </c>
      <c r="S2580" s="575">
        <f t="shared" si="377"/>
        <v>0</v>
      </c>
      <c r="T2580" s="593"/>
      <c r="U2580" s="591"/>
      <c r="V2580" s="589"/>
      <c r="W2580" s="593"/>
      <c r="X2580" s="593"/>
      <c r="Y2580" s="592">
        <v>1</v>
      </c>
      <c r="Z2580" s="593"/>
    </row>
    <row r="2581" spans="1:26" s="36" customFormat="1" ht="37.5" hidden="1">
      <c r="A2581" s="591">
        <f t="shared" ref="A2581:A2589" si="379">A2580+1</f>
        <v>12</v>
      </c>
      <c r="B2581" s="592" t="s">
        <v>2246</v>
      </c>
      <c r="C2581" s="593" t="s">
        <v>298</v>
      </c>
      <c r="D2581" s="602">
        <f>E2581/1.16/2*13</f>
        <v>19892.241379310344</v>
      </c>
      <c r="E2581" s="593">
        <v>3550</v>
      </c>
      <c r="F2581" s="593" t="s">
        <v>218</v>
      </c>
      <c r="G2581" s="593">
        <v>776</v>
      </c>
      <c r="H2581" s="594">
        <v>9</v>
      </c>
      <c r="I2581" s="594">
        <v>1</v>
      </c>
      <c r="J2581" s="599">
        <v>72</v>
      </c>
      <c r="K2581" s="606" t="s">
        <v>219</v>
      </c>
      <c r="L2581" s="562">
        <f t="shared" si="378"/>
        <v>2085000</v>
      </c>
      <c r="M2581" s="596">
        <v>2000000</v>
      </c>
      <c r="N2581" s="564">
        <v>85000</v>
      </c>
      <c r="O2581" s="587"/>
      <c r="P2581" s="586"/>
      <c r="Q2581" s="586"/>
      <c r="R2581" s="582">
        <f>M2581/I2581</f>
        <v>2000000</v>
      </c>
      <c r="S2581" s="575">
        <f t="shared" si="377"/>
        <v>0</v>
      </c>
      <c r="T2581" s="593"/>
      <c r="U2581" s="591" t="s">
        <v>3596</v>
      </c>
      <c r="V2581" s="589"/>
      <c r="W2581" s="593"/>
      <c r="X2581" s="593"/>
      <c r="Y2581" s="592">
        <v>1</v>
      </c>
      <c r="Z2581" s="593"/>
    </row>
    <row r="2582" spans="1:26" s="36" customFormat="1" ht="37.5" hidden="1">
      <c r="A2582" s="591">
        <f t="shared" si="379"/>
        <v>13</v>
      </c>
      <c r="B2582" s="616" t="s">
        <v>2247</v>
      </c>
      <c r="C2582" s="593" t="s">
        <v>298</v>
      </c>
      <c r="D2582" s="602">
        <f>E2582/1.16/2*13</f>
        <v>27955.603448275862</v>
      </c>
      <c r="E2582" s="593">
        <v>4989</v>
      </c>
      <c r="F2582" s="593" t="s">
        <v>218</v>
      </c>
      <c r="G2582" s="593">
        <v>2200</v>
      </c>
      <c r="H2582" s="593">
        <v>9</v>
      </c>
      <c r="I2582" s="593">
        <v>5</v>
      </c>
      <c r="J2582" s="582">
        <v>175</v>
      </c>
      <c r="K2582" s="606" t="s">
        <v>219</v>
      </c>
      <c r="L2582" s="562">
        <f t="shared" si="378"/>
        <v>8148750</v>
      </c>
      <c r="M2582" s="596">
        <f>2000000+6000000</f>
        <v>8000000</v>
      </c>
      <c r="N2582" s="564">
        <v>148750</v>
      </c>
      <c r="O2582" s="587"/>
      <c r="P2582" s="586"/>
      <c r="Q2582" s="586"/>
      <c r="R2582" s="599">
        <f>M2582/4</f>
        <v>2000000</v>
      </c>
      <c r="S2582" s="575">
        <f t="shared" si="377"/>
        <v>0</v>
      </c>
      <c r="T2582" s="593"/>
      <c r="U2582" s="591" t="s">
        <v>3596</v>
      </c>
      <c r="V2582" s="589"/>
      <c r="W2582" s="593"/>
      <c r="X2582" s="593"/>
      <c r="Y2582" s="592">
        <v>1</v>
      </c>
      <c r="Z2582" s="593"/>
    </row>
    <row r="2583" spans="1:26" s="36" customFormat="1" ht="37.5" hidden="1">
      <c r="A2583" s="591">
        <f t="shared" si="379"/>
        <v>14</v>
      </c>
      <c r="B2583" s="592" t="s">
        <v>2248</v>
      </c>
      <c r="C2583" s="593" t="s">
        <v>298</v>
      </c>
      <c r="D2583" s="602">
        <f>E2583/1.16/2*13</f>
        <v>33805.603448275862</v>
      </c>
      <c r="E2583" s="593">
        <v>6033</v>
      </c>
      <c r="F2583" s="593" t="s">
        <v>218</v>
      </c>
      <c r="G2583" s="593">
        <v>2200</v>
      </c>
      <c r="H2583" s="593">
        <v>9</v>
      </c>
      <c r="I2583" s="593">
        <v>5</v>
      </c>
      <c r="J2583" s="582">
        <v>180</v>
      </c>
      <c r="K2583" s="606" t="s">
        <v>219</v>
      </c>
      <c r="L2583" s="562">
        <f t="shared" si="378"/>
        <v>10170000</v>
      </c>
      <c r="M2583" s="596">
        <v>10000000</v>
      </c>
      <c r="N2583" s="564">
        <v>170000</v>
      </c>
      <c r="O2583" s="565"/>
      <c r="P2583" s="564"/>
      <c r="Q2583" s="586"/>
      <c r="R2583" s="582">
        <f>M2583/I2583</f>
        <v>2000000</v>
      </c>
      <c r="S2583" s="575">
        <f t="shared" si="377"/>
        <v>0</v>
      </c>
      <c r="T2583" s="593"/>
      <c r="U2583" s="591"/>
      <c r="V2583" s="589"/>
      <c r="W2583" s="593"/>
      <c r="X2583" s="593"/>
      <c r="Y2583" s="592">
        <v>1</v>
      </c>
      <c r="Z2583" s="593"/>
    </row>
    <row r="2584" spans="1:26" s="103" customFormat="1" ht="37.5" hidden="1">
      <c r="A2584" s="591">
        <f t="shared" si="379"/>
        <v>15</v>
      </c>
      <c r="B2584" s="580" t="s">
        <v>3971</v>
      </c>
      <c r="C2584" s="714" t="s">
        <v>314</v>
      </c>
      <c r="D2584" s="561">
        <f t="shared" ref="D2584:D2587" si="380">E2584/1.116/2*13</f>
        <v>39675.627240143367</v>
      </c>
      <c r="E2584" s="561">
        <v>6812</v>
      </c>
      <c r="F2584" s="1106" t="s">
        <v>3662</v>
      </c>
      <c r="G2584" s="561">
        <v>1743</v>
      </c>
      <c r="H2584" s="602">
        <v>9</v>
      </c>
      <c r="I2584" s="602">
        <v>4</v>
      </c>
      <c r="J2584" s="602">
        <v>192</v>
      </c>
      <c r="K2584" s="606" t="s">
        <v>219</v>
      </c>
      <c r="L2584" s="563">
        <f t="shared" si="378"/>
        <v>8148750</v>
      </c>
      <c r="M2584" s="585">
        <v>8000000</v>
      </c>
      <c r="N2584" s="586">
        <v>148750</v>
      </c>
      <c r="O2584" s="587"/>
      <c r="P2584" s="586"/>
      <c r="Q2584" s="586"/>
      <c r="R2584" s="582">
        <f>M2584/I2584</f>
        <v>2000000</v>
      </c>
      <c r="S2584" s="564">
        <f t="shared" si="377"/>
        <v>0</v>
      </c>
      <c r="T2584" s="558"/>
      <c r="U2584" s="560"/>
      <c r="V2584" s="1107"/>
      <c r="W2584" s="560"/>
      <c r="X2584" s="560"/>
      <c r="Y2584" s="592">
        <v>1</v>
      </c>
      <c r="Z2584" s="560"/>
    </row>
    <row r="2585" spans="1:26" s="103" customFormat="1" ht="37.5" hidden="1">
      <c r="A2585" s="591">
        <f t="shared" si="379"/>
        <v>16</v>
      </c>
      <c r="B2585" s="592" t="s">
        <v>3972</v>
      </c>
      <c r="C2585" s="714" t="s">
        <v>314</v>
      </c>
      <c r="D2585" s="561">
        <f t="shared" si="380"/>
        <v>66287.186379928302</v>
      </c>
      <c r="E2585" s="561">
        <v>11381</v>
      </c>
      <c r="F2585" s="1106" t="s">
        <v>3662</v>
      </c>
      <c r="G2585" s="561">
        <v>5748</v>
      </c>
      <c r="H2585" s="602">
        <v>9</v>
      </c>
      <c r="I2585" s="1106">
        <v>6</v>
      </c>
      <c r="J2585" s="608">
        <v>287</v>
      </c>
      <c r="K2585" s="606" t="s">
        <v>219</v>
      </c>
      <c r="L2585" s="563">
        <f t="shared" si="378"/>
        <v>4106250</v>
      </c>
      <c r="M2585" s="585">
        <v>4000000</v>
      </c>
      <c r="N2585" s="564">
        <v>106250</v>
      </c>
      <c r="O2585" s="587"/>
      <c r="P2585" s="586"/>
      <c r="Q2585" s="586"/>
      <c r="R2585" s="582">
        <f>M2585/2</f>
        <v>2000000</v>
      </c>
      <c r="S2585" s="564">
        <f t="shared" si="377"/>
        <v>0</v>
      </c>
      <c r="T2585" s="558"/>
      <c r="U2585" s="560"/>
      <c r="V2585" s="1107"/>
      <c r="W2585" s="560"/>
      <c r="X2585" s="560"/>
      <c r="Y2585" s="592">
        <v>1</v>
      </c>
      <c r="Z2585" s="560"/>
    </row>
    <row r="2586" spans="1:26" s="103" customFormat="1" ht="37.5" hidden="1">
      <c r="A2586" s="591">
        <f t="shared" si="379"/>
        <v>17</v>
      </c>
      <c r="B2586" s="592" t="s">
        <v>3973</v>
      </c>
      <c r="C2586" s="714" t="s">
        <v>314</v>
      </c>
      <c r="D2586" s="561">
        <f t="shared" si="380"/>
        <v>31206.989247311827</v>
      </c>
      <c r="E2586" s="561">
        <v>5358</v>
      </c>
      <c r="F2586" s="1106" t="s">
        <v>3662</v>
      </c>
      <c r="G2586" s="561">
        <v>1792</v>
      </c>
      <c r="H2586" s="602">
        <v>9</v>
      </c>
      <c r="I2586" s="1106">
        <v>4</v>
      </c>
      <c r="J2586" s="594">
        <v>130</v>
      </c>
      <c r="K2586" s="606" t="s">
        <v>219</v>
      </c>
      <c r="L2586" s="563">
        <f t="shared" si="378"/>
        <v>6127500</v>
      </c>
      <c r="M2586" s="585">
        <v>6000000</v>
      </c>
      <c r="N2586" s="564">
        <v>127500</v>
      </c>
      <c r="O2586" s="587"/>
      <c r="P2586" s="586"/>
      <c r="Q2586" s="586"/>
      <c r="R2586" s="582">
        <f>M2586/3</f>
        <v>2000000</v>
      </c>
      <c r="S2586" s="564">
        <f t="shared" si="377"/>
        <v>0</v>
      </c>
      <c r="T2586" s="558"/>
      <c r="U2586" s="560"/>
      <c r="V2586" s="1107"/>
      <c r="W2586" s="560"/>
      <c r="X2586" s="560"/>
      <c r="Y2586" s="592">
        <v>1</v>
      </c>
      <c r="Z2586" s="560"/>
    </row>
    <row r="2587" spans="1:26" s="103" customFormat="1" ht="37.5" hidden="1">
      <c r="A2587" s="591">
        <f t="shared" si="379"/>
        <v>18</v>
      </c>
      <c r="B2587" s="592" t="s">
        <v>3974</v>
      </c>
      <c r="C2587" s="714" t="s">
        <v>314</v>
      </c>
      <c r="D2587" s="561">
        <f t="shared" si="380"/>
        <v>31294.354838709674</v>
      </c>
      <c r="E2587" s="561">
        <v>5373</v>
      </c>
      <c r="F2587" s="1106" t="s">
        <v>3662</v>
      </c>
      <c r="G2587" s="561">
        <v>2107</v>
      </c>
      <c r="H2587" s="602">
        <v>9</v>
      </c>
      <c r="I2587" s="1108">
        <v>4</v>
      </c>
      <c r="J2587" s="602">
        <v>138</v>
      </c>
      <c r="K2587" s="606" t="s">
        <v>219</v>
      </c>
      <c r="L2587" s="563">
        <f t="shared" si="378"/>
        <v>4106250</v>
      </c>
      <c r="M2587" s="585">
        <v>4000000</v>
      </c>
      <c r="N2587" s="564">
        <v>106250</v>
      </c>
      <c r="O2587" s="587"/>
      <c r="P2587" s="586"/>
      <c r="Q2587" s="586"/>
      <c r="R2587" s="582">
        <f>M2587/2</f>
        <v>2000000</v>
      </c>
      <c r="S2587" s="564">
        <f t="shared" si="377"/>
        <v>0</v>
      </c>
      <c r="T2587" s="558"/>
      <c r="U2587" s="560"/>
      <c r="V2587" s="1107"/>
      <c r="W2587" s="560"/>
      <c r="X2587" s="560"/>
      <c r="Y2587" s="592">
        <v>1</v>
      </c>
      <c r="Z2587" s="560"/>
    </row>
    <row r="2588" spans="1:26" s="103" customFormat="1" ht="37.5" hidden="1">
      <c r="A2588" s="591">
        <f t="shared" si="379"/>
        <v>19</v>
      </c>
      <c r="B2588" s="592" t="s">
        <v>3188</v>
      </c>
      <c r="C2588" s="709" t="s">
        <v>298</v>
      </c>
      <c r="D2588" s="561">
        <v>59278.879310344826</v>
      </c>
      <c r="E2588" s="561">
        <v>10579</v>
      </c>
      <c r="F2588" s="1106" t="s">
        <v>218</v>
      </c>
      <c r="G2588" s="561">
        <v>1500</v>
      </c>
      <c r="H2588" s="602">
        <v>9</v>
      </c>
      <c r="I2588" s="1109">
        <v>5</v>
      </c>
      <c r="J2588" s="594">
        <v>228</v>
      </c>
      <c r="K2588" s="606" t="s">
        <v>219</v>
      </c>
      <c r="L2588" s="563">
        <f t="shared" si="378"/>
        <v>10170000</v>
      </c>
      <c r="M2588" s="585">
        <v>10000000</v>
      </c>
      <c r="N2588" s="564">
        <v>170000</v>
      </c>
      <c r="O2588" s="587"/>
      <c r="P2588" s="586"/>
      <c r="Q2588" s="586"/>
      <c r="R2588" s="582">
        <f>M2588/I2588</f>
        <v>2000000</v>
      </c>
      <c r="S2588" s="564">
        <f t="shared" si="377"/>
        <v>0</v>
      </c>
      <c r="T2588" s="558"/>
      <c r="U2588" s="560"/>
      <c r="V2588" s="1107"/>
      <c r="W2588" s="560"/>
      <c r="X2588" s="560"/>
      <c r="Y2588" s="592">
        <v>1</v>
      </c>
      <c r="Z2588" s="560"/>
    </row>
    <row r="2589" spans="1:26" s="36" customFormat="1" ht="37.5" hidden="1">
      <c r="A2589" s="591">
        <f t="shared" si="379"/>
        <v>20</v>
      </c>
      <c r="B2589" s="592" t="s">
        <v>2155</v>
      </c>
      <c r="C2589" s="593" t="s">
        <v>298</v>
      </c>
      <c r="D2589" s="913">
        <f t="shared" ref="D2589:D2644" si="381">E2589/1.16/2*13</f>
        <v>19516.810344827587</v>
      </c>
      <c r="E2589" s="602">
        <v>3483</v>
      </c>
      <c r="F2589" s="602" t="s">
        <v>251</v>
      </c>
      <c r="G2589" s="602">
        <v>1050</v>
      </c>
      <c r="H2589" s="602">
        <v>5</v>
      </c>
      <c r="I2589" s="602">
        <v>4</v>
      </c>
      <c r="J2589" s="582">
        <v>64</v>
      </c>
      <c r="K2589" s="679" t="s">
        <v>224</v>
      </c>
      <c r="L2589" s="562">
        <f t="shared" si="378"/>
        <v>1462298.36</v>
      </c>
      <c r="M2589" s="585">
        <f>J2589*22000</f>
        <v>1408000</v>
      </c>
      <c r="N2589" s="575">
        <v>34541</v>
      </c>
      <c r="O2589" s="565"/>
      <c r="P2589" s="564"/>
      <c r="Q2589" s="586">
        <v>19757.36</v>
      </c>
      <c r="R2589" s="561">
        <f>M2589/J2589</f>
        <v>22000</v>
      </c>
      <c r="S2589" s="575">
        <f t="shared" si="377"/>
        <v>1.0186340659856796E-10</v>
      </c>
      <c r="T2589" s="586"/>
      <c r="U2589" s="591"/>
      <c r="V2589" s="589"/>
      <c r="W2589" s="592"/>
      <c r="X2589" s="593"/>
      <c r="Y2589" s="592">
        <v>1</v>
      </c>
      <c r="Z2589" s="593"/>
    </row>
    <row r="2590" spans="1:26" s="36" customFormat="1" ht="37.5" hidden="1">
      <c r="A2590" s="580">
        <f>A2589+1</f>
        <v>21</v>
      </c>
      <c r="B2590" s="592" t="s">
        <v>1237</v>
      </c>
      <c r="C2590" s="593" t="s">
        <v>298</v>
      </c>
      <c r="D2590" s="913">
        <f t="shared" si="381"/>
        <v>6920.2586206896558</v>
      </c>
      <c r="E2590" s="602">
        <v>1235</v>
      </c>
      <c r="F2590" s="593" t="s">
        <v>218</v>
      </c>
      <c r="G2590" s="602">
        <v>442</v>
      </c>
      <c r="H2590" s="602">
        <v>5</v>
      </c>
      <c r="I2590" s="602">
        <v>2</v>
      </c>
      <c r="J2590" s="602">
        <v>20</v>
      </c>
      <c r="K2590" s="606" t="s">
        <v>226</v>
      </c>
      <c r="L2590" s="562">
        <f t="shared" si="378"/>
        <v>3266526</v>
      </c>
      <c r="M2590" s="596">
        <v>3211000</v>
      </c>
      <c r="N2590" s="575">
        <v>27883</v>
      </c>
      <c r="O2590" s="565"/>
      <c r="P2590" s="564"/>
      <c r="Q2590" s="586">
        <v>27643</v>
      </c>
      <c r="R2590" s="599">
        <f>M2590/E2590</f>
        <v>2600</v>
      </c>
      <c r="S2590" s="575">
        <f t="shared" si="377"/>
        <v>0</v>
      </c>
      <c r="T2590" s="593"/>
      <c r="U2590" s="591"/>
      <c r="V2590" s="589"/>
      <c r="W2590" s="592"/>
      <c r="X2590" s="593"/>
      <c r="Y2590" s="592">
        <v>1</v>
      </c>
      <c r="Z2590" s="593"/>
    </row>
    <row r="2591" spans="1:26" s="28" customFormat="1" ht="37.5" hidden="1">
      <c r="A2591" s="580">
        <f>A2590+1</f>
        <v>22</v>
      </c>
      <c r="B2591" s="616" t="s">
        <v>2156</v>
      </c>
      <c r="C2591" s="593" t="s">
        <v>298</v>
      </c>
      <c r="D2591" s="895">
        <f t="shared" si="381"/>
        <v>7419.4137931034493</v>
      </c>
      <c r="E2591" s="602">
        <v>1324.08</v>
      </c>
      <c r="F2591" s="593" t="s">
        <v>218</v>
      </c>
      <c r="G2591" s="602">
        <v>870</v>
      </c>
      <c r="H2591" s="602">
        <v>5</v>
      </c>
      <c r="I2591" s="602">
        <v>2</v>
      </c>
      <c r="J2591" s="602">
        <v>24</v>
      </c>
      <c r="K2591" s="606" t="s">
        <v>33</v>
      </c>
      <c r="L2591" s="584">
        <f t="shared" si="378"/>
        <v>2041154</v>
      </c>
      <c r="M2591" s="585">
        <v>2001000</v>
      </c>
      <c r="N2591" s="893"/>
      <c r="O2591" s="631">
        <v>20254</v>
      </c>
      <c r="P2591" s="893"/>
      <c r="Q2591" s="586">
        <v>19900</v>
      </c>
      <c r="R2591" s="582">
        <f t="shared" ref="R2591:R2596" si="382">M2591/G2591</f>
        <v>2300</v>
      </c>
      <c r="S2591" s="575">
        <f t="shared" si="377"/>
        <v>0</v>
      </c>
      <c r="T2591" s="592"/>
      <c r="U2591" s="591"/>
      <c r="V2591" s="589"/>
      <c r="W2591" s="592"/>
      <c r="X2591" s="592"/>
      <c r="Y2591" s="592">
        <v>1</v>
      </c>
      <c r="Z2591" s="592"/>
    </row>
    <row r="2592" spans="1:26" s="36" customFormat="1" ht="37.5" hidden="1">
      <c r="A2592" s="580">
        <f>A2591+1</f>
        <v>23</v>
      </c>
      <c r="B2592" s="616" t="s">
        <v>2157</v>
      </c>
      <c r="C2592" s="593" t="s">
        <v>298</v>
      </c>
      <c r="D2592" s="913">
        <f t="shared" si="381"/>
        <v>20087.689655172413</v>
      </c>
      <c r="E2592" s="602">
        <v>3584.88</v>
      </c>
      <c r="F2592" s="593" t="s">
        <v>218</v>
      </c>
      <c r="G2592" s="602">
        <v>1760</v>
      </c>
      <c r="H2592" s="602">
        <v>5</v>
      </c>
      <c r="I2592" s="602">
        <v>8</v>
      </c>
      <c r="J2592" s="582">
        <v>128</v>
      </c>
      <c r="K2592" s="679" t="s">
        <v>33</v>
      </c>
      <c r="L2592" s="562">
        <f t="shared" si="378"/>
        <v>4268972</v>
      </c>
      <c r="M2592" s="585">
        <f>G2592*2400</f>
        <v>4224000</v>
      </c>
      <c r="N2592" s="586"/>
      <c r="O2592" s="631">
        <v>25072</v>
      </c>
      <c r="P2592" s="586"/>
      <c r="Q2592" s="586">
        <v>19900</v>
      </c>
      <c r="R2592" s="582">
        <f t="shared" si="382"/>
        <v>2400</v>
      </c>
      <c r="S2592" s="575">
        <f t="shared" si="377"/>
        <v>0</v>
      </c>
      <c r="T2592" s="586"/>
      <c r="U2592" s="591"/>
      <c r="V2592" s="589"/>
      <c r="W2592" s="593"/>
      <c r="X2592" s="593"/>
      <c r="Y2592" s="592">
        <v>1</v>
      </c>
      <c r="Z2592" s="593"/>
    </row>
    <row r="2593" spans="1:26" s="36" customFormat="1" ht="37.5" hidden="1">
      <c r="A2593" s="580">
        <f>A2592+1</f>
        <v>24</v>
      </c>
      <c r="B2593" s="592" t="s">
        <v>2158</v>
      </c>
      <c r="C2593" s="593" t="s">
        <v>298</v>
      </c>
      <c r="D2593" s="602">
        <f t="shared" si="381"/>
        <v>17622.844827586207</v>
      </c>
      <c r="E2593" s="602">
        <v>3145</v>
      </c>
      <c r="F2593" s="593" t="s">
        <v>218</v>
      </c>
      <c r="G2593" s="602">
        <v>1392</v>
      </c>
      <c r="H2593" s="602">
        <v>5</v>
      </c>
      <c r="I2593" s="602">
        <v>6</v>
      </c>
      <c r="J2593" s="582">
        <v>80</v>
      </c>
      <c r="K2593" s="590" t="s">
        <v>33</v>
      </c>
      <c r="L2593" s="562">
        <f t="shared" si="378"/>
        <v>3382705</v>
      </c>
      <c r="M2593" s="585">
        <f>G2593*2400</f>
        <v>3340800</v>
      </c>
      <c r="N2593" s="586"/>
      <c r="O2593" s="631">
        <v>22005</v>
      </c>
      <c r="P2593" s="586"/>
      <c r="Q2593" s="586">
        <v>19900</v>
      </c>
      <c r="R2593" s="582">
        <f t="shared" si="382"/>
        <v>2400</v>
      </c>
      <c r="S2593" s="575">
        <f t="shared" si="377"/>
        <v>0</v>
      </c>
      <c r="T2593" s="586"/>
      <c r="U2593" s="591"/>
      <c r="V2593" s="589"/>
      <c r="W2593" s="593"/>
      <c r="X2593" s="592"/>
      <c r="Y2593" s="592">
        <v>1</v>
      </c>
      <c r="Z2593" s="593"/>
    </row>
    <row r="2594" spans="1:26" s="36" customFormat="1" ht="37.5" hidden="1">
      <c r="A2594" s="580">
        <f>A2593+1</f>
        <v>25</v>
      </c>
      <c r="B2594" s="592" t="s">
        <v>2159</v>
      </c>
      <c r="C2594" s="593" t="s">
        <v>298</v>
      </c>
      <c r="D2594" s="602">
        <f t="shared" si="381"/>
        <v>12310.775862068967</v>
      </c>
      <c r="E2594" s="602">
        <v>2197</v>
      </c>
      <c r="F2594" s="593" t="s">
        <v>218</v>
      </c>
      <c r="G2594" s="602">
        <v>972</v>
      </c>
      <c r="H2594" s="602">
        <v>5</v>
      </c>
      <c r="I2594" s="602">
        <v>4</v>
      </c>
      <c r="J2594" s="582">
        <v>78</v>
      </c>
      <c r="K2594" s="590" t="s">
        <v>33</v>
      </c>
      <c r="L2594" s="562">
        <f t="shared" si="378"/>
        <v>2374164</v>
      </c>
      <c r="M2594" s="585">
        <f>G2594*2400</f>
        <v>2332800</v>
      </c>
      <c r="N2594" s="586"/>
      <c r="O2594" s="631">
        <v>21464</v>
      </c>
      <c r="P2594" s="586"/>
      <c r="Q2594" s="586">
        <v>19900</v>
      </c>
      <c r="R2594" s="582">
        <f t="shared" si="382"/>
        <v>2400</v>
      </c>
      <c r="S2594" s="575">
        <f t="shared" si="377"/>
        <v>0</v>
      </c>
      <c r="T2594" s="593"/>
      <c r="U2594" s="591"/>
      <c r="V2594" s="589"/>
      <c r="W2594" s="593"/>
      <c r="X2594" s="592"/>
      <c r="Y2594" s="592">
        <v>1</v>
      </c>
      <c r="Z2594" s="593"/>
    </row>
    <row r="2595" spans="1:26" s="36" customFormat="1" ht="37.5" hidden="1">
      <c r="A2595" s="591">
        <f t="shared" ref="A2595:A2658" si="383">A2594+1</f>
        <v>26</v>
      </c>
      <c r="B2595" s="592" t="s">
        <v>2161</v>
      </c>
      <c r="C2595" s="593" t="s">
        <v>298</v>
      </c>
      <c r="D2595" s="602">
        <f t="shared" si="381"/>
        <v>18827.586206896551</v>
      </c>
      <c r="E2595" s="602">
        <v>3360</v>
      </c>
      <c r="F2595" s="593" t="s">
        <v>218</v>
      </c>
      <c r="G2595" s="602">
        <v>900</v>
      </c>
      <c r="H2595" s="602">
        <v>5</v>
      </c>
      <c r="I2595" s="602">
        <v>4</v>
      </c>
      <c r="J2595" s="582">
        <v>40</v>
      </c>
      <c r="K2595" s="590" t="s">
        <v>33</v>
      </c>
      <c r="L2595" s="562">
        <f t="shared" si="378"/>
        <v>2202323</v>
      </c>
      <c r="M2595" s="585">
        <f>G2595*2400</f>
        <v>2160000</v>
      </c>
      <c r="N2595" s="586"/>
      <c r="O2595" s="631">
        <v>22423</v>
      </c>
      <c r="P2595" s="586"/>
      <c r="Q2595" s="586">
        <v>19900</v>
      </c>
      <c r="R2595" s="582">
        <f t="shared" si="382"/>
        <v>2400</v>
      </c>
      <c r="S2595" s="575">
        <f t="shared" si="377"/>
        <v>0</v>
      </c>
      <c r="T2595" s="593"/>
      <c r="U2595" s="591"/>
      <c r="V2595" s="589"/>
      <c r="W2595" s="593"/>
      <c r="X2595" s="592"/>
      <c r="Y2595" s="592">
        <v>1</v>
      </c>
      <c r="Z2595" s="593"/>
    </row>
    <row r="2596" spans="1:26" s="36" customFormat="1" hidden="1">
      <c r="A2596" s="591">
        <f t="shared" si="383"/>
        <v>27</v>
      </c>
      <c r="B2596" s="592" t="s">
        <v>2162</v>
      </c>
      <c r="C2596" s="593" t="s">
        <v>217</v>
      </c>
      <c r="D2596" s="602">
        <f t="shared" si="381"/>
        <v>20844.827586206899</v>
      </c>
      <c r="E2596" s="602">
        <v>3720</v>
      </c>
      <c r="F2596" s="593" t="s">
        <v>218</v>
      </c>
      <c r="G2596" s="602">
        <v>638</v>
      </c>
      <c r="H2596" s="602">
        <v>9</v>
      </c>
      <c r="I2596" s="602">
        <v>2</v>
      </c>
      <c r="J2596" s="582">
        <v>72</v>
      </c>
      <c r="K2596" s="590" t="s">
        <v>33</v>
      </c>
      <c r="L2596" s="562">
        <f t="shared" si="378"/>
        <v>1576832</v>
      </c>
      <c r="M2596" s="585">
        <f>G2596*2400</f>
        <v>1531200</v>
      </c>
      <c r="N2596" s="586"/>
      <c r="O2596" s="631">
        <v>25732</v>
      </c>
      <c r="P2596" s="586"/>
      <c r="Q2596" s="586">
        <v>19900</v>
      </c>
      <c r="R2596" s="582">
        <f t="shared" si="382"/>
        <v>2400</v>
      </c>
      <c r="S2596" s="575">
        <f t="shared" si="377"/>
        <v>0</v>
      </c>
      <c r="T2596" s="593"/>
      <c r="U2596" s="591"/>
      <c r="V2596" s="589"/>
      <c r="W2596" s="593"/>
      <c r="X2596" s="592"/>
      <c r="Y2596" s="592">
        <v>1</v>
      </c>
      <c r="Z2596" s="593"/>
    </row>
    <row r="2597" spans="1:26" s="36" customFormat="1" ht="37.5" hidden="1">
      <c r="A2597" s="591">
        <f t="shared" si="383"/>
        <v>28</v>
      </c>
      <c r="B2597" s="1110" t="s">
        <v>2163</v>
      </c>
      <c r="C2597" s="593" t="s">
        <v>298</v>
      </c>
      <c r="D2597" s="602">
        <f t="shared" si="381"/>
        <v>5468.9655172413795</v>
      </c>
      <c r="E2597" s="602">
        <v>976</v>
      </c>
      <c r="F2597" s="593" t="s">
        <v>218</v>
      </c>
      <c r="G2597" s="602">
        <v>944.9</v>
      </c>
      <c r="H2597" s="602">
        <v>9</v>
      </c>
      <c r="I2597" s="602">
        <v>3</v>
      </c>
      <c r="J2597" s="582">
        <v>120</v>
      </c>
      <c r="K2597" s="606" t="s">
        <v>226</v>
      </c>
      <c r="L2597" s="562">
        <f t="shared" si="378"/>
        <v>2488500.65</v>
      </c>
      <c r="M2597" s="563">
        <f>E2597*2500</f>
        <v>2440000</v>
      </c>
      <c r="N2597" s="630">
        <v>36498</v>
      </c>
      <c r="O2597" s="587"/>
      <c r="P2597" s="586"/>
      <c r="Q2597" s="586">
        <v>12002.65</v>
      </c>
      <c r="R2597" s="599">
        <f>M2597/E2597</f>
        <v>2500</v>
      </c>
      <c r="S2597" s="575">
        <f t="shared" si="377"/>
        <v>-9.276845958083868E-11</v>
      </c>
      <c r="T2597" s="593"/>
      <c r="U2597" s="591"/>
      <c r="V2597" s="589"/>
      <c r="W2597" s="592"/>
      <c r="X2597" s="593"/>
      <c r="Y2597" s="592">
        <v>1</v>
      </c>
      <c r="Z2597" s="593"/>
    </row>
    <row r="2598" spans="1:26" s="36" customFormat="1" ht="37.5" hidden="1">
      <c r="A2598" s="591">
        <f t="shared" si="383"/>
        <v>29</v>
      </c>
      <c r="B2598" s="616" t="s">
        <v>2165</v>
      </c>
      <c r="C2598" s="593" t="s">
        <v>298</v>
      </c>
      <c r="D2598" s="913">
        <f t="shared" si="381"/>
        <v>16261.206896551726</v>
      </c>
      <c r="E2598" s="602">
        <v>2902</v>
      </c>
      <c r="F2598" s="593" t="s">
        <v>218</v>
      </c>
      <c r="G2598" s="602">
        <v>934</v>
      </c>
      <c r="H2598" s="602">
        <v>5</v>
      </c>
      <c r="I2598" s="602">
        <v>4</v>
      </c>
      <c r="J2598" s="582">
        <v>70</v>
      </c>
      <c r="K2598" s="679" t="s">
        <v>33</v>
      </c>
      <c r="L2598" s="562">
        <f t="shared" si="378"/>
        <v>2283728</v>
      </c>
      <c r="M2598" s="585">
        <f t="shared" ref="M2598:M2609" si="384">G2598*2400</f>
        <v>2241600</v>
      </c>
      <c r="N2598" s="586"/>
      <c r="O2598" s="631">
        <v>22228</v>
      </c>
      <c r="P2598" s="586"/>
      <c r="Q2598" s="586">
        <v>19900</v>
      </c>
      <c r="R2598" s="582">
        <f t="shared" ref="R2598:R2611" si="385">M2598/G2598</f>
        <v>2400</v>
      </c>
      <c r="S2598" s="575">
        <f t="shared" si="377"/>
        <v>0</v>
      </c>
      <c r="T2598" s="593"/>
      <c r="U2598" s="591"/>
      <c r="V2598" s="589"/>
      <c r="W2598" s="593"/>
      <c r="X2598" s="592"/>
      <c r="Y2598" s="592">
        <v>1</v>
      </c>
      <c r="Z2598" s="593"/>
    </row>
    <row r="2599" spans="1:26" s="36" customFormat="1" hidden="1">
      <c r="A2599" s="591">
        <f t="shared" si="383"/>
        <v>30</v>
      </c>
      <c r="B2599" s="592" t="s">
        <v>2166</v>
      </c>
      <c r="C2599" s="593" t="s">
        <v>217</v>
      </c>
      <c r="D2599" s="913">
        <f t="shared" si="381"/>
        <v>27171.120689655178</v>
      </c>
      <c r="E2599" s="602">
        <v>4849</v>
      </c>
      <c r="F2599" s="593" t="s">
        <v>218</v>
      </c>
      <c r="G2599" s="602">
        <v>961</v>
      </c>
      <c r="H2599" s="796">
        <v>9</v>
      </c>
      <c r="I2599" s="796">
        <v>3</v>
      </c>
      <c r="J2599" s="582">
        <v>108</v>
      </c>
      <c r="K2599" s="606" t="s">
        <v>33</v>
      </c>
      <c r="L2599" s="562">
        <f t="shared" si="378"/>
        <v>2352587</v>
      </c>
      <c r="M2599" s="585">
        <f t="shared" si="384"/>
        <v>2306400</v>
      </c>
      <c r="N2599" s="586"/>
      <c r="O2599" s="631">
        <v>26287</v>
      </c>
      <c r="P2599" s="586"/>
      <c r="Q2599" s="586">
        <v>19900</v>
      </c>
      <c r="R2599" s="582">
        <f t="shared" si="385"/>
        <v>2400</v>
      </c>
      <c r="S2599" s="575">
        <f t="shared" si="377"/>
        <v>0</v>
      </c>
      <c r="T2599" s="593"/>
      <c r="U2599" s="591"/>
      <c r="V2599" s="589"/>
      <c r="W2599" s="593"/>
      <c r="X2599" s="593"/>
      <c r="Y2599" s="592">
        <v>1</v>
      </c>
      <c r="Z2599" s="593"/>
    </row>
    <row r="2600" spans="1:26" s="36" customFormat="1" hidden="1">
      <c r="A2600" s="591">
        <f t="shared" si="383"/>
        <v>31</v>
      </c>
      <c r="B2600" s="592" t="s">
        <v>2167</v>
      </c>
      <c r="C2600" s="593" t="s">
        <v>217</v>
      </c>
      <c r="D2600" s="602">
        <f t="shared" si="381"/>
        <v>27423.275862068967</v>
      </c>
      <c r="E2600" s="602">
        <v>4894</v>
      </c>
      <c r="F2600" s="593" t="s">
        <v>218</v>
      </c>
      <c r="G2600" s="602">
        <v>996</v>
      </c>
      <c r="H2600" s="602">
        <v>9</v>
      </c>
      <c r="I2600" s="602">
        <v>3</v>
      </c>
      <c r="J2600" s="582">
        <v>108</v>
      </c>
      <c r="K2600" s="590" t="s">
        <v>33</v>
      </c>
      <c r="L2600" s="562">
        <f t="shared" si="378"/>
        <v>2436652</v>
      </c>
      <c r="M2600" s="585">
        <f t="shared" si="384"/>
        <v>2390400</v>
      </c>
      <c r="N2600" s="586"/>
      <c r="O2600" s="631">
        <v>26352</v>
      </c>
      <c r="P2600" s="586"/>
      <c r="Q2600" s="586">
        <v>19900</v>
      </c>
      <c r="R2600" s="582">
        <f t="shared" si="385"/>
        <v>2400</v>
      </c>
      <c r="S2600" s="575">
        <f t="shared" ref="S2600:S2631" si="386">L2600-M2600-N2600-O2600-P2600-Q2600</f>
        <v>0</v>
      </c>
      <c r="T2600" s="593"/>
      <c r="U2600" s="591"/>
      <c r="V2600" s="589"/>
      <c r="W2600" s="593"/>
      <c r="X2600" s="593"/>
      <c r="Y2600" s="592">
        <v>1</v>
      </c>
      <c r="Z2600" s="593"/>
    </row>
    <row r="2601" spans="1:26" s="36" customFormat="1" ht="37.5" hidden="1">
      <c r="A2601" s="591">
        <f t="shared" si="383"/>
        <v>32</v>
      </c>
      <c r="B2601" s="616" t="s">
        <v>2168</v>
      </c>
      <c r="C2601" s="593" t="s">
        <v>298</v>
      </c>
      <c r="D2601" s="913">
        <f t="shared" si="381"/>
        <v>13065.560344827585</v>
      </c>
      <c r="E2601" s="602">
        <v>2331.6999999999998</v>
      </c>
      <c r="F2601" s="593" t="s">
        <v>218</v>
      </c>
      <c r="G2601" s="602">
        <v>845</v>
      </c>
      <c r="H2601" s="602">
        <v>5</v>
      </c>
      <c r="I2601" s="602">
        <v>4</v>
      </c>
      <c r="J2601" s="582">
        <v>80</v>
      </c>
      <c r="K2601" s="679" t="s">
        <v>33</v>
      </c>
      <c r="L2601" s="562">
        <f t="shared" si="378"/>
        <v>2069653</v>
      </c>
      <c r="M2601" s="585">
        <f t="shared" si="384"/>
        <v>2028000</v>
      </c>
      <c r="N2601" s="586"/>
      <c r="O2601" s="631">
        <v>21753</v>
      </c>
      <c r="P2601" s="586"/>
      <c r="Q2601" s="586">
        <v>19900</v>
      </c>
      <c r="R2601" s="582">
        <f t="shared" si="385"/>
        <v>2400</v>
      </c>
      <c r="S2601" s="575">
        <f t="shared" si="386"/>
        <v>0</v>
      </c>
      <c r="T2601" s="593"/>
      <c r="U2601" s="591"/>
      <c r="V2601" s="589"/>
      <c r="W2601" s="593"/>
      <c r="X2601" s="593"/>
      <c r="Y2601" s="592">
        <v>1</v>
      </c>
      <c r="Z2601" s="593"/>
    </row>
    <row r="2602" spans="1:26" s="36" customFormat="1" ht="37.5" hidden="1">
      <c r="A2602" s="591">
        <f t="shared" si="383"/>
        <v>33</v>
      </c>
      <c r="B2602" s="592" t="s">
        <v>2169</v>
      </c>
      <c r="C2602" s="593" t="s">
        <v>298</v>
      </c>
      <c r="D2602" s="913">
        <f t="shared" si="381"/>
        <v>13336.206896551725</v>
      </c>
      <c r="E2602" s="602">
        <v>2380</v>
      </c>
      <c r="F2602" s="593" t="s">
        <v>218</v>
      </c>
      <c r="G2602" s="602">
        <v>929</v>
      </c>
      <c r="H2602" s="602">
        <v>5</v>
      </c>
      <c r="I2602" s="602">
        <v>4</v>
      </c>
      <c r="J2602" s="582">
        <v>68</v>
      </c>
      <c r="K2602" s="590" t="s">
        <v>33</v>
      </c>
      <c r="L2602" s="562">
        <f t="shared" si="378"/>
        <v>2271342</v>
      </c>
      <c r="M2602" s="585">
        <f t="shared" si="384"/>
        <v>2229600</v>
      </c>
      <c r="N2602" s="586"/>
      <c r="O2602" s="631">
        <v>21842</v>
      </c>
      <c r="P2602" s="586"/>
      <c r="Q2602" s="586">
        <v>19900</v>
      </c>
      <c r="R2602" s="582">
        <f t="shared" si="385"/>
        <v>2400</v>
      </c>
      <c r="S2602" s="575">
        <f t="shared" si="386"/>
        <v>0</v>
      </c>
      <c r="T2602" s="593"/>
      <c r="U2602" s="591"/>
      <c r="V2602" s="589"/>
      <c r="W2602" s="593"/>
      <c r="X2602" s="592"/>
      <c r="Y2602" s="592">
        <v>1</v>
      </c>
      <c r="Z2602" s="593"/>
    </row>
    <row r="2603" spans="1:26" s="36" customFormat="1" ht="37.5" hidden="1">
      <c r="A2603" s="591">
        <f t="shared" si="383"/>
        <v>34</v>
      </c>
      <c r="B2603" s="592" t="s">
        <v>2170</v>
      </c>
      <c r="C2603" s="593" t="s">
        <v>298</v>
      </c>
      <c r="D2603" s="913">
        <f t="shared" si="381"/>
        <v>11397.413793103449</v>
      </c>
      <c r="E2603" s="602">
        <v>2034</v>
      </c>
      <c r="F2603" s="593" t="s">
        <v>218</v>
      </c>
      <c r="G2603" s="602">
        <v>1100</v>
      </c>
      <c r="H2603" s="796">
        <v>5</v>
      </c>
      <c r="I2603" s="796">
        <v>5</v>
      </c>
      <c r="J2603" s="582">
        <v>75</v>
      </c>
      <c r="K2603" s="606" t="s">
        <v>33</v>
      </c>
      <c r="L2603" s="562">
        <f t="shared" si="378"/>
        <v>2681667</v>
      </c>
      <c r="M2603" s="585">
        <f t="shared" si="384"/>
        <v>2640000</v>
      </c>
      <c r="N2603" s="586"/>
      <c r="O2603" s="631">
        <v>21767</v>
      </c>
      <c r="P2603" s="586"/>
      <c r="Q2603" s="586">
        <v>19900</v>
      </c>
      <c r="R2603" s="582">
        <f t="shared" si="385"/>
        <v>2400</v>
      </c>
      <c r="S2603" s="575">
        <f t="shared" si="386"/>
        <v>0</v>
      </c>
      <c r="T2603" s="593"/>
      <c r="U2603" s="591"/>
      <c r="V2603" s="589"/>
      <c r="W2603" s="593"/>
      <c r="X2603" s="593"/>
      <c r="Y2603" s="592">
        <v>1</v>
      </c>
      <c r="Z2603" s="593"/>
    </row>
    <row r="2604" spans="1:26" s="36" customFormat="1" ht="37.5" hidden="1">
      <c r="A2604" s="591">
        <f t="shared" si="383"/>
        <v>35</v>
      </c>
      <c r="B2604" s="592" t="s">
        <v>2171</v>
      </c>
      <c r="C2604" s="593" t="s">
        <v>298</v>
      </c>
      <c r="D2604" s="913">
        <f t="shared" si="381"/>
        <v>16081.896551724138</v>
      </c>
      <c r="E2604" s="602">
        <v>2870</v>
      </c>
      <c r="F2604" s="593" t="s">
        <v>218</v>
      </c>
      <c r="G2604" s="602">
        <v>500</v>
      </c>
      <c r="H2604" s="796">
        <v>9</v>
      </c>
      <c r="I2604" s="796">
        <v>1</v>
      </c>
      <c r="J2604" s="582">
        <v>72</v>
      </c>
      <c r="K2604" s="606" t="s">
        <v>33</v>
      </c>
      <c r="L2604" s="562">
        <f t="shared" si="378"/>
        <v>1243334</v>
      </c>
      <c r="M2604" s="585">
        <f t="shared" si="384"/>
        <v>1200000</v>
      </c>
      <c r="N2604" s="586"/>
      <c r="O2604" s="631">
        <v>23434</v>
      </c>
      <c r="P2604" s="586"/>
      <c r="Q2604" s="586">
        <v>19900</v>
      </c>
      <c r="R2604" s="582">
        <f t="shared" si="385"/>
        <v>2400</v>
      </c>
      <c r="S2604" s="575">
        <f t="shared" si="386"/>
        <v>0</v>
      </c>
      <c r="T2604" s="593"/>
      <c r="U2604" s="591"/>
      <c r="V2604" s="589"/>
      <c r="W2604" s="593"/>
      <c r="X2604" s="593"/>
      <c r="Y2604" s="592">
        <v>1</v>
      </c>
      <c r="Z2604" s="593"/>
    </row>
    <row r="2605" spans="1:26" s="36" customFormat="1" ht="37.5" hidden="1">
      <c r="A2605" s="591">
        <f t="shared" si="383"/>
        <v>36</v>
      </c>
      <c r="B2605" s="592" t="s">
        <v>2174</v>
      </c>
      <c r="C2605" s="593" t="s">
        <v>298</v>
      </c>
      <c r="D2605" s="913">
        <f t="shared" si="381"/>
        <v>14031.034482758621</v>
      </c>
      <c r="E2605" s="602">
        <v>2504</v>
      </c>
      <c r="F2605" s="593" t="s">
        <v>218</v>
      </c>
      <c r="G2605" s="602">
        <v>996</v>
      </c>
      <c r="H2605" s="796">
        <v>5</v>
      </c>
      <c r="I2605" s="796">
        <v>4</v>
      </c>
      <c r="J2605" s="582">
        <v>67</v>
      </c>
      <c r="K2605" s="606" t="s">
        <v>33</v>
      </c>
      <c r="L2605" s="562">
        <f t="shared" si="378"/>
        <v>2433069</v>
      </c>
      <c r="M2605" s="585">
        <f t="shared" si="384"/>
        <v>2390400</v>
      </c>
      <c r="N2605" s="586"/>
      <c r="O2605" s="631">
        <v>22769</v>
      </c>
      <c r="P2605" s="586"/>
      <c r="Q2605" s="586">
        <v>19900</v>
      </c>
      <c r="R2605" s="582">
        <f t="shared" si="385"/>
        <v>2400</v>
      </c>
      <c r="S2605" s="575">
        <f t="shared" si="386"/>
        <v>0</v>
      </c>
      <c r="T2605" s="593"/>
      <c r="U2605" s="591"/>
      <c r="V2605" s="589"/>
      <c r="W2605" s="593"/>
      <c r="X2605" s="593"/>
      <c r="Y2605" s="592">
        <v>1</v>
      </c>
      <c r="Z2605" s="593"/>
    </row>
    <row r="2606" spans="1:26" s="36" customFormat="1" ht="37.5" hidden="1">
      <c r="A2606" s="591">
        <f t="shared" si="383"/>
        <v>37</v>
      </c>
      <c r="B2606" s="592" t="s">
        <v>2175</v>
      </c>
      <c r="C2606" s="593" t="s">
        <v>298</v>
      </c>
      <c r="D2606" s="913">
        <f t="shared" si="381"/>
        <v>12865.517241379312</v>
      </c>
      <c r="E2606" s="602">
        <v>2296</v>
      </c>
      <c r="F2606" s="593" t="s">
        <v>218</v>
      </c>
      <c r="G2606" s="602">
        <v>962</v>
      </c>
      <c r="H2606" s="796">
        <v>5</v>
      </c>
      <c r="I2606" s="796">
        <v>4</v>
      </c>
      <c r="J2606" s="582">
        <v>67</v>
      </c>
      <c r="K2606" s="606" t="s">
        <v>33</v>
      </c>
      <c r="L2606" s="562">
        <f t="shared" si="378"/>
        <v>2351026</v>
      </c>
      <c r="M2606" s="585">
        <f t="shared" si="384"/>
        <v>2308800</v>
      </c>
      <c r="N2606" s="586"/>
      <c r="O2606" s="631">
        <v>22326</v>
      </c>
      <c r="P2606" s="586"/>
      <c r="Q2606" s="586">
        <v>19900</v>
      </c>
      <c r="R2606" s="582">
        <f t="shared" si="385"/>
        <v>2400</v>
      </c>
      <c r="S2606" s="575">
        <f t="shared" si="386"/>
        <v>0</v>
      </c>
      <c r="T2606" s="593"/>
      <c r="U2606" s="591"/>
      <c r="V2606" s="589"/>
      <c r="W2606" s="593"/>
      <c r="X2606" s="593"/>
      <c r="Y2606" s="592">
        <v>1</v>
      </c>
      <c r="Z2606" s="593"/>
    </row>
    <row r="2607" spans="1:26" s="36" customFormat="1" ht="37.5" hidden="1">
      <c r="A2607" s="591">
        <f t="shared" si="383"/>
        <v>38</v>
      </c>
      <c r="B2607" s="592" t="s">
        <v>2176</v>
      </c>
      <c r="C2607" s="593" t="s">
        <v>298</v>
      </c>
      <c r="D2607" s="913">
        <f t="shared" si="381"/>
        <v>14036.637931034484</v>
      </c>
      <c r="E2607" s="602">
        <v>2505</v>
      </c>
      <c r="F2607" s="593" t="s">
        <v>218</v>
      </c>
      <c r="G2607" s="602">
        <v>971</v>
      </c>
      <c r="H2607" s="796">
        <v>5</v>
      </c>
      <c r="I2607" s="796">
        <v>4</v>
      </c>
      <c r="J2607" s="582">
        <v>67</v>
      </c>
      <c r="K2607" s="606" t="s">
        <v>33</v>
      </c>
      <c r="L2607" s="562">
        <f t="shared" si="378"/>
        <v>2373071</v>
      </c>
      <c r="M2607" s="585">
        <f t="shared" si="384"/>
        <v>2330400</v>
      </c>
      <c r="N2607" s="586"/>
      <c r="O2607" s="631">
        <v>22771</v>
      </c>
      <c r="P2607" s="586"/>
      <c r="Q2607" s="586">
        <v>19900</v>
      </c>
      <c r="R2607" s="582">
        <f t="shared" si="385"/>
        <v>2400</v>
      </c>
      <c r="S2607" s="575">
        <f t="shared" si="386"/>
        <v>0</v>
      </c>
      <c r="T2607" s="593"/>
      <c r="U2607" s="591"/>
      <c r="V2607" s="589"/>
      <c r="W2607" s="593"/>
      <c r="X2607" s="593"/>
      <c r="Y2607" s="592">
        <v>1</v>
      </c>
      <c r="Z2607" s="593"/>
    </row>
    <row r="2608" spans="1:26" s="36" customFormat="1" hidden="1">
      <c r="A2608" s="591">
        <f t="shared" si="383"/>
        <v>39</v>
      </c>
      <c r="B2608" s="592" t="s">
        <v>2177</v>
      </c>
      <c r="C2608" s="593" t="s">
        <v>217</v>
      </c>
      <c r="D2608" s="602">
        <f t="shared" si="381"/>
        <v>43045.689655172413</v>
      </c>
      <c r="E2608" s="602">
        <v>7682</v>
      </c>
      <c r="F2608" s="593" t="s">
        <v>218</v>
      </c>
      <c r="G2608" s="602">
        <v>1520</v>
      </c>
      <c r="H2608" s="602">
        <v>10</v>
      </c>
      <c r="I2608" s="602">
        <v>5</v>
      </c>
      <c r="J2608" s="582">
        <v>190</v>
      </c>
      <c r="K2608" s="590" t="s">
        <v>33</v>
      </c>
      <c r="L2608" s="562">
        <f t="shared" si="378"/>
        <v>3698272</v>
      </c>
      <c r="M2608" s="585">
        <f t="shared" si="384"/>
        <v>3648000</v>
      </c>
      <c r="N2608" s="586"/>
      <c r="O2608" s="631">
        <v>30372</v>
      </c>
      <c r="P2608" s="586"/>
      <c r="Q2608" s="586">
        <v>19900</v>
      </c>
      <c r="R2608" s="582">
        <f t="shared" si="385"/>
        <v>2400</v>
      </c>
      <c r="S2608" s="575">
        <f t="shared" si="386"/>
        <v>0</v>
      </c>
      <c r="T2608" s="593"/>
      <c r="U2608" s="591"/>
      <c r="V2608" s="589"/>
      <c r="W2608" s="593"/>
      <c r="X2608" s="593"/>
      <c r="Y2608" s="592">
        <v>1</v>
      </c>
      <c r="Z2608" s="593"/>
    </row>
    <row r="2609" spans="1:26" s="36" customFormat="1" ht="37.5" hidden="1">
      <c r="A2609" s="591">
        <f t="shared" si="383"/>
        <v>40</v>
      </c>
      <c r="B2609" s="592" t="s">
        <v>2178</v>
      </c>
      <c r="C2609" s="593" t="s">
        <v>298</v>
      </c>
      <c r="D2609" s="913">
        <f>67*13*15</f>
        <v>13065</v>
      </c>
      <c r="E2609" s="602">
        <v>459</v>
      </c>
      <c r="F2609" s="593" t="s">
        <v>218</v>
      </c>
      <c r="G2609" s="602">
        <v>890</v>
      </c>
      <c r="H2609" s="602">
        <v>5</v>
      </c>
      <c r="I2609" s="602">
        <v>2</v>
      </c>
      <c r="J2609" s="599">
        <v>90</v>
      </c>
      <c r="K2609" s="556" t="s">
        <v>33</v>
      </c>
      <c r="L2609" s="562">
        <f t="shared" si="378"/>
        <v>2166330.75</v>
      </c>
      <c r="M2609" s="585">
        <f t="shared" si="384"/>
        <v>2136000</v>
      </c>
      <c r="N2609" s="586"/>
      <c r="O2609" s="631">
        <v>22401</v>
      </c>
      <c r="P2609" s="586"/>
      <c r="Q2609" s="586">
        <v>7929.75</v>
      </c>
      <c r="R2609" s="582">
        <f t="shared" si="385"/>
        <v>2400</v>
      </c>
      <c r="S2609" s="575">
        <f t="shared" si="386"/>
        <v>0</v>
      </c>
      <c r="T2609" s="593"/>
      <c r="U2609" s="591"/>
      <c r="V2609" s="589"/>
      <c r="W2609" s="593"/>
      <c r="X2609" s="593"/>
      <c r="Y2609" s="592">
        <v>1</v>
      </c>
      <c r="Z2609" s="593"/>
    </row>
    <row r="2610" spans="1:26" s="36" customFormat="1" ht="37.5" hidden="1">
      <c r="A2610" s="591">
        <f t="shared" si="383"/>
        <v>41</v>
      </c>
      <c r="B2610" s="592" t="s">
        <v>2179</v>
      </c>
      <c r="C2610" s="593" t="s">
        <v>298</v>
      </c>
      <c r="D2610" s="913">
        <f t="shared" si="381"/>
        <v>2234.5991379310349</v>
      </c>
      <c r="E2610" s="608">
        <v>398.79</v>
      </c>
      <c r="F2610" s="594" t="s">
        <v>343</v>
      </c>
      <c r="G2610" s="608">
        <v>1168</v>
      </c>
      <c r="H2610" s="1111">
        <v>2</v>
      </c>
      <c r="I2610" s="1111">
        <v>1</v>
      </c>
      <c r="J2610" s="608">
        <v>64</v>
      </c>
      <c r="K2610" s="606" t="s">
        <v>33</v>
      </c>
      <c r="L2610" s="562">
        <f t="shared" si="378"/>
        <v>3309174.4</v>
      </c>
      <c r="M2610" s="585">
        <v>3270400</v>
      </c>
      <c r="N2610" s="575">
        <v>27885</v>
      </c>
      <c r="O2610" s="565"/>
      <c r="P2610" s="564"/>
      <c r="Q2610" s="586">
        <v>10889.4</v>
      </c>
      <c r="R2610" s="582">
        <f t="shared" si="385"/>
        <v>2800</v>
      </c>
      <c r="S2610" s="575">
        <f t="shared" si="386"/>
        <v>-9.276845958083868E-11</v>
      </c>
      <c r="T2610" s="593"/>
      <c r="U2610" s="591"/>
      <c r="V2610" s="589"/>
      <c r="W2610" s="592"/>
      <c r="X2610" s="593"/>
      <c r="Y2610" s="592">
        <v>1</v>
      </c>
      <c r="Z2610" s="593"/>
    </row>
    <row r="2611" spans="1:26" s="36" customFormat="1" ht="37.5" hidden="1">
      <c r="A2611" s="591">
        <f t="shared" si="383"/>
        <v>42</v>
      </c>
      <c r="B2611" s="616" t="s">
        <v>2180</v>
      </c>
      <c r="C2611" s="593" t="s">
        <v>298</v>
      </c>
      <c r="D2611" s="913">
        <f t="shared" si="381"/>
        <v>7735.560344827587</v>
      </c>
      <c r="E2611" s="602">
        <v>1380.5</v>
      </c>
      <c r="F2611" s="602" t="s">
        <v>251</v>
      </c>
      <c r="G2611" s="602">
        <v>1322</v>
      </c>
      <c r="H2611" s="602">
        <v>4</v>
      </c>
      <c r="I2611" s="602">
        <v>4</v>
      </c>
      <c r="J2611" s="582">
        <v>64</v>
      </c>
      <c r="K2611" s="679" t="s">
        <v>33</v>
      </c>
      <c r="L2611" s="562">
        <f t="shared" si="378"/>
        <v>3752360.92</v>
      </c>
      <c r="M2611" s="585">
        <f>G2611*2800</f>
        <v>3701600</v>
      </c>
      <c r="N2611" s="575">
        <v>26910</v>
      </c>
      <c r="O2611" s="565"/>
      <c r="P2611" s="564"/>
      <c r="Q2611" s="586">
        <v>23850.92</v>
      </c>
      <c r="R2611" s="582">
        <f t="shared" si="385"/>
        <v>2800</v>
      </c>
      <c r="S2611" s="575">
        <f t="shared" si="386"/>
        <v>-7.2759576141834259E-11</v>
      </c>
      <c r="T2611" s="593"/>
      <c r="U2611" s="591"/>
      <c r="V2611" s="589"/>
      <c r="W2611" s="592"/>
      <c r="X2611" s="593"/>
      <c r="Y2611" s="592">
        <v>1</v>
      </c>
      <c r="Z2611" s="593"/>
    </row>
    <row r="2612" spans="1:26" s="36" customFormat="1" ht="37.5" hidden="1">
      <c r="A2612" s="591">
        <f t="shared" si="383"/>
        <v>43</v>
      </c>
      <c r="B2612" s="592" t="s">
        <v>2181</v>
      </c>
      <c r="C2612" s="593" t="s">
        <v>298</v>
      </c>
      <c r="D2612" s="913">
        <f t="shared" si="381"/>
        <v>13197.801724137933</v>
      </c>
      <c r="E2612" s="602">
        <v>2355.3000000000002</v>
      </c>
      <c r="F2612" s="593" t="s">
        <v>218</v>
      </c>
      <c r="G2612" s="602">
        <v>1050</v>
      </c>
      <c r="H2612" s="602">
        <v>5</v>
      </c>
      <c r="I2612" s="602">
        <v>4</v>
      </c>
      <c r="J2612" s="602">
        <v>59</v>
      </c>
      <c r="K2612" s="679" t="s">
        <v>238</v>
      </c>
      <c r="L2612" s="562">
        <f t="shared" ref="L2612:L2643" si="387">SUM(M2612:Q2612)</f>
        <v>2119421.7799999998</v>
      </c>
      <c r="M2612" s="585">
        <v>2070000</v>
      </c>
      <c r="N2612" s="575">
        <v>30871</v>
      </c>
      <c r="O2612" s="565"/>
      <c r="P2612" s="564"/>
      <c r="Q2612" s="586">
        <v>18550.78</v>
      </c>
      <c r="R2612" s="561">
        <f>M2612/J2612</f>
        <v>35084.745762711864</v>
      </c>
      <c r="S2612" s="575">
        <f t="shared" si="386"/>
        <v>-2.0372681319713593E-10</v>
      </c>
      <c r="T2612" s="593"/>
      <c r="U2612" s="591"/>
      <c r="V2612" s="589"/>
      <c r="W2612" s="592"/>
      <c r="X2612" s="593"/>
      <c r="Y2612" s="592">
        <v>1</v>
      </c>
      <c r="Z2612" s="593"/>
    </row>
    <row r="2613" spans="1:26" s="36" customFormat="1" ht="37.5" hidden="1">
      <c r="A2613" s="591">
        <f t="shared" si="383"/>
        <v>44</v>
      </c>
      <c r="B2613" s="592" t="s">
        <v>2182</v>
      </c>
      <c r="C2613" s="593" t="s">
        <v>298</v>
      </c>
      <c r="D2613" s="602">
        <f t="shared" si="381"/>
        <v>16877.586206896551</v>
      </c>
      <c r="E2613" s="602">
        <v>3012</v>
      </c>
      <c r="F2613" s="593" t="s">
        <v>218</v>
      </c>
      <c r="G2613" s="602">
        <v>654</v>
      </c>
      <c r="H2613" s="602">
        <v>9</v>
      </c>
      <c r="I2613" s="602">
        <v>2</v>
      </c>
      <c r="J2613" s="582">
        <v>72</v>
      </c>
      <c r="K2613" s="590" t="s">
        <v>33</v>
      </c>
      <c r="L2613" s="562">
        <f t="shared" si="387"/>
        <v>1615195</v>
      </c>
      <c r="M2613" s="585">
        <f t="shared" ref="M2613:M2618" si="388">G2613*2400</f>
        <v>1569600</v>
      </c>
      <c r="N2613" s="586"/>
      <c r="O2613" s="631">
        <v>25695</v>
      </c>
      <c r="P2613" s="586"/>
      <c r="Q2613" s="586">
        <v>19900</v>
      </c>
      <c r="R2613" s="582">
        <f t="shared" ref="R2613:R2624" si="389">M2613/G2613</f>
        <v>2400</v>
      </c>
      <c r="S2613" s="575">
        <f t="shared" si="386"/>
        <v>0</v>
      </c>
      <c r="T2613" s="593"/>
      <c r="U2613" s="591"/>
      <c r="V2613" s="589"/>
      <c r="W2613" s="593"/>
      <c r="X2613" s="592"/>
      <c r="Y2613" s="592">
        <v>1</v>
      </c>
      <c r="Z2613" s="593"/>
    </row>
    <row r="2614" spans="1:26" s="36" customFormat="1" ht="37.5" hidden="1">
      <c r="A2614" s="591">
        <f t="shared" si="383"/>
        <v>45</v>
      </c>
      <c r="B2614" s="616" t="s">
        <v>2184</v>
      </c>
      <c r="C2614" s="593" t="s">
        <v>298</v>
      </c>
      <c r="D2614" s="913">
        <f t="shared" si="381"/>
        <v>11334.655172413793</v>
      </c>
      <c r="E2614" s="602">
        <v>2022.8</v>
      </c>
      <c r="F2614" s="593" t="s">
        <v>218</v>
      </c>
      <c r="G2614" s="602">
        <v>952</v>
      </c>
      <c r="H2614" s="602">
        <v>5</v>
      </c>
      <c r="I2614" s="602">
        <v>4</v>
      </c>
      <c r="J2614" s="582">
        <v>79</v>
      </c>
      <c r="K2614" s="679" t="s">
        <v>33</v>
      </c>
      <c r="L2614" s="562">
        <f t="shared" si="387"/>
        <v>2326443</v>
      </c>
      <c r="M2614" s="585">
        <f t="shared" si="388"/>
        <v>2284800</v>
      </c>
      <c r="N2614" s="586"/>
      <c r="O2614" s="631">
        <v>21743</v>
      </c>
      <c r="P2614" s="586"/>
      <c r="Q2614" s="586">
        <v>19900</v>
      </c>
      <c r="R2614" s="582">
        <f t="shared" si="389"/>
        <v>2400</v>
      </c>
      <c r="S2614" s="575">
        <f t="shared" si="386"/>
        <v>0</v>
      </c>
      <c r="T2614" s="593"/>
      <c r="U2614" s="591"/>
      <c r="V2614" s="589"/>
      <c r="W2614" s="593"/>
      <c r="X2614" s="592"/>
      <c r="Y2614" s="592">
        <v>1</v>
      </c>
      <c r="Z2614" s="593"/>
    </row>
    <row r="2615" spans="1:26" s="36" customFormat="1" ht="37.5" hidden="1">
      <c r="A2615" s="591">
        <f t="shared" si="383"/>
        <v>46</v>
      </c>
      <c r="B2615" s="616" t="s">
        <v>2185</v>
      </c>
      <c r="C2615" s="593" t="s">
        <v>298</v>
      </c>
      <c r="D2615" s="913">
        <f t="shared" si="381"/>
        <v>11203.534482758621</v>
      </c>
      <c r="E2615" s="602">
        <v>1999.4</v>
      </c>
      <c r="F2615" s="593" t="s">
        <v>218</v>
      </c>
      <c r="G2615" s="602">
        <v>951</v>
      </c>
      <c r="H2615" s="602">
        <v>5</v>
      </c>
      <c r="I2615" s="602">
        <v>4</v>
      </c>
      <c r="J2615" s="582">
        <v>79</v>
      </c>
      <c r="K2615" s="679" t="s">
        <v>33</v>
      </c>
      <c r="L2615" s="562">
        <f t="shared" si="387"/>
        <v>2323993</v>
      </c>
      <c r="M2615" s="585">
        <f t="shared" si="388"/>
        <v>2282400</v>
      </c>
      <c r="N2615" s="586"/>
      <c r="O2615" s="631">
        <v>21693</v>
      </c>
      <c r="P2615" s="586"/>
      <c r="Q2615" s="586">
        <v>19900</v>
      </c>
      <c r="R2615" s="582">
        <f t="shared" si="389"/>
        <v>2400</v>
      </c>
      <c r="S2615" s="575">
        <f t="shared" si="386"/>
        <v>0</v>
      </c>
      <c r="T2615" s="593"/>
      <c r="U2615" s="591"/>
      <c r="V2615" s="589"/>
      <c r="W2615" s="593"/>
      <c r="X2615" s="593"/>
      <c r="Y2615" s="592">
        <v>1</v>
      </c>
      <c r="Z2615" s="593"/>
    </row>
    <row r="2616" spans="1:26" s="36" customFormat="1" ht="37.5" hidden="1">
      <c r="A2616" s="591">
        <f t="shared" si="383"/>
        <v>47</v>
      </c>
      <c r="B2616" s="592" t="s">
        <v>2186</v>
      </c>
      <c r="C2616" s="593" t="s">
        <v>298</v>
      </c>
      <c r="D2616" s="913">
        <f t="shared" si="381"/>
        <v>10725.000000000002</v>
      </c>
      <c r="E2616" s="602">
        <v>1914</v>
      </c>
      <c r="F2616" s="593" t="s">
        <v>218</v>
      </c>
      <c r="G2616" s="602">
        <v>938</v>
      </c>
      <c r="H2616" s="602">
        <v>5</v>
      </c>
      <c r="I2616" s="602">
        <v>4</v>
      </c>
      <c r="J2616" s="599">
        <v>50</v>
      </c>
      <c r="K2616" s="556" t="s">
        <v>33</v>
      </c>
      <c r="L2616" s="562">
        <f t="shared" si="387"/>
        <v>2292611</v>
      </c>
      <c r="M2616" s="585">
        <f t="shared" si="388"/>
        <v>2251200</v>
      </c>
      <c r="N2616" s="586"/>
      <c r="O2616" s="631">
        <v>21511</v>
      </c>
      <c r="P2616" s="586"/>
      <c r="Q2616" s="586">
        <v>19900</v>
      </c>
      <c r="R2616" s="582">
        <f t="shared" si="389"/>
        <v>2400</v>
      </c>
      <c r="S2616" s="575">
        <f t="shared" si="386"/>
        <v>0</v>
      </c>
      <c r="T2616" s="593"/>
      <c r="U2616" s="591"/>
      <c r="V2616" s="589"/>
      <c r="W2616" s="593"/>
      <c r="X2616" s="593"/>
      <c r="Y2616" s="592">
        <v>1</v>
      </c>
      <c r="Z2616" s="593"/>
    </row>
    <row r="2617" spans="1:26" s="36" customFormat="1" ht="37.5" hidden="1">
      <c r="A2617" s="591">
        <f t="shared" si="383"/>
        <v>48</v>
      </c>
      <c r="B2617" s="616" t="s">
        <v>2187</v>
      </c>
      <c r="C2617" s="593" t="s">
        <v>298</v>
      </c>
      <c r="D2617" s="913">
        <f t="shared" si="381"/>
        <v>11266.293103448275</v>
      </c>
      <c r="E2617" s="602">
        <v>2010.6</v>
      </c>
      <c r="F2617" s="593" t="s">
        <v>218</v>
      </c>
      <c r="G2617" s="602">
        <v>954</v>
      </c>
      <c r="H2617" s="602">
        <v>5</v>
      </c>
      <c r="I2617" s="602">
        <v>4</v>
      </c>
      <c r="J2617" s="582">
        <v>64</v>
      </c>
      <c r="K2617" s="679" t="s">
        <v>33</v>
      </c>
      <c r="L2617" s="562">
        <f t="shared" si="387"/>
        <v>2331217</v>
      </c>
      <c r="M2617" s="585">
        <f t="shared" si="388"/>
        <v>2289600</v>
      </c>
      <c r="N2617" s="586"/>
      <c r="O2617" s="631">
        <v>21717</v>
      </c>
      <c r="P2617" s="586"/>
      <c r="Q2617" s="586">
        <v>19900</v>
      </c>
      <c r="R2617" s="582">
        <f t="shared" si="389"/>
        <v>2400</v>
      </c>
      <c r="S2617" s="575">
        <f t="shared" si="386"/>
        <v>0</v>
      </c>
      <c r="T2617" s="593"/>
      <c r="U2617" s="591"/>
      <c r="V2617" s="589"/>
      <c r="W2617" s="593"/>
      <c r="X2617" s="593"/>
      <c r="Y2617" s="592">
        <v>1</v>
      </c>
      <c r="Z2617" s="593"/>
    </row>
    <row r="2618" spans="1:26" s="36" customFormat="1" ht="37.5" hidden="1">
      <c r="A2618" s="591">
        <f t="shared" si="383"/>
        <v>49</v>
      </c>
      <c r="B2618" s="592" t="s">
        <v>2188</v>
      </c>
      <c r="C2618" s="593" t="s">
        <v>298</v>
      </c>
      <c r="D2618" s="913">
        <f t="shared" si="381"/>
        <v>10013.922413793103</v>
      </c>
      <c r="E2618" s="602">
        <v>1787.1</v>
      </c>
      <c r="F2618" s="593" t="s">
        <v>218</v>
      </c>
      <c r="G2618" s="602">
        <v>1050</v>
      </c>
      <c r="H2618" s="602">
        <v>5</v>
      </c>
      <c r="I2618" s="602">
        <v>4</v>
      </c>
      <c r="J2618" s="582">
        <v>70</v>
      </c>
      <c r="K2618" s="772" t="s">
        <v>33</v>
      </c>
      <c r="L2618" s="562">
        <f t="shared" si="387"/>
        <v>2561141</v>
      </c>
      <c r="M2618" s="585">
        <f t="shared" si="388"/>
        <v>2520000</v>
      </c>
      <c r="N2618" s="586"/>
      <c r="O2618" s="631">
        <v>21241</v>
      </c>
      <c r="P2618" s="586"/>
      <c r="Q2618" s="586">
        <v>19900</v>
      </c>
      <c r="R2618" s="582">
        <f t="shared" si="389"/>
        <v>2400</v>
      </c>
      <c r="S2618" s="575">
        <f t="shared" si="386"/>
        <v>0</v>
      </c>
      <c r="T2618" s="593"/>
      <c r="U2618" s="591"/>
      <c r="V2618" s="589"/>
      <c r="W2618" s="593"/>
      <c r="X2618" s="593"/>
      <c r="Y2618" s="592">
        <v>1</v>
      </c>
      <c r="Z2618" s="593"/>
    </row>
    <row r="2619" spans="1:26" s="28" customFormat="1" ht="37.5" hidden="1">
      <c r="A2619" s="591">
        <f t="shared" si="383"/>
        <v>50</v>
      </c>
      <c r="B2619" s="592" t="s">
        <v>2190</v>
      </c>
      <c r="C2619" s="700" t="s">
        <v>298</v>
      </c>
      <c r="D2619" s="902">
        <f t="shared" si="381"/>
        <v>19231.034482758623</v>
      </c>
      <c r="E2619" s="593">
        <v>3432</v>
      </c>
      <c r="F2619" s="582" t="s">
        <v>218</v>
      </c>
      <c r="G2619" s="786">
        <v>1377</v>
      </c>
      <c r="H2619" s="593">
        <v>5</v>
      </c>
      <c r="I2619" s="593">
        <v>6</v>
      </c>
      <c r="J2619" s="593">
        <v>60</v>
      </c>
      <c r="K2619" s="903" t="s">
        <v>33</v>
      </c>
      <c r="L2619" s="584">
        <f t="shared" si="387"/>
        <v>3209563</v>
      </c>
      <c r="M2619" s="585">
        <v>3167100</v>
      </c>
      <c r="N2619" s="586"/>
      <c r="O2619" s="631">
        <v>22563</v>
      </c>
      <c r="P2619" s="586"/>
      <c r="Q2619" s="586">
        <v>19900</v>
      </c>
      <c r="R2619" s="582">
        <f t="shared" si="389"/>
        <v>2300</v>
      </c>
      <c r="S2619" s="575">
        <f t="shared" si="386"/>
        <v>0</v>
      </c>
      <c r="T2619" s="592"/>
      <c r="U2619" s="591"/>
      <c r="V2619" s="589"/>
      <c r="W2619" s="592"/>
      <c r="X2619" s="592"/>
      <c r="Y2619" s="592">
        <v>1</v>
      </c>
      <c r="Z2619" s="592"/>
    </row>
    <row r="2620" spans="1:26" s="36" customFormat="1" ht="37.5" hidden="1">
      <c r="A2620" s="591">
        <f t="shared" si="383"/>
        <v>51</v>
      </c>
      <c r="B2620" s="592" t="s">
        <v>2191</v>
      </c>
      <c r="C2620" s="593" t="s">
        <v>298</v>
      </c>
      <c r="D2620" s="913">
        <f t="shared" si="381"/>
        <v>18525</v>
      </c>
      <c r="E2620" s="602">
        <v>3306</v>
      </c>
      <c r="F2620" s="593" t="s">
        <v>218</v>
      </c>
      <c r="G2620" s="602">
        <v>1240</v>
      </c>
      <c r="H2620" s="602">
        <v>5</v>
      </c>
      <c r="I2620" s="602">
        <v>6</v>
      </c>
      <c r="J2620" s="582">
        <v>100</v>
      </c>
      <c r="K2620" s="606" t="s">
        <v>33</v>
      </c>
      <c r="L2620" s="562">
        <f t="shared" si="387"/>
        <v>3020378</v>
      </c>
      <c r="M2620" s="585">
        <f>G2620*2400</f>
        <v>2976000</v>
      </c>
      <c r="N2620" s="586"/>
      <c r="O2620" s="631">
        <v>24478</v>
      </c>
      <c r="P2620" s="586"/>
      <c r="Q2620" s="586">
        <v>19900</v>
      </c>
      <c r="R2620" s="582">
        <f t="shared" si="389"/>
        <v>2400</v>
      </c>
      <c r="S2620" s="575">
        <f t="shared" si="386"/>
        <v>0</v>
      </c>
      <c r="T2620" s="593"/>
      <c r="U2620" s="591"/>
      <c r="V2620" s="589"/>
      <c r="W2620" s="593"/>
      <c r="X2620" s="593"/>
      <c r="Y2620" s="592">
        <v>1</v>
      </c>
      <c r="Z2620" s="593"/>
    </row>
    <row r="2621" spans="1:26" s="36" customFormat="1" ht="37.5" hidden="1">
      <c r="A2621" s="591">
        <f t="shared" si="383"/>
        <v>52</v>
      </c>
      <c r="B2621" s="592" t="s">
        <v>2192</v>
      </c>
      <c r="C2621" s="593" t="s">
        <v>298</v>
      </c>
      <c r="D2621" s="913">
        <f t="shared" si="381"/>
        <v>6701.7241379310344</v>
      </c>
      <c r="E2621" s="602">
        <v>1196</v>
      </c>
      <c r="F2621" s="593" t="s">
        <v>218</v>
      </c>
      <c r="G2621" s="602">
        <v>442</v>
      </c>
      <c r="H2621" s="602">
        <v>5</v>
      </c>
      <c r="I2621" s="602">
        <v>2</v>
      </c>
      <c r="J2621" s="582">
        <v>20</v>
      </c>
      <c r="K2621" s="606" t="s">
        <v>33</v>
      </c>
      <c r="L2621" s="562">
        <f t="shared" si="387"/>
        <v>1100681</v>
      </c>
      <c r="M2621" s="585">
        <f>G2621*2400</f>
        <v>1060800</v>
      </c>
      <c r="N2621" s="586"/>
      <c r="O2621" s="631">
        <v>19981</v>
      </c>
      <c r="P2621" s="586"/>
      <c r="Q2621" s="586">
        <v>19900</v>
      </c>
      <c r="R2621" s="582">
        <f t="shared" si="389"/>
        <v>2400</v>
      </c>
      <c r="S2621" s="575">
        <f t="shared" si="386"/>
        <v>0</v>
      </c>
      <c r="T2621" s="593"/>
      <c r="U2621" s="591"/>
      <c r="V2621" s="589"/>
      <c r="W2621" s="593"/>
      <c r="X2621" s="593"/>
      <c r="Y2621" s="592">
        <v>1</v>
      </c>
      <c r="Z2621" s="593"/>
    </row>
    <row r="2622" spans="1:26" s="36" customFormat="1" ht="37.5" hidden="1">
      <c r="A2622" s="591">
        <f t="shared" si="383"/>
        <v>53</v>
      </c>
      <c r="B2622" s="592" t="s">
        <v>2193</v>
      </c>
      <c r="C2622" s="593" t="s">
        <v>298</v>
      </c>
      <c r="D2622" s="913">
        <f t="shared" si="381"/>
        <v>10624.137931034484</v>
      </c>
      <c r="E2622" s="602">
        <v>1896</v>
      </c>
      <c r="F2622" s="593" t="s">
        <v>218</v>
      </c>
      <c r="G2622" s="602">
        <v>1042</v>
      </c>
      <c r="H2622" s="602">
        <v>5</v>
      </c>
      <c r="I2622" s="602">
        <v>2</v>
      </c>
      <c r="J2622" s="582">
        <v>42</v>
      </c>
      <c r="K2622" s="606" t="s">
        <v>33</v>
      </c>
      <c r="L2622" s="562">
        <f t="shared" si="387"/>
        <v>2542173</v>
      </c>
      <c r="M2622" s="585">
        <f>G2622*2400</f>
        <v>2500800</v>
      </c>
      <c r="N2622" s="586"/>
      <c r="O2622" s="631">
        <v>21473</v>
      </c>
      <c r="P2622" s="586"/>
      <c r="Q2622" s="586">
        <v>19900</v>
      </c>
      <c r="R2622" s="582">
        <f t="shared" si="389"/>
        <v>2400</v>
      </c>
      <c r="S2622" s="575">
        <f t="shared" si="386"/>
        <v>0</v>
      </c>
      <c r="T2622" s="593"/>
      <c r="U2622" s="591"/>
      <c r="V2622" s="589"/>
      <c r="W2622" s="593"/>
      <c r="X2622" s="593"/>
      <c r="Y2622" s="592">
        <v>1</v>
      </c>
      <c r="Z2622" s="593"/>
    </row>
    <row r="2623" spans="1:26" s="36" customFormat="1" ht="37.5" hidden="1">
      <c r="A2623" s="591">
        <f t="shared" si="383"/>
        <v>54</v>
      </c>
      <c r="B2623" s="592" t="s">
        <v>2194</v>
      </c>
      <c r="C2623" s="593" t="s">
        <v>298</v>
      </c>
      <c r="D2623" s="913">
        <f t="shared" si="381"/>
        <v>2426.2931034482758</v>
      </c>
      <c r="E2623" s="602">
        <v>433</v>
      </c>
      <c r="F2623" s="593" t="s">
        <v>251</v>
      </c>
      <c r="G2623" s="602">
        <v>209</v>
      </c>
      <c r="H2623" s="602">
        <v>3</v>
      </c>
      <c r="I2623" s="602">
        <v>1</v>
      </c>
      <c r="J2623" s="582">
        <v>12</v>
      </c>
      <c r="K2623" s="590" t="s">
        <v>33</v>
      </c>
      <c r="L2623" s="562">
        <f t="shared" si="387"/>
        <v>529593.61</v>
      </c>
      <c r="M2623" s="585">
        <f>G2623*2400</f>
        <v>501600</v>
      </c>
      <c r="N2623" s="586"/>
      <c r="O2623" s="631">
        <v>20514</v>
      </c>
      <c r="P2623" s="586"/>
      <c r="Q2623" s="586">
        <v>7479.61</v>
      </c>
      <c r="R2623" s="582">
        <f t="shared" si="389"/>
        <v>2400</v>
      </c>
      <c r="S2623" s="575">
        <f t="shared" si="386"/>
        <v>-1.3642420526593924E-11</v>
      </c>
      <c r="T2623" s="593"/>
      <c r="U2623" s="591"/>
      <c r="V2623" s="589"/>
      <c r="W2623" s="593"/>
      <c r="X2623" s="592">
        <v>1</v>
      </c>
      <c r="Y2623" s="592">
        <v>1</v>
      </c>
      <c r="Z2623" s="593"/>
    </row>
    <row r="2624" spans="1:26" s="36" customFormat="1" ht="37.5" hidden="1">
      <c r="A2624" s="591">
        <f t="shared" si="383"/>
        <v>55</v>
      </c>
      <c r="B2624" s="592" t="s">
        <v>2195</v>
      </c>
      <c r="C2624" s="593" t="s">
        <v>298</v>
      </c>
      <c r="D2624" s="602">
        <f t="shared" si="381"/>
        <v>20844.827586206899</v>
      </c>
      <c r="E2624" s="602">
        <v>3720</v>
      </c>
      <c r="F2624" s="593" t="s">
        <v>218</v>
      </c>
      <c r="G2624" s="602">
        <v>638</v>
      </c>
      <c r="H2624" s="602">
        <v>9</v>
      </c>
      <c r="I2624" s="602">
        <v>2</v>
      </c>
      <c r="J2624" s="582">
        <v>72</v>
      </c>
      <c r="K2624" s="590" t="s">
        <v>33</v>
      </c>
      <c r="L2624" s="562">
        <f t="shared" si="387"/>
        <v>1576832</v>
      </c>
      <c r="M2624" s="585">
        <f>G2624*2400</f>
        <v>1531200</v>
      </c>
      <c r="N2624" s="586"/>
      <c r="O2624" s="631">
        <v>25732</v>
      </c>
      <c r="P2624" s="586"/>
      <c r="Q2624" s="586">
        <v>19900</v>
      </c>
      <c r="R2624" s="582">
        <f t="shared" si="389"/>
        <v>2400</v>
      </c>
      <c r="S2624" s="575">
        <f t="shared" si="386"/>
        <v>0</v>
      </c>
      <c r="T2624" s="593"/>
      <c r="U2624" s="591"/>
      <c r="V2624" s="589"/>
      <c r="W2624" s="593"/>
      <c r="X2624" s="592"/>
      <c r="Y2624" s="592">
        <v>1</v>
      </c>
      <c r="Z2624" s="593"/>
    </row>
    <row r="2625" spans="1:26" s="36" customFormat="1" ht="37.5" hidden="1">
      <c r="A2625" s="591">
        <f t="shared" si="383"/>
        <v>56</v>
      </c>
      <c r="B2625" s="616" t="s">
        <v>2196</v>
      </c>
      <c r="C2625" s="593" t="s">
        <v>298</v>
      </c>
      <c r="D2625" s="913">
        <f t="shared" si="381"/>
        <v>16406.896551724138</v>
      </c>
      <c r="E2625" s="602">
        <v>2928</v>
      </c>
      <c r="F2625" s="593" t="s">
        <v>218</v>
      </c>
      <c r="G2625" s="602">
        <v>952</v>
      </c>
      <c r="H2625" s="602">
        <v>5</v>
      </c>
      <c r="I2625" s="602">
        <v>4</v>
      </c>
      <c r="J2625" s="582">
        <v>70</v>
      </c>
      <c r="K2625" s="679" t="s">
        <v>224</v>
      </c>
      <c r="L2625" s="562">
        <f t="shared" si="387"/>
        <v>1585697.55</v>
      </c>
      <c r="M2625" s="585">
        <f>J2625*22000</f>
        <v>1540000</v>
      </c>
      <c r="N2625" s="575">
        <v>34464</v>
      </c>
      <c r="O2625" s="565"/>
      <c r="P2625" s="564"/>
      <c r="Q2625" s="586">
        <v>11233.55</v>
      </c>
      <c r="R2625" s="561">
        <f>M2625/J2625</f>
        <v>22000</v>
      </c>
      <c r="S2625" s="575">
        <f t="shared" si="386"/>
        <v>4.7293724492192268E-11</v>
      </c>
      <c r="T2625" s="593"/>
      <c r="U2625" s="591"/>
      <c r="V2625" s="589"/>
      <c r="W2625" s="592"/>
      <c r="X2625" s="593"/>
      <c r="Y2625" s="592">
        <v>1</v>
      </c>
      <c r="Z2625" s="593"/>
    </row>
    <row r="2626" spans="1:26" s="36" customFormat="1" ht="37.5" hidden="1">
      <c r="A2626" s="591">
        <f t="shared" si="383"/>
        <v>57</v>
      </c>
      <c r="B2626" s="592" t="s">
        <v>2197</v>
      </c>
      <c r="C2626" s="593" t="s">
        <v>298</v>
      </c>
      <c r="D2626" s="913">
        <f t="shared" si="381"/>
        <v>11072.413793103449</v>
      </c>
      <c r="E2626" s="602">
        <v>1976</v>
      </c>
      <c r="F2626" s="593" t="s">
        <v>218</v>
      </c>
      <c r="G2626" s="602">
        <v>757</v>
      </c>
      <c r="H2626" s="602">
        <v>5</v>
      </c>
      <c r="I2626" s="602">
        <v>4</v>
      </c>
      <c r="J2626" s="582">
        <v>60</v>
      </c>
      <c r="K2626" s="606" t="s">
        <v>33</v>
      </c>
      <c r="L2626" s="562">
        <f t="shared" si="387"/>
        <v>1858343</v>
      </c>
      <c r="M2626" s="585">
        <f>G2626*2400</f>
        <v>1816800</v>
      </c>
      <c r="N2626" s="586"/>
      <c r="O2626" s="631">
        <v>21643</v>
      </c>
      <c r="P2626" s="586"/>
      <c r="Q2626" s="586">
        <v>19900</v>
      </c>
      <c r="R2626" s="582">
        <f>M2626/G2626</f>
        <v>2400</v>
      </c>
      <c r="S2626" s="575">
        <f t="shared" si="386"/>
        <v>0</v>
      </c>
      <c r="T2626" s="593"/>
      <c r="U2626" s="591"/>
      <c r="V2626" s="589"/>
      <c r="W2626" s="593"/>
      <c r="X2626" s="592"/>
      <c r="Y2626" s="592">
        <v>1</v>
      </c>
      <c r="Z2626" s="593"/>
    </row>
    <row r="2627" spans="1:26" s="36" customFormat="1" ht="37.5" hidden="1">
      <c r="A2627" s="591">
        <f t="shared" si="383"/>
        <v>58</v>
      </c>
      <c r="B2627" s="616" t="s">
        <v>2198</v>
      </c>
      <c r="C2627" s="593" t="s">
        <v>298</v>
      </c>
      <c r="D2627" s="602">
        <f t="shared" si="381"/>
        <v>7682.3275862068967</v>
      </c>
      <c r="E2627" s="602">
        <v>1371</v>
      </c>
      <c r="F2627" s="593" t="s">
        <v>218</v>
      </c>
      <c r="G2627" s="602">
        <v>940</v>
      </c>
      <c r="H2627" s="602">
        <v>5</v>
      </c>
      <c r="I2627" s="602">
        <v>4</v>
      </c>
      <c r="J2627" s="582">
        <v>70</v>
      </c>
      <c r="K2627" s="606" t="s">
        <v>226</v>
      </c>
      <c r="L2627" s="562">
        <f t="shared" si="387"/>
        <v>3484962</v>
      </c>
      <c r="M2627" s="585">
        <v>3427500</v>
      </c>
      <c r="N2627" s="630">
        <v>27612</v>
      </c>
      <c r="O2627" s="587"/>
      <c r="P2627" s="586"/>
      <c r="Q2627" s="586">
        <v>29850</v>
      </c>
      <c r="R2627" s="599">
        <f>M2627/E2627</f>
        <v>2500</v>
      </c>
      <c r="S2627" s="575">
        <f t="shared" si="386"/>
        <v>0</v>
      </c>
      <c r="T2627" s="593"/>
      <c r="U2627" s="591"/>
      <c r="V2627" s="589"/>
      <c r="W2627" s="592"/>
      <c r="X2627" s="593"/>
      <c r="Y2627" s="592">
        <v>1</v>
      </c>
      <c r="Z2627" s="593"/>
    </row>
    <row r="2628" spans="1:26" s="36" customFormat="1" ht="37.5" hidden="1">
      <c r="A2628" s="591">
        <f t="shared" si="383"/>
        <v>59</v>
      </c>
      <c r="B2628" s="592" t="s">
        <v>2201</v>
      </c>
      <c r="C2628" s="593" t="s">
        <v>298</v>
      </c>
      <c r="D2628" s="913">
        <f t="shared" si="381"/>
        <v>11072.413793103449</v>
      </c>
      <c r="E2628" s="602">
        <v>1976</v>
      </c>
      <c r="F2628" s="593" t="s">
        <v>218</v>
      </c>
      <c r="G2628" s="602">
        <v>900</v>
      </c>
      <c r="H2628" s="602">
        <v>5</v>
      </c>
      <c r="I2628" s="602">
        <v>4</v>
      </c>
      <c r="J2628" s="582">
        <v>70</v>
      </c>
      <c r="K2628" s="590" t="s">
        <v>33</v>
      </c>
      <c r="L2628" s="562">
        <f t="shared" si="387"/>
        <v>2201543</v>
      </c>
      <c r="M2628" s="585">
        <f>G2628*2400</f>
        <v>2160000</v>
      </c>
      <c r="N2628" s="586"/>
      <c r="O2628" s="631">
        <v>21643</v>
      </c>
      <c r="P2628" s="586"/>
      <c r="Q2628" s="586">
        <v>19900</v>
      </c>
      <c r="R2628" s="582">
        <f t="shared" ref="R2628:R2637" si="390">M2628/G2628</f>
        <v>2400</v>
      </c>
      <c r="S2628" s="575">
        <f t="shared" si="386"/>
        <v>0</v>
      </c>
      <c r="T2628" s="593"/>
      <c r="U2628" s="591"/>
      <c r="V2628" s="589"/>
      <c r="W2628" s="593"/>
      <c r="X2628" s="593"/>
      <c r="Y2628" s="592">
        <v>1</v>
      </c>
      <c r="Z2628" s="593"/>
    </row>
    <row r="2629" spans="1:26" s="36" customFormat="1" ht="37.5" hidden="1">
      <c r="A2629" s="591">
        <f t="shared" si="383"/>
        <v>60</v>
      </c>
      <c r="B2629" s="592" t="s">
        <v>2202</v>
      </c>
      <c r="C2629" s="593" t="s">
        <v>298</v>
      </c>
      <c r="D2629" s="913">
        <f t="shared" si="381"/>
        <v>71275.862068965522</v>
      </c>
      <c r="E2629" s="602">
        <v>12720</v>
      </c>
      <c r="F2629" s="593" t="s">
        <v>218</v>
      </c>
      <c r="G2629" s="602">
        <v>2014</v>
      </c>
      <c r="H2629" s="602">
        <v>9</v>
      </c>
      <c r="I2629" s="602">
        <v>8</v>
      </c>
      <c r="J2629" s="582">
        <v>208</v>
      </c>
      <c r="K2629" s="606" t="s">
        <v>33</v>
      </c>
      <c r="L2629" s="562">
        <f t="shared" si="387"/>
        <v>4891135</v>
      </c>
      <c r="M2629" s="585">
        <f>G2629*2400</f>
        <v>4833600</v>
      </c>
      <c r="N2629" s="586"/>
      <c r="O2629" s="631">
        <v>37635</v>
      </c>
      <c r="P2629" s="586"/>
      <c r="Q2629" s="586">
        <v>19900</v>
      </c>
      <c r="R2629" s="582">
        <f t="shared" si="390"/>
        <v>2400</v>
      </c>
      <c r="S2629" s="575">
        <f t="shared" si="386"/>
        <v>0</v>
      </c>
      <c r="T2629" s="593"/>
      <c r="U2629" s="591"/>
      <c r="V2629" s="589"/>
      <c r="W2629" s="593"/>
      <c r="X2629" s="593"/>
      <c r="Y2629" s="592">
        <v>1</v>
      </c>
      <c r="Z2629" s="593"/>
    </row>
    <row r="2630" spans="1:26" s="36" customFormat="1" hidden="1">
      <c r="A2630" s="591">
        <f t="shared" si="383"/>
        <v>61</v>
      </c>
      <c r="B2630" s="592" t="s">
        <v>2203</v>
      </c>
      <c r="C2630" s="593" t="s">
        <v>217</v>
      </c>
      <c r="D2630" s="602">
        <f t="shared" si="381"/>
        <v>20844.827586206899</v>
      </c>
      <c r="E2630" s="602">
        <v>3720</v>
      </c>
      <c r="F2630" s="593" t="s">
        <v>218</v>
      </c>
      <c r="G2630" s="602">
        <v>638</v>
      </c>
      <c r="H2630" s="602">
        <v>9</v>
      </c>
      <c r="I2630" s="602">
        <v>2</v>
      </c>
      <c r="J2630" s="582">
        <v>72</v>
      </c>
      <c r="K2630" s="590" t="s">
        <v>33</v>
      </c>
      <c r="L2630" s="562">
        <f t="shared" si="387"/>
        <v>1576832</v>
      </c>
      <c r="M2630" s="585">
        <f>G2630*2400</f>
        <v>1531200</v>
      </c>
      <c r="N2630" s="586"/>
      <c r="O2630" s="631">
        <v>25732</v>
      </c>
      <c r="P2630" s="586"/>
      <c r="Q2630" s="586">
        <v>19900</v>
      </c>
      <c r="R2630" s="582">
        <f t="shared" si="390"/>
        <v>2400</v>
      </c>
      <c r="S2630" s="575">
        <f t="shared" si="386"/>
        <v>0</v>
      </c>
      <c r="T2630" s="593"/>
      <c r="U2630" s="591"/>
      <c r="V2630" s="589"/>
      <c r="W2630" s="593"/>
      <c r="X2630" s="592">
        <v>1</v>
      </c>
      <c r="Y2630" s="592">
        <v>1</v>
      </c>
      <c r="Z2630" s="593"/>
    </row>
    <row r="2631" spans="1:26" s="28" customFormat="1" ht="37.5" hidden="1">
      <c r="A2631" s="591">
        <f t="shared" si="383"/>
        <v>62</v>
      </c>
      <c r="B2631" s="909" t="s">
        <v>2204</v>
      </c>
      <c r="C2631" s="593" t="s">
        <v>298</v>
      </c>
      <c r="D2631" s="602">
        <f t="shared" si="381"/>
        <v>5211.2068965517246</v>
      </c>
      <c r="E2631" s="602">
        <v>930</v>
      </c>
      <c r="F2631" s="602" t="s">
        <v>251</v>
      </c>
      <c r="G2631" s="602">
        <v>675.2</v>
      </c>
      <c r="H2631" s="602">
        <v>2</v>
      </c>
      <c r="I2631" s="602">
        <v>1</v>
      </c>
      <c r="J2631" s="602">
        <v>27</v>
      </c>
      <c r="K2631" s="679" t="s">
        <v>33</v>
      </c>
      <c r="L2631" s="584">
        <f t="shared" si="387"/>
        <v>1949810.1200000003</v>
      </c>
      <c r="M2631" s="585">
        <v>1890560.0000000002</v>
      </c>
      <c r="N2631" s="630">
        <v>33861</v>
      </c>
      <c r="O2631" s="587"/>
      <c r="P2631" s="586"/>
      <c r="Q2631" s="586">
        <v>25389.119999999999</v>
      </c>
      <c r="R2631" s="582">
        <f t="shared" si="390"/>
        <v>2800</v>
      </c>
      <c r="S2631" s="575">
        <f t="shared" si="386"/>
        <v>1.127773430198431E-10</v>
      </c>
      <c r="T2631" s="592"/>
      <c r="U2631" s="591"/>
      <c r="V2631" s="589"/>
      <c r="W2631" s="592"/>
      <c r="X2631" s="592"/>
      <c r="Y2631" s="592">
        <v>1</v>
      </c>
      <c r="Z2631" s="592"/>
    </row>
    <row r="2632" spans="1:26" s="36" customFormat="1" ht="37.5" hidden="1">
      <c r="A2632" s="591">
        <f t="shared" si="383"/>
        <v>63</v>
      </c>
      <c r="B2632" s="592" t="s">
        <v>2205</v>
      </c>
      <c r="C2632" s="593" t="s">
        <v>298</v>
      </c>
      <c r="D2632" s="602">
        <f t="shared" si="381"/>
        <v>13336.206896551725</v>
      </c>
      <c r="E2632" s="602">
        <v>2380</v>
      </c>
      <c r="F2632" s="593" t="s">
        <v>218</v>
      </c>
      <c r="G2632" s="602">
        <v>928</v>
      </c>
      <c r="H2632" s="602">
        <v>5</v>
      </c>
      <c r="I2632" s="602">
        <v>4</v>
      </c>
      <c r="J2632" s="582">
        <v>56</v>
      </c>
      <c r="K2632" s="590" t="s">
        <v>33</v>
      </c>
      <c r="L2632" s="562">
        <f t="shared" si="387"/>
        <v>2268942</v>
      </c>
      <c r="M2632" s="585">
        <f>G2632*2400</f>
        <v>2227200</v>
      </c>
      <c r="N2632" s="586"/>
      <c r="O2632" s="631">
        <v>21842</v>
      </c>
      <c r="P2632" s="586"/>
      <c r="Q2632" s="586">
        <v>19900</v>
      </c>
      <c r="R2632" s="582">
        <f t="shared" si="390"/>
        <v>2400</v>
      </c>
      <c r="S2632" s="575">
        <f t="shared" ref="S2632:S2663" si="391">L2632-M2632-N2632-O2632-P2632-Q2632</f>
        <v>0</v>
      </c>
      <c r="T2632" s="593"/>
      <c r="U2632" s="591"/>
      <c r="V2632" s="589"/>
      <c r="W2632" s="593"/>
      <c r="X2632" s="592"/>
      <c r="Y2632" s="592">
        <v>1</v>
      </c>
      <c r="Z2632" s="593"/>
    </row>
    <row r="2633" spans="1:26" s="36" customFormat="1" ht="37.5" hidden="1">
      <c r="A2633" s="591">
        <f t="shared" si="383"/>
        <v>64</v>
      </c>
      <c r="B2633" s="592" t="s">
        <v>2206</v>
      </c>
      <c r="C2633" s="593" t="s">
        <v>298</v>
      </c>
      <c r="D2633" s="602">
        <f t="shared" si="381"/>
        <v>11072.413793103449</v>
      </c>
      <c r="E2633" s="602">
        <v>1976</v>
      </c>
      <c r="F2633" s="593" t="s">
        <v>218</v>
      </c>
      <c r="G2633" s="602">
        <v>941</v>
      </c>
      <c r="H2633" s="602">
        <v>5</v>
      </c>
      <c r="I2633" s="602">
        <v>4</v>
      </c>
      <c r="J2633" s="582">
        <v>56</v>
      </c>
      <c r="K2633" s="590" t="s">
        <v>33</v>
      </c>
      <c r="L2633" s="562">
        <f t="shared" si="387"/>
        <v>2299943</v>
      </c>
      <c r="M2633" s="585">
        <f>G2633*2400</f>
        <v>2258400</v>
      </c>
      <c r="N2633" s="586"/>
      <c r="O2633" s="631">
        <v>21643</v>
      </c>
      <c r="P2633" s="586"/>
      <c r="Q2633" s="586">
        <v>19900</v>
      </c>
      <c r="R2633" s="582">
        <f t="shared" si="390"/>
        <v>2400</v>
      </c>
      <c r="S2633" s="575">
        <f t="shared" si="391"/>
        <v>0</v>
      </c>
      <c r="T2633" s="593"/>
      <c r="U2633" s="591"/>
      <c r="V2633" s="589"/>
      <c r="W2633" s="593"/>
      <c r="X2633" s="592"/>
      <c r="Y2633" s="592">
        <v>1</v>
      </c>
      <c r="Z2633" s="593"/>
    </row>
    <row r="2634" spans="1:26" s="28" customFormat="1" ht="37.5" hidden="1">
      <c r="A2634" s="591">
        <f t="shared" si="383"/>
        <v>65</v>
      </c>
      <c r="B2634" s="592" t="s">
        <v>2207</v>
      </c>
      <c r="C2634" s="700" t="s">
        <v>298</v>
      </c>
      <c r="D2634" s="902">
        <f>E2634/1.16/2*13</f>
        <v>12904.741379310346</v>
      </c>
      <c r="E2634" s="593">
        <v>2303</v>
      </c>
      <c r="F2634" s="582" t="s">
        <v>218</v>
      </c>
      <c r="G2634" s="786">
        <v>1147</v>
      </c>
      <c r="H2634" s="593">
        <v>4</v>
      </c>
      <c r="I2634" s="593">
        <v>4</v>
      </c>
      <c r="J2634" s="593">
        <v>64</v>
      </c>
      <c r="K2634" s="903" t="s">
        <v>33</v>
      </c>
      <c r="L2634" s="584">
        <f t="shared" si="387"/>
        <v>2678172</v>
      </c>
      <c r="M2634" s="585">
        <v>2638100</v>
      </c>
      <c r="N2634" s="586"/>
      <c r="O2634" s="631">
        <v>20172</v>
      </c>
      <c r="P2634" s="586"/>
      <c r="Q2634" s="586">
        <v>19900</v>
      </c>
      <c r="R2634" s="582">
        <f t="shared" si="390"/>
        <v>2300</v>
      </c>
      <c r="S2634" s="575">
        <f t="shared" si="391"/>
        <v>0</v>
      </c>
      <c r="T2634" s="592"/>
      <c r="U2634" s="591"/>
      <c r="V2634" s="589"/>
      <c r="W2634" s="592"/>
      <c r="X2634" s="592"/>
      <c r="Y2634" s="592">
        <v>1</v>
      </c>
      <c r="Z2634" s="592"/>
    </row>
    <row r="2635" spans="1:26" s="36" customFormat="1" ht="37.5" hidden="1">
      <c r="A2635" s="591">
        <f t="shared" si="383"/>
        <v>66</v>
      </c>
      <c r="B2635" s="592" t="s">
        <v>2208</v>
      </c>
      <c r="C2635" s="593" t="s">
        <v>298</v>
      </c>
      <c r="D2635" s="913">
        <f t="shared" si="381"/>
        <v>18317.672413793105</v>
      </c>
      <c r="E2635" s="602">
        <v>3269</v>
      </c>
      <c r="F2635" s="593" t="s">
        <v>218</v>
      </c>
      <c r="G2635" s="602">
        <v>1400</v>
      </c>
      <c r="H2635" s="602">
        <v>5</v>
      </c>
      <c r="I2635" s="602">
        <v>6</v>
      </c>
      <c r="J2635" s="582">
        <v>90</v>
      </c>
      <c r="K2635" s="590" t="s">
        <v>33</v>
      </c>
      <c r="L2635" s="562">
        <f t="shared" si="387"/>
        <v>3404299</v>
      </c>
      <c r="M2635" s="585">
        <f>G2635*2400</f>
        <v>3360000</v>
      </c>
      <c r="N2635" s="586"/>
      <c r="O2635" s="631">
        <v>24399</v>
      </c>
      <c r="P2635" s="586"/>
      <c r="Q2635" s="586">
        <v>19900</v>
      </c>
      <c r="R2635" s="582">
        <f t="shared" si="390"/>
        <v>2400</v>
      </c>
      <c r="S2635" s="575">
        <f t="shared" si="391"/>
        <v>0</v>
      </c>
      <c r="T2635" s="593"/>
      <c r="U2635" s="591"/>
      <c r="V2635" s="589"/>
      <c r="W2635" s="593"/>
      <c r="X2635" s="593"/>
      <c r="Y2635" s="592">
        <v>1</v>
      </c>
      <c r="Z2635" s="593"/>
    </row>
    <row r="2636" spans="1:26" s="36" customFormat="1" ht="37.5" hidden="1">
      <c r="A2636" s="591">
        <f t="shared" si="383"/>
        <v>67</v>
      </c>
      <c r="B2636" s="592" t="s">
        <v>2209</v>
      </c>
      <c r="C2636" s="593" t="s">
        <v>298</v>
      </c>
      <c r="D2636" s="913">
        <f t="shared" si="381"/>
        <v>3558.1896551724144</v>
      </c>
      <c r="E2636" s="602">
        <v>635</v>
      </c>
      <c r="F2636" s="593" t="s">
        <v>218</v>
      </c>
      <c r="G2636" s="602">
        <v>536</v>
      </c>
      <c r="H2636" s="602">
        <v>2</v>
      </c>
      <c r="I2636" s="602">
        <v>2</v>
      </c>
      <c r="J2636" s="582">
        <v>16</v>
      </c>
      <c r="K2636" s="590" t="s">
        <v>33</v>
      </c>
      <c r="L2636" s="562">
        <f t="shared" si="387"/>
        <v>1321295.3500000001</v>
      </c>
      <c r="M2636" s="585">
        <f>G2636*2400</f>
        <v>1286400</v>
      </c>
      <c r="N2636" s="586"/>
      <c r="O2636" s="631">
        <v>17560</v>
      </c>
      <c r="P2636" s="586"/>
      <c r="Q2636" s="586">
        <v>17335.349999999999</v>
      </c>
      <c r="R2636" s="582">
        <f t="shared" si="390"/>
        <v>2400</v>
      </c>
      <c r="S2636" s="575">
        <f t="shared" si="391"/>
        <v>9.4587448984384537E-11</v>
      </c>
      <c r="T2636" s="593"/>
      <c r="U2636" s="591"/>
      <c r="V2636" s="589"/>
      <c r="W2636" s="593"/>
      <c r="X2636" s="593"/>
      <c r="Y2636" s="592">
        <v>1</v>
      </c>
      <c r="Z2636" s="593"/>
    </row>
    <row r="2637" spans="1:26" s="36" customFormat="1" ht="37.5" hidden="1">
      <c r="A2637" s="591">
        <f t="shared" si="383"/>
        <v>68</v>
      </c>
      <c r="B2637" s="592" t="s">
        <v>2210</v>
      </c>
      <c r="C2637" s="593" t="s">
        <v>298</v>
      </c>
      <c r="D2637" s="602">
        <f t="shared" si="381"/>
        <v>3513.3620689655172</v>
      </c>
      <c r="E2637" s="602">
        <v>627</v>
      </c>
      <c r="F2637" s="593" t="s">
        <v>218</v>
      </c>
      <c r="G2637" s="602">
        <v>517</v>
      </c>
      <c r="H2637" s="602">
        <v>2</v>
      </c>
      <c r="I2637" s="602">
        <v>2</v>
      </c>
      <c r="J2637" s="582">
        <v>16</v>
      </c>
      <c r="K2637" s="590" t="s">
        <v>33</v>
      </c>
      <c r="L2637" s="562">
        <f t="shared" si="387"/>
        <v>1275413.1000000001</v>
      </c>
      <c r="M2637" s="585">
        <f>G2637*2400</f>
        <v>1240800</v>
      </c>
      <c r="N2637" s="586"/>
      <c r="O2637" s="631">
        <v>17497</v>
      </c>
      <c r="P2637" s="586"/>
      <c r="Q2637" s="586">
        <v>17116.099999999999</v>
      </c>
      <c r="R2637" s="582">
        <f t="shared" si="390"/>
        <v>2400</v>
      </c>
      <c r="S2637" s="575">
        <f t="shared" si="391"/>
        <v>9.4587448984384537E-11</v>
      </c>
      <c r="T2637" s="593"/>
      <c r="U2637" s="591"/>
      <c r="V2637" s="589"/>
      <c r="W2637" s="593"/>
      <c r="X2637" s="593"/>
      <c r="Y2637" s="592">
        <v>1</v>
      </c>
      <c r="Z2637" s="593"/>
    </row>
    <row r="2638" spans="1:26" s="36" customFormat="1" ht="37.5" hidden="1">
      <c r="A2638" s="591">
        <f t="shared" si="383"/>
        <v>69</v>
      </c>
      <c r="B2638" s="592" t="s">
        <v>2211</v>
      </c>
      <c r="C2638" s="593" t="s">
        <v>298</v>
      </c>
      <c r="D2638" s="913">
        <f t="shared" si="381"/>
        <v>13425.86206896552</v>
      </c>
      <c r="E2638" s="602">
        <v>2396</v>
      </c>
      <c r="F2638" s="593" t="s">
        <v>218</v>
      </c>
      <c r="G2638" s="602">
        <v>1575</v>
      </c>
      <c r="H2638" s="602">
        <v>5</v>
      </c>
      <c r="I2638" s="602">
        <v>6</v>
      </c>
      <c r="J2638" s="602">
        <v>120</v>
      </c>
      <c r="K2638" s="679" t="s">
        <v>224</v>
      </c>
      <c r="L2638" s="562">
        <f t="shared" si="387"/>
        <v>2688637.48</v>
      </c>
      <c r="M2638" s="585">
        <v>2640000</v>
      </c>
      <c r="N2638" s="575">
        <v>32813</v>
      </c>
      <c r="O2638" s="565"/>
      <c r="P2638" s="564"/>
      <c r="Q2638" s="586">
        <v>15824.48</v>
      </c>
      <c r="R2638" s="561">
        <f>M2638/J2638</f>
        <v>22000</v>
      </c>
      <c r="S2638" s="575">
        <f t="shared" si="391"/>
        <v>-1.8189894035458565E-11</v>
      </c>
      <c r="T2638" s="593"/>
      <c r="U2638" s="591"/>
      <c r="V2638" s="589"/>
      <c r="W2638" s="592"/>
      <c r="X2638" s="593"/>
      <c r="Y2638" s="592">
        <v>1</v>
      </c>
      <c r="Z2638" s="593"/>
    </row>
    <row r="2639" spans="1:26" s="36" customFormat="1" ht="37.5" hidden="1">
      <c r="A2639" s="591">
        <f t="shared" si="383"/>
        <v>70</v>
      </c>
      <c r="B2639" s="592" t="s">
        <v>2212</v>
      </c>
      <c r="C2639" s="593" t="s">
        <v>298</v>
      </c>
      <c r="D2639" s="913">
        <f t="shared" si="381"/>
        <v>6449.5689655172418</v>
      </c>
      <c r="E2639" s="602">
        <v>1151</v>
      </c>
      <c r="F2639" s="593" t="s">
        <v>251</v>
      </c>
      <c r="G2639" s="602">
        <v>892</v>
      </c>
      <c r="H2639" s="602">
        <v>3</v>
      </c>
      <c r="I2639" s="602">
        <v>3</v>
      </c>
      <c r="J2639" s="582">
        <v>36</v>
      </c>
      <c r="K2639" s="606" t="s">
        <v>33</v>
      </c>
      <c r="L2639" s="562">
        <f t="shared" si="387"/>
        <v>2178305.04</v>
      </c>
      <c r="M2639" s="585">
        <f>G2639*2400</f>
        <v>2140800</v>
      </c>
      <c r="N2639" s="586"/>
      <c r="O2639" s="631">
        <v>17619</v>
      </c>
      <c r="P2639" s="586"/>
      <c r="Q2639" s="586">
        <v>19886.04</v>
      </c>
      <c r="R2639" s="582">
        <f t="shared" ref="R2639:R2645" si="392">M2639/G2639</f>
        <v>2400</v>
      </c>
      <c r="S2639" s="575">
        <f t="shared" si="391"/>
        <v>3.637978807091713E-11</v>
      </c>
      <c r="T2639" s="593"/>
      <c r="U2639" s="591"/>
      <c r="V2639" s="589"/>
      <c r="W2639" s="593"/>
      <c r="X2639" s="592"/>
      <c r="Y2639" s="592">
        <v>1</v>
      </c>
      <c r="Z2639" s="593"/>
    </row>
    <row r="2640" spans="1:26" s="36" customFormat="1" ht="37.5" hidden="1">
      <c r="A2640" s="591">
        <f t="shared" si="383"/>
        <v>71</v>
      </c>
      <c r="B2640" s="616" t="s">
        <v>2213</v>
      </c>
      <c r="C2640" s="593" t="s">
        <v>298</v>
      </c>
      <c r="D2640" s="913">
        <f t="shared" si="381"/>
        <v>12943.96551724138</v>
      </c>
      <c r="E2640" s="602">
        <v>2310</v>
      </c>
      <c r="F2640" s="602" t="s">
        <v>251</v>
      </c>
      <c r="G2640" s="602">
        <v>1136</v>
      </c>
      <c r="H2640" s="602">
        <v>5</v>
      </c>
      <c r="I2640" s="602">
        <v>4</v>
      </c>
      <c r="J2640" s="582">
        <v>76</v>
      </c>
      <c r="K2640" s="679" t="s">
        <v>33</v>
      </c>
      <c r="L2640" s="562">
        <f t="shared" si="387"/>
        <v>3248610</v>
      </c>
      <c r="M2640" s="585">
        <f>G2640*2800</f>
        <v>3180800</v>
      </c>
      <c r="N2640" s="575">
        <v>28010</v>
      </c>
      <c r="O2640" s="565"/>
      <c r="P2640" s="564"/>
      <c r="Q2640" s="586">
        <v>39800</v>
      </c>
      <c r="R2640" s="582">
        <f t="shared" si="392"/>
        <v>2800</v>
      </c>
      <c r="S2640" s="575">
        <f t="shared" si="391"/>
        <v>0</v>
      </c>
      <c r="T2640" s="593"/>
      <c r="U2640" s="591"/>
      <c r="V2640" s="589"/>
      <c r="W2640" s="592"/>
      <c r="X2640" s="593"/>
      <c r="Y2640" s="592">
        <v>1</v>
      </c>
      <c r="Z2640" s="593"/>
    </row>
    <row r="2641" spans="1:26" s="36" customFormat="1" ht="37.5" hidden="1">
      <c r="A2641" s="591">
        <f t="shared" si="383"/>
        <v>72</v>
      </c>
      <c r="B2641" s="616" t="s">
        <v>2214</v>
      </c>
      <c r="C2641" s="593" t="s">
        <v>298</v>
      </c>
      <c r="D2641" s="913">
        <f t="shared" si="381"/>
        <v>12943.96551724138</v>
      </c>
      <c r="E2641" s="602">
        <v>2310</v>
      </c>
      <c r="F2641" s="593" t="s">
        <v>218</v>
      </c>
      <c r="G2641" s="602">
        <v>1050</v>
      </c>
      <c r="H2641" s="602">
        <v>5</v>
      </c>
      <c r="I2641" s="602">
        <v>4</v>
      </c>
      <c r="J2641" s="582">
        <v>80</v>
      </c>
      <c r="K2641" s="679" t="s">
        <v>33</v>
      </c>
      <c r="L2641" s="562">
        <f t="shared" si="387"/>
        <v>2562255</v>
      </c>
      <c r="M2641" s="585">
        <f>G2641*2400</f>
        <v>2520000</v>
      </c>
      <c r="N2641" s="586"/>
      <c r="O2641" s="631">
        <v>22355</v>
      </c>
      <c r="P2641" s="586"/>
      <c r="Q2641" s="586">
        <v>19900</v>
      </c>
      <c r="R2641" s="582">
        <f t="shared" si="392"/>
        <v>2400</v>
      </c>
      <c r="S2641" s="575">
        <f t="shared" si="391"/>
        <v>0</v>
      </c>
      <c r="T2641" s="593"/>
      <c r="U2641" s="591"/>
      <c r="V2641" s="589"/>
      <c r="W2641" s="593"/>
      <c r="X2641" s="593"/>
      <c r="Y2641" s="592">
        <v>1</v>
      </c>
      <c r="Z2641" s="593"/>
    </row>
    <row r="2642" spans="1:26" s="36" customFormat="1" ht="37.5" hidden="1">
      <c r="A2642" s="591">
        <f t="shared" si="383"/>
        <v>73</v>
      </c>
      <c r="B2642" s="592" t="s">
        <v>2215</v>
      </c>
      <c r="C2642" s="593" t="s">
        <v>298</v>
      </c>
      <c r="D2642" s="913">
        <f t="shared" si="381"/>
        <v>12943.96551724138</v>
      </c>
      <c r="E2642" s="602">
        <v>2310</v>
      </c>
      <c r="F2642" s="593" t="s">
        <v>218</v>
      </c>
      <c r="G2642" s="602">
        <v>1050</v>
      </c>
      <c r="H2642" s="602">
        <v>5</v>
      </c>
      <c r="I2642" s="602">
        <v>4</v>
      </c>
      <c r="J2642" s="582">
        <v>79</v>
      </c>
      <c r="K2642" s="679" t="s">
        <v>33</v>
      </c>
      <c r="L2642" s="562">
        <f t="shared" si="387"/>
        <v>2562255</v>
      </c>
      <c r="M2642" s="585">
        <f>G2642*2400</f>
        <v>2520000</v>
      </c>
      <c r="N2642" s="586"/>
      <c r="O2642" s="631">
        <v>22355</v>
      </c>
      <c r="P2642" s="586"/>
      <c r="Q2642" s="586">
        <v>19900</v>
      </c>
      <c r="R2642" s="582">
        <f t="shared" si="392"/>
        <v>2400</v>
      </c>
      <c r="S2642" s="575">
        <f t="shared" si="391"/>
        <v>0</v>
      </c>
      <c r="T2642" s="593"/>
      <c r="U2642" s="591"/>
      <c r="V2642" s="589"/>
      <c r="W2642" s="593"/>
      <c r="X2642" s="593"/>
      <c r="Y2642" s="592">
        <v>1</v>
      </c>
      <c r="Z2642" s="593"/>
    </row>
    <row r="2643" spans="1:26" s="36" customFormat="1" ht="37.5" hidden="1">
      <c r="A2643" s="591">
        <f t="shared" si="383"/>
        <v>74</v>
      </c>
      <c r="B2643" s="592" t="s">
        <v>2216</v>
      </c>
      <c r="C2643" s="593" t="s">
        <v>298</v>
      </c>
      <c r="D2643" s="913">
        <f t="shared" si="381"/>
        <v>7340.5172413793107</v>
      </c>
      <c r="E2643" s="608">
        <v>1310</v>
      </c>
      <c r="F2643" s="594" t="s">
        <v>251</v>
      </c>
      <c r="G2643" s="608">
        <v>1310</v>
      </c>
      <c r="H2643" s="608">
        <v>3</v>
      </c>
      <c r="I2643" s="608">
        <v>3</v>
      </c>
      <c r="J2643" s="608">
        <v>24</v>
      </c>
      <c r="K2643" s="606" t="s">
        <v>33</v>
      </c>
      <c r="L2643" s="562">
        <f t="shared" si="387"/>
        <v>3720980.09</v>
      </c>
      <c r="M2643" s="585">
        <v>3668000</v>
      </c>
      <c r="N2643" s="575">
        <v>30347</v>
      </c>
      <c r="O2643" s="565"/>
      <c r="P2643" s="564"/>
      <c r="Q2643" s="586">
        <v>22633.09</v>
      </c>
      <c r="R2643" s="582">
        <f t="shared" si="392"/>
        <v>2800</v>
      </c>
      <c r="S2643" s="575">
        <f t="shared" si="391"/>
        <v>-1.4915713109076023E-10</v>
      </c>
      <c r="T2643" s="593"/>
      <c r="U2643" s="591"/>
      <c r="V2643" s="589"/>
      <c r="W2643" s="592"/>
      <c r="X2643" s="593"/>
      <c r="Y2643" s="592">
        <v>1</v>
      </c>
      <c r="Z2643" s="593"/>
    </row>
    <row r="2644" spans="1:26" s="36" customFormat="1" ht="37.5" hidden="1">
      <c r="A2644" s="591">
        <f t="shared" si="383"/>
        <v>75</v>
      </c>
      <c r="B2644" s="908" t="s">
        <v>2217</v>
      </c>
      <c r="C2644" s="617" t="s">
        <v>298</v>
      </c>
      <c r="D2644" s="602">
        <f t="shared" si="381"/>
        <v>9234.4827586206902</v>
      </c>
      <c r="E2644" s="602">
        <v>1648</v>
      </c>
      <c r="F2644" s="617" t="s">
        <v>218</v>
      </c>
      <c r="G2644" s="602">
        <v>1050</v>
      </c>
      <c r="H2644" s="602">
        <v>5</v>
      </c>
      <c r="I2644" s="602">
        <v>4</v>
      </c>
      <c r="J2644" s="582">
        <v>41</v>
      </c>
      <c r="K2644" s="610" t="s">
        <v>33</v>
      </c>
      <c r="L2644" s="562">
        <f t="shared" ref="L2644:L2670" si="393">SUM(M2644:Q2644)</f>
        <v>2560844</v>
      </c>
      <c r="M2644" s="585">
        <f>G2644*2400</f>
        <v>2520000</v>
      </c>
      <c r="N2644" s="586"/>
      <c r="O2644" s="631">
        <v>20944</v>
      </c>
      <c r="P2644" s="586"/>
      <c r="Q2644" s="586">
        <v>19900</v>
      </c>
      <c r="R2644" s="582">
        <f t="shared" si="392"/>
        <v>2400</v>
      </c>
      <c r="S2644" s="575">
        <f t="shared" si="391"/>
        <v>0</v>
      </c>
      <c r="T2644" s="593"/>
      <c r="U2644" s="591"/>
      <c r="V2644" s="589"/>
      <c r="W2644" s="593"/>
      <c r="X2644" s="593"/>
      <c r="Y2644" s="592">
        <v>1</v>
      </c>
      <c r="Z2644" s="593"/>
    </row>
    <row r="2645" spans="1:26" s="36" customFormat="1" hidden="1">
      <c r="A2645" s="591">
        <f t="shared" si="383"/>
        <v>76</v>
      </c>
      <c r="B2645" s="592" t="s">
        <v>2222</v>
      </c>
      <c r="C2645" s="593" t="s">
        <v>217</v>
      </c>
      <c r="D2645" s="913">
        <f t="shared" ref="D2645:D2669" si="394">E2645/1.16/2*13</f>
        <v>31401.72413793104</v>
      </c>
      <c r="E2645" s="602">
        <v>5604</v>
      </c>
      <c r="F2645" s="593" t="s">
        <v>218</v>
      </c>
      <c r="G2645" s="602">
        <v>1269</v>
      </c>
      <c r="H2645" s="602">
        <v>9</v>
      </c>
      <c r="I2645" s="602">
        <v>4</v>
      </c>
      <c r="J2645" s="582">
        <v>144</v>
      </c>
      <c r="K2645" s="590" t="s">
        <v>33</v>
      </c>
      <c r="L2645" s="562">
        <f t="shared" si="393"/>
        <v>3092876</v>
      </c>
      <c r="M2645" s="585">
        <f>G2645*2400</f>
        <v>3045600</v>
      </c>
      <c r="N2645" s="586"/>
      <c r="O2645" s="631">
        <v>27376</v>
      </c>
      <c r="P2645" s="586"/>
      <c r="Q2645" s="586">
        <v>19900</v>
      </c>
      <c r="R2645" s="582">
        <f t="shared" si="392"/>
        <v>2400</v>
      </c>
      <c r="S2645" s="575">
        <f t="shared" si="391"/>
        <v>0</v>
      </c>
      <c r="T2645" s="593"/>
      <c r="U2645" s="591"/>
      <c r="V2645" s="589"/>
      <c r="W2645" s="593"/>
      <c r="X2645" s="592">
        <v>1</v>
      </c>
      <c r="Y2645" s="592">
        <v>1</v>
      </c>
      <c r="Z2645" s="593"/>
    </row>
    <row r="2646" spans="1:26" s="36" customFormat="1" ht="37.5" hidden="1">
      <c r="A2646" s="591">
        <f t="shared" si="383"/>
        <v>77</v>
      </c>
      <c r="B2646" s="616" t="s">
        <v>2223</v>
      </c>
      <c r="C2646" s="593" t="s">
        <v>298</v>
      </c>
      <c r="D2646" s="602">
        <f t="shared" si="394"/>
        <v>8472.4137931034493</v>
      </c>
      <c r="E2646" s="602">
        <v>1512</v>
      </c>
      <c r="F2646" s="602" t="s">
        <v>251</v>
      </c>
      <c r="G2646" s="602">
        <v>1148</v>
      </c>
      <c r="H2646" s="602">
        <v>4</v>
      </c>
      <c r="I2646" s="602">
        <v>4</v>
      </c>
      <c r="J2646" s="582">
        <v>32</v>
      </c>
      <c r="K2646" s="606" t="s">
        <v>38</v>
      </c>
      <c r="L2646" s="562">
        <f t="shared" si="393"/>
        <v>2317024</v>
      </c>
      <c r="M2646" s="585">
        <f>E2646*1500</f>
        <v>2268000</v>
      </c>
      <c r="N2646" s="586"/>
      <c r="O2646" s="631">
        <v>19174</v>
      </c>
      <c r="P2646" s="586"/>
      <c r="Q2646" s="586">
        <v>29850</v>
      </c>
      <c r="R2646" s="599">
        <f>M2646/E2646</f>
        <v>1500</v>
      </c>
      <c r="S2646" s="575">
        <f t="shared" si="391"/>
        <v>0</v>
      </c>
      <c r="T2646" s="593"/>
      <c r="U2646" s="591"/>
      <c r="V2646" s="589"/>
      <c r="W2646" s="593"/>
      <c r="X2646" s="593"/>
      <c r="Y2646" s="592">
        <v>1</v>
      </c>
      <c r="Z2646" s="593"/>
    </row>
    <row r="2647" spans="1:26" s="36" customFormat="1" ht="37.5" hidden="1">
      <c r="A2647" s="591">
        <f t="shared" si="383"/>
        <v>78</v>
      </c>
      <c r="B2647" s="616" t="s">
        <v>2224</v>
      </c>
      <c r="C2647" s="593" t="s">
        <v>298</v>
      </c>
      <c r="D2647" s="913">
        <f t="shared" si="394"/>
        <v>14064.655172413793</v>
      </c>
      <c r="E2647" s="602">
        <v>2510</v>
      </c>
      <c r="F2647" s="602" t="s">
        <v>251</v>
      </c>
      <c r="G2647" s="602">
        <v>1366</v>
      </c>
      <c r="H2647" s="602">
        <v>5</v>
      </c>
      <c r="I2647" s="602">
        <v>4</v>
      </c>
      <c r="J2647" s="582">
        <v>40</v>
      </c>
      <c r="K2647" s="606" t="s">
        <v>33</v>
      </c>
      <c r="L2647" s="562">
        <f t="shared" si="393"/>
        <v>3893144</v>
      </c>
      <c r="M2647" s="585">
        <f>G2647*2800</f>
        <v>3824800</v>
      </c>
      <c r="N2647" s="575">
        <v>28544</v>
      </c>
      <c r="O2647" s="565"/>
      <c r="P2647" s="564"/>
      <c r="Q2647" s="586">
        <v>39800</v>
      </c>
      <c r="R2647" s="582">
        <f>M2647/G2647</f>
        <v>2800</v>
      </c>
      <c r="S2647" s="575">
        <f t="shared" si="391"/>
        <v>0</v>
      </c>
      <c r="T2647" s="593"/>
      <c r="U2647" s="591"/>
      <c r="V2647" s="589"/>
      <c r="W2647" s="592"/>
      <c r="X2647" s="593"/>
      <c r="Y2647" s="592">
        <v>1</v>
      </c>
      <c r="Z2647" s="593"/>
    </row>
    <row r="2648" spans="1:26" s="36" customFormat="1" ht="37.5" hidden="1">
      <c r="A2648" s="591">
        <f t="shared" si="383"/>
        <v>79</v>
      </c>
      <c r="B2648" s="616" t="s">
        <v>2227</v>
      </c>
      <c r="C2648" s="593" t="s">
        <v>298</v>
      </c>
      <c r="D2648" s="913">
        <f t="shared" si="394"/>
        <v>15365.327586206899</v>
      </c>
      <c r="E2648" s="602">
        <v>2742.12</v>
      </c>
      <c r="F2648" s="593" t="s">
        <v>218</v>
      </c>
      <c r="G2648" s="602">
        <v>1015.9</v>
      </c>
      <c r="H2648" s="602">
        <v>5</v>
      </c>
      <c r="I2648" s="602">
        <v>4</v>
      </c>
      <c r="J2648" s="602">
        <v>80</v>
      </c>
      <c r="K2648" s="606" t="s">
        <v>4360</v>
      </c>
      <c r="L2648" s="562">
        <f t="shared" si="393"/>
        <v>2378477</v>
      </c>
      <c r="M2648" s="585">
        <f>G2648*2300</f>
        <v>2336570</v>
      </c>
      <c r="N2648" s="586"/>
      <c r="O2648" s="631">
        <v>21907</v>
      </c>
      <c r="P2648" s="586"/>
      <c r="Q2648" s="630">
        <v>20000</v>
      </c>
      <c r="R2648" s="582">
        <f>M2648/J2648</f>
        <v>29207.125</v>
      </c>
      <c r="S2648" s="575">
        <f t="shared" si="391"/>
        <v>0</v>
      </c>
      <c r="T2648" s="593"/>
      <c r="U2648" s="591"/>
      <c r="V2648" s="589"/>
      <c r="W2648" s="593"/>
      <c r="X2648" s="593"/>
      <c r="Y2648" s="592">
        <v>1</v>
      </c>
      <c r="Z2648" s="593"/>
    </row>
    <row r="2649" spans="1:26" s="36" customFormat="1" ht="37.5" hidden="1">
      <c r="A2649" s="591">
        <f t="shared" si="383"/>
        <v>80</v>
      </c>
      <c r="B2649" s="616" t="s">
        <v>2229</v>
      </c>
      <c r="C2649" s="593" t="s">
        <v>298</v>
      </c>
      <c r="D2649" s="602">
        <f t="shared" si="394"/>
        <v>9071.9827586206902</v>
      </c>
      <c r="E2649" s="602">
        <v>1619</v>
      </c>
      <c r="F2649" s="602" t="s">
        <v>251</v>
      </c>
      <c r="G2649" s="602">
        <v>828</v>
      </c>
      <c r="H2649" s="602">
        <v>3</v>
      </c>
      <c r="I2649" s="602">
        <v>3</v>
      </c>
      <c r="J2649" s="582">
        <v>20</v>
      </c>
      <c r="K2649" s="679" t="s">
        <v>238</v>
      </c>
      <c r="L2649" s="562">
        <f t="shared" si="393"/>
        <v>883079.09</v>
      </c>
      <c r="M2649" s="585">
        <f>J2649*27000+300000</f>
        <v>840000</v>
      </c>
      <c r="N2649" s="575">
        <v>27775</v>
      </c>
      <c r="O2649" s="587"/>
      <c r="P2649" s="586"/>
      <c r="Q2649" s="586">
        <v>15304.09</v>
      </c>
      <c r="R2649" s="561">
        <f>M2649/J2649</f>
        <v>42000</v>
      </c>
      <c r="S2649" s="575">
        <f t="shared" si="391"/>
        <v>-3.2741809263825417E-11</v>
      </c>
      <c r="T2649" s="593"/>
      <c r="U2649" s="591"/>
      <c r="V2649" s="589"/>
      <c r="W2649" s="592"/>
      <c r="X2649" s="593"/>
      <c r="Y2649" s="592">
        <v>1</v>
      </c>
      <c r="Z2649" s="593"/>
    </row>
    <row r="2650" spans="1:26" s="36" customFormat="1" ht="37.5" hidden="1">
      <c r="A2650" s="591">
        <f t="shared" si="383"/>
        <v>81</v>
      </c>
      <c r="B2650" s="592" t="s">
        <v>2230</v>
      </c>
      <c r="C2650" s="593" t="s">
        <v>298</v>
      </c>
      <c r="D2650" s="913">
        <f t="shared" si="394"/>
        <v>23949.137931034482</v>
      </c>
      <c r="E2650" s="602">
        <v>4274</v>
      </c>
      <c r="F2650" s="593" t="s">
        <v>218</v>
      </c>
      <c r="G2650" s="602">
        <v>1781</v>
      </c>
      <c r="H2650" s="602">
        <v>5</v>
      </c>
      <c r="I2650" s="602">
        <v>6</v>
      </c>
      <c r="J2650" s="582">
        <v>120</v>
      </c>
      <c r="K2650" s="590" t="s">
        <v>33</v>
      </c>
      <c r="L2650" s="562">
        <f t="shared" si="393"/>
        <v>4320841</v>
      </c>
      <c r="M2650" s="585">
        <f>G2650*2400</f>
        <v>4274400</v>
      </c>
      <c r="N2650" s="586"/>
      <c r="O2650" s="631">
        <v>26541</v>
      </c>
      <c r="P2650" s="586"/>
      <c r="Q2650" s="586">
        <v>19900</v>
      </c>
      <c r="R2650" s="582">
        <f>M2650/G2650</f>
        <v>2400</v>
      </c>
      <c r="S2650" s="575">
        <f t="shared" si="391"/>
        <v>0</v>
      </c>
      <c r="T2650" s="593"/>
      <c r="U2650" s="591"/>
      <c r="V2650" s="589"/>
      <c r="W2650" s="593"/>
      <c r="X2650" s="593"/>
      <c r="Y2650" s="592">
        <v>1</v>
      </c>
      <c r="Z2650" s="593"/>
    </row>
    <row r="2651" spans="1:26" s="36" customFormat="1" ht="37.5" hidden="1">
      <c r="A2651" s="591">
        <f t="shared" si="383"/>
        <v>82</v>
      </c>
      <c r="B2651" s="592" t="s">
        <v>2232</v>
      </c>
      <c r="C2651" s="593" t="s">
        <v>298</v>
      </c>
      <c r="D2651" s="913">
        <f t="shared" si="394"/>
        <v>10618.534482758621</v>
      </c>
      <c r="E2651" s="602">
        <v>1895</v>
      </c>
      <c r="F2651" s="593" t="s">
        <v>218</v>
      </c>
      <c r="G2651" s="602">
        <v>684</v>
      </c>
      <c r="H2651" s="602">
        <v>5</v>
      </c>
      <c r="I2651" s="602">
        <v>3</v>
      </c>
      <c r="J2651" s="582">
        <v>45</v>
      </c>
      <c r="K2651" s="590" t="s">
        <v>33</v>
      </c>
      <c r="L2651" s="562">
        <f t="shared" si="393"/>
        <v>1682971</v>
      </c>
      <c r="M2651" s="585">
        <f>G2651*2400</f>
        <v>1641600</v>
      </c>
      <c r="N2651" s="586"/>
      <c r="O2651" s="631">
        <v>21471</v>
      </c>
      <c r="P2651" s="586"/>
      <c r="Q2651" s="586">
        <v>19900</v>
      </c>
      <c r="R2651" s="582">
        <f>M2651/G2651</f>
        <v>2400</v>
      </c>
      <c r="S2651" s="575">
        <f t="shared" si="391"/>
        <v>0</v>
      </c>
      <c r="T2651" s="593"/>
      <c r="U2651" s="591"/>
      <c r="V2651" s="589"/>
      <c r="W2651" s="593"/>
      <c r="X2651" s="592">
        <v>1</v>
      </c>
      <c r="Y2651" s="592">
        <v>1</v>
      </c>
      <c r="Z2651" s="593"/>
    </row>
    <row r="2652" spans="1:26" s="36" customFormat="1" ht="37.5" hidden="1">
      <c r="A2652" s="591">
        <f t="shared" si="383"/>
        <v>83</v>
      </c>
      <c r="B2652" s="616" t="s">
        <v>2234</v>
      </c>
      <c r="C2652" s="593" t="s">
        <v>298</v>
      </c>
      <c r="D2652" s="913">
        <f t="shared" si="394"/>
        <v>4684.4827586206902</v>
      </c>
      <c r="E2652" s="602">
        <v>836</v>
      </c>
      <c r="F2652" s="602" t="s">
        <v>251</v>
      </c>
      <c r="G2652" s="602">
        <v>532.5</v>
      </c>
      <c r="H2652" s="602">
        <v>2</v>
      </c>
      <c r="I2652" s="602">
        <v>2</v>
      </c>
      <c r="J2652" s="582">
        <v>16</v>
      </c>
      <c r="K2652" s="679" t="s">
        <v>33</v>
      </c>
      <c r="L2652" s="562">
        <f t="shared" si="393"/>
        <v>1546426.46</v>
      </c>
      <c r="M2652" s="585">
        <f>G2652*2800</f>
        <v>1491000</v>
      </c>
      <c r="N2652" s="575">
        <v>32605</v>
      </c>
      <c r="O2652" s="565"/>
      <c r="P2652" s="564"/>
      <c r="Q2652" s="586">
        <v>22821.46</v>
      </c>
      <c r="R2652" s="582">
        <f>M2652/G2652</f>
        <v>2800</v>
      </c>
      <c r="S2652" s="575">
        <f t="shared" si="391"/>
        <v>-3.637978807091713E-11</v>
      </c>
      <c r="T2652" s="593"/>
      <c r="U2652" s="591"/>
      <c r="V2652" s="589"/>
      <c r="W2652" s="592"/>
      <c r="X2652" s="593"/>
      <c r="Y2652" s="592">
        <v>1</v>
      </c>
      <c r="Z2652" s="593"/>
    </row>
    <row r="2653" spans="1:26" s="28" customFormat="1" ht="37.5" hidden="1">
      <c r="A2653" s="591">
        <f t="shared" si="383"/>
        <v>84</v>
      </c>
      <c r="B2653" s="1110" t="s">
        <v>2235</v>
      </c>
      <c r="C2653" s="593" t="s">
        <v>298</v>
      </c>
      <c r="D2653" s="602">
        <f t="shared" si="394"/>
        <v>5205.6034482758623</v>
      </c>
      <c r="E2653" s="602">
        <v>929</v>
      </c>
      <c r="F2653" s="602" t="s">
        <v>251</v>
      </c>
      <c r="G2653" s="602">
        <v>675</v>
      </c>
      <c r="H2653" s="602">
        <v>2</v>
      </c>
      <c r="I2653" s="602">
        <v>1</v>
      </c>
      <c r="J2653" s="602">
        <v>35</v>
      </c>
      <c r="K2653" s="679" t="s">
        <v>33</v>
      </c>
      <c r="L2653" s="584">
        <f t="shared" si="393"/>
        <v>1949213.76</v>
      </c>
      <c r="M2653" s="585">
        <v>1890000</v>
      </c>
      <c r="N2653" s="630">
        <v>33849</v>
      </c>
      <c r="O2653" s="587"/>
      <c r="P2653" s="586"/>
      <c r="Q2653" s="586">
        <v>25364.76</v>
      </c>
      <c r="R2653" s="582">
        <f>M2653/G2653</f>
        <v>2800</v>
      </c>
      <c r="S2653" s="575">
        <f t="shared" si="391"/>
        <v>0</v>
      </c>
      <c r="T2653" s="592"/>
      <c r="U2653" s="589"/>
      <c r="V2653" s="589"/>
      <c r="W2653" s="592"/>
      <c r="X2653" s="592"/>
      <c r="Y2653" s="592">
        <v>1</v>
      </c>
      <c r="Z2653" s="592"/>
    </row>
    <row r="2654" spans="1:26" s="36" customFormat="1" ht="37.5" hidden="1">
      <c r="A2654" s="591">
        <f t="shared" si="383"/>
        <v>85</v>
      </c>
      <c r="B2654" s="592" t="s">
        <v>2236</v>
      </c>
      <c r="C2654" s="593" t="s">
        <v>298</v>
      </c>
      <c r="D2654" s="602">
        <f t="shared" si="394"/>
        <v>25125.862068965518</v>
      </c>
      <c r="E2654" s="608">
        <v>4484</v>
      </c>
      <c r="F2654" s="593" t="s">
        <v>218</v>
      </c>
      <c r="G2654" s="608">
        <v>1947</v>
      </c>
      <c r="H2654" s="608">
        <v>5</v>
      </c>
      <c r="I2654" s="608">
        <v>9</v>
      </c>
      <c r="J2654" s="599">
        <v>118</v>
      </c>
      <c r="K2654" s="679" t="s">
        <v>238</v>
      </c>
      <c r="L2654" s="562">
        <f t="shared" si="393"/>
        <v>3550143.18</v>
      </c>
      <c r="M2654" s="585">
        <f>J2654*27000+300000</f>
        <v>3486000</v>
      </c>
      <c r="N2654" s="575">
        <v>34926</v>
      </c>
      <c r="O2654" s="587"/>
      <c r="P2654" s="586"/>
      <c r="Q2654" s="586">
        <v>29217.18</v>
      </c>
      <c r="R2654" s="561">
        <f>M2654/J2654</f>
        <v>29542.372881355932</v>
      </c>
      <c r="S2654" s="575">
        <f t="shared" si="391"/>
        <v>1.673470251262188E-10</v>
      </c>
      <c r="T2654" s="593"/>
      <c r="U2654" s="591"/>
      <c r="V2654" s="589"/>
      <c r="W2654" s="592"/>
      <c r="X2654" s="593"/>
      <c r="Y2654" s="592">
        <v>1</v>
      </c>
      <c r="Z2654" s="593"/>
    </row>
    <row r="2655" spans="1:26" s="36" customFormat="1" ht="37.5" hidden="1">
      <c r="A2655" s="591">
        <f t="shared" si="383"/>
        <v>86</v>
      </c>
      <c r="B2655" s="616" t="s">
        <v>2237</v>
      </c>
      <c r="C2655" s="593" t="s">
        <v>298</v>
      </c>
      <c r="D2655" s="913">
        <f t="shared" si="394"/>
        <v>6444.5258620689656</v>
      </c>
      <c r="E2655" s="602">
        <v>1150.0999999999999</v>
      </c>
      <c r="F2655" s="593" t="s">
        <v>218</v>
      </c>
      <c r="G2655" s="602">
        <v>476</v>
      </c>
      <c r="H2655" s="602">
        <v>5</v>
      </c>
      <c r="I2655" s="602">
        <v>2</v>
      </c>
      <c r="J2655" s="582">
        <v>40</v>
      </c>
      <c r="K2655" s="679" t="s">
        <v>33</v>
      </c>
      <c r="L2655" s="562">
        <f t="shared" si="393"/>
        <v>1182153.6200000001</v>
      </c>
      <c r="M2655" s="585">
        <f>G2655*2400</f>
        <v>1142400</v>
      </c>
      <c r="N2655" s="586"/>
      <c r="O2655" s="631">
        <v>19883</v>
      </c>
      <c r="P2655" s="586"/>
      <c r="Q2655" s="586">
        <v>19870.62</v>
      </c>
      <c r="R2655" s="582">
        <f>M2655/G2655</f>
        <v>2400</v>
      </c>
      <c r="S2655" s="575">
        <f t="shared" si="391"/>
        <v>1.127773430198431E-10</v>
      </c>
      <c r="T2655" s="593"/>
      <c r="U2655" s="591"/>
      <c r="V2655" s="589"/>
      <c r="W2655" s="593"/>
      <c r="X2655" s="593"/>
      <c r="Y2655" s="592">
        <v>1</v>
      </c>
      <c r="Z2655" s="593"/>
    </row>
    <row r="2656" spans="1:26" s="107" customFormat="1" ht="37.5" hidden="1">
      <c r="A2656" s="591">
        <f t="shared" si="383"/>
        <v>87</v>
      </c>
      <c r="B2656" s="616" t="s">
        <v>2251</v>
      </c>
      <c r="C2656" s="593" t="s">
        <v>298</v>
      </c>
      <c r="D2656" s="913">
        <f t="shared" ref="D2656" si="395">E2656/1.16/2*13</f>
        <v>18550.21551724138</v>
      </c>
      <c r="E2656" s="602">
        <v>3310.5</v>
      </c>
      <c r="F2656" s="593" t="s">
        <v>218</v>
      </c>
      <c r="G2656" s="602">
        <v>1575</v>
      </c>
      <c r="H2656" s="602">
        <v>5</v>
      </c>
      <c r="I2656" s="602">
        <v>6</v>
      </c>
      <c r="J2656" s="602">
        <v>100</v>
      </c>
      <c r="K2656" s="606" t="s">
        <v>30</v>
      </c>
      <c r="L2656" s="562">
        <f t="shared" si="393"/>
        <v>2855465</v>
      </c>
      <c r="M2656" s="585">
        <f>J2656*28000</f>
        <v>2800000</v>
      </c>
      <c r="N2656" s="586"/>
      <c r="O2656" s="631">
        <v>15665</v>
      </c>
      <c r="P2656" s="586"/>
      <c r="Q2656" s="586">
        <v>39800</v>
      </c>
      <c r="R2656" s="582">
        <f>M2656/J2656</f>
        <v>28000</v>
      </c>
      <c r="S2656" s="575">
        <f t="shared" si="391"/>
        <v>0</v>
      </c>
      <c r="T2656" s="593"/>
      <c r="U2656" s="591"/>
      <c r="V2656" s="589"/>
      <c r="W2656" s="593"/>
      <c r="X2656" s="592"/>
      <c r="Y2656" s="592">
        <v>1</v>
      </c>
      <c r="Z2656" s="593"/>
    </row>
    <row r="2657" spans="1:26" s="36" customFormat="1" ht="37.5" hidden="1">
      <c r="A2657" s="591">
        <f t="shared" si="383"/>
        <v>88</v>
      </c>
      <c r="B2657" s="616" t="s">
        <v>2239</v>
      </c>
      <c r="C2657" s="593" t="s">
        <v>298</v>
      </c>
      <c r="D2657" s="913">
        <f>E2657/1.16/2*13</f>
        <v>8100.9051724137944</v>
      </c>
      <c r="E2657" s="602">
        <v>1445.7</v>
      </c>
      <c r="F2657" s="593" t="s">
        <v>218</v>
      </c>
      <c r="G2657" s="602">
        <v>820</v>
      </c>
      <c r="H2657" s="602">
        <v>5</v>
      </c>
      <c r="I2657" s="602">
        <v>2</v>
      </c>
      <c r="J2657" s="602">
        <v>59</v>
      </c>
      <c r="K2657" s="679" t="s">
        <v>238</v>
      </c>
      <c r="L2657" s="562">
        <f t="shared" si="393"/>
        <v>2115169.09</v>
      </c>
      <c r="M2657" s="585">
        <v>2070000</v>
      </c>
      <c r="N2657" s="575">
        <v>29865</v>
      </c>
      <c r="O2657" s="565"/>
      <c r="P2657" s="564"/>
      <c r="Q2657" s="586">
        <v>15304.09</v>
      </c>
      <c r="R2657" s="561">
        <f>M2657/J2657</f>
        <v>35084.745762711864</v>
      </c>
      <c r="S2657" s="575">
        <f t="shared" si="391"/>
        <v>-1.4915713109076023E-10</v>
      </c>
      <c r="T2657" s="593"/>
      <c r="U2657" s="591"/>
      <c r="V2657" s="589"/>
      <c r="W2657" s="592"/>
      <c r="X2657" s="593"/>
      <c r="Y2657" s="592">
        <v>1</v>
      </c>
      <c r="Z2657" s="593"/>
    </row>
    <row r="2658" spans="1:26" s="28" customFormat="1" ht="37.5" hidden="1">
      <c r="A2658" s="591">
        <f t="shared" si="383"/>
        <v>89</v>
      </c>
      <c r="B2658" s="592" t="s">
        <v>2240</v>
      </c>
      <c r="C2658" s="593" t="s">
        <v>298</v>
      </c>
      <c r="D2658" s="913">
        <f t="shared" si="394"/>
        <v>17645.258620689659</v>
      </c>
      <c r="E2658" s="602">
        <v>3149</v>
      </c>
      <c r="F2658" s="593" t="s">
        <v>218</v>
      </c>
      <c r="G2658" s="602">
        <v>1268</v>
      </c>
      <c r="H2658" s="602">
        <v>5</v>
      </c>
      <c r="I2658" s="602">
        <v>6</v>
      </c>
      <c r="J2658" s="582">
        <v>100</v>
      </c>
      <c r="K2658" s="606" t="s">
        <v>30</v>
      </c>
      <c r="L2658" s="562">
        <f t="shared" si="393"/>
        <v>3055245</v>
      </c>
      <c r="M2658" s="585">
        <f>J2658*30000</f>
        <v>3000000</v>
      </c>
      <c r="N2658" s="586"/>
      <c r="O2658" s="631">
        <v>15445</v>
      </c>
      <c r="P2658" s="586"/>
      <c r="Q2658" s="586">
        <v>39800</v>
      </c>
      <c r="R2658" s="582">
        <f>M2658/J2658</f>
        <v>30000</v>
      </c>
      <c r="S2658" s="575">
        <f t="shared" si="391"/>
        <v>0</v>
      </c>
      <c r="T2658" s="592"/>
      <c r="U2658" s="591"/>
      <c r="V2658" s="589"/>
      <c r="W2658" s="592"/>
      <c r="X2658" s="592">
        <v>1</v>
      </c>
      <c r="Y2658" s="592">
        <v>1</v>
      </c>
      <c r="Z2658" s="592"/>
    </row>
    <row r="2659" spans="1:26" s="36" customFormat="1" ht="37.5" hidden="1">
      <c r="A2659" s="591">
        <f t="shared" ref="A2659:A2669" si="396">A2658+1</f>
        <v>90</v>
      </c>
      <c r="B2659" s="592" t="s">
        <v>2241</v>
      </c>
      <c r="C2659" s="593" t="s">
        <v>298</v>
      </c>
      <c r="D2659" s="602">
        <f t="shared" si="394"/>
        <v>12686.206896551725</v>
      </c>
      <c r="E2659" s="602">
        <v>2264</v>
      </c>
      <c r="F2659" s="593" t="s">
        <v>218</v>
      </c>
      <c r="G2659" s="602">
        <v>972</v>
      </c>
      <c r="H2659" s="602">
        <v>5</v>
      </c>
      <c r="I2659" s="602">
        <v>4</v>
      </c>
      <c r="J2659" s="582">
        <v>78</v>
      </c>
      <c r="K2659" s="590" t="s">
        <v>33</v>
      </c>
      <c r="L2659" s="562">
        <f t="shared" si="393"/>
        <v>2374957</v>
      </c>
      <c r="M2659" s="585">
        <f>G2659*2400</f>
        <v>2332800</v>
      </c>
      <c r="N2659" s="586"/>
      <c r="O2659" s="631">
        <v>22257</v>
      </c>
      <c r="P2659" s="586"/>
      <c r="Q2659" s="586">
        <v>19900</v>
      </c>
      <c r="R2659" s="582">
        <f>M2659/G2659</f>
        <v>2400</v>
      </c>
      <c r="S2659" s="575">
        <f t="shared" si="391"/>
        <v>0</v>
      </c>
      <c r="T2659" s="593"/>
      <c r="U2659" s="591"/>
      <c r="V2659" s="589"/>
      <c r="W2659" s="593"/>
      <c r="X2659" s="593"/>
      <c r="Y2659" s="592">
        <v>1</v>
      </c>
      <c r="Z2659" s="593"/>
    </row>
    <row r="2660" spans="1:26" s="36" customFormat="1" hidden="1">
      <c r="A2660" s="591">
        <f t="shared" si="396"/>
        <v>91</v>
      </c>
      <c r="B2660" s="616" t="s">
        <v>2242</v>
      </c>
      <c r="C2660" s="602" t="s">
        <v>217</v>
      </c>
      <c r="D2660" s="913">
        <f t="shared" si="394"/>
        <v>13112.068965517241</v>
      </c>
      <c r="E2660" s="602">
        <v>2340</v>
      </c>
      <c r="F2660" s="593" t="s">
        <v>218</v>
      </c>
      <c r="G2660" s="602">
        <v>1050</v>
      </c>
      <c r="H2660" s="602">
        <v>5</v>
      </c>
      <c r="I2660" s="602">
        <v>4</v>
      </c>
      <c r="J2660" s="582">
        <v>80</v>
      </c>
      <c r="K2660" s="679" t="s">
        <v>33</v>
      </c>
      <c r="L2660" s="562">
        <f t="shared" si="393"/>
        <v>2562319</v>
      </c>
      <c r="M2660" s="585">
        <f>G2660*2400</f>
        <v>2520000</v>
      </c>
      <c r="N2660" s="586"/>
      <c r="O2660" s="631">
        <v>22419</v>
      </c>
      <c r="P2660" s="586"/>
      <c r="Q2660" s="586">
        <v>19900</v>
      </c>
      <c r="R2660" s="582">
        <f>M2660/G2660</f>
        <v>2400</v>
      </c>
      <c r="S2660" s="575">
        <f t="shared" si="391"/>
        <v>0</v>
      </c>
      <c r="T2660" s="593"/>
      <c r="U2660" s="591"/>
      <c r="V2660" s="589"/>
      <c r="W2660" s="593"/>
      <c r="X2660" s="593"/>
      <c r="Y2660" s="592">
        <v>1</v>
      </c>
      <c r="Z2660" s="593"/>
    </row>
    <row r="2661" spans="1:26" s="36" customFormat="1" ht="37.5" hidden="1">
      <c r="A2661" s="591">
        <f t="shared" si="396"/>
        <v>92</v>
      </c>
      <c r="B2661" s="616" t="s">
        <v>2243</v>
      </c>
      <c r="C2661" s="593" t="s">
        <v>298</v>
      </c>
      <c r="D2661" s="913">
        <f t="shared" si="394"/>
        <v>7273.2758620689656</v>
      </c>
      <c r="E2661" s="602">
        <v>1298</v>
      </c>
      <c r="F2661" s="593" t="s">
        <v>218</v>
      </c>
      <c r="G2661" s="602">
        <v>446</v>
      </c>
      <c r="H2661" s="602">
        <v>5</v>
      </c>
      <c r="I2661" s="602">
        <v>1</v>
      </c>
      <c r="J2661" s="582">
        <v>20</v>
      </c>
      <c r="K2661" s="629" t="s">
        <v>33</v>
      </c>
      <c r="L2661" s="562">
        <f t="shared" si="393"/>
        <v>1156386</v>
      </c>
      <c r="M2661" s="623">
        <v>1115000</v>
      </c>
      <c r="N2661" s="630"/>
      <c r="O2661" s="631">
        <v>21386</v>
      </c>
      <c r="P2661" s="630"/>
      <c r="Q2661" s="630">
        <v>20000</v>
      </c>
      <c r="R2661" s="582">
        <f>M2661/J2661</f>
        <v>55750</v>
      </c>
      <c r="S2661" s="575">
        <f t="shared" si="391"/>
        <v>0</v>
      </c>
      <c r="T2661" s="593"/>
      <c r="U2661" s="591"/>
      <c r="V2661" s="589"/>
      <c r="W2661" s="593"/>
      <c r="X2661" s="593"/>
      <c r="Y2661" s="592">
        <v>1</v>
      </c>
      <c r="Z2661" s="593"/>
    </row>
    <row r="2662" spans="1:26" s="36" customFormat="1" ht="37.5" hidden="1">
      <c r="A2662" s="591">
        <f t="shared" si="396"/>
        <v>93</v>
      </c>
      <c r="B2662" s="592" t="s">
        <v>2244</v>
      </c>
      <c r="C2662" s="593" t="s">
        <v>298</v>
      </c>
      <c r="D2662" s="913">
        <f t="shared" si="394"/>
        <v>16014.655172413793</v>
      </c>
      <c r="E2662" s="602">
        <v>2858</v>
      </c>
      <c r="F2662" s="593" t="s">
        <v>218</v>
      </c>
      <c r="G2662" s="602">
        <v>1100</v>
      </c>
      <c r="H2662" s="602">
        <v>5</v>
      </c>
      <c r="I2662" s="602">
        <v>5</v>
      </c>
      <c r="J2662" s="582">
        <v>65</v>
      </c>
      <c r="K2662" s="606" t="s">
        <v>238</v>
      </c>
      <c r="L2662" s="562">
        <f t="shared" si="393"/>
        <v>2305068.71</v>
      </c>
      <c r="M2662" s="585">
        <f>(J2662*30000)+300000</f>
        <v>2250000</v>
      </c>
      <c r="N2662" s="575">
        <v>32344</v>
      </c>
      <c r="O2662" s="565"/>
      <c r="P2662" s="564"/>
      <c r="Q2662" s="586">
        <v>22724.71</v>
      </c>
      <c r="R2662" s="561">
        <f>M2662/J2662</f>
        <v>34615.384615384617</v>
      </c>
      <c r="S2662" s="575">
        <f t="shared" si="391"/>
        <v>-3.637978807091713E-11</v>
      </c>
      <c r="T2662" s="593"/>
      <c r="U2662" s="591"/>
      <c r="V2662" s="589"/>
      <c r="W2662" s="592"/>
      <c r="X2662" s="593"/>
      <c r="Y2662" s="592">
        <v>1</v>
      </c>
      <c r="Z2662" s="593"/>
    </row>
    <row r="2663" spans="1:26" s="36" customFormat="1" ht="37.5" hidden="1">
      <c r="A2663" s="591">
        <f t="shared" si="396"/>
        <v>94</v>
      </c>
      <c r="B2663" s="592" t="s">
        <v>2249</v>
      </c>
      <c r="C2663" s="593" t="s">
        <v>298</v>
      </c>
      <c r="D2663" s="913">
        <f t="shared" si="394"/>
        <v>20290.086206896551</v>
      </c>
      <c r="E2663" s="602">
        <v>3621</v>
      </c>
      <c r="F2663" s="593" t="s">
        <v>218</v>
      </c>
      <c r="G2663" s="602">
        <v>1260</v>
      </c>
      <c r="H2663" s="602">
        <v>5</v>
      </c>
      <c r="I2663" s="602">
        <v>6</v>
      </c>
      <c r="J2663" s="582">
        <v>100</v>
      </c>
      <c r="K2663" s="606" t="s">
        <v>238</v>
      </c>
      <c r="L2663" s="562">
        <f t="shared" si="393"/>
        <v>3355270.71</v>
      </c>
      <c r="M2663" s="585">
        <f>(J2663*30000)+300000</f>
        <v>3300000</v>
      </c>
      <c r="N2663" s="575">
        <v>32546</v>
      </c>
      <c r="O2663" s="565"/>
      <c r="P2663" s="564"/>
      <c r="Q2663" s="586">
        <v>22724.71</v>
      </c>
      <c r="R2663" s="561">
        <f>M2663/J2663</f>
        <v>33000</v>
      </c>
      <c r="S2663" s="575">
        <f t="shared" si="391"/>
        <v>-3.637978807091713E-11</v>
      </c>
      <c r="T2663" s="593"/>
      <c r="U2663" s="591"/>
      <c r="V2663" s="589"/>
      <c r="W2663" s="592"/>
      <c r="X2663" s="593"/>
      <c r="Y2663" s="592">
        <v>1</v>
      </c>
      <c r="Z2663" s="593"/>
    </row>
    <row r="2664" spans="1:26" s="36" customFormat="1" ht="37.5" hidden="1">
      <c r="A2664" s="591">
        <f t="shared" si="396"/>
        <v>95</v>
      </c>
      <c r="B2664" s="616" t="s">
        <v>2250</v>
      </c>
      <c r="C2664" s="593" t="s">
        <v>298</v>
      </c>
      <c r="D2664" s="913">
        <f t="shared" si="394"/>
        <v>17564.512931034482</v>
      </c>
      <c r="E2664" s="602">
        <v>3134.59</v>
      </c>
      <c r="F2664" s="593" t="s">
        <v>218</v>
      </c>
      <c r="G2664" s="602">
        <v>708.5</v>
      </c>
      <c r="H2664" s="602">
        <v>5</v>
      </c>
      <c r="I2664" s="602">
        <v>2</v>
      </c>
      <c r="J2664" s="582">
        <v>40</v>
      </c>
      <c r="K2664" s="679" t="s">
        <v>33</v>
      </c>
      <c r="L2664" s="562">
        <f t="shared" si="393"/>
        <v>1744413</v>
      </c>
      <c r="M2664" s="585">
        <f>G2664*2400</f>
        <v>1700400</v>
      </c>
      <c r="N2664" s="586"/>
      <c r="O2664" s="631">
        <v>24113</v>
      </c>
      <c r="P2664" s="586"/>
      <c r="Q2664" s="586">
        <v>19900</v>
      </c>
      <c r="R2664" s="582">
        <f>M2664/G2664</f>
        <v>2400</v>
      </c>
      <c r="S2664" s="575">
        <f t="shared" ref="S2664:S2675" si="397">L2664-M2664-N2664-O2664-P2664-Q2664</f>
        <v>0</v>
      </c>
      <c r="T2664" s="593"/>
      <c r="U2664" s="591"/>
      <c r="V2664" s="589"/>
      <c r="W2664" s="593"/>
      <c r="X2664" s="593"/>
      <c r="Y2664" s="592">
        <v>1</v>
      </c>
      <c r="Z2664" s="593"/>
    </row>
    <row r="2665" spans="1:26" s="36" customFormat="1" ht="37.5" hidden="1">
      <c r="A2665" s="591">
        <f t="shared" si="396"/>
        <v>96</v>
      </c>
      <c r="B2665" s="616" t="s">
        <v>2252</v>
      </c>
      <c r="C2665" s="593" t="s">
        <v>298</v>
      </c>
      <c r="D2665" s="913">
        <f t="shared" si="394"/>
        <v>6292.1120689655181</v>
      </c>
      <c r="E2665" s="602">
        <v>1122.9000000000001</v>
      </c>
      <c r="F2665" s="602" t="s">
        <v>222</v>
      </c>
      <c r="G2665" s="602">
        <v>1240</v>
      </c>
      <c r="H2665" s="602">
        <v>4</v>
      </c>
      <c r="I2665" s="602">
        <v>3</v>
      </c>
      <c r="J2665" s="582">
        <v>48</v>
      </c>
      <c r="K2665" s="679" t="s">
        <v>224</v>
      </c>
      <c r="L2665" s="562">
        <f t="shared" si="393"/>
        <v>1098227.1499999999</v>
      </c>
      <c r="M2665" s="585">
        <f>J2665*22000</f>
        <v>1056000</v>
      </c>
      <c r="N2665" s="575">
        <v>29920</v>
      </c>
      <c r="O2665" s="565"/>
      <c r="P2665" s="564"/>
      <c r="Q2665" s="586">
        <v>12307.15</v>
      </c>
      <c r="R2665" s="561">
        <f>M2665/J2665</f>
        <v>22000</v>
      </c>
      <c r="S2665" s="575">
        <f t="shared" si="397"/>
        <v>-9.276845958083868E-11</v>
      </c>
      <c r="T2665" s="593"/>
      <c r="U2665" s="591"/>
      <c r="V2665" s="589"/>
      <c r="W2665" s="592"/>
      <c r="X2665" s="593"/>
      <c r="Y2665" s="592">
        <v>1</v>
      </c>
      <c r="Z2665" s="593"/>
    </row>
    <row r="2666" spans="1:26" s="36" customFormat="1" ht="37.5" hidden="1">
      <c r="A2666" s="591">
        <f t="shared" si="396"/>
        <v>97</v>
      </c>
      <c r="B2666" s="592" t="s">
        <v>2254</v>
      </c>
      <c r="C2666" s="593" t="s">
        <v>298</v>
      </c>
      <c r="D2666" s="913">
        <f>E2666/1.16/2*13</f>
        <v>12959.767241379312</v>
      </c>
      <c r="E2666" s="608">
        <v>2312.8200000000002</v>
      </c>
      <c r="F2666" s="594" t="s">
        <v>251</v>
      </c>
      <c r="G2666" s="608">
        <v>1050</v>
      </c>
      <c r="H2666" s="608">
        <v>5</v>
      </c>
      <c r="I2666" s="608">
        <v>4</v>
      </c>
      <c r="J2666" s="608">
        <v>80</v>
      </c>
      <c r="K2666" s="679" t="s">
        <v>33</v>
      </c>
      <c r="L2666" s="562">
        <f t="shared" si="393"/>
        <v>3007817</v>
      </c>
      <c r="M2666" s="585">
        <v>2940000</v>
      </c>
      <c r="N2666" s="575">
        <v>28017</v>
      </c>
      <c r="O2666" s="565"/>
      <c r="P2666" s="564"/>
      <c r="Q2666" s="586">
        <v>39800</v>
      </c>
      <c r="R2666" s="582">
        <f t="shared" ref="R2666:R2671" si="398">M2666/G2666</f>
        <v>2800</v>
      </c>
      <c r="S2666" s="575">
        <f t="shared" si="397"/>
        <v>0</v>
      </c>
      <c r="T2666" s="593"/>
      <c r="U2666" s="591"/>
      <c r="V2666" s="589"/>
      <c r="W2666" s="592"/>
      <c r="X2666" s="593"/>
      <c r="Y2666" s="592">
        <v>1</v>
      </c>
      <c r="Z2666" s="593"/>
    </row>
    <row r="2667" spans="1:26" s="36" customFormat="1" ht="37.5" hidden="1">
      <c r="A2667" s="591">
        <f t="shared" si="396"/>
        <v>98</v>
      </c>
      <c r="B2667" s="592" t="s">
        <v>2255</v>
      </c>
      <c r="C2667" s="593" t="s">
        <v>298</v>
      </c>
      <c r="D2667" s="602">
        <f t="shared" si="394"/>
        <v>22279.310344827587</v>
      </c>
      <c r="E2667" s="602">
        <v>3976</v>
      </c>
      <c r="F2667" s="593" t="s">
        <v>218</v>
      </c>
      <c r="G2667" s="602">
        <v>1550</v>
      </c>
      <c r="H2667" s="602">
        <v>5</v>
      </c>
      <c r="I2667" s="602">
        <v>9</v>
      </c>
      <c r="J2667" s="582">
        <v>124</v>
      </c>
      <c r="K2667" s="590" t="s">
        <v>33</v>
      </c>
      <c r="L2667" s="562">
        <f t="shared" si="393"/>
        <v>3765806</v>
      </c>
      <c r="M2667" s="585">
        <f>G2667*2400</f>
        <v>3720000</v>
      </c>
      <c r="N2667" s="586"/>
      <c r="O2667" s="631">
        <v>25906</v>
      </c>
      <c r="P2667" s="586"/>
      <c r="Q2667" s="586">
        <v>19900</v>
      </c>
      <c r="R2667" s="582">
        <f t="shared" si="398"/>
        <v>2400</v>
      </c>
      <c r="S2667" s="575">
        <f t="shared" si="397"/>
        <v>0</v>
      </c>
      <c r="T2667" s="593"/>
      <c r="U2667" s="591"/>
      <c r="V2667" s="589"/>
      <c r="W2667" s="593"/>
      <c r="X2667" s="593"/>
      <c r="Y2667" s="592">
        <v>1</v>
      </c>
      <c r="Z2667" s="593"/>
    </row>
    <row r="2668" spans="1:26" s="36" customFormat="1" ht="37.5" hidden="1">
      <c r="A2668" s="591">
        <f t="shared" si="396"/>
        <v>99</v>
      </c>
      <c r="B2668" s="592" t="s">
        <v>2256</v>
      </c>
      <c r="C2668" s="593" t="s">
        <v>298</v>
      </c>
      <c r="D2668" s="913">
        <f t="shared" si="394"/>
        <v>10915.517241379312</v>
      </c>
      <c r="E2668" s="608">
        <v>1948</v>
      </c>
      <c r="F2668" s="593" t="s">
        <v>218</v>
      </c>
      <c r="G2668" s="608">
        <v>996</v>
      </c>
      <c r="H2668" s="602">
        <v>5</v>
      </c>
      <c r="I2668" s="602">
        <v>2</v>
      </c>
      <c r="J2668" s="599">
        <v>93</v>
      </c>
      <c r="K2668" s="679" t="s">
        <v>33</v>
      </c>
      <c r="L2668" s="562">
        <f t="shared" si="393"/>
        <v>2431884</v>
      </c>
      <c r="M2668" s="585">
        <f>G2668*2400</f>
        <v>2390400</v>
      </c>
      <c r="N2668" s="586"/>
      <c r="O2668" s="631">
        <v>21584</v>
      </c>
      <c r="P2668" s="586"/>
      <c r="Q2668" s="586">
        <v>19900</v>
      </c>
      <c r="R2668" s="582">
        <f t="shared" si="398"/>
        <v>2400</v>
      </c>
      <c r="S2668" s="575">
        <f t="shared" si="397"/>
        <v>0</v>
      </c>
      <c r="T2668" s="593"/>
      <c r="U2668" s="591"/>
      <c r="V2668" s="589"/>
      <c r="W2668" s="593"/>
      <c r="X2668" s="593"/>
      <c r="Y2668" s="592">
        <v>1</v>
      </c>
      <c r="Z2668" s="593"/>
    </row>
    <row r="2669" spans="1:26" s="36" customFormat="1" ht="37.5" hidden="1">
      <c r="A2669" s="591">
        <f t="shared" si="396"/>
        <v>100</v>
      </c>
      <c r="B2669" s="592" t="s">
        <v>2257</v>
      </c>
      <c r="C2669" s="593" t="s">
        <v>298</v>
      </c>
      <c r="D2669" s="602">
        <f t="shared" si="394"/>
        <v>35873.275862068964</v>
      </c>
      <c r="E2669" s="602">
        <v>6402</v>
      </c>
      <c r="F2669" s="593" t="s">
        <v>218</v>
      </c>
      <c r="G2669" s="602">
        <v>1862</v>
      </c>
      <c r="H2669" s="602">
        <v>5</v>
      </c>
      <c r="I2669" s="602">
        <v>12</v>
      </c>
      <c r="J2669" s="582">
        <v>130</v>
      </c>
      <c r="K2669" s="590" t="s">
        <v>33</v>
      </c>
      <c r="L2669" s="562">
        <f t="shared" si="393"/>
        <v>4519776</v>
      </c>
      <c r="M2669" s="585">
        <f>G2669*2400</f>
        <v>4468800</v>
      </c>
      <c r="N2669" s="586"/>
      <c r="O2669" s="631">
        <v>31076</v>
      </c>
      <c r="P2669" s="586"/>
      <c r="Q2669" s="586">
        <v>19900</v>
      </c>
      <c r="R2669" s="582">
        <f t="shared" si="398"/>
        <v>2400</v>
      </c>
      <c r="S2669" s="575">
        <f t="shared" si="397"/>
        <v>0</v>
      </c>
      <c r="T2669" s="593"/>
      <c r="U2669" s="591"/>
      <c r="V2669" s="589"/>
      <c r="W2669" s="593"/>
      <c r="X2669" s="593"/>
      <c r="Y2669" s="592">
        <v>1</v>
      </c>
      <c r="Z2669" s="593"/>
    </row>
    <row r="2670" spans="1:26" s="36" customFormat="1" ht="37.5" hidden="1">
      <c r="A2670" s="591">
        <f t="shared" ref="A2670:A2674" si="399">A2669+1</f>
        <v>101</v>
      </c>
      <c r="B2670" s="592" t="s">
        <v>2259</v>
      </c>
      <c r="C2670" s="593" t="s">
        <v>298</v>
      </c>
      <c r="D2670" s="913">
        <f>E2670/1.16/2*13</f>
        <v>12815.086206896553</v>
      </c>
      <c r="E2670" s="602">
        <v>2287</v>
      </c>
      <c r="F2670" s="593" t="s">
        <v>218</v>
      </c>
      <c r="G2670" s="602">
        <v>972</v>
      </c>
      <c r="H2670" s="602">
        <v>5</v>
      </c>
      <c r="I2670" s="602">
        <v>4</v>
      </c>
      <c r="J2670" s="582">
        <v>76</v>
      </c>
      <c r="K2670" s="590" t="s">
        <v>33</v>
      </c>
      <c r="L2670" s="562">
        <f t="shared" si="393"/>
        <v>2374450</v>
      </c>
      <c r="M2670" s="585">
        <f>G2670*2400</f>
        <v>2332800</v>
      </c>
      <c r="N2670" s="586"/>
      <c r="O2670" s="631">
        <v>21650</v>
      </c>
      <c r="P2670" s="586"/>
      <c r="Q2670" s="586">
        <v>20000</v>
      </c>
      <c r="R2670" s="582">
        <f t="shared" si="398"/>
        <v>2400</v>
      </c>
      <c r="S2670" s="575">
        <f t="shared" si="397"/>
        <v>0</v>
      </c>
      <c r="T2670" s="593"/>
      <c r="U2670" s="591"/>
      <c r="V2670" s="589"/>
      <c r="W2670" s="593"/>
      <c r="X2670" s="593"/>
      <c r="Y2670" s="592">
        <v>1</v>
      </c>
      <c r="Z2670" s="593"/>
    </row>
    <row r="2671" spans="1:26" s="107" customFormat="1" ht="37.5" hidden="1">
      <c r="A2671" s="591">
        <f t="shared" si="399"/>
        <v>102</v>
      </c>
      <c r="B2671" s="592" t="s">
        <v>4286</v>
      </c>
      <c r="C2671" s="700" t="s">
        <v>298</v>
      </c>
      <c r="D2671" s="902">
        <v>19087</v>
      </c>
      <c r="E2671" s="593">
        <v>4094.65</v>
      </c>
      <c r="F2671" s="582" t="s">
        <v>218</v>
      </c>
      <c r="G2671" s="593">
        <v>2012.78</v>
      </c>
      <c r="H2671" s="593">
        <v>5</v>
      </c>
      <c r="I2671" s="593">
        <v>5</v>
      </c>
      <c r="J2671" s="593">
        <v>263</v>
      </c>
      <c r="K2671" s="903" t="s">
        <v>252</v>
      </c>
      <c r="L2671" s="1354">
        <f>M2671+N2671+O2671+P2671+Q2671+M2672+N2672+O2672+P2672+Q2672</f>
        <v>18753560</v>
      </c>
      <c r="M2671" s="585">
        <f>G2671*4000*1.3</f>
        <v>10466456</v>
      </c>
      <c r="N2671" s="586">
        <v>29648</v>
      </c>
      <c r="O2671" s="587"/>
      <c r="P2671" s="1112"/>
      <c r="Q2671" s="1113">
        <v>20000</v>
      </c>
      <c r="R2671" s="582">
        <f t="shared" si="398"/>
        <v>5200</v>
      </c>
      <c r="S2671" s="575">
        <f t="shared" si="397"/>
        <v>8237456</v>
      </c>
      <c r="T2671" s="591"/>
      <c r="U2671" s="589"/>
      <c r="V2671" s="593"/>
      <c r="W2671" s="592"/>
      <c r="X2671" s="645"/>
      <c r="Y2671" s="592">
        <v>1</v>
      </c>
      <c r="Z2671" s="593"/>
    </row>
    <row r="2672" spans="1:26" s="107" customFormat="1" hidden="1">
      <c r="A2672" s="591"/>
      <c r="B2672" s="592"/>
      <c r="C2672" s="700"/>
      <c r="D2672" s="902"/>
      <c r="E2672" s="593"/>
      <c r="F2672" s="582"/>
      <c r="G2672" s="593"/>
      <c r="H2672" s="593"/>
      <c r="I2672" s="593"/>
      <c r="J2672" s="593"/>
      <c r="K2672" s="903" t="s">
        <v>38</v>
      </c>
      <c r="L2672" s="1354"/>
      <c r="M2672" s="585">
        <f>E2671*2000</f>
        <v>8189300</v>
      </c>
      <c r="N2672" s="586"/>
      <c r="O2672" s="587">
        <v>18156</v>
      </c>
      <c r="P2672" s="1112"/>
      <c r="Q2672" s="1113">
        <v>30000</v>
      </c>
      <c r="R2672" s="582">
        <f>M2672/E2671</f>
        <v>2000</v>
      </c>
      <c r="S2672" s="575">
        <f t="shared" si="397"/>
        <v>-8237456</v>
      </c>
      <c r="T2672" s="591"/>
      <c r="U2672" s="589"/>
      <c r="V2672" s="593"/>
      <c r="W2672" s="592"/>
      <c r="X2672" s="645"/>
      <c r="Y2672" s="592">
        <v>1</v>
      </c>
      <c r="Z2672" s="593"/>
    </row>
    <row r="2673" spans="1:26" s="89" customFormat="1" ht="37.5" hidden="1">
      <c r="A2673" s="591">
        <v>103</v>
      </c>
      <c r="B2673" s="592" t="s">
        <v>1246</v>
      </c>
      <c r="C2673" s="700" t="s">
        <v>298</v>
      </c>
      <c r="D2673" s="902">
        <f>E2673/1.16/2*13</f>
        <v>2466.6379310344828</v>
      </c>
      <c r="E2673" s="593">
        <v>440.2</v>
      </c>
      <c r="F2673" s="582" t="s">
        <v>251</v>
      </c>
      <c r="G2673" s="786">
        <v>700</v>
      </c>
      <c r="H2673" s="593">
        <v>2</v>
      </c>
      <c r="I2673" s="593">
        <v>2</v>
      </c>
      <c r="J2673" s="593">
        <v>13</v>
      </c>
      <c r="K2673" s="903" t="s">
        <v>33</v>
      </c>
      <c r="L2673" s="746">
        <f>M2673+N2673+O2673+P2673+Q2673</f>
        <v>2001298</v>
      </c>
      <c r="M2673" s="882">
        <v>1960000</v>
      </c>
      <c r="N2673" s="630">
        <v>29220</v>
      </c>
      <c r="O2673" s="587"/>
      <c r="P2673" s="586"/>
      <c r="Q2673" s="630">
        <v>12078</v>
      </c>
      <c r="R2673" s="582">
        <f>M2673/J2673</f>
        <v>150769.23076923078</v>
      </c>
      <c r="S2673" s="575">
        <f t="shared" si="397"/>
        <v>0</v>
      </c>
      <c r="T2673" s="586"/>
      <c r="U2673" s="589"/>
      <c r="V2673" s="589"/>
      <c r="W2673" s="592"/>
      <c r="X2673" s="592"/>
      <c r="Y2673" s="592">
        <v>1</v>
      </c>
      <c r="Z2673" s="592"/>
    </row>
    <row r="2674" spans="1:26" s="89" customFormat="1" ht="37.5" hidden="1">
      <c r="A2674" s="591">
        <f t="shared" si="399"/>
        <v>104</v>
      </c>
      <c r="B2674" s="592" t="s">
        <v>1289</v>
      </c>
      <c r="C2674" s="700" t="s">
        <v>298</v>
      </c>
      <c r="D2674" s="902">
        <f>E2674/1.16/2*13</f>
        <v>45387.931034482761</v>
      </c>
      <c r="E2674" s="888">
        <v>8100</v>
      </c>
      <c r="F2674" s="582" t="s">
        <v>218</v>
      </c>
      <c r="G2674" s="786">
        <v>1070</v>
      </c>
      <c r="H2674" s="593">
        <v>9</v>
      </c>
      <c r="I2674" s="593">
        <v>4</v>
      </c>
      <c r="J2674" s="593">
        <v>144</v>
      </c>
      <c r="K2674" s="903" t="s">
        <v>38</v>
      </c>
      <c r="L2674" s="746">
        <f>M2674+N2674+O2674+P2674+Q2674</f>
        <v>9774241</v>
      </c>
      <c r="M2674" s="882">
        <v>9720000</v>
      </c>
      <c r="N2674" s="586"/>
      <c r="O2674" s="631">
        <v>24241</v>
      </c>
      <c r="P2674" s="586"/>
      <c r="Q2674" s="630">
        <v>30000</v>
      </c>
      <c r="R2674" s="599">
        <f>M2674/E2674</f>
        <v>1200</v>
      </c>
      <c r="S2674" s="575">
        <f t="shared" si="397"/>
        <v>0</v>
      </c>
      <c r="T2674" s="577"/>
      <c r="U2674" s="589"/>
      <c r="V2674" s="589"/>
      <c r="W2674" s="592"/>
      <c r="X2674" s="592"/>
      <c r="Y2674" s="592">
        <v>1</v>
      </c>
      <c r="Z2674" s="592"/>
    </row>
    <row r="2675" spans="1:26" s="36" customFormat="1" hidden="1">
      <c r="A2675" s="1349" t="s">
        <v>167</v>
      </c>
      <c r="B2675" s="1349"/>
      <c r="C2675" s="586" t="s">
        <v>28</v>
      </c>
      <c r="D2675" s="586">
        <f>SUM(D2568:D2674)</f>
        <v>1938167.4680509202</v>
      </c>
      <c r="E2675" s="586">
        <f>SUM(E2568:E2674)</f>
        <v>343563.7300000001</v>
      </c>
      <c r="F2675" s="586" t="s">
        <v>28</v>
      </c>
      <c r="G2675" s="586">
        <f>SUM(G2568:G2674)</f>
        <v>120312.08</v>
      </c>
      <c r="H2675" s="586" t="s">
        <v>28</v>
      </c>
      <c r="I2675" s="586" t="s">
        <v>28</v>
      </c>
      <c r="J2675" s="586">
        <f>SUM(J2568:J2674)</f>
        <v>9270</v>
      </c>
      <c r="K2675" s="590" t="s">
        <v>28</v>
      </c>
      <c r="L2675" s="585">
        <f t="shared" ref="L2675:Q2675" si="400">SUM(L2568:L2674)</f>
        <v>364357536.96999991</v>
      </c>
      <c r="M2675" s="585">
        <f t="shared" si="400"/>
        <v>357803186</v>
      </c>
      <c r="N2675" s="586">
        <f t="shared" si="400"/>
        <v>3248454</v>
      </c>
      <c r="O2675" s="587">
        <f t="shared" si="400"/>
        <v>1456959</v>
      </c>
      <c r="P2675" s="586">
        <f t="shared" si="400"/>
        <v>0</v>
      </c>
      <c r="Q2675" s="586">
        <f t="shared" si="400"/>
        <v>1848937.97</v>
      </c>
      <c r="R2675" s="582" t="s">
        <v>28</v>
      </c>
      <c r="S2675" s="564">
        <f t="shared" si="397"/>
        <v>-9.0571120381355286E-8</v>
      </c>
      <c r="T2675" s="577">
        <f>'1.перечень МКД'!M213</f>
        <v>364357536.97000003</v>
      </c>
      <c r="U2675" s="589">
        <f>L2675-T2675</f>
        <v>0</v>
      </c>
      <c r="V2675" s="589"/>
      <c r="W2675" s="593"/>
      <c r="X2675" s="593"/>
      <c r="Y2675" s="592">
        <v>1</v>
      </c>
      <c r="Z2675" s="593"/>
    </row>
    <row r="2676" spans="1:26" s="28" customFormat="1" hidden="1">
      <c r="A2676" s="1347" t="s">
        <v>168</v>
      </c>
      <c r="B2676" s="1347"/>
      <c r="C2676" s="1347"/>
      <c r="D2676" s="1347"/>
      <c r="E2676" s="1347"/>
      <c r="F2676" s="1347"/>
      <c r="G2676" s="1347"/>
      <c r="H2676" s="1347"/>
      <c r="I2676" s="1347"/>
      <c r="J2676" s="1347"/>
      <c r="K2676" s="1347"/>
      <c r="L2676" s="1347"/>
      <c r="M2676" s="1347"/>
      <c r="N2676" s="1347"/>
      <c r="O2676" s="1347"/>
      <c r="P2676" s="1347"/>
      <c r="Q2676" s="1347"/>
      <c r="R2676" s="590"/>
      <c r="S2676" s="592"/>
      <c r="T2676" s="592"/>
      <c r="U2676" s="591"/>
      <c r="V2676" s="589"/>
      <c r="W2676" s="592"/>
      <c r="X2676" s="592"/>
      <c r="Y2676" s="592">
        <v>1</v>
      </c>
      <c r="Z2676" s="592"/>
    </row>
    <row r="2677" spans="1:26" s="36" customFormat="1" hidden="1">
      <c r="A2677" s="591">
        <v>1</v>
      </c>
      <c r="B2677" s="908" t="s">
        <v>2260</v>
      </c>
      <c r="C2677" s="593" t="s">
        <v>217</v>
      </c>
      <c r="D2677" s="593"/>
      <c r="E2677" s="602">
        <v>3083</v>
      </c>
      <c r="F2677" s="617" t="s">
        <v>233</v>
      </c>
      <c r="G2677" s="602">
        <v>1220.5</v>
      </c>
      <c r="H2677" s="602">
        <v>5</v>
      </c>
      <c r="I2677" s="602">
        <v>6</v>
      </c>
      <c r="J2677" s="582">
        <v>89</v>
      </c>
      <c r="K2677" s="610" t="s">
        <v>33</v>
      </c>
      <c r="L2677" s="562">
        <f t="shared" ref="L2677:L2684" si="401">M2677+N2677+O2677+Q2677</f>
        <v>2064265</v>
      </c>
      <c r="M2677" s="585">
        <v>2021849</v>
      </c>
      <c r="N2677" s="586"/>
      <c r="O2677" s="631">
        <v>22516</v>
      </c>
      <c r="P2677" s="586"/>
      <c r="Q2677" s="586">
        <v>19900</v>
      </c>
      <c r="R2677" s="582">
        <f t="shared" ref="R2677:R2687" si="402">M2677/G2677</f>
        <v>1656.5743547726343</v>
      </c>
      <c r="S2677" s="575">
        <f t="shared" ref="S2677:S2688" si="403">L2677-M2677-N2677-O2677-P2677-Q2677</f>
        <v>0</v>
      </c>
      <c r="T2677" s="593"/>
      <c r="U2677" s="591"/>
      <c r="V2677" s="589"/>
      <c r="W2677" s="593"/>
      <c r="X2677" s="593"/>
      <c r="Y2677" s="592">
        <v>1</v>
      </c>
      <c r="Z2677" s="593"/>
    </row>
    <row r="2678" spans="1:26" s="36" customFormat="1" hidden="1">
      <c r="A2678" s="591">
        <f>A2677+1</f>
        <v>2</v>
      </c>
      <c r="B2678" s="908" t="s">
        <v>2261</v>
      </c>
      <c r="C2678" s="593" t="s">
        <v>217</v>
      </c>
      <c r="D2678" s="593"/>
      <c r="E2678" s="602">
        <v>2179</v>
      </c>
      <c r="F2678" s="617" t="s">
        <v>233</v>
      </c>
      <c r="G2678" s="602">
        <v>806.3</v>
      </c>
      <c r="H2678" s="602">
        <v>5</v>
      </c>
      <c r="I2678" s="602">
        <v>4</v>
      </c>
      <c r="J2678" s="582">
        <v>60</v>
      </c>
      <c r="K2678" s="610" t="s">
        <v>33</v>
      </c>
      <c r="L2678" s="562">
        <f t="shared" si="401"/>
        <v>1953943</v>
      </c>
      <c r="M2678" s="585">
        <v>1912085</v>
      </c>
      <c r="N2678" s="586"/>
      <c r="O2678" s="631">
        <v>21958</v>
      </c>
      <c r="P2678" s="586"/>
      <c r="Q2678" s="586">
        <v>19900</v>
      </c>
      <c r="R2678" s="582">
        <f t="shared" si="402"/>
        <v>2371.4312290710654</v>
      </c>
      <c r="S2678" s="575">
        <f t="shared" si="403"/>
        <v>0</v>
      </c>
      <c r="T2678" s="593"/>
      <c r="U2678" s="591"/>
      <c r="V2678" s="589"/>
      <c r="W2678" s="593"/>
      <c r="X2678" s="593"/>
      <c r="Y2678" s="592">
        <v>1</v>
      </c>
      <c r="Z2678" s="593"/>
    </row>
    <row r="2679" spans="1:26" s="36" customFormat="1" hidden="1">
      <c r="A2679" s="591">
        <f t="shared" ref="A2679:A2687" si="404">A2678+1</f>
        <v>3</v>
      </c>
      <c r="B2679" s="908" t="s">
        <v>2262</v>
      </c>
      <c r="C2679" s="593" t="s">
        <v>217</v>
      </c>
      <c r="D2679" s="593"/>
      <c r="E2679" s="602">
        <v>3435.5</v>
      </c>
      <c r="F2679" s="617" t="s">
        <v>233</v>
      </c>
      <c r="G2679" s="602">
        <v>1213.3</v>
      </c>
      <c r="H2679" s="602">
        <v>5</v>
      </c>
      <c r="I2679" s="602">
        <v>6</v>
      </c>
      <c r="J2679" s="582">
        <v>88</v>
      </c>
      <c r="K2679" s="610" t="s">
        <v>33</v>
      </c>
      <c r="L2679" s="562">
        <f t="shared" si="401"/>
        <v>3149587</v>
      </c>
      <c r="M2679" s="585">
        <v>3107171</v>
      </c>
      <c r="N2679" s="586"/>
      <c r="O2679" s="631">
        <v>22516</v>
      </c>
      <c r="P2679" s="586"/>
      <c r="Q2679" s="586">
        <v>19900</v>
      </c>
      <c r="R2679" s="582">
        <f t="shared" si="402"/>
        <v>2560.9255748784308</v>
      </c>
      <c r="S2679" s="575">
        <f t="shared" si="403"/>
        <v>0</v>
      </c>
      <c r="T2679" s="593"/>
      <c r="U2679" s="591"/>
      <c r="V2679" s="589"/>
      <c r="W2679" s="593"/>
      <c r="X2679" s="593"/>
      <c r="Y2679" s="592">
        <v>1</v>
      </c>
      <c r="Z2679" s="593"/>
    </row>
    <row r="2680" spans="1:26" s="36" customFormat="1" hidden="1">
      <c r="A2680" s="591">
        <f t="shared" si="404"/>
        <v>4</v>
      </c>
      <c r="B2680" s="908" t="s">
        <v>2263</v>
      </c>
      <c r="C2680" s="593" t="s">
        <v>217</v>
      </c>
      <c r="D2680" s="593"/>
      <c r="E2680" s="602">
        <v>3083</v>
      </c>
      <c r="F2680" s="617" t="s">
        <v>233</v>
      </c>
      <c r="G2680" s="602">
        <v>1212.2</v>
      </c>
      <c r="H2680" s="602">
        <v>5</v>
      </c>
      <c r="I2680" s="602">
        <v>6</v>
      </c>
      <c r="J2680" s="582">
        <v>87</v>
      </c>
      <c r="K2680" s="610" t="s">
        <v>33</v>
      </c>
      <c r="L2680" s="562">
        <f t="shared" si="401"/>
        <v>2594228</v>
      </c>
      <c r="M2680" s="585">
        <v>2551812</v>
      </c>
      <c r="N2680" s="586"/>
      <c r="O2680" s="631">
        <v>22516</v>
      </c>
      <c r="P2680" s="586"/>
      <c r="Q2680" s="586">
        <v>19900</v>
      </c>
      <c r="R2680" s="582">
        <f t="shared" si="402"/>
        <v>2105.1080679755814</v>
      </c>
      <c r="S2680" s="575">
        <f t="shared" si="403"/>
        <v>0</v>
      </c>
      <c r="T2680" s="593"/>
      <c r="U2680" s="591"/>
      <c r="V2680" s="589"/>
      <c r="W2680" s="593"/>
      <c r="X2680" s="593"/>
      <c r="Y2680" s="592">
        <v>1</v>
      </c>
      <c r="Z2680" s="593"/>
    </row>
    <row r="2681" spans="1:26" s="36" customFormat="1" hidden="1">
      <c r="A2681" s="591">
        <f t="shared" si="404"/>
        <v>5</v>
      </c>
      <c r="B2681" s="908" t="s">
        <v>2264</v>
      </c>
      <c r="C2681" s="593" t="s">
        <v>217</v>
      </c>
      <c r="D2681" s="593"/>
      <c r="E2681" s="602">
        <v>2179</v>
      </c>
      <c r="F2681" s="617" t="s">
        <v>233</v>
      </c>
      <c r="G2681" s="602">
        <v>820.7</v>
      </c>
      <c r="H2681" s="602">
        <v>5</v>
      </c>
      <c r="I2681" s="602">
        <v>4</v>
      </c>
      <c r="J2681" s="582">
        <v>59</v>
      </c>
      <c r="K2681" s="610" t="s">
        <v>33</v>
      </c>
      <c r="L2681" s="562">
        <f t="shared" si="401"/>
        <v>1968417</v>
      </c>
      <c r="M2681" s="585">
        <v>1926559</v>
      </c>
      <c r="N2681" s="586"/>
      <c r="O2681" s="631">
        <v>21958</v>
      </c>
      <c r="P2681" s="586"/>
      <c r="Q2681" s="586">
        <v>19900</v>
      </c>
      <c r="R2681" s="582">
        <f t="shared" si="402"/>
        <v>2347.4582673327645</v>
      </c>
      <c r="S2681" s="575">
        <f t="shared" si="403"/>
        <v>0</v>
      </c>
      <c r="T2681" s="593"/>
      <c r="U2681" s="591"/>
      <c r="V2681" s="589"/>
      <c r="W2681" s="593"/>
      <c r="X2681" s="593"/>
      <c r="Y2681" s="592">
        <v>1</v>
      </c>
      <c r="Z2681" s="593"/>
    </row>
    <row r="2682" spans="1:26" s="36" customFormat="1" hidden="1">
      <c r="A2682" s="591">
        <f t="shared" si="404"/>
        <v>6</v>
      </c>
      <c r="B2682" s="908" t="s">
        <v>2265</v>
      </c>
      <c r="C2682" s="593" t="s">
        <v>217</v>
      </c>
      <c r="D2682" s="593"/>
      <c r="E2682" s="602">
        <v>2218.5</v>
      </c>
      <c r="F2682" s="617" t="s">
        <v>233</v>
      </c>
      <c r="G2682" s="602">
        <v>936.3</v>
      </c>
      <c r="H2682" s="602">
        <v>5</v>
      </c>
      <c r="I2682" s="602">
        <v>5</v>
      </c>
      <c r="J2682" s="582">
        <v>75</v>
      </c>
      <c r="K2682" s="610" t="s">
        <v>33</v>
      </c>
      <c r="L2682" s="562">
        <f t="shared" si="401"/>
        <v>2396398</v>
      </c>
      <c r="M2682" s="585">
        <v>2354666</v>
      </c>
      <c r="N2682" s="586"/>
      <c r="O2682" s="631">
        <v>21832</v>
      </c>
      <c r="P2682" s="586"/>
      <c r="Q2682" s="586">
        <v>19900</v>
      </c>
      <c r="R2682" s="582">
        <f t="shared" si="402"/>
        <v>2514.8627576631425</v>
      </c>
      <c r="S2682" s="575">
        <f t="shared" si="403"/>
        <v>0</v>
      </c>
      <c r="T2682" s="593"/>
      <c r="U2682" s="591"/>
      <c r="V2682" s="589"/>
      <c r="W2682" s="593"/>
      <c r="X2682" s="593"/>
      <c r="Y2682" s="592">
        <v>1</v>
      </c>
      <c r="Z2682" s="593"/>
    </row>
    <row r="2683" spans="1:26" s="36" customFormat="1" hidden="1">
      <c r="A2683" s="591">
        <f t="shared" si="404"/>
        <v>7</v>
      </c>
      <c r="B2683" s="908" t="s">
        <v>2266</v>
      </c>
      <c r="C2683" s="593" t="s">
        <v>217</v>
      </c>
      <c r="D2683" s="593"/>
      <c r="E2683" s="602">
        <v>2218.5</v>
      </c>
      <c r="F2683" s="617" t="s">
        <v>233</v>
      </c>
      <c r="G2683" s="602">
        <v>935</v>
      </c>
      <c r="H2683" s="602">
        <v>5</v>
      </c>
      <c r="I2683" s="602">
        <v>5</v>
      </c>
      <c r="J2683" s="582">
        <v>75</v>
      </c>
      <c r="K2683" s="610" t="s">
        <v>33</v>
      </c>
      <c r="L2683" s="562">
        <f t="shared" si="401"/>
        <v>3159070</v>
      </c>
      <c r="M2683" s="585">
        <v>3117338</v>
      </c>
      <c r="N2683" s="586"/>
      <c r="O2683" s="631">
        <v>21832</v>
      </c>
      <c r="P2683" s="586"/>
      <c r="Q2683" s="586">
        <v>19900</v>
      </c>
      <c r="R2683" s="582">
        <f t="shared" si="402"/>
        <v>3334.0513368983957</v>
      </c>
      <c r="S2683" s="575">
        <f t="shared" si="403"/>
        <v>0</v>
      </c>
      <c r="T2683" s="593"/>
      <c r="U2683" s="591"/>
      <c r="V2683" s="589"/>
      <c r="W2683" s="593"/>
      <c r="X2683" s="593"/>
      <c r="Y2683" s="592">
        <v>1</v>
      </c>
      <c r="Z2683" s="593"/>
    </row>
    <row r="2684" spans="1:26" s="36" customFormat="1" hidden="1">
      <c r="A2684" s="591">
        <f t="shared" si="404"/>
        <v>8</v>
      </c>
      <c r="B2684" s="908" t="s">
        <v>2267</v>
      </c>
      <c r="C2684" s="593" t="s">
        <v>217</v>
      </c>
      <c r="D2684" s="593"/>
      <c r="E2684" s="602">
        <v>1943</v>
      </c>
      <c r="F2684" s="617" t="s">
        <v>233</v>
      </c>
      <c r="G2684" s="602">
        <v>979</v>
      </c>
      <c r="H2684" s="602">
        <v>5</v>
      </c>
      <c r="I2684" s="602">
        <v>2</v>
      </c>
      <c r="J2684" s="582">
        <v>77</v>
      </c>
      <c r="K2684" s="610" t="s">
        <v>33</v>
      </c>
      <c r="L2684" s="562">
        <f t="shared" si="401"/>
        <v>2551507</v>
      </c>
      <c r="M2684" s="585">
        <v>2510023</v>
      </c>
      <c r="N2684" s="586"/>
      <c r="O2684" s="631">
        <v>21584</v>
      </c>
      <c r="P2684" s="586"/>
      <c r="Q2684" s="586">
        <v>19900</v>
      </c>
      <c r="R2684" s="582">
        <f t="shared" si="402"/>
        <v>2563.864147088866</v>
      </c>
      <c r="S2684" s="575">
        <f t="shared" si="403"/>
        <v>0</v>
      </c>
      <c r="T2684" s="593"/>
      <c r="U2684" s="591"/>
      <c r="V2684" s="589"/>
      <c r="W2684" s="593"/>
      <c r="X2684" s="593"/>
      <c r="Y2684" s="592">
        <v>1</v>
      </c>
      <c r="Z2684" s="593"/>
    </row>
    <row r="2685" spans="1:26" s="549" customFormat="1" hidden="1">
      <c r="A2685" s="591">
        <f t="shared" si="404"/>
        <v>9</v>
      </c>
      <c r="B2685" s="592" t="s">
        <v>1296</v>
      </c>
      <c r="C2685" s="902"/>
      <c r="D2685" s="593"/>
      <c r="E2685" s="593"/>
      <c r="F2685" s="582" t="s">
        <v>233</v>
      </c>
      <c r="G2685" s="914">
        <v>913.2</v>
      </c>
      <c r="H2685" s="593">
        <v>5</v>
      </c>
      <c r="I2685" s="593">
        <v>4</v>
      </c>
      <c r="J2685" s="582">
        <v>75</v>
      </c>
      <c r="K2685" s="903" t="s">
        <v>33</v>
      </c>
      <c r="L2685" s="584">
        <f>SUM(M2685:Q2685)</f>
        <v>1632228.74</v>
      </c>
      <c r="M2685" s="585">
        <v>1627322.4</v>
      </c>
      <c r="N2685" s="586"/>
      <c r="O2685" s="587">
        <v>4906.34</v>
      </c>
      <c r="P2685" s="586"/>
      <c r="Q2685" s="586"/>
      <c r="R2685" s="582">
        <f t="shared" si="402"/>
        <v>1781.9999999999998</v>
      </c>
      <c r="S2685" s="575">
        <f t="shared" si="403"/>
        <v>8.3673512563109398E-11</v>
      </c>
      <c r="T2685" s="592"/>
      <c r="U2685" s="591"/>
      <c r="V2685" s="589"/>
      <c r="W2685" s="592"/>
      <c r="X2685" s="592"/>
      <c r="Y2685" s="592">
        <v>1</v>
      </c>
      <c r="Z2685" s="592"/>
    </row>
    <row r="2686" spans="1:26" s="549" customFormat="1" hidden="1">
      <c r="A2686" s="591">
        <f t="shared" si="404"/>
        <v>10</v>
      </c>
      <c r="B2686" s="592" t="s">
        <v>1299</v>
      </c>
      <c r="C2686" s="902" t="s">
        <v>217</v>
      </c>
      <c r="D2686" s="593"/>
      <c r="E2686" s="593"/>
      <c r="F2686" s="582" t="s">
        <v>233</v>
      </c>
      <c r="G2686" s="914">
        <v>940.7</v>
      </c>
      <c r="H2686" s="593">
        <v>5</v>
      </c>
      <c r="I2686" s="593">
        <v>5</v>
      </c>
      <c r="J2686" s="582">
        <v>74</v>
      </c>
      <c r="K2686" s="903" t="s">
        <v>33</v>
      </c>
      <c r="L2686" s="584">
        <f>SUM(M2686:Q2686)</f>
        <v>1774791.89</v>
      </c>
      <c r="M2686" s="585">
        <v>1769456.7</v>
      </c>
      <c r="N2686" s="586"/>
      <c r="O2686" s="587">
        <v>5335.19</v>
      </c>
      <c r="P2686" s="586"/>
      <c r="Q2686" s="586"/>
      <c r="R2686" s="582">
        <f t="shared" si="402"/>
        <v>1880.9999999999998</v>
      </c>
      <c r="S2686" s="575">
        <f t="shared" si="403"/>
        <v>-5.5479176808148623E-11</v>
      </c>
      <c r="T2686" s="592"/>
      <c r="U2686" s="591"/>
      <c r="V2686" s="589"/>
      <c r="W2686" s="592"/>
      <c r="X2686" s="592"/>
      <c r="Y2686" s="592">
        <v>1</v>
      </c>
      <c r="Z2686" s="592"/>
    </row>
    <row r="2687" spans="1:26" s="549" customFormat="1" hidden="1">
      <c r="A2687" s="591">
        <f t="shared" si="404"/>
        <v>11</v>
      </c>
      <c r="B2687" s="592" t="s">
        <v>3567</v>
      </c>
      <c r="C2687" s="902"/>
      <c r="D2687" s="593"/>
      <c r="E2687" s="593"/>
      <c r="F2687" s="582" t="s">
        <v>233</v>
      </c>
      <c r="G2687" s="914">
        <v>824</v>
      </c>
      <c r="H2687" s="593">
        <v>5</v>
      </c>
      <c r="I2687" s="593">
        <v>4</v>
      </c>
      <c r="J2687" s="582">
        <v>58</v>
      </c>
      <c r="K2687" s="903" t="s">
        <v>33</v>
      </c>
      <c r="L2687" s="584">
        <f>SUM(M2687:Q2687)</f>
        <v>1554570.75</v>
      </c>
      <c r="M2687" s="585">
        <v>1549944</v>
      </c>
      <c r="N2687" s="586"/>
      <c r="O2687" s="587">
        <v>4626.75</v>
      </c>
      <c r="P2687" s="586"/>
      <c r="Q2687" s="586"/>
      <c r="R2687" s="582">
        <f t="shared" si="402"/>
        <v>1881</v>
      </c>
      <c r="S2687" s="575">
        <f t="shared" si="403"/>
        <v>0</v>
      </c>
      <c r="T2687" s="592"/>
      <c r="U2687" s="591"/>
      <c r="V2687" s="592"/>
      <c r="W2687" s="592"/>
      <c r="X2687" s="592"/>
      <c r="Y2687" s="592">
        <v>1</v>
      </c>
      <c r="Z2687" s="592"/>
    </row>
    <row r="2688" spans="1:26" s="28" customFormat="1" hidden="1">
      <c r="A2688" s="1349" t="s">
        <v>169</v>
      </c>
      <c r="B2688" s="1349"/>
      <c r="C2688" s="586" t="s">
        <v>28</v>
      </c>
      <c r="D2688" s="586">
        <f>SUM(D2677:D2687)</f>
        <v>0</v>
      </c>
      <c r="E2688" s="586">
        <f>SUM(E2677:E2687)</f>
        <v>20339.5</v>
      </c>
      <c r="F2688" s="586" t="s">
        <v>28</v>
      </c>
      <c r="G2688" s="586">
        <f>SUM(G2677:G2687)</f>
        <v>10801.2</v>
      </c>
      <c r="H2688" s="586" t="s">
        <v>28</v>
      </c>
      <c r="I2688" s="586" t="s">
        <v>28</v>
      </c>
      <c r="J2688" s="582">
        <f>SUM(J2677:J2687)</f>
        <v>817</v>
      </c>
      <c r="K2688" s="590" t="s">
        <v>28</v>
      </c>
      <c r="L2688" s="584">
        <f t="shared" ref="L2688:Q2688" si="405">SUM(L2677:L2687)</f>
        <v>24799006.379999999</v>
      </c>
      <c r="M2688" s="585">
        <f t="shared" si="405"/>
        <v>24448226.099999998</v>
      </c>
      <c r="N2688" s="586">
        <f t="shared" si="405"/>
        <v>0</v>
      </c>
      <c r="O2688" s="587">
        <f t="shared" si="405"/>
        <v>191580.28</v>
      </c>
      <c r="P2688" s="586">
        <f t="shared" si="405"/>
        <v>0</v>
      </c>
      <c r="Q2688" s="586">
        <f t="shared" si="405"/>
        <v>159200</v>
      </c>
      <c r="R2688" s="582" t="s">
        <v>28</v>
      </c>
      <c r="S2688" s="564">
        <f t="shared" si="403"/>
        <v>1.1932570487260818E-9</v>
      </c>
      <c r="T2688" s="577" t="e">
        <f>'1.перечень МКД'!#REF!</f>
        <v>#REF!</v>
      </c>
      <c r="U2688" s="589" t="e">
        <f>L2688-T2688</f>
        <v>#REF!</v>
      </c>
      <c r="V2688" s="589"/>
      <c r="W2688" s="592"/>
      <c r="X2688" s="592"/>
      <c r="Y2688" s="592">
        <v>1</v>
      </c>
      <c r="Z2688" s="592"/>
    </row>
    <row r="2689" spans="1:26" s="28" customFormat="1" hidden="1">
      <c r="A2689" s="1347" t="s">
        <v>170</v>
      </c>
      <c r="B2689" s="1347"/>
      <c r="C2689" s="1347"/>
      <c r="D2689" s="1347"/>
      <c r="E2689" s="1347"/>
      <c r="F2689" s="1347"/>
      <c r="G2689" s="1347"/>
      <c r="H2689" s="1347"/>
      <c r="I2689" s="1347"/>
      <c r="J2689" s="1347"/>
      <c r="K2689" s="1347"/>
      <c r="L2689" s="1347"/>
      <c r="M2689" s="1347"/>
      <c r="N2689" s="1347"/>
      <c r="O2689" s="1347"/>
      <c r="P2689" s="1347"/>
      <c r="Q2689" s="1347"/>
      <c r="R2689" s="590"/>
      <c r="S2689" s="592"/>
      <c r="T2689" s="592"/>
      <c r="U2689" s="591"/>
      <c r="V2689" s="589"/>
      <c r="W2689" s="592"/>
      <c r="X2689" s="592"/>
      <c r="Y2689" s="592">
        <v>1</v>
      </c>
      <c r="Z2689" s="592"/>
    </row>
    <row r="2690" spans="1:26" s="28" customFormat="1" hidden="1">
      <c r="A2690" s="916">
        <v>1</v>
      </c>
      <c r="B2690" s="917" t="s">
        <v>3796</v>
      </c>
      <c r="C2690" s="915" t="s">
        <v>239</v>
      </c>
      <c r="D2690" s="915">
        <v>1023</v>
      </c>
      <c r="E2690" s="676">
        <v>585.76</v>
      </c>
      <c r="F2690" s="700" t="s">
        <v>251</v>
      </c>
      <c r="G2690" s="879">
        <v>546</v>
      </c>
      <c r="H2690" s="874">
        <v>2</v>
      </c>
      <c r="I2690" s="874">
        <v>2</v>
      </c>
      <c r="J2690" s="643">
        <v>8</v>
      </c>
      <c r="K2690" s="697" t="s">
        <v>33</v>
      </c>
      <c r="L2690" s="781">
        <f>SUM(M2690:Q2690)</f>
        <v>1560676</v>
      </c>
      <c r="M2690" s="782">
        <f>G2690*2800</f>
        <v>1528800</v>
      </c>
      <c r="N2690" s="925">
        <v>26867</v>
      </c>
      <c r="O2690" s="587"/>
      <c r="P2690" s="586"/>
      <c r="Q2690" s="586">
        <v>5009</v>
      </c>
      <c r="R2690" s="582">
        <f>M2690/G2690</f>
        <v>2800</v>
      </c>
      <c r="S2690" s="592"/>
      <c r="T2690" s="592"/>
      <c r="U2690" s="591"/>
      <c r="V2690" s="589"/>
      <c r="W2690" s="592"/>
      <c r="X2690" s="592"/>
      <c r="Y2690" s="592">
        <v>1</v>
      </c>
      <c r="Z2690" s="592"/>
    </row>
    <row r="2691" spans="1:26" s="28" customFormat="1" hidden="1">
      <c r="A2691" s="916">
        <v>2</v>
      </c>
      <c r="B2691" s="917" t="s">
        <v>2268</v>
      </c>
      <c r="C2691" s="915" t="s">
        <v>239</v>
      </c>
      <c r="D2691" s="915">
        <v>3030</v>
      </c>
      <c r="E2691" s="676">
        <v>619.44000000000005</v>
      </c>
      <c r="F2691" s="700" t="s">
        <v>251</v>
      </c>
      <c r="G2691" s="879">
        <v>679</v>
      </c>
      <c r="H2691" s="874">
        <v>2</v>
      </c>
      <c r="I2691" s="874">
        <v>2</v>
      </c>
      <c r="J2691" s="643">
        <v>16</v>
      </c>
      <c r="K2691" s="697" t="s">
        <v>33</v>
      </c>
      <c r="L2691" s="781">
        <f>SUM(M2691:Q2691)</f>
        <v>1946691</v>
      </c>
      <c r="M2691" s="782">
        <f>G2691*2800</f>
        <v>1901200</v>
      </c>
      <c r="N2691" s="925">
        <v>30654</v>
      </c>
      <c r="O2691" s="587"/>
      <c r="P2691" s="586"/>
      <c r="Q2691" s="586">
        <v>14837</v>
      </c>
      <c r="R2691" s="582">
        <f>M2691/G2691</f>
        <v>2800</v>
      </c>
      <c r="S2691" s="592"/>
      <c r="T2691" s="592"/>
      <c r="U2691" s="591"/>
      <c r="V2691" s="589"/>
      <c r="W2691" s="592"/>
      <c r="X2691" s="592"/>
      <c r="Y2691" s="592">
        <v>1</v>
      </c>
      <c r="Z2691" s="592"/>
    </row>
    <row r="2692" spans="1:26" s="28" customFormat="1" hidden="1">
      <c r="A2692" s="1349" t="s">
        <v>171</v>
      </c>
      <c r="B2692" s="1349"/>
      <c r="C2692" s="586"/>
      <c r="D2692" s="586">
        <f>SUM(D2690:D2691)</f>
        <v>4053</v>
      </c>
      <c r="E2692" s="586">
        <f>SUM(E2690:E2691)</f>
        <v>1205.2</v>
      </c>
      <c r="F2692" s="593" t="s">
        <v>28</v>
      </c>
      <c r="G2692" s="586">
        <f>SUM(G2690:G2691)</f>
        <v>1225</v>
      </c>
      <c r="H2692" s="593" t="s">
        <v>28</v>
      </c>
      <c r="I2692" s="593" t="s">
        <v>28</v>
      </c>
      <c r="J2692" s="582">
        <f>SUM(J2690:J2691)</f>
        <v>24</v>
      </c>
      <c r="K2692" s="590" t="s">
        <v>28</v>
      </c>
      <c r="L2692" s="584">
        <f t="shared" ref="L2692:Q2692" si="406">SUM(L2690:L2691)</f>
        <v>3507367</v>
      </c>
      <c r="M2692" s="585">
        <f t="shared" si="406"/>
        <v>3430000</v>
      </c>
      <c r="N2692" s="586">
        <f t="shared" si="406"/>
        <v>57521</v>
      </c>
      <c r="O2692" s="587">
        <f t="shared" si="406"/>
        <v>0</v>
      </c>
      <c r="P2692" s="586">
        <f t="shared" si="406"/>
        <v>0</v>
      </c>
      <c r="Q2692" s="586">
        <f t="shared" si="406"/>
        <v>19846</v>
      </c>
      <c r="R2692" s="582" t="s">
        <v>28</v>
      </c>
      <c r="S2692" s="564">
        <f>L2692-M2692-N2692-O2692-P2692-Q2692</f>
        <v>0</v>
      </c>
      <c r="T2692" s="577" t="e">
        <f>'1.перечень МКД'!#REF!</f>
        <v>#REF!</v>
      </c>
      <c r="U2692" s="589" t="e">
        <f>L2692-T2692</f>
        <v>#REF!</v>
      </c>
      <c r="V2692" s="589"/>
      <c r="W2692" s="592"/>
      <c r="X2692" s="592"/>
      <c r="Y2692" s="592">
        <v>1</v>
      </c>
      <c r="Z2692" s="592"/>
    </row>
    <row r="2693" spans="1:26" s="28" customFormat="1" hidden="1">
      <c r="A2693" s="1347" t="s">
        <v>172</v>
      </c>
      <c r="B2693" s="1347"/>
      <c r="C2693" s="1347"/>
      <c r="D2693" s="1347"/>
      <c r="E2693" s="1347"/>
      <c r="F2693" s="1347"/>
      <c r="G2693" s="1347"/>
      <c r="H2693" s="1347"/>
      <c r="I2693" s="1347"/>
      <c r="J2693" s="1347"/>
      <c r="K2693" s="1347"/>
      <c r="L2693" s="1347"/>
      <c r="M2693" s="1347"/>
      <c r="N2693" s="1347"/>
      <c r="O2693" s="1347"/>
      <c r="P2693" s="1347"/>
      <c r="Q2693" s="1347"/>
      <c r="R2693" s="590"/>
      <c r="S2693" s="592"/>
      <c r="T2693" s="592"/>
      <c r="U2693" s="591"/>
      <c r="V2693" s="589"/>
      <c r="W2693" s="592"/>
      <c r="X2693" s="592"/>
      <c r="Y2693" s="592">
        <v>1</v>
      </c>
      <c r="Z2693" s="592"/>
    </row>
    <row r="2694" spans="1:26" s="28" customFormat="1" ht="37.5" hidden="1">
      <c r="A2694" s="916">
        <v>1</v>
      </c>
      <c r="B2694" s="917" t="s">
        <v>2269</v>
      </c>
      <c r="C2694" s="915" t="s">
        <v>221</v>
      </c>
      <c r="D2694" s="915"/>
      <c r="E2694" s="676">
        <v>654</v>
      </c>
      <c r="F2694" s="700" t="s">
        <v>301</v>
      </c>
      <c r="G2694" s="879">
        <v>583</v>
      </c>
      <c r="H2694" s="874">
        <v>2</v>
      </c>
      <c r="I2694" s="874">
        <v>3</v>
      </c>
      <c r="J2694" s="643">
        <v>25</v>
      </c>
      <c r="K2694" s="697" t="s">
        <v>30</v>
      </c>
      <c r="L2694" s="781">
        <f>M2694+N2694+O2694+P2694+Q2694</f>
        <v>647178.06999999995</v>
      </c>
      <c r="M2694" s="782">
        <f>J2694*25000</f>
        <v>625000</v>
      </c>
      <c r="N2694" s="783"/>
      <c r="O2694" s="631">
        <v>11048</v>
      </c>
      <c r="P2694" s="586"/>
      <c r="Q2694" s="586">
        <v>11130.07</v>
      </c>
      <c r="R2694" s="582">
        <f>M2694/J2694</f>
        <v>25000</v>
      </c>
      <c r="S2694" s="592"/>
      <c r="T2694" s="592"/>
      <c r="U2694" s="591"/>
      <c r="V2694" s="589"/>
      <c r="W2694" s="592"/>
      <c r="X2694" s="592"/>
      <c r="Y2694" s="592">
        <v>1</v>
      </c>
      <c r="Z2694" s="592"/>
    </row>
    <row r="2695" spans="1:26" s="28" customFormat="1" ht="37.5" hidden="1">
      <c r="A2695" s="916">
        <v>2</v>
      </c>
      <c r="B2695" s="917" t="s">
        <v>2270</v>
      </c>
      <c r="C2695" s="915" t="s">
        <v>299</v>
      </c>
      <c r="D2695" s="915"/>
      <c r="E2695" s="676">
        <v>700</v>
      </c>
      <c r="F2695" s="700" t="s">
        <v>4317</v>
      </c>
      <c r="G2695" s="879">
        <v>601</v>
      </c>
      <c r="H2695" s="874">
        <v>2</v>
      </c>
      <c r="I2695" s="874">
        <v>2</v>
      </c>
      <c r="J2695" s="643">
        <v>17</v>
      </c>
      <c r="K2695" s="697" t="s">
        <v>30</v>
      </c>
      <c r="L2695" s="781">
        <f>M2695+N2695+O2695+P2695+Q2695</f>
        <v>452876.07</v>
      </c>
      <c r="M2695" s="782">
        <f>J2695*25000</f>
        <v>425000</v>
      </c>
      <c r="N2695" s="783"/>
      <c r="O2695" s="631">
        <v>16746</v>
      </c>
      <c r="P2695" s="586"/>
      <c r="Q2695" s="586">
        <v>11130.07</v>
      </c>
      <c r="R2695" s="582">
        <f>M2695/J2695</f>
        <v>25000</v>
      </c>
      <c r="S2695" s="592"/>
      <c r="T2695" s="592"/>
      <c r="U2695" s="591"/>
      <c r="V2695" s="589"/>
      <c r="W2695" s="592"/>
      <c r="X2695" s="592"/>
      <c r="Y2695" s="592"/>
      <c r="Z2695" s="592"/>
    </row>
    <row r="2696" spans="1:26" s="28" customFormat="1" hidden="1">
      <c r="A2696" s="1349" t="s">
        <v>173</v>
      </c>
      <c r="B2696" s="1349"/>
      <c r="C2696" s="586">
        <f>SUM(C2695)</f>
        <v>0</v>
      </c>
      <c r="D2696" s="586">
        <f>SUM(D2694:D2695)</f>
        <v>0</v>
      </c>
      <c r="E2696" s="586">
        <f>SUM(E2694:E2695)</f>
        <v>1354</v>
      </c>
      <c r="F2696" s="593" t="s">
        <v>28</v>
      </c>
      <c r="G2696" s="586">
        <f>SUM(G2694:G2695)</f>
        <v>1184</v>
      </c>
      <c r="H2696" s="593" t="s">
        <v>28</v>
      </c>
      <c r="I2696" s="593" t="s">
        <v>28</v>
      </c>
      <c r="J2696" s="582">
        <f>SUM(J2694:J2695)</f>
        <v>42</v>
      </c>
      <c r="K2696" s="590" t="s">
        <v>28</v>
      </c>
      <c r="L2696" s="584">
        <f t="shared" ref="L2696:Q2696" si="407">SUM(L2694:L2695)</f>
        <v>1100054.1399999999</v>
      </c>
      <c r="M2696" s="585">
        <f t="shared" si="407"/>
        <v>1050000</v>
      </c>
      <c r="N2696" s="586">
        <f t="shared" si="407"/>
        <v>0</v>
      </c>
      <c r="O2696" s="587">
        <f t="shared" si="407"/>
        <v>27794</v>
      </c>
      <c r="P2696" s="586">
        <f t="shared" si="407"/>
        <v>0</v>
      </c>
      <c r="Q2696" s="586">
        <f t="shared" si="407"/>
        <v>22260.14</v>
      </c>
      <c r="R2696" s="582" t="s">
        <v>28</v>
      </c>
      <c r="S2696" s="564">
        <f>L2696-M2696-N2696-O2696-P2696-Q2696</f>
        <v>-1.0186340659856796E-10</v>
      </c>
      <c r="T2696" s="577" t="e">
        <f>'1.перечень МКД'!#REF!</f>
        <v>#REF!</v>
      </c>
      <c r="U2696" s="589" t="e">
        <f>L2696-T2696</f>
        <v>#REF!</v>
      </c>
      <c r="V2696" s="589"/>
      <c r="W2696" s="592"/>
      <c r="X2696" s="592"/>
      <c r="Y2696" s="592">
        <v>1</v>
      </c>
      <c r="Z2696" s="592"/>
    </row>
    <row r="2697" spans="1:26" s="28" customFormat="1" hidden="1">
      <c r="A2697" s="1347" t="s">
        <v>174</v>
      </c>
      <c r="B2697" s="1347"/>
      <c r="C2697" s="1347"/>
      <c r="D2697" s="1347"/>
      <c r="E2697" s="1347"/>
      <c r="F2697" s="1347"/>
      <c r="G2697" s="1347"/>
      <c r="H2697" s="1347"/>
      <c r="I2697" s="1347"/>
      <c r="J2697" s="1347"/>
      <c r="K2697" s="1347"/>
      <c r="L2697" s="1347"/>
      <c r="M2697" s="1347"/>
      <c r="N2697" s="1347"/>
      <c r="O2697" s="1347"/>
      <c r="P2697" s="1347"/>
      <c r="Q2697" s="1347"/>
      <c r="R2697" s="590"/>
      <c r="S2697" s="592"/>
      <c r="T2697" s="592"/>
      <c r="U2697" s="591"/>
      <c r="V2697" s="589"/>
      <c r="W2697" s="592"/>
      <c r="X2697" s="592"/>
      <c r="Y2697" s="592">
        <v>1</v>
      </c>
      <c r="Z2697" s="592"/>
    </row>
    <row r="2698" spans="1:26" s="28" customFormat="1" hidden="1">
      <c r="A2698" s="916">
        <v>1</v>
      </c>
      <c r="B2698" s="917" t="s">
        <v>2271</v>
      </c>
      <c r="C2698" s="915" t="s">
        <v>314</v>
      </c>
      <c r="D2698" s="915">
        <v>1497</v>
      </c>
      <c r="E2698" s="676">
        <v>1342.1</v>
      </c>
      <c r="F2698" s="700" t="s">
        <v>251</v>
      </c>
      <c r="G2698" s="879">
        <v>320</v>
      </c>
      <c r="H2698" s="874">
        <v>2</v>
      </c>
      <c r="I2698" s="874">
        <v>1</v>
      </c>
      <c r="J2698" s="643">
        <v>9</v>
      </c>
      <c r="K2698" s="697" t="s">
        <v>33</v>
      </c>
      <c r="L2698" s="781">
        <f>SUM(M2698:Q2698)</f>
        <v>930736.35</v>
      </c>
      <c r="M2698" s="782">
        <f>G2698*2800</f>
        <v>896000</v>
      </c>
      <c r="N2698" s="925">
        <v>27443</v>
      </c>
      <c r="O2698" s="587"/>
      <c r="P2698" s="586"/>
      <c r="Q2698" s="586">
        <v>7293.35</v>
      </c>
      <c r="R2698" s="582">
        <f>M2698/G2698</f>
        <v>2800</v>
      </c>
      <c r="S2698" s="592"/>
      <c r="T2698" s="592"/>
      <c r="U2698" s="591"/>
      <c r="V2698" s="589"/>
      <c r="W2698" s="592"/>
      <c r="X2698" s="592"/>
      <c r="Y2698" s="592">
        <v>1</v>
      </c>
      <c r="Z2698" s="592"/>
    </row>
    <row r="2699" spans="1:26" s="28" customFormat="1" hidden="1">
      <c r="A2699" s="916">
        <f>A2698+1</f>
        <v>2</v>
      </c>
      <c r="B2699" s="917" t="s">
        <v>2272</v>
      </c>
      <c r="C2699" s="915" t="s">
        <v>314</v>
      </c>
      <c r="D2699" s="915">
        <v>1621</v>
      </c>
      <c r="E2699" s="676">
        <v>1010.8</v>
      </c>
      <c r="F2699" s="700" t="s">
        <v>251</v>
      </c>
      <c r="G2699" s="879">
        <v>312</v>
      </c>
      <c r="H2699" s="874">
        <v>2</v>
      </c>
      <c r="I2699" s="874">
        <v>1</v>
      </c>
      <c r="J2699" s="643">
        <v>8</v>
      </c>
      <c r="K2699" s="697" t="s">
        <v>33</v>
      </c>
      <c r="L2699" s="781">
        <f>SUM(M2699:Q2699)</f>
        <v>909264.31</v>
      </c>
      <c r="M2699" s="782">
        <f>G2699*2800</f>
        <v>873600</v>
      </c>
      <c r="N2699" s="925">
        <v>27767</v>
      </c>
      <c r="O2699" s="587"/>
      <c r="P2699" s="586"/>
      <c r="Q2699" s="586">
        <v>7897.31</v>
      </c>
      <c r="R2699" s="582">
        <f>M2699/G2699</f>
        <v>2800</v>
      </c>
      <c r="S2699" s="592"/>
      <c r="T2699" s="592"/>
      <c r="U2699" s="591"/>
      <c r="V2699" s="589"/>
      <c r="W2699" s="592"/>
      <c r="X2699" s="592"/>
      <c r="Y2699" s="592">
        <v>1</v>
      </c>
      <c r="Z2699" s="592"/>
    </row>
    <row r="2700" spans="1:26" s="28" customFormat="1" hidden="1">
      <c r="A2700" s="916">
        <f>A2699+1</f>
        <v>3</v>
      </c>
      <c r="B2700" s="917" t="s">
        <v>2273</v>
      </c>
      <c r="C2700" s="915" t="s">
        <v>314</v>
      </c>
      <c r="D2700" s="915">
        <v>2805</v>
      </c>
      <c r="E2700" s="676">
        <v>2352.1999999999998</v>
      </c>
      <c r="F2700" s="700"/>
      <c r="G2700" s="879">
        <v>966.2</v>
      </c>
      <c r="H2700" s="874">
        <v>2</v>
      </c>
      <c r="I2700" s="874">
        <v>2</v>
      </c>
      <c r="J2700" s="643">
        <v>16</v>
      </c>
      <c r="K2700" s="697" t="s">
        <v>224</v>
      </c>
      <c r="L2700" s="781">
        <f>SUM(M2700:Q2700)</f>
        <v>377468.49</v>
      </c>
      <c r="M2700" s="782">
        <f>J2700*22000</f>
        <v>352000</v>
      </c>
      <c r="N2700" s="925">
        <v>22780</v>
      </c>
      <c r="O2700" s="587"/>
      <c r="P2700" s="586"/>
      <c r="Q2700" s="586">
        <v>2688.49</v>
      </c>
      <c r="R2700" s="582">
        <f>M2700/J2700</f>
        <v>22000</v>
      </c>
      <c r="S2700" s="592"/>
      <c r="T2700" s="592"/>
      <c r="U2700" s="591"/>
      <c r="V2700" s="589"/>
      <c r="W2700" s="592"/>
      <c r="X2700" s="592"/>
      <c r="Y2700" s="592">
        <v>1</v>
      </c>
      <c r="Z2700" s="592"/>
    </row>
    <row r="2701" spans="1:26" s="36" customFormat="1" hidden="1">
      <c r="A2701" s="1349" t="s">
        <v>175</v>
      </c>
      <c r="B2701" s="1349"/>
      <c r="C2701" s="786" t="s">
        <v>28</v>
      </c>
      <c r="D2701" s="586">
        <f>SUM(D2698:D2700)</f>
        <v>5923</v>
      </c>
      <c r="E2701" s="586">
        <f>SUM(E2698:E2700)</f>
        <v>4705.0999999999995</v>
      </c>
      <c r="F2701" s="786" t="s">
        <v>28</v>
      </c>
      <c r="G2701" s="586">
        <f>SUM(G2698:G2700)</f>
        <v>1598.2</v>
      </c>
      <c r="H2701" s="786" t="s">
        <v>28</v>
      </c>
      <c r="I2701" s="786" t="s">
        <v>28</v>
      </c>
      <c r="J2701" s="582">
        <f>SUM(J2698:J2700)</f>
        <v>33</v>
      </c>
      <c r="K2701" s="590" t="s">
        <v>28</v>
      </c>
      <c r="L2701" s="584">
        <f t="shared" ref="L2701:Q2701" si="408">SUM(L2698:L2700)</f>
        <v>2217469.1500000004</v>
      </c>
      <c r="M2701" s="585">
        <f t="shared" si="408"/>
        <v>2121600</v>
      </c>
      <c r="N2701" s="586">
        <f t="shared" si="408"/>
        <v>77990</v>
      </c>
      <c r="O2701" s="587">
        <f t="shared" si="408"/>
        <v>0</v>
      </c>
      <c r="P2701" s="586">
        <f t="shared" si="408"/>
        <v>0</v>
      </c>
      <c r="Q2701" s="586">
        <f t="shared" si="408"/>
        <v>17879.150000000001</v>
      </c>
      <c r="R2701" s="582" t="s">
        <v>28</v>
      </c>
      <c r="S2701" s="564">
        <f>L2701-M2701-N2701-O2701-P2701-Q2701</f>
        <v>3.7107383832335472E-10</v>
      </c>
      <c r="T2701" s="577" t="e">
        <f>'1.перечень МКД'!#REF!</f>
        <v>#REF!</v>
      </c>
      <c r="U2701" s="589" t="e">
        <f>L2701-T2701</f>
        <v>#REF!</v>
      </c>
      <c r="V2701" s="589"/>
      <c r="W2701" s="593"/>
      <c r="X2701" s="593"/>
      <c r="Y2701" s="592">
        <v>1</v>
      </c>
      <c r="Z2701" s="593"/>
    </row>
    <row r="2702" spans="1:26" s="28" customFormat="1" hidden="1">
      <c r="A2702" s="1347" t="s">
        <v>176</v>
      </c>
      <c r="B2702" s="1347"/>
      <c r="C2702" s="1347"/>
      <c r="D2702" s="1347"/>
      <c r="E2702" s="1347"/>
      <c r="F2702" s="1347"/>
      <c r="G2702" s="1347"/>
      <c r="H2702" s="1347"/>
      <c r="I2702" s="1347"/>
      <c r="J2702" s="1347"/>
      <c r="K2702" s="1347"/>
      <c r="L2702" s="1347"/>
      <c r="M2702" s="1347"/>
      <c r="N2702" s="1347"/>
      <c r="O2702" s="1347"/>
      <c r="P2702" s="1347"/>
      <c r="Q2702" s="1347"/>
      <c r="R2702" s="590"/>
      <c r="S2702" s="592"/>
      <c r="T2702" s="592"/>
      <c r="U2702" s="591"/>
      <c r="V2702" s="589"/>
      <c r="W2702" s="592"/>
      <c r="X2702" s="592"/>
      <c r="Y2702" s="592">
        <v>1</v>
      </c>
      <c r="Z2702" s="592"/>
    </row>
    <row r="2703" spans="1:26" s="28" customFormat="1" ht="37.5" hidden="1">
      <c r="A2703" s="916">
        <v>1</v>
      </c>
      <c r="B2703" s="917" t="s">
        <v>3953</v>
      </c>
      <c r="C2703" s="915" t="s">
        <v>282</v>
      </c>
      <c r="D2703" s="915"/>
      <c r="E2703" s="676"/>
      <c r="F2703" s="700"/>
      <c r="G2703" s="879"/>
      <c r="H2703" s="874">
        <v>2</v>
      </c>
      <c r="I2703" s="874">
        <v>3</v>
      </c>
      <c r="J2703" s="643">
        <v>22</v>
      </c>
      <c r="K2703" s="697" t="s">
        <v>30</v>
      </c>
      <c r="L2703" s="781">
        <f t="shared" ref="L2703:L2708" si="409">SUM(M2703:Q2703)</f>
        <v>417988</v>
      </c>
      <c r="M2703" s="782">
        <v>396000</v>
      </c>
      <c r="N2703" s="783"/>
      <c r="O2703" s="631">
        <v>10802</v>
      </c>
      <c r="P2703" s="586"/>
      <c r="Q2703" s="586">
        <v>11186</v>
      </c>
      <c r="R2703" s="582">
        <f>M2703/J2703</f>
        <v>18000</v>
      </c>
      <c r="S2703" s="592"/>
      <c r="T2703" s="592"/>
      <c r="U2703" s="591"/>
      <c r="V2703" s="589"/>
      <c r="W2703" s="592"/>
      <c r="X2703" s="592"/>
      <c r="Y2703" s="592">
        <v>1</v>
      </c>
      <c r="Z2703" s="592"/>
    </row>
    <row r="2704" spans="1:26" s="28" customFormat="1" ht="37.5" hidden="1">
      <c r="A2704" s="916">
        <f>A2703+1</f>
        <v>2</v>
      </c>
      <c r="B2704" s="917" t="s">
        <v>2274</v>
      </c>
      <c r="C2704" s="915"/>
      <c r="D2704" s="915"/>
      <c r="E2704" s="676"/>
      <c r="F2704" s="700"/>
      <c r="G2704" s="879"/>
      <c r="H2704" s="874">
        <v>2</v>
      </c>
      <c r="I2704" s="874">
        <v>3</v>
      </c>
      <c r="J2704" s="643">
        <v>22</v>
      </c>
      <c r="K2704" s="697" t="s">
        <v>30</v>
      </c>
      <c r="L2704" s="781">
        <f t="shared" si="409"/>
        <v>417988</v>
      </c>
      <c r="M2704" s="782">
        <v>396000</v>
      </c>
      <c r="N2704" s="783"/>
      <c r="O2704" s="631">
        <v>10802</v>
      </c>
      <c r="P2704" s="586"/>
      <c r="Q2704" s="586">
        <v>11186</v>
      </c>
      <c r="R2704" s="582">
        <f>M2704/J2704</f>
        <v>18000</v>
      </c>
      <c r="S2704" s="592"/>
      <c r="T2704" s="592"/>
      <c r="U2704" s="591"/>
      <c r="V2704" s="589"/>
      <c r="W2704" s="592"/>
      <c r="X2704" s="592"/>
      <c r="Y2704" s="592">
        <v>1</v>
      </c>
      <c r="Z2704" s="592"/>
    </row>
    <row r="2705" spans="1:26" s="89" customFormat="1" hidden="1">
      <c r="A2705" s="916">
        <f t="shared" ref="A2705:A2708" si="410">A2704+1</f>
        <v>3</v>
      </c>
      <c r="B2705" s="917" t="s">
        <v>3954</v>
      </c>
      <c r="C2705" s="915" t="s">
        <v>314</v>
      </c>
      <c r="D2705" s="915"/>
      <c r="E2705" s="676">
        <v>8889.7999999999993</v>
      </c>
      <c r="F2705" s="700" t="s">
        <v>251</v>
      </c>
      <c r="G2705" s="879">
        <v>1439.9</v>
      </c>
      <c r="H2705" s="874">
        <v>5</v>
      </c>
      <c r="I2705" s="874">
        <v>6</v>
      </c>
      <c r="J2705" s="643">
        <v>79</v>
      </c>
      <c r="K2705" s="697" t="s">
        <v>33</v>
      </c>
      <c r="L2705" s="781">
        <f t="shared" si="409"/>
        <v>4101296.0000000005</v>
      </c>
      <c r="M2705" s="782">
        <v>4031720.0000000005</v>
      </c>
      <c r="N2705" s="925">
        <v>29576</v>
      </c>
      <c r="O2705" s="587"/>
      <c r="P2705" s="630"/>
      <c r="Q2705" s="630">
        <v>40000</v>
      </c>
      <c r="R2705" s="582">
        <f>M2705/G2705</f>
        <v>2800</v>
      </c>
      <c r="S2705" s="592"/>
      <c r="T2705" s="592"/>
      <c r="U2705" s="591"/>
      <c r="V2705" s="589"/>
      <c r="W2705" s="592"/>
      <c r="X2705" s="592"/>
      <c r="Y2705" s="592">
        <v>1</v>
      </c>
      <c r="Z2705" s="592"/>
    </row>
    <row r="2706" spans="1:26" s="89" customFormat="1" hidden="1">
      <c r="A2706" s="916">
        <f t="shared" si="410"/>
        <v>4</v>
      </c>
      <c r="B2706" s="917" t="s">
        <v>3955</v>
      </c>
      <c r="C2706" s="915" t="s">
        <v>3956</v>
      </c>
      <c r="D2706" s="915"/>
      <c r="E2706" s="676">
        <v>989.8</v>
      </c>
      <c r="F2706" s="700" t="s">
        <v>251</v>
      </c>
      <c r="G2706" s="879">
        <v>494.4</v>
      </c>
      <c r="H2706" s="874">
        <v>2</v>
      </c>
      <c r="I2706" s="874">
        <v>2</v>
      </c>
      <c r="J2706" s="643">
        <v>16</v>
      </c>
      <c r="K2706" s="697" t="s">
        <v>33</v>
      </c>
      <c r="L2706" s="781">
        <f t="shared" si="409"/>
        <v>1426752</v>
      </c>
      <c r="M2706" s="782">
        <v>1384320</v>
      </c>
      <c r="N2706" s="925">
        <v>29353</v>
      </c>
      <c r="O2706" s="587"/>
      <c r="P2706" s="630"/>
      <c r="Q2706" s="630">
        <v>13079</v>
      </c>
      <c r="R2706" s="582">
        <f>M2706/G2706</f>
        <v>2800</v>
      </c>
      <c r="S2706" s="592"/>
      <c r="T2706" s="592"/>
      <c r="U2706" s="591"/>
      <c r="V2706" s="589"/>
      <c r="W2706" s="592"/>
      <c r="X2706" s="592"/>
      <c r="Y2706" s="592">
        <v>1</v>
      </c>
      <c r="Z2706" s="592"/>
    </row>
    <row r="2707" spans="1:26" s="89" customFormat="1" hidden="1">
      <c r="A2707" s="916">
        <f t="shared" si="410"/>
        <v>5</v>
      </c>
      <c r="B2707" s="917" t="s">
        <v>3957</v>
      </c>
      <c r="C2707" s="915" t="s">
        <v>314</v>
      </c>
      <c r="D2707" s="915"/>
      <c r="E2707" s="676">
        <v>1257.8</v>
      </c>
      <c r="F2707" s="700" t="s">
        <v>251</v>
      </c>
      <c r="G2707" s="879">
        <v>642</v>
      </c>
      <c r="H2707" s="874">
        <v>2</v>
      </c>
      <c r="I2707" s="874">
        <v>2</v>
      </c>
      <c r="J2707" s="643">
        <v>22</v>
      </c>
      <c r="K2707" s="697" t="s">
        <v>224</v>
      </c>
      <c r="L2707" s="781">
        <f t="shared" si="409"/>
        <v>518267</v>
      </c>
      <c r="M2707" s="782">
        <v>484000</v>
      </c>
      <c r="N2707" s="925">
        <v>23209</v>
      </c>
      <c r="O2707" s="587"/>
      <c r="P2707" s="630"/>
      <c r="Q2707" s="630">
        <v>11058</v>
      </c>
      <c r="R2707" s="582">
        <f>M2707/J2707</f>
        <v>22000</v>
      </c>
      <c r="S2707" s="592"/>
      <c r="T2707" s="592"/>
      <c r="U2707" s="591"/>
      <c r="V2707" s="589"/>
      <c r="W2707" s="592"/>
      <c r="X2707" s="592"/>
      <c r="Y2707" s="592">
        <v>1</v>
      </c>
      <c r="Z2707" s="592"/>
    </row>
    <row r="2708" spans="1:26" s="89" customFormat="1" hidden="1">
      <c r="A2708" s="916">
        <f t="shared" si="410"/>
        <v>6</v>
      </c>
      <c r="B2708" s="917" t="s">
        <v>3958</v>
      </c>
      <c r="C2708" s="915" t="s">
        <v>314</v>
      </c>
      <c r="D2708" s="915"/>
      <c r="E2708" s="676">
        <v>604</v>
      </c>
      <c r="F2708" s="700" t="s">
        <v>251</v>
      </c>
      <c r="G2708" s="879">
        <v>3991</v>
      </c>
      <c r="H2708" s="874">
        <v>2</v>
      </c>
      <c r="I2708" s="874">
        <v>2</v>
      </c>
      <c r="J2708" s="643">
        <v>16</v>
      </c>
      <c r="K2708" s="697" t="s">
        <v>224</v>
      </c>
      <c r="L2708" s="781">
        <f t="shared" si="409"/>
        <v>379623</v>
      </c>
      <c r="M2708" s="782">
        <v>352000</v>
      </c>
      <c r="N2708" s="925">
        <v>21400</v>
      </c>
      <c r="O2708" s="587"/>
      <c r="P2708" s="630"/>
      <c r="Q2708" s="630">
        <v>6223</v>
      </c>
      <c r="R2708" s="582">
        <f>M2708/J2708</f>
        <v>22000</v>
      </c>
      <c r="S2708" s="592"/>
      <c r="T2708" s="592"/>
      <c r="U2708" s="591"/>
      <c r="V2708" s="589"/>
      <c r="W2708" s="592"/>
      <c r="X2708" s="592"/>
      <c r="Y2708" s="592">
        <v>1</v>
      </c>
      <c r="Z2708" s="592"/>
    </row>
    <row r="2709" spans="1:26" s="28" customFormat="1" hidden="1">
      <c r="A2709" s="1349" t="s">
        <v>177</v>
      </c>
      <c r="B2709" s="1349"/>
      <c r="C2709" s="786" t="s">
        <v>28</v>
      </c>
      <c r="D2709" s="586"/>
      <c r="E2709" s="586">
        <f>SUM(E2703:E2708)</f>
        <v>11741.399999999998</v>
      </c>
      <c r="F2709" s="786" t="s">
        <v>28</v>
      </c>
      <c r="G2709" s="586">
        <f>SUM(G2703:G2708)</f>
        <v>6567.3</v>
      </c>
      <c r="H2709" s="786" t="s">
        <v>28</v>
      </c>
      <c r="I2709" s="786" t="s">
        <v>28</v>
      </c>
      <c r="J2709" s="582">
        <f>SUM(J2703:J2708)</f>
        <v>177</v>
      </c>
      <c r="K2709" s="590" t="s">
        <v>28</v>
      </c>
      <c r="L2709" s="584">
        <f t="shared" ref="L2709:Q2709" si="411">SUM(L2703:L2708)</f>
        <v>7261914</v>
      </c>
      <c r="M2709" s="585">
        <f t="shared" si="411"/>
        <v>7044040</v>
      </c>
      <c r="N2709" s="586">
        <f t="shared" si="411"/>
        <v>103538</v>
      </c>
      <c r="O2709" s="587">
        <f t="shared" si="411"/>
        <v>21604</v>
      </c>
      <c r="P2709" s="586">
        <f t="shared" si="411"/>
        <v>0</v>
      </c>
      <c r="Q2709" s="586">
        <f t="shared" si="411"/>
        <v>92732</v>
      </c>
      <c r="R2709" s="582" t="s">
        <v>28</v>
      </c>
      <c r="S2709" s="564">
        <f>L2709-M2709-N2709-O2709-P2709-Q2709</f>
        <v>0</v>
      </c>
      <c r="T2709" s="577" t="e">
        <f>'1.перечень МКД'!#REF!</f>
        <v>#REF!</v>
      </c>
      <c r="U2709" s="589" t="e">
        <f>L2709-T2709</f>
        <v>#REF!</v>
      </c>
      <c r="V2709" s="589"/>
      <c r="W2709" s="592"/>
      <c r="X2709" s="592"/>
      <c r="Y2709" s="592">
        <v>1</v>
      </c>
      <c r="Z2709" s="592"/>
    </row>
    <row r="2710" spans="1:26" s="28" customFormat="1" hidden="1">
      <c r="A2710" s="1347" t="s">
        <v>178</v>
      </c>
      <c r="B2710" s="1347"/>
      <c r="C2710" s="1347"/>
      <c r="D2710" s="1347"/>
      <c r="E2710" s="1347"/>
      <c r="F2710" s="1347"/>
      <c r="G2710" s="1347"/>
      <c r="H2710" s="1347"/>
      <c r="I2710" s="1347"/>
      <c r="J2710" s="1347"/>
      <c r="K2710" s="1347"/>
      <c r="L2710" s="1347"/>
      <c r="M2710" s="1347"/>
      <c r="N2710" s="1347"/>
      <c r="O2710" s="1347"/>
      <c r="P2710" s="1347"/>
      <c r="Q2710" s="1347"/>
      <c r="R2710" s="590"/>
      <c r="S2710" s="592"/>
      <c r="T2710" s="592"/>
      <c r="U2710" s="591"/>
      <c r="V2710" s="589"/>
      <c r="W2710" s="592"/>
      <c r="X2710" s="592"/>
      <c r="Y2710" s="592">
        <v>1</v>
      </c>
      <c r="Z2710" s="592"/>
    </row>
    <row r="2711" spans="1:26" s="28" customFormat="1" ht="37.5" hidden="1">
      <c r="A2711" s="591">
        <v>1</v>
      </c>
      <c r="B2711" s="592" t="s">
        <v>1316</v>
      </c>
      <c r="C2711" s="593" t="s">
        <v>282</v>
      </c>
      <c r="D2711" s="582">
        <v>65598</v>
      </c>
      <c r="E2711" s="593">
        <v>10395</v>
      </c>
      <c r="F2711" s="582" t="s">
        <v>253</v>
      </c>
      <c r="G2711" s="593">
        <v>2811</v>
      </c>
      <c r="H2711" s="593">
        <v>9</v>
      </c>
      <c r="I2711" s="593">
        <v>8</v>
      </c>
      <c r="J2711" s="593">
        <v>291</v>
      </c>
      <c r="K2711" s="588" t="s">
        <v>219</v>
      </c>
      <c r="L2711" s="584">
        <f>SUM(M2711:Q2711)</f>
        <v>14212500</v>
      </c>
      <c r="M2711" s="585">
        <v>14000000</v>
      </c>
      <c r="N2711" s="586">
        <v>212500</v>
      </c>
      <c r="O2711" s="587"/>
      <c r="P2711" s="586"/>
      <c r="Q2711" s="586"/>
      <c r="R2711" s="599">
        <f>M2711/7</f>
        <v>2000000</v>
      </c>
      <c r="S2711" s="592"/>
      <c r="T2711" s="592"/>
      <c r="U2711" s="591"/>
      <c r="V2711" s="589"/>
      <c r="W2711" s="592"/>
      <c r="X2711" s="592"/>
      <c r="Y2711" s="592">
        <v>1</v>
      </c>
      <c r="Z2711" s="592"/>
    </row>
    <row r="2712" spans="1:26" s="28" customFormat="1" ht="37.5" hidden="1">
      <c r="A2712" s="591">
        <f t="shared" ref="A2712:A2735" si="412">A2711+1</f>
        <v>2</v>
      </c>
      <c r="B2712" s="592" t="s">
        <v>1321</v>
      </c>
      <c r="C2712" s="593" t="s">
        <v>282</v>
      </c>
      <c r="D2712" s="582">
        <v>52538</v>
      </c>
      <c r="E2712" s="593">
        <v>7295</v>
      </c>
      <c r="F2712" s="582" t="s">
        <v>253</v>
      </c>
      <c r="G2712" s="593">
        <v>1510</v>
      </c>
      <c r="H2712" s="593">
        <v>9</v>
      </c>
      <c r="I2712" s="593">
        <v>6</v>
      </c>
      <c r="J2712" s="593">
        <v>219</v>
      </c>
      <c r="K2712" s="588" t="s">
        <v>219</v>
      </c>
      <c r="L2712" s="584">
        <f>SUM(M2712:Q2712)</f>
        <v>2085000</v>
      </c>
      <c r="M2712" s="585">
        <v>2000000</v>
      </c>
      <c r="N2712" s="586">
        <v>85000</v>
      </c>
      <c r="O2712" s="587"/>
      <c r="P2712" s="586"/>
      <c r="Q2712" s="586"/>
      <c r="R2712" s="582">
        <f>M2712/1</f>
        <v>2000000</v>
      </c>
      <c r="S2712" s="592"/>
      <c r="T2712" s="592"/>
      <c r="U2712" s="591"/>
      <c r="V2712" s="589"/>
      <c r="W2712" s="592"/>
      <c r="X2712" s="592"/>
      <c r="Y2712" s="592">
        <v>1</v>
      </c>
      <c r="Z2712" s="592"/>
    </row>
    <row r="2713" spans="1:26" s="28" customFormat="1" ht="37.5" hidden="1">
      <c r="A2713" s="591">
        <f t="shared" si="412"/>
        <v>3</v>
      </c>
      <c r="B2713" s="592" t="s">
        <v>2281</v>
      </c>
      <c r="C2713" s="593" t="s">
        <v>221</v>
      </c>
      <c r="D2713" s="582">
        <v>7606</v>
      </c>
      <c r="E2713" s="593">
        <v>1686</v>
      </c>
      <c r="F2713" s="582" t="s">
        <v>227</v>
      </c>
      <c r="G2713" s="593">
        <v>345.5</v>
      </c>
      <c r="H2713" s="593">
        <v>9</v>
      </c>
      <c r="I2713" s="593">
        <v>1</v>
      </c>
      <c r="J2713" s="593">
        <v>54</v>
      </c>
      <c r="K2713" s="588" t="s">
        <v>219</v>
      </c>
      <c r="L2713" s="584">
        <f>SUM(M2713:Q2713)</f>
        <v>2085000</v>
      </c>
      <c r="M2713" s="585">
        <v>2000000</v>
      </c>
      <c r="N2713" s="586">
        <v>85000</v>
      </c>
      <c r="O2713" s="587"/>
      <c r="P2713" s="586"/>
      <c r="Q2713" s="586"/>
      <c r="R2713" s="582">
        <f>M2713/1</f>
        <v>2000000</v>
      </c>
      <c r="S2713" s="592"/>
      <c r="T2713" s="592"/>
      <c r="U2713" s="591"/>
      <c r="V2713" s="589"/>
      <c r="W2713" s="592"/>
      <c r="X2713" s="592"/>
      <c r="Y2713" s="592">
        <v>1</v>
      </c>
      <c r="Z2713" s="592"/>
    </row>
    <row r="2714" spans="1:26" s="28" customFormat="1" hidden="1">
      <c r="A2714" s="591">
        <f t="shared" si="412"/>
        <v>4</v>
      </c>
      <c r="B2714" s="1349" t="s">
        <v>3598</v>
      </c>
      <c r="C2714" s="593" t="s">
        <v>217</v>
      </c>
      <c r="D2714" s="582">
        <v>15435</v>
      </c>
      <c r="E2714" s="593">
        <v>3588</v>
      </c>
      <c r="F2714" s="582" t="s">
        <v>223</v>
      </c>
      <c r="G2714" s="593">
        <v>609</v>
      </c>
      <c r="H2714" s="593">
        <v>9</v>
      </c>
      <c r="I2714" s="593">
        <v>2</v>
      </c>
      <c r="J2714" s="593">
        <v>72</v>
      </c>
      <c r="K2714" s="588" t="s">
        <v>33</v>
      </c>
      <c r="L2714" s="584">
        <f>M2714+N2714+O2714+P2714+Q2714+M2715+N2715+O2715+Q2715</f>
        <v>5492353</v>
      </c>
      <c r="M2714" s="585">
        <v>1339800</v>
      </c>
      <c r="N2714" s="586"/>
      <c r="O2714" s="631">
        <v>26303</v>
      </c>
      <c r="P2714" s="586"/>
      <c r="Q2714" s="586">
        <v>20000</v>
      </c>
      <c r="R2714" s="582">
        <f>M2714/G2714</f>
        <v>2200</v>
      </c>
      <c r="S2714" s="592"/>
      <c r="T2714" s="592"/>
      <c r="U2714" s="591"/>
      <c r="V2714" s="589"/>
      <c r="W2714" s="592"/>
      <c r="X2714" s="592"/>
      <c r="Y2714" s="592">
        <v>1</v>
      </c>
      <c r="Z2714" s="592"/>
    </row>
    <row r="2715" spans="1:26" s="89" customFormat="1" ht="37.5" hidden="1">
      <c r="A2715" s="591"/>
      <c r="B2715" s="1349"/>
      <c r="C2715" s="593"/>
      <c r="D2715" s="582"/>
      <c r="E2715" s="593"/>
      <c r="F2715" s="582"/>
      <c r="G2715" s="593"/>
      <c r="H2715" s="593"/>
      <c r="I2715" s="593"/>
      <c r="J2715" s="593"/>
      <c r="K2715" s="588" t="s">
        <v>219</v>
      </c>
      <c r="L2715" s="584"/>
      <c r="M2715" s="585">
        <v>4000000</v>
      </c>
      <c r="N2715" s="586">
        <v>106250</v>
      </c>
      <c r="O2715" s="587"/>
      <c r="P2715" s="586"/>
      <c r="Q2715" s="586"/>
      <c r="R2715" s="582">
        <f>M2715/I2714</f>
        <v>2000000</v>
      </c>
      <c r="S2715" s="592"/>
      <c r="T2715" s="592"/>
      <c r="U2715" s="591"/>
      <c r="V2715" s="589"/>
      <c r="W2715" s="592"/>
      <c r="X2715" s="592"/>
      <c r="Y2715" s="592">
        <v>1</v>
      </c>
      <c r="Z2715" s="592"/>
    </row>
    <row r="2716" spans="1:26" s="107" customFormat="1" ht="37.5" hidden="1">
      <c r="A2716" s="591">
        <v>5</v>
      </c>
      <c r="B2716" s="1114" t="s">
        <v>4020</v>
      </c>
      <c r="C2716" s="580" t="s">
        <v>4021</v>
      </c>
      <c r="D2716" s="582">
        <v>18167</v>
      </c>
      <c r="E2716" s="582">
        <v>3086</v>
      </c>
      <c r="F2716" s="582" t="s">
        <v>253</v>
      </c>
      <c r="G2716" s="582">
        <v>625</v>
      </c>
      <c r="H2716" s="582">
        <v>9</v>
      </c>
      <c r="I2716" s="582">
        <v>2</v>
      </c>
      <c r="J2716" s="582">
        <v>72</v>
      </c>
      <c r="K2716" s="590" t="s">
        <v>219</v>
      </c>
      <c r="L2716" s="584">
        <f t="shared" ref="L2716:L2723" si="413">M2716+N2716+O2716+P2716+Q2716</f>
        <v>4106250</v>
      </c>
      <c r="M2716" s="585">
        <f>2000000*2</f>
        <v>4000000</v>
      </c>
      <c r="N2716" s="586">
        <v>106250</v>
      </c>
      <c r="O2716" s="587"/>
      <c r="P2716" s="582"/>
      <c r="Q2716" s="582"/>
      <c r="R2716" s="582">
        <f>M2716/I2716</f>
        <v>2000000</v>
      </c>
      <c r="S2716" s="586"/>
      <c r="T2716" s="593"/>
      <c r="U2716" s="593"/>
      <c r="V2716" s="593"/>
      <c r="W2716" s="593"/>
      <c r="X2716" s="593"/>
      <c r="Y2716" s="592">
        <v>1</v>
      </c>
      <c r="Z2716" s="593"/>
    </row>
    <row r="2717" spans="1:26" s="107" customFormat="1" ht="37.5" hidden="1">
      <c r="A2717" s="591">
        <f t="shared" ref="A2717:A2724" si="414">A2716+1</f>
        <v>6</v>
      </c>
      <c r="B2717" s="592" t="s">
        <v>4022</v>
      </c>
      <c r="C2717" s="580" t="s">
        <v>4021</v>
      </c>
      <c r="D2717" s="582">
        <v>30378</v>
      </c>
      <c r="E2717" s="582">
        <v>5186</v>
      </c>
      <c r="F2717" s="582" t="s">
        <v>253</v>
      </c>
      <c r="G2717" s="582">
        <v>1203</v>
      </c>
      <c r="H2717" s="582">
        <v>9</v>
      </c>
      <c r="I2717" s="582">
        <v>4</v>
      </c>
      <c r="J2717" s="582">
        <v>144</v>
      </c>
      <c r="K2717" s="590" t="s">
        <v>219</v>
      </c>
      <c r="L2717" s="584">
        <f t="shared" si="413"/>
        <v>8148750</v>
      </c>
      <c r="M2717" s="585">
        <f>2000000*4</f>
        <v>8000000</v>
      </c>
      <c r="N2717" s="586">
        <v>148750</v>
      </c>
      <c r="O2717" s="587"/>
      <c r="P2717" s="582"/>
      <c r="Q2717" s="582"/>
      <c r="R2717" s="582">
        <f>M2717/I2717</f>
        <v>2000000</v>
      </c>
      <c r="S2717" s="593"/>
      <c r="T2717" s="593"/>
      <c r="U2717" s="593"/>
      <c r="V2717" s="593"/>
      <c r="W2717" s="593"/>
      <c r="X2717" s="593"/>
      <c r="Y2717" s="592">
        <v>1</v>
      </c>
      <c r="Z2717" s="593"/>
    </row>
    <row r="2718" spans="1:26" s="107" customFormat="1" ht="37.5" hidden="1">
      <c r="A2718" s="591">
        <f t="shared" si="414"/>
        <v>7</v>
      </c>
      <c r="B2718" s="1115" t="s">
        <v>4023</v>
      </c>
      <c r="C2718" s="580" t="s">
        <v>4021</v>
      </c>
      <c r="D2718" s="582">
        <v>27368</v>
      </c>
      <c r="E2718" s="880">
        <v>3898</v>
      </c>
      <c r="F2718" s="582" t="s">
        <v>253</v>
      </c>
      <c r="G2718" s="582">
        <v>960</v>
      </c>
      <c r="H2718" s="582">
        <v>9</v>
      </c>
      <c r="I2718" s="582">
        <v>3</v>
      </c>
      <c r="J2718" s="582">
        <v>96</v>
      </c>
      <c r="K2718" s="590" t="s">
        <v>219</v>
      </c>
      <c r="L2718" s="584">
        <f t="shared" si="413"/>
        <v>2085000</v>
      </c>
      <c r="M2718" s="585">
        <v>2000000</v>
      </c>
      <c r="N2718" s="586">
        <v>85000</v>
      </c>
      <c r="O2718" s="587"/>
      <c r="P2718" s="582"/>
      <c r="Q2718" s="582"/>
      <c r="R2718" s="582">
        <f>M2718</f>
        <v>2000000</v>
      </c>
      <c r="S2718" s="593"/>
      <c r="T2718" s="593"/>
      <c r="U2718" s="593"/>
      <c r="V2718" s="593"/>
      <c r="W2718" s="593"/>
      <c r="X2718" s="593"/>
      <c r="Y2718" s="592">
        <v>1</v>
      </c>
      <c r="Z2718" s="593"/>
    </row>
    <row r="2719" spans="1:26" s="107" customFormat="1" ht="37.5" hidden="1">
      <c r="A2719" s="591">
        <f t="shared" si="414"/>
        <v>8</v>
      </c>
      <c r="B2719" s="1115" t="s">
        <v>4024</v>
      </c>
      <c r="C2719" s="580" t="s">
        <v>4021</v>
      </c>
      <c r="D2719" s="582">
        <v>19338</v>
      </c>
      <c r="E2719" s="880">
        <v>5198</v>
      </c>
      <c r="F2719" s="582" t="s">
        <v>253</v>
      </c>
      <c r="G2719" s="582">
        <v>1450</v>
      </c>
      <c r="H2719" s="582">
        <v>9</v>
      </c>
      <c r="I2719" s="582">
        <v>4</v>
      </c>
      <c r="J2719" s="582">
        <v>138</v>
      </c>
      <c r="K2719" s="590" t="s">
        <v>219</v>
      </c>
      <c r="L2719" s="584">
        <f t="shared" si="413"/>
        <v>8148750</v>
      </c>
      <c r="M2719" s="585">
        <f>2000000*4</f>
        <v>8000000</v>
      </c>
      <c r="N2719" s="586">
        <v>148750</v>
      </c>
      <c r="O2719" s="587"/>
      <c r="P2719" s="582"/>
      <c r="Q2719" s="582"/>
      <c r="R2719" s="582">
        <f>M2719/I2719</f>
        <v>2000000</v>
      </c>
      <c r="S2719" s="593"/>
      <c r="T2719" s="593"/>
      <c r="U2719" s="593"/>
      <c r="V2719" s="593"/>
      <c r="W2719" s="593"/>
      <c r="X2719" s="593"/>
      <c r="Y2719" s="592">
        <v>1</v>
      </c>
      <c r="Z2719" s="593"/>
    </row>
    <row r="2720" spans="1:26" s="107" customFormat="1" ht="37.5" hidden="1">
      <c r="A2720" s="591">
        <f t="shared" si="414"/>
        <v>9</v>
      </c>
      <c r="B2720" s="1115" t="s">
        <v>4025</v>
      </c>
      <c r="C2720" s="580" t="s">
        <v>4021</v>
      </c>
      <c r="D2720" s="582">
        <v>24696</v>
      </c>
      <c r="E2720" s="582">
        <v>3478</v>
      </c>
      <c r="F2720" s="582" t="s">
        <v>253</v>
      </c>
      <c r="G2720" s="582">
        <v>704</v>
      </c>
      <c r="H2720" s="582">
        <v>9</v>
      </c>
      <c r="I2720" s="582">
        <v>2</v>
      </c>
      <c r="J2720" s="582">
        <v>65</v>
      </c>
      <c r="K2720" s="590" t="s">
        <v>219</v>
      </c>
      <c r="L2720" s="584">
        <f t="shared" si="413"/>
        <v>4106250</v>
      </c>
      <c r="M2720" s="585">
        <f>2000000*2</f>
        <v>4000000</v>
      </c>
      <c r="N2720" s="586">
        <v>106250</v>
      </c>
      <c r="O2720" s="587"/>
      <c r="P2720" s="582"/>
      <c r="Q2720" s="582"/>
      <c r="R2720" s="582">
        <f>M2720/I2720</f>
        <v>2000000</v>
      </c>
      <c r="S2720" s="593"/>
      <c r="T2720" s="593"/>
      <c r="U2720" s="593"/>
      <c r="V2720" s="593"/>
      <c r="W2720" s="593"/>
      <c r="X2720" s="593"/>
      <c r="Y2720" s="592">
        <v>1</v>
      </c>
      <c r="Z2720" s="593"/>
    </row>
    <row r="2721" spans="1:26" s="107" customFormat="1" ht="37.5" hidden="1">
      <c r="A2721" s="591">
        <f t="shared" si="414"/>
        <v>10</v>
      </c>
      <c r="B2721" s="1115" t="s">
        <v>4026</v>
      </c>
      <c r="C2721" s="580" t="s">
        <v>4021</v>
      </c>
      <c r="D2721" s="582">
        <v>16665</v>
      </c>
      <c r="E2721" s="582">
        <v>3122</v>
      </c>
      <c r="F2721" s="582" t="s">
        <v>253</v>
      </c>
      <c r="G2721" s="582">
        <v>823</v>
      </c>
      <c r="H2721" s="582">
        <v>9</v>
      </c>
      <c r="I2721" s="582">
        <v>3</v>
      </c>
      <c r="J2721" s="582">
        <v>65</v>
      </c>
      <c r="K2721" s="590" t="s">
        <v>219</v>
      </c>
      <c r="L2721" s="584">
        <f t="shared" si="413"/>
        <v>2085000</v>
      </c>
      <c r="M2721" s="585">
        <v>2000000</v>
      </c>
      <c r="N2721" s="586">
        <v>85000</v>
      </c>
      <c r="O2721" s="587"/>
      <c r="P2721" s="582"/>
      <c r="Q2721" s="582"/>
      <c r="R2721" s="582">
        <f>M2721</f>
        <v>2000000</v>
      </c>
      <c r="S2721" s="593"/>
      <c r="T2721" s="593"/>
      <c r="U2721" s="593"/>
      <c r="V2721" s="593"/>
      <c r="W2721" s="593"/>
      <c r="X2721" s="593"/>
      <c r="Y2721" s="592">
        <v>1</v>
      </c>
      <c r="Z2721" s="593"/>
    </row>
    <row r="2722" spans="1:26" s="107" customFormat="1" ht="37.5" hidden="1">
      <c r="A2722" s="591">
        <f t="shared" si="414"/>
        <v>11</v>
      </c>
      <c r="B2722" s="1115" t="s">
        <v>4027</v>
      </c>
      <c r="C2722" s="580" t="s">
        <v>4021</v>
      </c>
      <c r="D2722" s="582">
        <v>21402</v>
      </c>
      <c r="E2722" s="582">
        <v>4125</v>
      </c>
      <c r="F2722" s="582" t="s">
        <v>253</v>
      </c>
      <c r="G2722" s="582">
        <v>902</v>
      </c>
      <c r="H2722" s="582">
        <v>9</v>
      </c>
      <c r="I2722" s="582">
        <v>1</v>
      </c>
      <c r="J2722" s="582">
        <v>98</v>
      </c>
      <c r="K2722" s="590" t="s">
        <v>219</v>
      </c>
      <c r="L2722" s="584">
        <f t="shared" si="413"/>
        <v>2085000</v>
      </c>
      <c r="M2722" s="585">
        <v>2000000</v>
      </c>
      <c r="N2722" s="586">
        <v>85000</v>
      </c>
      <c r="O2722" s="587"/>
      <c r="P2722" s="582"/>
      <c r="Q2722" s="582"/>
      <c r="R2722" s="582">
        <f>M2722/I2722</f>
        <v>2000000</v>
      </c>
      <c r="S2722" s="593"/>
      <c r="T2722" s="593"/>
      <c r="U2722" s="593"/>
      <c r="V2722" s="593"/>
      <c r="W2722" s="593"/>
      <c r="X2722" s="593"/>
      <c r="Y2722" s="592">
        <v>1</v>
      </c>
      <c r="Z2722" s="593"/>
    </row>
    <row r="2723" spans="1:26" s="107" customFormat="1" ht="37.5" hidden="1">
      <c r="A2723" s="591">
        <f t="shared" si="414"/>
        <v>12</v>
      </c>
      <c r="B2723" s="1115" t="s">
        <v>4028</v>
      </c>
      <c r="C2723" s="580" t="s">
        <v>314</v>
      </c>
      <c r="D2723" s="582">
        <v>12701.5</v>
      </c>
      <c r="E2723" s="582">
        <v>1811.6</v>
      </c>
      <c r="F2723" s="582" t="s">
        <v>303</v>
      </c>
      <c r="G2723" s="582">
        <v>698</v>
      </c>
      <c r="H2723" s="582">
        <v>9</v>
      </c>
      <c r="I2723" s="582">
        <v>1</v>
      </c>
      <c r="J2723" s="582">
        <v>102</v>
      </c>
      <c r="K2723" s="590" t="s">
        <v>219</v>
      </c>
      <c r="L2723" s="584">
        <f t="shared" si="413"/>
        <v>2085000</v>
      </c>
      <c r="M2723" s="585">
        <v>2000000</v>
      </c>
      <c r="N2723" s="586">
        <v>85000</v>
      </c>
      <c r="O2723" s="587"/>
      <c r="P2723" s="582"/>
      <c r="Q2723" s="582"/>
      <c r="R2723" s="582">
        <f>M2723/I2723</f>
        <v>2000000</v>
      </c>
      <c r="S2723" s="593"/>
      <c r="T2723" s="593"/>
      <c r="U2723" s="593"/>
      <c r="V2723" s="593"/>
      <c r="W2723" s="593"/>
      <c r="X2723" s="593"/>
      <c r="Y2723" s="592">
        <v>1</v>
      </c>
      <c r="Z2723" s="593"/>
    </row>
    <row r="2724" spans="1:26" s="28" customFormat="1" hidden="1">
      <c r="A2724" s="591">
        <f t="shared" si="414"/>
        <v>13</v>
      </c>
      <c r="B2724" s="592" t="s">
        <v>2275</v>
      </c>
      <c r="C2724" s="593" t="s">
        <v>221</v>
      </c>
      <c r="D2724" s="582">
        <v>35780</v>
      </c>
      <c r="E2724" s="593">
        <v>2925</v>
      </c>
      <c r="F2724" s="582" t="s">
        <v>222</v>
      </c>
      <c r="G2724" s="593">
        <v>2391</v>
      </c>
      <c r="H2724" s="593">
        <v>5</v>
      </c>
      <c r="I2724" s="593">
        <v>8</v>
      </c>
      <c r="J2724" s="593">
        <v>112</v>
      </c>
      <c r="K2724" s="588" t="s">
        <v>33</v>
      </c>
      <c r="L2724" s="584">
        <f t="shared" ref="L2724:L2734" si="415">SUM(M2724:Q2724)</f>
        <v>6052951</v>
      </c>
      <c r="M2724" s="585">
        <v>5977500</v>
      </c>
      <c r="N2724" s="630">
        <v>35651</v>
      </c>
      <c r="O2724" s="587"/>
      <c r="P2724" s="586"/>
      <c r="Q2724" s="586">
        <v>39800</v>
      </c>
      <c r="R2724" s="582">
        <f t="shared" ref="R2724:R2733" si="416">M2724/G2724</f>
        <v>2500</v>
      </c>
      <c r="S2724" s="592"/>
      <c r="T2724" s="592"/>
      <c r="U2724" s="591"/>
      <c r="V2724" s="589"/>
      <c r="W2724" s="592"/>
      <c r="X2724" s="592"/>
      <c r="Y2724" s="592">
        <v>1</v>
      </c>
      <c r="Z2724" s="592"/>
    </row>
    <row r="2725" spans="1:26" s="28" customFormat="1" hidden="1">
      <c r="A2725" s="591">
        <f t="shared" si="412"/>
        <v>14</v>
      </c>
      <c r="B2725" s="592" t="s">
        <v>2276</v>
      </c>
      <c r="C2725" s="593" t="s">
        <v>221</v>
      </c>
      <c r="D2725" s="582">
        <v>25257</v>
      </c>
      <c r="E2725" s="593">
        <v>5992</v>
      </c>
      <c r="F2725" s="582" t="s">
        <v>233</v>
      </c>
      <c r="G2725" s="593">
        <v>2877</v>
      </c>
      <c r="H2725" s="593">
        <v>5</v>
      </c>
      <c r="I2725" s="593">
        <v>12</v>
      </c>
      <c r="J2725" s="593">
        <v>166</v>
      </c>
      <c r="K2725" s="588" t="s">
        <v>33</v>
      </c>
      <c r="L2725" s="584">
        <f t="shared" si="415"/>
        <v>5796962</v>
      </c>
      <c r="M2725" s="585">
        <v>5754000</v>
      </c>
      <c r="N2725" s="586"/>
      <c r="O2725" s="631">
        <v>23062</v>
      </c>
      <c r="P2725" s="586"/>
      <c r="Q2725" s="586">
        <v>19900</v>
      </c>
      <c r="R2725" s="582">
        <f t="shared" si="416"/>
        <v>2000</v>
      </c>
      <c r="S2725" s="592"/>
      <c r="T2725" s="592"/>
      <c r="U2725" s="591"/>
      <c r="V2725" s="589"/>
      <c r="W2725" s="592"/>
      <c r="X2725" s="592"/>
      <c r="Y2725" s="592">
        <v>1</v>
      </c>
      <c r="Z2725" s="592"/>
    </row>
    <row r="2726" spans="1:26" s="28" customFormat="1" hidden="1">
      <c r="A2726" s="591">
        <f t="shared" si="412"/>
        <v>15</v>
      </c>
      <c r="B2726" s="592" t="s">
        <v>2277</v>
      </c>
      <c r="C2726" s="593" t="s">
        <v>221</v>
      </c>
      <c r="D2726" s="582">
        <v>28964</v>
      </c>
      <c r="E2726" s="593">
        <v>3955</v>
      </c>
      <c r="F2726" s="582" t="s">
        <v>233</v>
      </c>
      <c r="G2726" s="593">
        <v>1691.48</v>
      </c>
      <c r="H2726" s="593">
        <v>5</v>
      </c>
      <c r="I2726" s="593">
        <v>8</v>
      </c>
      <c r="J2726" s="593">
        <v>89</v>
      </c>
      <c r="K2726" s="588" t="s">
        <v>33</v>
      </c>
      <c r="L2726" s="584">
        <f t="shared" si="415"/>
        <v>3426288</v>
      </c>
      <c r="M2726" s="585">
        <v>3382960</v>
      </c>
      <c r="N2726" s="586"/>
      <c r="O2726" s="631">
        <v>23428</v>
      </c>
      <c r="P2726" s="586"/>
      <c r="Q2726" s="586">
        <v>19900</v>
      </c>
      <c r="R2726" s="582">
        <f t="shared" si="416"/>
        <v>2000</v>
      </c>
      <c r="S2726" s="592"/>
      <c r="T2726" s="592"/>
      <c r="U2726" s="591"/>
      <c r="V2726" s="589"/>
      <c r="W2726" s="592"/>
      <c r="X2726" s="592"/>
      <c r="Y2726" s="592">
        <v>1</v>
      </c>
      <c r="Z2726" s="592"/>
    </row>
    <row r="2727" spans="1:26" s="28" customFormat="1" hidden="1">
      <c r="A2727" s="591">
        <f t="shared" si="412"/>
        <v>16</v>
      </c>
      <c r="B2727" s="592" t="s">
        <v>2278</v>
      </c>
      <c r="C2727" s="593" t="s">
        <v>239</v>
      </c>
      <c r="D2727" s="582">
        <v>9135</v>
      </c>
      <c r="E2727" s="593">
        <v>1300</v>
      </c>
      <c r="F2727" s="582" t="s">
        <v>222</v>
      </c>
      <c r="G2727" s="593">
        <f>49*14.4*1.3</f>
        <v>917.28000000000009</v>
      </c>
      <c r="H2727" s="593">
        <v>3</v>
      </c>
      <c r="I2727" s="593">
        <v>3</v>
      </c>
      <c r="J2727" s="593">
        <v>33</v>
      </c>
      <c r="K2727" s="588" t="s">
        <v>33</v>
      </c>
      <c r="L2727" s="584">
        <f t="shared" si="415"/>
        <v>2446051.1800000002</v>
      </c>
      <c r="M2727" s="585">
        <v>2384928</v>
      </c>
      <c r="N2727" s="630">
        <v>32959</v>
      </c>
      <c r="O2727" s="587"/>
      <c r="P2727" s="586"/>
      <c r="Q2727" s="586">
        <v>28164.18</v>
      </c>
      <c r="R2727" s="582">
        <f t="shared" si="416"/>
        <v>2599.9999999999995</v>
      </c>
      <c r="S2727" s="592"/>
      <c r="T2727" s="592"/>
      <c r="U2727" s="591"/>
      <c r="V2727" s="589"/>
      <c r="W2727" s="592"/>
      <c r="X2727" s="592"/>
      <c r="Y2727" s="592">
        <v>1</v>
      </c>
      <c r="Z2727" s="592"/>
    </row>
    <row r="2728" spans="1:26" s="28" customFormat="1" hidden="1">
      <c r="A2728" s="591">
        <f t="shared" si="412"/>
        <v>17</v>
      </c>
      <c r="B2728" s="592" t="s">
        <v>2279</v>
      </c>
      <c r="C2728" s="593" t="s">
        <v>239</v>
      </c>
      <c r="D2728" s="582">
        <v>11306</v>
      </c>
      <c r="E2728" s="593">
        <v>2109</v>
      </c>
      <c r="F2728" s="582" t="s">
        <v>222</v>
      </c>
      <c r="G2728" s="593">
        <v>1067</v>
      </c>
      <c r="H2728" s="593">
        <v>5</v>
      </c>
      <c r="I2728" s="593">
        <v>4</v>
      </c>
      <c r="J2728" s="593">
        <v>80</v>
      </c>
      <c r="K2728" s="588" t="s">
        <v>33</v>
      </c>
      <c r="L2728" s="584">
        <f t="shared" si="415"/>
        <v>2836286.61</v>
      </c>
      <c r="M2728" s="585">
        <v>2774200</v>
      </c>
      <c r="N2728" s="630">
        <v>27229</v>
      </c>
      <c r="O2728" s="587"/>
      <c r="P2728" s="586"/>
      <c r="Q2728" s="586">
        <v>34857.61</v>
      </c>
      <c r="R2728" s="582">
        <f t="shared" si="416"/>
        <v>2600</v>
      </c>
      <c r="S2728" s="592"/>
      <c r="T2728" s="592"/>
      <c r="U2728" s="591"/>
      <c r="V2728" s="589"/>
      <c r="W2728" s="592"/>
      <c r="X2728" s="592"/>
      <c r="Y2728" s="592">
        <v>1</v>
      </c>
      <c r="Z2728" s="592"/>
    </row>
    <row r="2729" spans="1:26" s="28" customFormat="1" hidden="1">
      <c r="A2729" s="591">
        <f t="shared" si="412"/>
        <v>18</v>
      </c>
      <c r="B2729" s="592" t="s">
        <v>2280</v>
      </c>
      <c r="C2729" s="593" t="s">
        <v>221</v>
      </c>
      <c r="D2729" s="582">
        <v>9800</v>
      </c>
      <c r="E2729" s="593">
        <v>1887</v>
      </c>
      <c r="F2729" s="582" t="s">
        <v>222</v>
      </c>
      <c r="G2729" s="593">
        <v>906</v>
      </c>
      <c r="H2729" s="593">
        <v>5</v>
      </c>
      <c r="I2729" s="593">
        <v>3</v>
      </c>
      <c r="J2729" s="593">
        <v>60</v>
      </c>
      <c r="K2729" s="588" t="s">
        <v>33</v>
      </c>
      <c r="L2729" s="584">
        <f t="shared" si="415"/>
        <v>2412878.4500000002</v>
      </c>
      <c r="M2729" s="585">
        <v>2355600</v>
      </c>
      <c r="N2729" s="630">
        <v>27064</v>
      </c>
      <c r="O2729" s="587"/>
      <c r="P2729" s="586"/>
      <c r="Q2729" s="586">
        <v>30214.45</v>
      </c>
      <c r="R2729" s="582">
        <f t="shared" si="416"/>
        <v>2600</v>
      </c>
      <c r="S2729" s="592"/>
      <c r="T2729" s="592"/>
      <c r="U2729" s="591"/>
      <c r="V2729" s="589"/>
      <c r="W2729" s="592"/>
      <c r="X2729" s="592"/>
      <c r="Y2729" s="592">
        <v>1</v>
      </c>
      <c r="Z2729" s="592"/>
    </row>
    <row r="2730" spans="1:26" s="28" customFormat="1" hidden="1">
      <c r="A2730" s="591">
        <f t="shared" si="412"/>
        <v>19</v>
      </c>
      <c r="B2730" s="592" t="s">
        <v>2282</v>
      </c>
      <c r="C2730" s="593" t="s">
        <v>221</v>
      </c>
      <c r="D2730" s="582">
        <v>13463</v>
      </c>
      <c r="E2730" s="593">
        <v>2408</v>
      </c>
      <c r="F2730" s="582" t="s">
        <v>233</v>
      </c>
      <c r="G2730" s="593">
        <v>1083</v>
      </c>
      <c r="H2730" s="593">
        <v>5</v>
      </c>
      <c r="I2730" s="593">
        <v>4</v>
      </c>
      <c r="J2730" s="593">
        <v>59</v>
      </c>
      <c r="K2730" s="588" t="s">
        <v>33</v>
      </c>
      <c r="L2730" s="584">
        <f t="shared" si="415"/>
        <v>2857589</v>
      </c>
      <c r="M2730" s="585">
        <v>2815800</v>
      </c>
      <c r="N2730" s="586"/>
      <c r="O2730" s="631">
        <v>21889</v>
      </c>
      <c r="P2730" s="586"/>
      <c r="Q2730" s="586">
        <v>19900</v>
      </c>
      <c r="R2730" s="582">
        <f t="shared" si="416"/>
        <v>2600</v>
      </c>
      <c r="S2730" s="592"/>
      <c r="T2730" s="592"/>
      <c r="U2730" s="591"/>
      <c r="V2730" s="589"/>
      <c r="W2730" s="592"/>
      <c r="X2730" s="592"/>
      <c r="Y2730" s="592">
        <v>1</v>
      </c>
      <c r="Z2730" s="592"/>
    </row>
    <row r="2731" spans="1:26" s="28" customFormat="1" hidden="1">
      <c r="A2731" s="591">
        <f t="shared" si="412"/>
        <v>20</v>
      </c>
      <c r="B2731" s="592" t="s">
        <v>2283</v>
      </c>
      <c r="C2731" s="593" t="s">
        <v>221</v>
      </c>
      <c r="D2731" s="582">
        <v>13308</v>
      </c>
      <c r="E2731" s="593">
        <v>2430</v>
      </c>
      <c r="F2731" s="582" t="s">
        <v>222</v>
      </c>
      <c r="G2731" s="593">
        <v>1265</v>
      </c>
      <c r="H2731" s="593">
        <v>5</v>
      </c>
      <c r="I2731" s="593">
        <v>4</v>
      </c>
      <c r="J2731" s="593">
        <v>69</v>
      </c>
      <c r="K2731" s="588" t="s">
        <v>33</v>
      </c>
      <c r="L2731" s="584">
        <f t="shared" si="415"/>
        <v>3356983</v>
      </c>
      <c r="M2731" s="585">
        <v>3289000</v>
      </c>
      <c r="N2731" s="630">
        <v>28183</v>
      </c>
      <c r="O2731" s="587"/>
      <c r="P2731" s="586"/>
      <c r="Q2731" s="586">
        <v>39800</v>
      </c>
      <c r="R2731" s="582">
        <f t="shared" si="416"/>
        <v>2600</v>
      </c>
      <c r="S2731" s="592"/>
      <c r="T2731" s="592"/>
      <c r="U2731" s="591"/>
      <c r="V2731" s="589"/>
      <c r="W2731" s="592"/>
      <c r="X2731" s="592"/>
      <c r="Y2731" s="592">
        <v>1</v>
      </c>
      <c r="Z2731" s="592"/>
    </row>
    <row r="2732" spans="1:26" s="28" customFormat="1" hidden="1">
      <c r="A2732" s="591">
        <f t="shared" si="412"/>
        <v>21</v>
      </c>
      <c r="B2732" s="592" t="s">
        <v>2284</v>
      </c>
      <c r="C2732" s="593" t="s">
        <v>221</v>
      </c>
      <c r="D2732" s="582">
        <v>11559</v>
      </c>
      <c r="E2732" s="593">
        <v>2130</v>
      </c>
      <c r="F2732" s="582" t="s">
        <v>222</v>
      </c>
      <c r="G2732" s="593">
        <f>63*14*1.3</f>
        <v>1146.6000000000001</v>
      </c>
      <c r="H2732" s="593">
        <v>5</v>
      </c>
      <c r="I2732" s="593">
        <v>4</v>
      </c>
      <c r="J2732" s="593">
        <v>80</v>
      </c>
      <c r="K2732" s="588" t="s">
        <v>33</v>
      </c>
      <c r="L2732" s="584">
        <f t="shared" si="415"/>
        <v>3044147.6400000006</v>
      </c>
      <c r="M2732" s="585">
        <v>2981160.0000000005</v>
      </c>
      <c r="N2732" s="630">
        <v>27350</v>
      </c>
      <c r="O2732" s="587"/>
      <c r="P2732" s="586"/>
      <c r="Q2732" s="586">
        <v>35637.64</v>
      </c>
      <c r="R2732" s="582">
        <f t="shared" si="416"/>
        <v>2600</v>
      </c>
      <c r="S2732" s="592"/>
      <c r="T2732" s="592"/>
      <c r="U2732" s="591"/>
      <c r="V2732" s="589"/>
      <c r="W2732" s="592"/>
      <c r="X2732" s="592"/>
      <c r="Y2732" s="592">
        <v>1</v>
      </c>
      <c r="Z2732" s="592"/>
    </row>
    <row r="2733" spans="1:26" s="28" customFormat="1" hidden="1">
      <c r="A2733" s="591">
        <f t="shared" si="412"/>
        <v>22</v>
      </c>
      <c r="B2733" s="592" t="s">
        <v>2285</v>
      </c>
      <c r="C2733" s="593" t="s">
        <v>221</v>
      </c>
      <c r="D2733" s="582">
        <v>5236</v>
      </c>
      <c r="E2733" s="593">
        <v>1010</v>
      </c>
      <c r="F2733" s="582" t="s">
        <v>222</v>
      </c>
      <c r="G2733" s="593">
        <f>36*15*1.3</f>
        <v>702</v>
      </c>
      <c r="H2733" s="593">
        <v>3</v>
      </c>
      <c r="I2733" s="593">
        <v>2</v>
      </c>
      <c r="J2733" s="593">
        <v>16</v>
      </c>
      <c r="K2733" s="588" t="s">
        <v>33</v>
      </c>
      <c r="L2733" s="584">
        <f t="shared" si="415"/>
        <v>1870485.15</v>
      </c>
      <c r="M2733" s="585">
        <v>1825200</v>
      </c>
      <c r="N2733" s="630">
        <v>29142</v>
      </c>
      <c r="O2733" s="587"/>
      <c r="P2733" s="586"/>
      <c r="Q2733" s="586">
        <v>16143.15</v>
      </c>
      <c r="R2733" s="582">
        <f t="shared" si="416"/>
        <v>2600</v>
      </c>
      <c r="S2733" s="592"/>
      <c r="T2733" s="592"/>
      <c r="U2733" s="591"/>
      <c r="V2733" s="589"/>
      <c r="W2733" s="592"/>
      <c r="X2733" s="592"/>
      <c r="Y2733" s="592">
        <v>1</v>
      </c>
      <c r="Z2733" s="592"/>
    </row>
    <row r="2734" spans="1:26" s="28" customFormat="1" hidden="1">
      <c r="A2734" s="591">
        <f t="shared" si="412"/>
        <v>23</v>
      </c>
      <c r="B2734" s="592" t="s">
        <v>2286</v>
      </c>
      <c r="C2734" s="593" t="s">
        <v>221</v>
      </c>
      <c r="D2734" s="582">
        <v>6116</v>
      </c>
      <c r="E2734" s="593">
        <v>1010</v>
      </c>
      <c r="F2734" s="582" t="s">
        <v>222</v>
      </c>
      <c r="G2734" s="593">
        <f>15*36*1.3</f>
        <v>702</v>
      </c>
      <c r="H2734" s="593">
        <v>3</v>
      </c>
      <c r="I2734" s="593">
        <v>2</v>
      </c>
      <c r="J2734" s="593">
        <v>14</v>
      </c>
      <c r="K2734" s="588" t="s">
        <v>38</v>
      </c>
      <c r="L2734" s="584">
        <f t="shared" si="415"/>
        <v>2058205.81</v>
      </c>
      <c r="M2734" s="585">
        <v>2020000</v>
      </c>
      <c r="N2734" s="586"/>
      <c r="O2734" s="631">
        <v>13897</v>
      </c>
      <c r="P2734" s="586"/>
      <c r="Q2734" s="586">
        <v>24308.81</v>
      </c>
      <c r="R2734" s="599">
        <f>M2734/E2734</f>
        <v>2000</v>
      </c>
      <c r="S2734" s="592"/>
      <c r="T2734" s="592"/>
      <c r="U2734" s="591"/>
      <c r="V2734" s="589"/>
      <c r="W2734" s="592"/>
      <c r="X2734" s="592"/>
      <c r="Y2734" s="592">
        <v>1</v>
      </c>
      <c r="Z2734" s="592"/>
    </row>
    <row r="2735" spans="1:26" s="36" customFormat="1" hidden="1">
      <c r="A2735" s="591">
        <f t="shared" si="412"/>
        <v>24</v>
      </c>
      <c r="B2735" s="918" t="s">
        <v>2287</v>
      </c>
      <c r="C2735" s="786" t="s">
        <v>239</v>
      </c>
      <c r="D2735" s="593">
        <v>5492</v>
      </c>
      <c r="E2735" s="891">
        <v>1000</v>
      </c>
      <c r="F2735" s="593" t="s">
        <v>230</v>
      </c>
      <c r="G2735" s="593">
        <v>565</v>
      </c>
      <c r="H2735" s="593">
        <v>3</v>
      </c>
      <c r="I2735" s="593">
        <v>2</v>
      </c>
      <c r="J2735" s="593">
        <v>18</v>
      </c>
      <c r="K2735" s="590" t="s">
        <v>38</v>
      </c>
      <c r="L2735" s="584">
        <f>M2735+N2735+O2735+P2735+Q2735+M2736+N2736+O2736+P2736+Q2736</f>
        <v>3555439.07</v>
      </c>
      <c r="M2735" s="585">
        <v>2000000</v>
      </c>
      <c r="N2735" s="586"/>
      <c r="O2735" s="631">
        <v>18767</v>
      </c>
      <c r="P2735" s="586"/>
      <c r="Q2735" s="586">
        <v>21828.65</v>
      </c>
      <c r="R2735" s="599">
        <f>M2735/E2735</f>
        <v>2000</v>
      </c>
      <c r="S2735" s="593"/>
      <c r="T2735" s="593"/>
      <c r="U2735" s="591"/>
      <c r="V2735" s="589"/>
      <c r="W2735" s="593"/>
      <c r="X2735" s="592"/>
      <c r="Y2735" s="592">
        <v>1</v>
      </c>
      <c r="Z2735" s="593"/>
    </row>
    <row r="2736" spans="1:26" s="36" customFormat="1" hidden="1">
      <c r="A2736" s="591"/>
      <c r="B2736" s="918"/>
      <c r="C2736" s="786"/>
      <c r="D2736" s="593"/>
      <c r="E2736" s="593"/>
      <c r="F2736" s="593"/>
      <c r="G2736" s="593"/>
      <c r="H2736" s="593"/>
      <c r="I2736" s="593"/>
      <c r="J2736" s="593"/>
      <c r="K2736" s="590" t="s">
        <v>33</v>
      </c>
      <c r="L2736" s="584"/>
      <c r="M2736" s="585">
        <v>1469000</v>
      </c>
      <c r="N2736" s="630">
        <v>28911</v>
      </c>
      <c r="O2736" s="587"/>
      <c r="P2736" s="586"/>
      <c r="Q2736" s="586">
        <v>16932.419999999998</v>
      </c>
      <c r="R2736" s="582">
        <f>M2736/G2735</f>
        <v>2600</v>
      </c>
      <c r="S2736" s="593"/>
      <c r="T2736" s="593"/>
      <c r="U2736" s="591"/>
      <c r="V2736" s="589"/>
      <c r="W2736" s="592">
        <v>1</v>
      </c>
      <c r="X2736" s="593"/>
      <c r="Y2736" s="592">
        <v>1</v>
      </c>
      <c r="Z2736" s="593"/>
    </row>
    <row r="2737" spans="1:26" s="28" customFormat="1" hidden="1">
      <c r="A2737" s="591">
        <v>25</v>
      </c>
      <c r="B2737" s="592" t="s">
        <v>2291</v>
      </c>
      <c r="C2737" s="593" t="s">
        <v>221</v>
      </c>
      <c r="D2737" s="582">
        <v>26447</v>
      </c>
      <c r="E2737" s="593">
        <v>4692</v>
      </c>
      <c r="F2737" s="582" t="s">
        <v>233</v>
      </c>
      <c r="G2737" s="593">
        <v>1570</v>
      </c>
      <c r="H2737" s="593">
        <v>6</v>
      </c>
      <c r="I2737" s="593">
        <v>8</v>
      </c>
      <c r="J2737" s="593">
        <v>116</v>
      </c>
      <c r="K2737" s="588" t="s">
        <v>33</v>
      </c>
      <c r="L2737" s="584">
        <f>SUM(M2737:Q2737)</f>
        <v>3343680</v>
      </c>
      <c r="M2737" s="585">
        <v>3297000</v>
      </c>
      <c r="N2737" s="586"/>
      <c r="O2737" s="631">
        <v>26780</v>
      </c>
      <c r="P2737" s="586"/>
      <c r="Q2737" s="586">
        <v>19900</v>
      </c>
      <c r="R2737" s="582">
        <f>M2737/G2737</f>
        <v>2100</v>
      </c>
      <c r="S2737" s="592"/>
      <c r="T2737" s="592"/>
      <c r="U2737" s="591"/>
      <c r="V2737" s="589"/>
      <c r="W2737" s="592"/>
      <c r="X2737" s="592"/>
      <c r="Y2737" s="592">
        <v>1</v>
      </c>
      <c r="Z2737" s="592"/>
    </row>
    <row r="2738" spans="1:26" s="28" customFormat="1" hidden="1">
      <c r="A2738" s="591">
        <f>A2737+1</f>
        <v>26</v>
      </c>
      <c r="B2738" s="592" t="s">
        <v>2292</v>
      </c>
      <c r="C2738" s="593" t="s">
        <v>221</v>
      </c>
      <c r="D2738" s="582">
        <v>3905</v>
      </c>
      <c r="E2738" s="593">
        <v>515</v>
      </c>
      <c r="F2738" s="582" t="s">
        <v>230</v>
      </c>
      <c r="G2738" s="593">
        <v>601</v>
      </c>
      <c r="H2738" s="593">
        <v>2</v>
      </c>
      <c r="I2738" s="593">
        <v>2</v>
      </c>
      <c r="J2738" s="593">
        <v>16</v>
      </c>
      <c r="K2738" s="588" t="s">
        <v>33</v>
      </c>
      <c r="L2738" s="584">
        <f>SUM(M2738:Q2738)</f>
        <v>1613229</v>
      </c>
      <c r="M2738" s="585">
        <v>1562600</v>
      </c>
      <c r="N2738" s="630">
        <v>31603</v>
      </c>
      <c r="O2738" s="587"/>
      <c r="P2738" s="586"/>
      <c r="Q2738" s="586">
        <v>19026</v>
      </c>
      <c r="R2738" s="582">
        <f>M2738/G2738</f>
        <v>2600</v>
      </c>
      <c r="S2738" s="592"/>
      <c r="T2738" s="592"/>
      <c r="U2738" s="591"/>
      <c r="V2738" s="589"/>
      <c r="W2738" s="592"/>
      <c r="X2738" s="592"/>
      <c r="Y2738" s="592">
        <v>1</v>
      </c>
      <c r="Z2738" s="592"/>
    </row>
    <row r="2739" spans="1:26" s="89" customFormat="1" hidden="1">
      <c r="A2739" s="591">
        <f>A2738+1</f>
        <v>27</v>
      </c>
      <c r="B2739" s="592" t="s">
        <v>4273</v>
      </c>
      <c r="C2739" s="593" t="s">
        <v>372</v>
      </c>
      <c r="D2739" s="582">
        <v>2274</v>
      </c>
      <c r="E2739" s="593">
        <v>525</v>
      </c>
      <c r="F2739" s="582" t="s">
        <v>230</v>
      </c>
      <c r="G2739" s="593">
        <v>403</v>
      </c>
      <c r="H2739" s="593">
        <v>2</v>
      </c>
      <c r="I2739" s="593">
        <v>2</v>
      </c>
      <c r="J2739" s="593">
        <v>8</v>
      </c>
      <c r="K2739" s="588" t="s">
        <v>33</v>
      </c>
      <c r="L2739" s="1348">
        <f>M2739+N2739+O2739+P2739+Q2739+M2740+N2740+O2740+P2740+Q2740</f>
        <v>2217277</v>
      </c>
      <c r="M2739" s="585">
        <f>G2739*2600</f>
        <v>1047800</v>
      </c>
      <c r="N2739" s="630">
        <v>28728</v>
      </c>
      <c r="O2739" s="587"/>
      <c r="P2739" s="586"/>
      <c r="Q2739" s="630">
        <v>11135</v>
      </c>
      <c r="R2739" s="582">
        <f>M2739/G2739</f>
        <v>2600</v>
      </c>
      <c r="S2739" s="592"/>
      <c r="T2739" s="592"/>
      <c r="U2739" s="591"/>
      <c r="V2739" s="589"/>
      <c r="W2739" s="592"/>
      <c r="X2739" s="592"/>
      <c r="Y2739" s="592">
        <v>1</v>
      </c>
      <c r="Z2739" s="592"/>
    </row>
    <row r="2740" spans="1:26" s="89" customFormat="1" hidden="1">
      <c r="A2740" s="591"/>
      <c r="B2740" s="592"/>
      <c r="C2740" s="593"/>
      <c r="D2740" s="582"/>
      <c r="E2740" s="593"/>
      <c r="F2740" s="582"/>
      <c r="G2740" s="593"/>
      <c r="H2740" s="593"/>
      <c r="I2740" s="593"/>
      <c r="J2740" s="593"/>
      <c r="K2740" s="588" t="s">
        <v>38</v>
      </c>
      <c r="L2740" s="1348"/>
      <c r="M2740" s="585">
        <f>E2739*2100</f>
        <v>1102500</v>
      </c>
      <c r="N2740" s="586"/>
      <c r="O2740" s="631">
        <v>12612</v>
      </c>
      <c r="P2740" s="586"/>
      <c r="Q2740" s="630">
        <v>14502</v>
      </c>
      <c r="R2740" s="599">
        <f>M2740/E2739</f>
        <v>2100</v>
      </c>
      <c r="S2740" s="592"/>
      <c r="T2740" s="592"/>
      <c r="U2740" s="591"/>
      <c r="V2740" s="589"/>
      <c r="W2740" s="592"/>
      <c r="X2740" s="592"/>
      <c r="Y2740" s="592">
        <v>1</v>
      </c>
      <c r="Z2740" s="592"/>
    </row>
    <row r="2741" spans="1:26" s="28" customFormat="1" hidden="1">
      <c r="A2741" s="591">
        <v>28</v>
      </c>
      <c r="B2741" s="1346" t="s">
        <v>3601</v>
      </c>
      <c r="C2741" s="593" t="s">
        <v>229</v>
      </c>
      <c r="D2741" s="582">
        <v>218</v>
      </c>
      <c r="E2741" s="593">
        <v>97.3</v>
      </c>
      <c r="F2741" s="582" t="s">
        <v>251</v>
      </c>
      <c r="G2741" s="593">
        <v>264</v>
      </c>
      <c r="H2741" s="593">
        <v>1</v>
      </c>
      <c r="I2741" s="593">
        <v>1</v>
      </c>
      <c r="J2741" s="593">
        <v>8</v>
      </c>
      <c r="K2741" s="588" t="s">
        <v>33</v>
      </c>
      <c r="L2741" s="1348">
        <f>M2741+N2741+O2741+P2741+Q2741+M2742+N2742+O2742+P2742+Q2742</f>
        <v>990856</v>
      </c>
      <c r="M2741" s="585">
        <v>673200</v>
      </c>
      <c r="N2741" s="586">
        <v>25000</v>
      </c>
      <c r="O2741" s="587"/>
      <c r="P2741" s="586"/>
      <c r="Q2741" s="586">
        <f>ROUND(M2741*0.0214,0)</f>
        <v>14406</v>
      </c>
      <c r="R2741" s="582">
        <f>M2741/G2741</f>
        <v>2550</v>
      </c>
      <c r="S2741" s="592"/>
      <c r="T2741" s="592"/>
      <c r="U2741" s="591"/>
      <c r="V2741" s="589"/>
      <c r="W2741" s="592"/>
      <c r="X2741" s="592"/>
      <c r="Y2741" s="592">
        <v>1</v>
      </c>
      <c r="Z2741" s="592"/>
    </row>
    <row r="2742" spans="1:26" s="28" customFormat="1" ht="37.5" hidden="1">
      <c r="A2742" s="591"/>
      <c r="B2742" s="1346"/>
      <c r="C2742" s="593"/>
      <c r="D2742" s="582"/>
      <c r="E2742" s="593"/>
      <c r="F2742" s="582"/>
      <c r="G2742" s="593"/>
      <c r="H2742" s="593"/>
      <c r="I2742" s="593"/>
      <c r="J2742" s="593"/>
      <c r="K2742" s="588" t="s">
        <v>3600</v>
      </c>
      <c r="L2742" s="1348"/>
      <c r="M2742" s="585">
        <v>243250</v>
      </c>
      <c r="N2742" s="586">
        <v>25000</v>
      </c>
      <c r="O2742" s="587"/>
      <c r="P2742" s="586"/>
      <c r="Q2742" s="586">
        <v>10000</v>
      </c>
      <c r="R2742" s="582"/>
      <c r="S2742" s="592"/>
      <c r="T2742" s="592"/>
      <c r="U2742" s="591"/>
      <c r="V2742" s="589"/>
      <c r="W2742" s="592"/>
      <c r="X2742" s="592"/>
      <c r="Y2742" s="592">
        <v>1</v>
      </c>
      <c r="Z2742" s="592"/>
    </row>
    <row r="2743" spans="1:26" s="28" customFormat="1" hidden="1">
      <c r="A2743" s="591">
        <v>29</v>
      </c>
      <c r="B2743" s="592" t="s">
        <v>1323</v>
      </c>
      <c r="C2743" s="593" t="s">
        <v>239</v>
      </c>
      <c r="D2743" s="582">
        <v>10262</v>
      </c>
      <c r="E2743" s="593">
        <v>1702</v>
      </c>
      <c r="F2743" s="582" t="s">
        <v>222</v>
      </c>
      <c r="G2743" s="593">
        <v>1194</v>
      </c>
      <c r="H2743" s="593">
        <v>3</v>
      </c>
      <c r="I2743" s="593">
        <v>4</v>
      </c>
      <c r="J2743" s="593">
        <v>21</v>
      </c>
      <c r="K2743" s="588" t="s">
        <v>33</v>
      </c>
      <c r="L2743" s="584">
        <f>M2743+N2743+O2743+P2743+Q2743</f>
        <v>3170011</v>
      </c>
      <c r="M2743" s="585">
        <v>3104400</v>
      </c>
      <c r="N2743" s="630">
        <v>33813</v>
      </c>
      <c r="O2743" s="587"/>
      <c r="P2743" s="586"/>
      <c r="Q2743" s="586">
        <v>31798</v>
      </c>
      <c r="R2743" s="582">
        <f>M2743/G2743</f>
        <v>2600</v>
      </c>
      <c r="S2743" s="592"/>
      <c r="T2743" s="592"/>
      <c r="U2743" s="591"/>
      <c r="V2743" s="589"/>
      <c r="W2743" s="592"/>
      <c r="X2743" s="592"/>
      <c r="Y2743" s="592">
        <v>1</v>
      </c>
      <c r="Z2743" s="592"/>
    </row>
    <row r="2744" spans="1:26" s="28" customFormat="1" hidden="1">
      <c r="A2744" s="591">
        <f>A2743+1</f>
        <v>30</v>
      </c>
      <c r="B2744" s="592" t="s">
        <v>3687</v>
      </c>
      <c r="C2744" s="593" t="s">
        <v>239</v>
      </c>
      <c r="D2744" s="582">
        <v>8994</v>
      </c>
      <c r="E2744" s="593">
        <v>1446.4</v>
      </c>
      <c r="F2744" s="582" t="s">
        <v>222</v>
      </c>
      <c r="G2744" s="593">
        <v>1131</v>
      </c>
      <c r="H2744" s="593">
        <v>3</v>
      </c>
      <c r="I2744" s="593">
        <v>3</v>
      </c>
      <c r="J2744" s="593">
        <v>23</v>
      </c>
      <c r="K2744" s="588" t="s">
        <v>38</v>
      </c>
      <c r="L2744" s="584">
        <f>M2744+N2744+O2744+P2744+Q2744</f>
        <v>3082118</v>
      </c>
      <c r="M2744" s="585">
        <v>3037440</v>
      </c>
      <c r="N2744" s="586"/>
      <c r="O2744" s="631">
        <v>14678</v>
      </c>
      <c r="P2744" s="586"/>
      <c r="Q2744" s="586">
        <v>30000</v>
      </c>
      <c r="R2744" s="599">
        <f>M2744/E2744</f>
        <v>2100</v>
      </c>
      <c r="S2744" s="592"/>
      <c r="T2744" s="592"/>
      <c r="U2744" s="591"/>
      <c r="V2744" s="589"/>
      <c r="W2744" s="592"/>
      <c r="X2744" s="592"/>
      <c r="Y2744" s="592">
        <v>1</v>
      </c>
      <c r="Z2744" s="592"/>
    </row>
    <row r="2745" spans="1:26" s="28" customFormat="1" hidden="1">
      <c r="A2745" s="591">
        <f>A2744+1</f>
        <v>31</v>
      </c>
      <c r="B2745" s="592" t="s">
        <v>3688</v>
      </c>
      <c r="C2745" s="593" t="s">
        <v>239</v>
      </c>
      <c r="D2745" s="582">
        <v>3193</v>
      </c>
      <c r="E2745" s="593">
        <v>784</v>
      </c>
      <c r="F2745" s="582" t="s">
        <v>222</v>
      </c>
      <c r="G2745" s="593">
        <v>867</v>
      </c>
      <c r="H2745" s="593">
        <v>3</v>
      </c>
      <c r="I2745" s="593">
        <v>3</v>
      </c>
      <c r="J2745" s="593">
        <v>18</v>
      </c>
      <c r="K2745" s="588" t="s">
        <v>33</v>
      </c>
      <c r="L2745" s="584">
        <f>M2745+N2745+O2745+P2745+Q2745</f>
        <v>2259084</v>
      </c>
      <c r="M2745" s="585">
        <v>2222121</v>
      </c>
      <c r="N2745" s="630">
        <v>27069</v>
      </c>
      <c r="O2745" s="587"/>
      <c r="P2745" s="586"/>
      <c r="Q2745" s="586">
        <v>9894</v>
      </c>
      <c r="R2745" s="582">
        <f>M2745/G2745</f>
        <v>2563</v>
      </c>
      <c r="S2745" s="592"/>
      <c r="T2745" s="592"/>
      <c r="U2745" s="591"/>
      <c r="V2745" s="589"/>
      <c r="W2745" s="592"/>
      <c r="X2745" s="592"/>
      <c r="Y2745" s="592">
        <v>1</v>
      </c>
      <c r="Z2745" s="592"/>
    </row>
    <row r="2746" spans="1:26" s="28" customFormat="1" hidden="1">
      <c r="A2746" s="1349" t="s">
        <v>179</v>
      </c>
      <c r="B2746" s="1349"/>
      <c r="C2746" s="593" t="s">
        <v>28</v>
      </c>
      <c r="D2746" s="586">
        <f>SUM(D2711:D2745)</f>
        <v>542601.5</v>
      </c>
      <c r="E2746" s="586">
        <f>SUM(E2711:E2745)</f>
        <v>90786.3</v>
      </c>
      <c r="F2746" s="593" t="s">
        <v>28</v>
      </c>
      <c r="G2746" s="586">
        <f>SUM(G2711:G2745)</f>
        <v>33983.86</v>
      </c>
      <c r="H2746" s="593" t="s">
        <v>28</v>
      </c>
      <c r="I2746" s="593" t="s">
        <v>28</v>
      </c>
      <c r="J2746" s="582">
        <f>SUM(J2711:J2745)</f>
        <v>2422</v>
      </c>
      <c r="K2746" s="590" t="s">
        <v>28</v>
      </c>
      <c r="L2746" s="584">
        <f t="shared" ref="L2746:Q2746" si="417">SUM(L2711:L2745)</f>
        <v>113115374.91000001</v>
      </c>
      <c r="M2746" s="585">
        <f t="shared" si="417"/>
        <v>110659459</v>
      </c>
      <c r="N2746" s="586">
        <f t="shared" si="417"/>
        <v>1746452</v>
      </c>
      <c r="O2746" s="587">
        <f t="shared" si="417"/>
        <v>181416</v>
      </c>
      <c r="P2746" s="586">
        <f t="shared" si="417"/>
        <v>0</v>
      </c>
      <c r="Q2746" s="586">
        <f t="shared" si="417"/>
        <v>528047.91</v>
      </c>
      <c r="R2746" s="582" t="s">
        <v>28</v>
      </c>
      <c r="S2746" s="564">
        <f>L2746-M2746-N2746-O2746-P2746-Q2746</f>
        <v>1.1292286217212677E-8</v>
      </c>
      <c r="T2746" s="577" t="e">
        <f>'1.перечень МКД'!#REF!</f>
        <v>#REF!</v>
      </c>
      <c r="U2746" s="589" t="e">
        <f>L2746-T2746</f>
        <v>#REF!</v>
      </c>
      <c r="V2746" s="589"/>
      <c r="W2746" s="592"/>
      <c r="X2746" s="592"/>
      <c r="Y2746" s="592">
        <v>1</v>
      </c>
      <c r="Z2746" s="592"/>
    </row>
    <row r="2747" spans="1:26" s="28" customFormat="1" hidden="1">
      <c r="A2747" s="1347" t="s">
        <v>182</v>
      </c>
      <c r="B2747" s="1347"/>
      <c r="C2747" s="1347"/>
      <c r="D2747" s="1347"/>
      <c r="E2747" s="1347"/>
      <c r="F2747" s="1347"/>
      <c r="G2747" s="1347"/>
      <c r="H2747" s="1347"/>
      <c r="I2747" s="1347"/>
      <c r="J2747" s="1347"/>
      <c r="K2747" s="1347"/>
      <c r="L2747" s="1347"/>
      <c r="M2747" s="1347"/>
      <c r="N2747" s="1347"/>
      <c r="O2747" s="1347"/>
      <c r="P2747" s="1347"/>
      <c r="Q2747" s="1347"/>
      <c r="R2747" s="590"/>
      <c r="S2747" s="592"/>
      <c r="T2747" s="592"/>
      <c r="U2747" s="591"/>
      <c r="V2747" s="589"/>
      <c r="W2747" s="592"/>
      <c r="X2747" s="592"/>
      <c r="Y2747" s="592">
        <v>1</v>
      </c>
      <c r="Z2747" s="592"/>
    </row>
    <row r="2748" spans="1:26" s="28" customFormat="1" ht="37.5" hidden="1">
      <c r="A2748" s="591">
        <v>1</v>
      </c>
      <c r="B2748" s="592" t="s">
        <v>2293</v>
      </c>
      <c r="C2748" s="593" t="s">
        <v>305</v>
      </c>
      <c r="D2748" s="582">
        <v>2967</v>
      </c>
      <c r="E2748" s="593">
        <v>617.14</v>
      </c>
      <c r="F2748" s="582" t="s">
        <v>251</v>
      </c>
      <c r="G2748" s="593">
        <v>653.79999999999995</v>
      </c>
      <c r="H2748" s="593">
        <v>2</v>
      </c>
      <c r="I2748" s="593">
        <v>2</v>
      </c>
      <c r="J2748" s="582">
        <v>16</v>
      </c>
      <c r="K2748" s="588" t="s">
        <v>3873</v>
      </c>
      <c r="L2748" s="584">
        <f>M2748+N2748+O2748+P2748+Q2748</f>
        <v>1679126</v>
      </c>
      <c r="M2748" s="585">
        <v>1634500</v>
      </c>
      <c r="N2748" s="630">
        <v>30098</v>
      </c>
      <c r="O2748" s="587"/>
      <c r="P2748" s="586"/>
      <c r="Q2748" s="586">
        <v>14528</v>
      </c>
      <c r="R2748" s="582">
        <f>M2748/G2748</f>
        <v>2500</v>
      </c>
      <c r="S2748" s="592"/>
      <c r="T2748" s="592"/>
      <c r="U2748" s="591"/>
      <c r="V2748" s="589"/>
      <c r="W2748" s="592"/>
      <c r="X2748" s="592"/>
      <c r="Y2748" s="592">
        <v>1</v>
      </c>
      <c r="Z2748" s="592"/>
    </row>
    <row r="2749" spans="1:26" s="89" customFormat="1" ht="56.25" hidden="1">
      <c r="A2749" s="591">
        <v>2</v>
      </c>
      <c r="B2749" s="592" t="s">
        <v>3259</v>
      </c>
      <c r="C2749" s="593" t="s">
        <v>305</v>
      </c>
      <c r="D2749" s="582">
        <v>2137</v>
      </c>
      <c r="E2749" s="593">
        <v>494.76</v>
      </c>
      <c r="F2749" s="582" t="s">
        <v>309</v>
      </c>
      <c r="G2749" s="593">
        <v>487.31</v>
      </c>
      <c r="H2749" s="593">
        <v>2</v>
      </c>
      <c r="I2749" s="593">
        <v>2</v>
      </c>
      <c r="J2749" s="582">
        <v>12</v>
      </c>
      <c r="K2749" s="588" t="s">
        <v>4306</v>
      </c>
      <c r="L2749" s="584">
        <f>M2749+N2749+O2749+P2749+Q2749</f>
        <v>1751000</v>
      </c>
      <c r="M2749" s="585">
        <v>1706000</v>
      </c>
      <c r="N2749" s="586">
        <v>25000</v>
      </c>
      <c r="O2749" s="587"/>
      <c r="P2749" s="586"/>
      <c r="Q2749" s="630">
        <v>20000</v>
      </c>
      <c r="R2749" s="582">
        <f>M2749/G2749</f>
        <v>3500.8516139623648</v>
      </c>
      <c r="S2749" s="592"/>
      <c r="T2749" s="592"/>
      <c r="U2749" s="591"/>
      <c r="V2749" s="589"/>
      <c r="W2749" s="592"/>
      <c r="X2749" s="592"/>
      <c r="Y2749" s="592">
        <v>1</v>
      </c>
      <c r="Z2749" s="592"/>
    </row>
    <row r="2750" spans="1:26" s="28" customFormat="1" ht="37.5" hidden="1">
      <c r="A2750" s="591">
        <v>3</v>
      </c>
      <c r="B2750" s="592" t="s">
        <v>2295</v>
      </c>
      <c r="C2750" s="593" t="s">
        <v>305</v>
      </c>
      <c r="D2750" s="582">
        <v>4260</v>
      </c>
      <c r="E2750" s="593">
        <v>794.6</v>
      </c>
      <c r="F2750" s="582" t="s">
        <v>251</v>
      </c>
      <c r="G2750" s="593">
        <v>360.13</v>
      </c>
      <c r="H2750" s="593">
        <v>2</v>
      </c>
      <c r="I2750" s="593">
        <v>2</v>
      </c>
      <c r="J2750" s="582">
        <v>8</v>
      </c>
      <c r="K2750" s="588" t="s">
        <v>3873</v>
      </c>
      <c r="L2750" s="584">
        <f>M2750+N2750+O2750+P2750+Q2750</f>
        <v>953218</v>
      </c>
      <c r="M2750" s="585">
        <v>900325</v>
      </c>
      <c r="N2750" s="630">
        <v>32033</v>
      </c>
      <c r="O2750" s="587"/>
      <c r="P2750" s="586"/>
      <c r="Q2750" s="586">
        <v>20860</v>
      </c>
      <c r="R2750" s="582">
        <f>M2750/G2750</f>
        <v>2500</v>
      </c>
      <c r="S2750" s="592"/>
      <c r="T2750" s="592"/>
      <c r="U2750" s="591"/>
      <c r="V2750" s="589"/>
      <c r="W2750" s="592"/>
      <c r="X2750" s="592"/>
      <c r="Y2750" s="592">
        <v>1</v>
      </c>
      <c r="Z2750" s="592"/>
    </row>
    <row r="2751" spans="1:26" s="28" customFormat="1" hidden="1">
      <c r="A2751" s="1349" t="s">
        <v>183</v>
      </c>
      <c r="B2751" s="1349"/>
      <c r="C2751" s="593" t="s">
        <v>28</v>
      </c>
      <c r="D2751" s="586">
        <f>SUM(D2748)</f>
        <v>2967</v>
      </c>
      <c r="E2751" s="602">
        <f>SUM(E2748:E2750)</f>
        <v>1906.5</v>
      </c>
      <c r="F2751" s="602" t="s">
        <v>28</v>
      </c>
      <c r="G2751" s="602">
        <f>SUM(G2748:G2750)</f>
        <v>1501.2399999999998</v>
      </c>
      <c r="H2751" s="593" t="s">
        <v>28</v>
      </c>
      <c r="I2751" s="593" t="s">
        <v>28</v>
      </c>
      <c r="J2751" s="582">
        <f>SUM(J2748:J2750)</f>
        <v>36</v>
      </c>
      <c r="K2751" s="590" t="s">
        <v>28</v>
      </c>
      <c r="L2751" s="584">
        <f t="shared" ref="L2751:Q2751" si="418">SUM(L2748:L2750)</f>
        <v>4383344</v>
      </c>
      <c r="M2751" s="585">
        <f t="shared" si="418"/>
        <v>4240825</v>
      </c>
      <c r="N2751" s="586">
        <f t="shared" si="418"/>
        <v>87131</v>
      </c>
      <c r="O2751" s="587">
        <f t="shared" si="418"/>
        <v>0</v>
      </c>
      <c r="P2751" s="586">
        <f t="shared" si="418"/>
        <v>0</v>
      </c>
      <c r="Q2751" s="586">
        <f t="shared" si="418"/>
        <v>55388</v>
      </c>
      <c r="R2751" s="582" t="s">
        <v>28</v>
      </c>
      <c r="S2751" s="564">
        <f>L2751-M2751-N2751-O2751-P2751-Q2751</f>
        <v>0</v>
      </c>
      <c r="T2751" s="577" t="e">
        <f>'1.перечень МКД'!#REF!</f>
        <v>#REF!</v>
      </c>
      <c r="U2751" s="589" t="e">
        <f>L2751-T2751</f>
        <v>#REF!</v>
      </c>
      <c r="V2751" s="589"/>
      <c r="W2751" s="592"/>
      <c r="X2751" s="592"/>
      <c r="Y2751" s="592">
        <v>1</v>
      </c>
      <c r="Z2751" s="592"/>
    </row>
    <row r="2752" spans="1:26" s="28" customFormat="1" hidden="1">
      <c r="A2752" s="1347" t="s">
        <v>184</v>
      </c>
      <c r="B2752" s="1347"/>
      <c r="C2752" s="1347"/>
      <c r="D2752" s="1347"/>
      <c r="E2752" s="1347"/>
      <c r="F2752" s="1347"/>
      <c r="G2752" s="1347"/>
      <c r="H2752" s="1347"/>
      <c r="I2752" s="1347"/>
      <c r="J2752" s="1347"/>
      <c r="K2752" s="1347"/>
      <c r="L2752" s="1347"/>
      <c r="M2752" s="1347"/>
      <c r="N2752" s="1347"/>
      <c r="O2752" s="1347"/>
      <c r="P2752" s="1347"/>
      <c r="Q2752" s="1347"/>
      <c r="R2752" s="590"/>
      <c r="S2752" s="592"/>
      <c r="T2752" s="592"/>
      <c r="U2752" s="591"/>
      <c r="V2752" s="589"/>
      <c r="W2752" s="592"/>
      <c r="X2752" s="592"/>
      <c r="Y2752" s="592">
        <v>1</v>
      </c>
      <c r="Z2752" s="592"/>
    </row>
    <row r="2753" spans="1:26" s="28" customFormat="1" hidden="1">
      <c r="A2753" s="714">
        <v>1</v>
      </c>
      <c r="B2753" s="616" t="s">
        <v>2296</v>
      </c>
      <c r="C2753" s="602" t="s">
        <v>323</v>
      </c>
      <c r="D2753" s="593">
        <v>4349</v>
      </c>
      <c r="E2753" s="924"/>
      <c r="F2753" s="602" t="s">
        <v>222</v>
      </c>
      <c r="G2753" s="924">
        <v>500</v>
      </c>
      <c r="H2753" s="602">
        <v>3</v>
      </c>
      <c r="I2753" s="602">
        <v>2</v>
      </c>
      <c r="J2753" s="582">
        <v>18</v>
      </c>
      <c r="K2753" s="590" t="s">
        <v>33</v>
      </c>
      <c r="L2753" s="584">
        <f>M2753+N2753+O2753+P2753+Q2753</f>
        <v>1449057</v>
      </c>
      <c r="M2753" s="782">
        <f>G2753*2800</f>
        <v>1400000</v>
      </c>
      <c r="N2753" s="925">
        <v>27762</v>
      </c>
      <c r="O2753" s="784"/>
      <c r="P2753" s="783"/>
      <c r="Q2753" s="586">
        <v>21295</v>
      </c>
      <c r="R2753" s="780">
        <f>M2753/G2753</f>
        <v>2800</v>
      </c>
      <c r="S2753" s="592"/>
      <c r="T2753" s="592"/>
      <c r="U2753" s="591"/>
      <c r="V2753" s="589"/>
      <c r="W2753" s="592"/>
      <c r="X2753" s="592"/>
      <c r="Y2753" s="592">
        <v>1</v>
      </c>
      <c r="Z2753" s="592"/>
    </row>
    <row r="2754" spans="1:26" s="28" customFormat="1" hidden="1">
      <c r="A2754" s="1349" t="s">
        <v>185</v>
      </c>
      <c r="B2754" s="1349"/>
      <c r="C2754" s="593" t="s">
        <v>28</v>
      </c>
      <c r="D2754" s="586">
        <f>SUM(C2753)</f>
        <v>0</v>
      </c>
      <c r="E2754" s="586">
        <f t="shared" ref="E2754:J2754" si="419">SUM(E2753)</f>
        <v>0</v>
      </c>
      <c r="F2754" s="593" t="s">
        <v>28</v>
      </c>
      <c r="G2754" s="586">
        <f t="shared" si="419"/>
        <v>500</v>
      </c>
      <c r="H2754" s="593" t="s">
        <v>28</v>
      </c>
      <c r="I2754" s="593" t="s">
        <v>28</v>
      </c>
      <c r="J2754" s="582">
        <f t="shared" si="419"/>
        <v>18</v>
      </c>
      <c r="K2754" s="590" t="s">
        <v>28</v>
      </c>
      <c r="L2754" s="584">
        <f>SUM(L2753)</f>
        <v>1449057</v>
      </c>
      <c r="M2754" s="585">
        <f>SUM(M2753)</f>
        <v>1400000</v>
      </c>
      <c r="N2754" s="586">
        <f>SUM(N2753)</f>
        <v>27762</v>
      </c>
      <c r="O2754" s="587"/>
      <c r="P2754" s="586">
        <f>SUM(P2753)</f>
        <v>0</v>
      </c>
      <c r="Q2754" s="586">
        <f>SUM(Q2753)</f>
        <v>21295</v>
      </c>
      <c r="R2754" s="582" t="s">
        <v>28</v>
      </c>
      <c r="S2754" s="564">
        <f>L2754-M2754-N2754-O2754-P2754-Q2754</f>
        <v>0</v>
      </c>
      <c r="T2754" s="577" t="e">
        <f>'1.перечень МКД'!#REF!</f>
        <v>#REF!</v>
      </c>
      <c r="U2754" s="589" t="e">
        <f>L2754-T2754</f>
        <v>#REF!</v>
      </c>
      <c r="V2754" s="589"/>
      <c r="W2754" s="592"/>
      <c r="X2754" s="592"/>
      <c r="Y2754" s="592">
        <v>1</v>
      </c>
      <c r="Z2754" s="592"/>
    </row>
    <row r="2755" spans="1:26" s="28" customFormat="1" hidden="1">
      <c r="A2755" s="1347" t="s">
        <v>186</v>
      </c>
      <c r="B2755" s="1347"/>
      <c r="C2755" s="1347"/>
      <c r="D2755" s="1347"/>
      <c r="E2755" s="1347"/>
      <c r="F2755" s="1347"/>
      <c r="G2755" s="1347"/>
      <c r="H2755" s="1347"/>
      <c r="I2755" s="1347"/>
      <c r="J2755" s="1347"/>
      <c r="K2755" s="1347"/>
      <c r="L2755" s="1347"/>
      <c r="M2755" s="1347"/>
      <c r="N2755" s="1347"/>
      <c r="O2755" s="1347"/>
      <c r="P2755" s="1347"/>
      <c r="Q2755" s="1347"/>
      <c r="R2755" s="590"/>
      <c r="S2755" s="592"/>
      <c r="T2755" s="592"/>
      <c r="U2755" s="591"/>
      <c r="V2755" s="589"/>
      <c r="W2755" s="592"/>
      <c r="X2755" s="592"/>
      <c r="Y2755" s="592">
        <v>1</v>
      </c>
      <c r="Z2755" s="592"/>
    </row>
    <row r="2756" spans="1:26" s="89" customFormat="1" hidden="1">
      <c r="A2756" s="714">
        <v>1</v>
      </c>
      <c r="B2756" s="592" t="s">
        <v>4067</v>
      </c>
      <c r="C2756" s="922" t="s">
        <v>239</v>
      </c>
      <c r="D2756" s="922">
        <v>0</v>
      </c>
      <c r="E2756" s="923">
        <v>809</v>
      </c>
      <c r="F2756" s="923" t="s">
        <v>222</v>
      </c>
      <c r="G2756" s="582">
        <v>1053</v>
      </c>
      <c r="H2756" s="593">
        <v>2</v>
      </c>
      <c r="I2756" s="593">
        <v>4</v>
      </c>
      <c r="J2756" s="593">
        <v>22</v>
      </c>
      <c r="K2756" s="590" t="s">
        <v>33</v>
      </c>
      <c r="L2756" s="584">
        <f>M2756+N2756+O2756+P2756+Q2756</f>
        <v>2797440</v>
      </c>
      <c r="M2756" s="782">
        <v>2737800</v>
      </c>
      <c r="N2756" s="925">
        <v>33628</v>
      </c>
      <c r="O2756" s="587"/>
      <c r="P2756" s="783"/>
      <c r="Q2756" s="630">
        <v>26012</v>
      </c>
      <c r="R2756" s="599">
        <f>M2756/E2756</f>
        <v>3384.1779975278123</v>
      </c>
      <c r="S2756" s="592"/>
      <c r="T2756" s="592"/>
      <c r="U2756" s="591"/>
      <c r="V2756" s="589"/>
      <c r="W2756" s="592"/>
      <c r="X2756" s="592"/>
      <c r="Y2756" s="592">
        <v>1</v>
      </c>
      <c r="Z2756" s="592"/>
    </row>
    <row r="2757" spans="1:26" s="28" customFormat="1" hidden="1">
      <c r="A2757" s="1349" t="s">
        <v>187</v>
      </c>
      <c r="B2757" s="1349"/>
      <c r="C2757" s="593" t="s">
        <v>28</v>
      </c>
      <c r="D2757" s="586">
        <f>SUM(D2756:D2756)</f>
        <v>0</v>
      </c>
      <c r="E2757" s="586">
        <f>SUM(E2756:E2756)</f>
        <v>809</v>
      </c>
      <c r="F2757" s="586" t="s">
        <v>28</v>
      </c>
      <c r="G2757" s="586">
        <f>SUM(G2756:G2756)</f>
        <v>1053</v>
      </c>
      <c r="H2757" s="593" t="s">
        <v>28</v>
      </c>
      <c r="I2757" s="593" t="s">
        <v>28</v>
      </c>
      <c r="J2757" s="586">
        <f>SUM(J2756:J2756)</f>
        <v>22</v>
      </c>
      <c r="K2757" s="590" t="s">
        <v>28</v>
      </c>
      <c r="L2757" s="584">
        <f t="shared" ref="L2757:Q2757" si="420">SUM(L2756:L2756)</f>
        <v>2797440</v>
      </c>
      <c r="M2757" s="585">
        <f t="shared" si="420"/>
        <v>2737800</v>
      </c>
      <c r="N2757" s="586">
        <f t="shared" si="420"/>
        <v>33628</v>
      </c>
      <c r="O2757" s="587">
        <f t="shared" si="420"/>
        <v>0</v>
      </c>
      <c r="P2757" s="586">
        <f t="shared" si="420"/>
        <v>0</v>
      </c>
      <c r="Q2757" s="586">
        <f t="shared" si="420"/>
        <v>26012</v>
      </c>
      <c r="R2757" s="582" t="s">
        <v>28</v>
      </c>
      <c r="S2757" s="564">
        <f>L2757-M2757-N2757-O2757-P2757-Q2757</f>
        <v>0</v>
      </c>
      <c r="T2757" s="577" t="e">
        <f>'1.перечень МКД'!#REF!</f>
        <v>#REF!</v>
      </c>
      <c r="U2757" s="589" t="e">
        <f>L2757-T2757</f>
        <v>#REF!</v>
      </c>
      <c r="V2757" s="589"/>
      <c r="W2757" s="592"/>
      <c r="X2757" s="592"/>
      <c r="Y2757" s="592">
        <v>1</v>
      </c>
      <c r="Z2757" s="592"/>
    </row>
    <row r="2758" spans="1:26" s="28" customFormat="1" hidden="1">
      <c r="A2758" s="1347" t="s">
        <v>188</v>
      </c>
      <c r="B2758" s="1347"/>
      <c r="C2758" s="1347"/>
      <c r="D2758" s="1347"/>
      <c r="E2758" s="1347"/>
      <c r="F2758" s="1347"/>
      <c r="G2758" s="1347"/>
      <c r="H2758" s="1347"/>
      <c r="I2758" s="1347"/>
      <c r="J2758" s="1347"/>
      <c r="K2758" s="1347"/>
      <c r="L2758" s="1347"/>
      <c r="M2758" s="1347"/>
      <c r="N2758" s="1347"/>
      <c r="O2758" s="1347"/>
      <c r="P2758" s="1347"/>
      <c r="Q2758" s="1347"/>
      <c r="R2758" s="590"/>
      <c r="S2758" s="592"/>
      <c r="T2758" s="592"/>
      <c r="U2758" s="591"/>
      <c r="V2758" s="589"/>
      <c r="W2758" s="592"/>
      <c r="X2758" s="592"/>
      <c r="Y2758" s="592">
        <v>1</v>
      </c>
      <c r="Z2758" s="592"/>
    </row>
    <row r="2759" spans="1:26" s="28" customFormat="1" ht="37.5" hidden="1">
      <c r="A2759" s="714">
        <v>1</v>
      </c>
      <c r="B2759" s="616" t="s">
        <v>2303</v>
      </c>
      <c r="C2759" s="602" t="s">
        <v>221</v>
      </c>
      <c r="D2759" s="593">
        <v>34600</v>
      </c>
      <c r="E2759" s="924">
        <v>3673.7</v>
      </c>
      <c r="F2759" s="602" t="s">
        <v>233</v>
      </c>
      <c r="G2759" s="924">
        <v>1384</v>
      </c>
      <c r="H2759" s="602">
        <v>9</v>
      </c>
      <c r="I2759" s="602">
        <v>2</v>
      </c>
      <c r="J2759" s="582">
        <v>64</v>
      </c>
      <c r="K2759" s="590" t="s">
        <v>219</v>
      </c>
      <c r="L2759" s="584">
        <f t="shared" ref="L2759:L2771" si="421">SUM(M2759:Q2759)</f>
        <v>4106250</v>
      </c>
      <c r="M2759" s="782">
        <v>4000000</v>
      </c>
      <c r="N2759" s="925">
        <v>106250</v>
      </c>
      <c r="O2759" s="926"/>
      <c r="P2759" s="783"/>
      <c r="Q2759" s="586"/>
      <c r="R2759" s="582">
        <f t="shared" ref="R2759:R2765" si="422">M2759/I2759</f>
        <v>2000000</v>
      </c>
      <c r="S2759" s="564">
        <f t="shared" ref="S2759:S2764" si="423">L2759-M2759-N2759-O2759-P2759-Q2759</f>
        <v>0</v>
      </c>
      <c r="T2759" s="592"/>
      <c r="U2759" s="591"/>
      <c r="V2759" s="589"/>
      <c r="W2759" s="592"/>
      <c r="X2759" s="592"/>
      <c r="Y2759" s="592">
        <v>1</v>
      </c>
      <c r="Z2759" s="592"/>
    </row>
    <row r="2760" spans="1:26" s="28" customFormat="1" ht="37.5" hidden="1">
      <c r="A2760" s="714">
        <f t="shared" ref="A2760:A2766" si="424">A2759+1</f>
        <v>2</v>
      </c>
      <c r="B2760" s="616" t="s">
        <v>2304</v>
      </c>
      <c r="C2760" s="602" t="s">
        <v>221</v>
      </c>
      <c r="D2760" s="593">
        <v>34600</v>
      </c>
      <c r="E2760" s="924">
        <v>3315</v>
      </c>
      <c r="F2760" s="602" t="s">
        <v>233</v>
      </c>
      <c r="G2760" s="924">
        <v>692</v>
      </c>
      <c r="H2760" s="602">
        <v>9</v>
      </c>
      <c r="I2760" s="602">
        <v>2</v>
      </c>
      <c r="J2760" s="582">
        <v>63</v>
      </c>
      <c r="K2760" s="590" t="s">
        <v>219</v>
      </c>
      <c r="L2760" s="584">
        <f t="shared" si="421"/>
        <v>4106250</v>
      </c>
      <c r="M2760" s="782">
        <v>4000000</v>
      </c>
      <c r="N2760" s="925">
        <v>106250</v>
      </c>
      <c r="O2760" s="926"/>
      <c r="P2760" s="783"/>
      <c r="Q2760" s="586"/>
      <c r="R2760" s="582">
        <f t="shared" si="422"/>
        <v>2000000</v>
      </c>
      <c r="S2760" s="564">
        <f t="shared" si="423"/>
        <v>0</v>
      </c>
      <c r="T2760" s="592"/>
      <c r="U2760" s="591"/>
      <c r="V2760" s="589"/>
      <c r="W2760" s="592"/>
      <c r="X2760" s="592"/>
      <c r="Y2760" s="592">
        <v>1</v>
      </c>
      <c r="Z2760" s="592"/>
    </row>
    <row r="2761" spans="1:26" s="28" customFormat="1" ht="37.5" hidden="1">
      <c r="A2761" s="714">
        <f t="shared" si="424"/>
        <v>3</v>
      </c>
      <c r="B2761" s="616" t="s">
        <v>2308</v>
      </c>
      <c r="C2761" s="602" t="s">
        <v>217</v>
      </c>
      <c r="D2761" s="593">
        <v>39300</v>
      </c>
      <c r="E2761" s="924">
        <v>7960.9</v>
      </c>
      <c r="F2761" s="602" t="s">
        <v>233</v>
      </c>
      <c r="G2761" s="924">
        <v>1870</v>
      </c>
      <c r="H2761" s="602">
        <v>9</v>
      </c>
      <c r="I2761" s="602">
        <v>5</v>
      </c>
      <c r="J2761" s="582">
        <v>189</v>
      </c>
      <c r="K2761" s="590" t="s">
        <v>219</v>
      </c>
      <c r="L2761" s="584">
        <f t="shared" si="421"/>
        <v>10170000</v>
      </c>
      <c r="M2761" s="782">
        <v>10000000</v>
      </c>
      <c r="N2761" s="925">
        <v>170000</v>
      </c>
      <c r="O2761" s="926"/>
      <c r="P2761" s="783"/>
      <c r="Q2761" s="586"/>
      <c r="R2761" s="582">
        <f t="shared" si="422"/>
        <v>2000000</v>
      </c>
      <c r="S2761" s="564">
        <f t="shared" si="423"/>
        <v>0</v>
      </c>
      <c r="T2761" s="592"/>
      <c r="U2761" s="591"/>
      <c r="V2761" s="589"/>
      <c r="W2761" s="592"/>
      <c r="X2761" s="592"/>
      <c r="Y2761" s="592">
        <v>1</v>
      </c>
      <c r="Z2761" s="592"/>
    </row>
    <row r="2762" spans="1:26" s="28" customFormat="1" ht="37.5" hidden="1">
      <c r="A2762" s="714">
        <f t="shared" si="424"/>
        <v>4</v>
      </c>
      <c r="B2762" s="616" t="s">
        <v>2309</v>
      </c>
      <c r="C2762" s="602" t="s">
        <v>217</v>
      </c>
      <c r="D2762" s="593">
        <v>39150</v>
      </c>
      <c r="E2762" s="924">
        <v>4893.1000000000004</v>
      </c>
      <c r="F2762" s="602" t="s">
        <v>233</v>
      </c>
      <c r="G2762" s="924">
        <v>1450</v>
      </c>
      <c r="H2762" s="602">
        <v>9</v>
      </c>
      <c r="I2762" s="602">
        <v>4</v>
      </c>
      <c r="J2762" s="582">
        <v>153</v>
      </c>
      <c r="K2762" s="590" t="s">
        <v>219</v>
      </c>
      <c r="L2762" s="584">
        <f t="shared" si="421"/>
        <v>8148750</v>
      </c>
      <c r="M2762" s="782">
        <v>8000000</v>
      </c>
      <c r="N2762" s="925">
        <v>148750</v>
      </c>
      <c r="O2762" s="926"/>
      <c r="P2762" s="783"/>
      <c r="Q2762" s="586"/>
      <c r="R2762" s="582">
        <f t="shared" si="422"/>
        <v>2000000</v>
      </c>
      <c r="S2762" s="564">
        <f t="shared" si="423"/>
        <v>0</v>
      </c>
      <c r="T2762" s="592"/>
      <c r="U2762" s="591"/>
      <c r="V2762" s="589"/>
      <c r="W2762" s="592"/>
      <c r="X2762" s="592"/>
      <c r="Y2762" s="592">
        <v>1</v>
      </c>
      <c r="Z2762" s="592"/>
    </row>
    <row r="2763" spans="1:26" s="28" customFormat="1" ht="37.5" hidden="1">
      <c r="A2763" s="714">
        <f t="shared" si="424"/>
        <v>5</v>
      </c>
      <c r="B2763" s="616" t="s">
        <v>2310</v>
      </c>
      <c r="C2763" s="602" t="s">
        <v>217</v>
      </c>
      <c r="D2763" s="593">
        <v>36207</v>
      </c>
      <c r="E2763" s="924">
        <v>3719.83</v>
      </c>
      <c r="F2763" s="602" t="s">
        <v>233</v>
      </c>
      <c r="G2763" s="924">
        <v>1341</v>
      </c>
      <c r="H2763" s="602">
        <v>9</v>
      </c>
      <c r="I2763" s="602">
        <v>4</v>
      </c>
      <c r="J2763" s="582">
        <v>145</v>
      </c>
      <c r="K2763" s="590" t="s">
        <v>219</v>
      </c>
      <c r="L2763" s="584">
        <f t="shared" si="421"/>
        <v>8148750</v>
      </c>
      <c r="M2763" s="782">
        <v>8000000</v>
      </c>
      <c r="N2763" s="925">
        <v>148750</v>
      </c>
      <c r="O2763" s="926"/>
      <c r="P2763" s="783"/>
      <c r="Q2763" s="586"/>
      <c r="R2763" s="582">
        <f t="shared" si="422"/>
        <v>2000000</v>
      </c>
      <c r="S2763" s="564">
        <f t="shared" si="423"/>
        <v>0</v>
      </c>
      <c r="T2763" s="592"/>
      <c r="U2763" s="591"/>
      <c r="V2763" s="589"/>
      <c r="W2763" s="592"/>
      <c r="X2763" s="592"/>
      <c r="Y2763" s="592">
        <v>1</v>
      </c>
      <c r="Z2763" s="592"/>
    </row>
    <row r="2764" spans="1:26" s="28" customFormat="1" ht="37.5" hidden="1">
      <c r="A2764" s="714">
        <f t="shared" si="424"/>
        <v>6</v>
      </c>
      <c r="B2764" s="616" t="s">
        <v>2311</v>
      </c>
      <c r="C2764" s="602" t="s">
        <v>217</v>
      </c>
      <c r="D2764" s="593">
        <v>49300</v>
      </c>
      <c r="E2764" s="924">
        <v>8497.1</v>
      </c>
      <c r="F2764" s="602" t="s">
        <v>233</v>
      </c>
      <c r="G2764" s="924">
        <v>1929</v>
      </c>
      <c r="H2764" s="602">
        <v>9</v>
      </c>
      <c r="I2764" s="602">
        <v>6</v>
      </c>
      <c r="J2764" s="582">
        <v>225</v>
      </c>
      <c r="K2764" s="590" t="s">
        <v>219</v>
      </c>
      <c r="L2764" s="584">
        <f t="shared" si="421"/>
        <v>12191250</v>
      </c>
      <c r="M2764" s="782">
        <v>12000000</v>
      </c>
      <c r="N2764" s="925">
        <v>191250</v>
      </c>
      <c r="O2764" s="926"/>
      <c r="P2764" s="783"/>
      <c r="Q2764" s="586"/>
      <c r="R2764" s="582">
        <f t="shared" si="422"/>
        <v>2000000</v>
      </c>
      <c r="S2764" s="564">
        <f t="shared" si="423"/>
        <v>0</v>
      </c>
      <c r="T2764" s="592"/>
      <c r="U2764" s="591"/>
      <c r="V2764" s="589"/>
      <c r="W2764" s="592"/>
      <c r="X2764" s="592"/>
      <c r="Y2764" s="592">
        <v>1</v>
      </c>
      <c r="Z2764" s="592"/>
    </row>
    <row r="2765" spans="1:26" s="89" customFormat="1" ht="37.5" hidden="1">
      <c r="A2765" s="714">
        <f t="shared" si="424"/>
        <v>7</v>
      </c>
      <c r="B2765" s="616" t="s">
        <v>4303</v>
      </c>
      <c r="C2765" s="602" t="s">
        <v>221</v>
      </c>
      <c r="D2765" s="593">
        <v>33794</v>
      </c>
      <c r="E2765" s="924">
        <v>4560.3</v>
      </c>
      <c r="F2765" s="602" t="s">
        <v>233</v>
      </c>
      <c r="G2765" s="924">
        <v>1020</v>
      </c>
      <c r="H2765" s="602">
        <v>9</v>
      </c>
      <c r="I2765" s="602">
        <v>1</v>
      </c>
      <c r="J2765" s="582">
        <v>171</v>
      </c>
      <c r="K2765" s="590" t="s">
        <v>219</v>
      </c>
      <c r="L2765" s="584">
        <f t="shared" si="421"/>
        <v>2085000</v>
      </c>
      <c r="M2765" s="782">
        <v>2000000</v>
      </c>
      <c r="N2765" s="925">
        <v>85000</v>
      </c>
      <c r="O2765" s="926"/>
      <c r="P2765" s="783"/>
      <c r="Q2765" s="586"/>
      <c r="R2765" s="582">
        <f t="shared" si="422"/>
        <v>2000000</v>
      </c>
      <c r="S2765" s="564"/>
      <c r="T2765" s="592"/>
      <c r="U2765" s="591"/>
      <c r="V2765" s="589"/>
      <c r="W2765" s="592"/>
      <c r="X2765" s="592"/>
      <c r="Y2765" s="592">
        <v>1</v>
      </c>
      <c r="Z2765" s="592"/>
    </row>
    <row r="2766" spans="1:26" s="28" customFormat="1" hidden="1">
      <c r="A2766" s="714">
        <f t="shared" si="424"/>
        <v>8</v>
      </c>
      <c r="B2766" s="616" t="s">
        <v>2298</v>
      </c>
      <c r="C2766" s="602" t="s">
        <v>221</v>
      </c>
      <c r="D2766" s="593">
        <v>14458</v>
      </c>
      <c r="E2766" s="924">
        <v>2399.8000000000002</v>
      </c>
      <c r="F2766" s="602" t="s">
        <v>233</v>
      </c>
      <c r="G2766" s="924">
        <v>1092.5</v>
      </c>
      <c r="H2766" s="602">
        <v>5</v>
      </c>
      <c r="I2766" s="602">
        <v>5</v>
      </c>
      <c r="J2766" s="582">
        <v>53</v>
      </c>
      <c r="K2766" s="590" t="s">
        <v>224</v>
      </c>
      <c r="L2766" s="584">
        <f t="shared" si="421"/>
        <v>1218382.7</v>
      </c>
      <c r="M2766" s="782">
        <v>1166000</v>
      </c>
      <c r="N2766" s="925">
        <v>33385</v>
      </c>
      <c r="O2766" s="926"/>
      <c r="P2766" s="783"/>
      <c r="Q2766" s="586">
        <v>18997.7</v>
      </c>
      <c r="R2766" s="780">
        <f>M2766/J2766</f>
        <v>22000</v>
      </c>
      <c r="S2766" s="564">
        <f t="shared" ref="S2766:S2790" si="425">L2766-M2766-N2766-O2766-P2766-Q2766</f>
        <v>-4.7293724492192268E-11</v>
      </c>
      <c r="T2766" s="592"/>
      <c r="U2766" s="591"/>
      <c r="V2766" s="589"/>
      <c r="W2766" s="592"/>
      <c r="X2766" s="592"/>
      <c r="Y2766" s="592">
        <v>1</v>
      </c>
      <c r="Z2766" s="592"/>
    </row>
    <row r="2767" spans="1:26" s="28" customFormat="1" hidden="1">
      <c r="A2767" s="714">
        <f>A2766+1</f>
        <v>9</v>
      </c>
      <c r="B2767" s="616" t="s">
        <v>2299</v>
      </c>
      <c r="C2767" s="602" t="s">
        <v>221</v>
      </c>
      <c r="D2767" s="593">
        <v>40038</v>
      </c>
      <c r="E2767" s="924">
        <v>13314.4</v>
      </c>
      <c r="F2767" s="602" t="s">
        <v>233</v>
      </c>
      <c r="G2767" s="924">
        <v>2994</v>
      </c>
      <c r="H2767" s="602">
        <v>5</v>
      </c>
      <c r="I2767" s="602">
        <v>14</v>
      </c>
      <c r="J2767" s="582">
        <v>199</v>
      </c>
      <c r="K2767" s="590" t="s">
        <v>224</v>
      </c>
      <c r="L2767" s="584">
        <f t="shared" si="421"/>
        <v>4441127</v>
      </c>
      <c r="M2767" s="782">
        <v>4378000</v>
      </c>
      <c r="N2767" s="925">
        <v>43227</v>
      </c>
      <c r="O2767" s="926"/>
      <c r="P2767" s="783"/>
      <c r="Q2767" s="586">
        <v>19900</v>
      </c>
      <c r="R2767" s="780">
        <f>M2767/J2767</f>
        <v>22000</v>
      </c>
      <c r="S2767" s="564">
        <f t="shared" si="425"/>
        <v>0</v>
      </c>
      <c r="T2767" s="592"/>
      <c r="U2767" s="591"/>
      <c r="V2767" s="589"/>
      <c r="W2767" s="592"/>
      <c r="X2767" s="592"/>
      <c r="Y2767" s="592">
        <v>1</v>
      </c>
      <c r="Z2767" s="592"/>
    </row>
    <row r="2768" spans="1:26" s="28" customFormat="1" hidden="1">
      <c r="A2768" s="714">
        <f t="shared" ref="A2768:A2777" si="426">A2767+1</f>
        <v>10</v>
      </c>
      <c r="B2768" s="616" t="s">
        <v>2300</v>
      </c>
      <c r="C2768" s="602" t="s">
        <v>221</v>
      </c>
      <c r="D2768" s="593">
        <v>5197</v>
      </c>
      <c r="E2768" s="924">
        <v>792</v>
      </c>
      <c r="F2768" s="602" t="s">
        <v>228</v>
      </c>
      <c r="G2768" s="924">
        <v>777</v>
      </c>
      <c r="H2768" s="602">
        <v>3</v>
      </c>
      <c r="I2768" s="602">
        <v>2</v>
      </c>
      <c r="J2768" s="582">
        <v>30</v>
      </c>
      <c r="K2768" s="590" t="s">
        <v>224</v>
      </c>
      <c r="L2768" s="584">
        <f t="shared" si="421"/>
        <v>686615.76</v>
      </c>
      <c r="M2768" s="782">
        <v>660000</v>
      </c>
      <c r="N2768" s="925">
        <v>21961</v>
      </c>
      <c r="O2768" s="926"/>
      <c r="P2768" s="783"/>
      <c r="Q2768" s="586">
        <v>4654.76</v>
      </c>
      <c r="R2768" s="780">
        <f>M2768/J2768</f>
        <v>22000</v>
      </c>
      <c r="S2768" s="564">
        <f t="shared" si="425"/>
        <v>9.0949470177292824E-12</v>
      </c>
      <c r="T2768" s="592"/>
      <c r="U2768" s="591"/>
      <c r="V2768" s="589"/>
      <c r="W2768" s="592"/>
      <c r="X2768" s="592"/>
      <c r="Y2768" s="592">
        <v>1</v>
      </c>
      <c r="Z2768" s="592"/>
    </row>
    <row r="2769" spans="1:26" s="28" customFormat="1" ht="93.75" hidden="1">
      <c r="A2769" s="714">
        <f t="shared" si="426"/>
        <v>11</v>
      </c>
      <c r="B2769" s="616" t="s">
        <v>2302</v>
      </c>
      <c r="C2769" s="602" t="s">
        <v>221</v>
      </c>
      <c r="D2769" s="593">
        <v>2430</v>
      </c>
      <c r="E2769" s="924" t="s">
        <v>324</v>
      </c>
      <c r="F2769" s="602" t="s">
        <v>251</v>
      </c>
      <c r="G2769" s="924">
        <v>350</v>
      </c>
      <c r="H2769" s="602">
        <v>2</v>
      </c>
      <c r="I2769" s="602">
        <v>1</v>
      </c>
      <c r="J2769" s="582">
        <v>6</v>
      </c>
      <c r="K2769" s="590" t="s">
        <v>307</v>
      </c>
      <c r="L2769" s="584">
        <f t="shared" si="421"/>
        <v>950965.49</v>
      </c>
      <c r="M2769" s="782">
        <f>G2769*2600</f>
        <v>910000</v>
      </c>
      <c r="N2769" s="925">
        <v>29126</v>
      </c>
      <c r="O2769" s="926"/>
      <c r="P2769" s="783"/>
      <c r="Q2769" s="586">
        <v>11839.49</v>
      </c>
      <c r="R2769" s="780">
        <f>M2769/G2769</f>
        <v>2600</v>
      </c>
      <c r="S2769" s="564">
        <f t="shared" si="425"/>
        <v>0</v>
      </c>
      <c r="T2769" s="592"/>
      <c r="U2769" s="591"/>
      <c r="V2769" s="589"/>
      <c r="W2769" s="592"/>
      <c r="X2769" s="592"/>
      <c r="Y2769" s="592">
        <v>1</v>
      </c>
      <c r="Z2769" s="592"/>
    </row>
    <row r="2770" spans="1:26" s="28" customFormat="1" ht="37.5" hidden="1">
      <c r="A2770" s="714">
        <f t="shared" si="426"/>
        <v>12</v>
      </c>
      <c r="B2770" s="616" t="s">
        <v>2305</v>
      </c>
      <c r="C2770" s="602" t="s">
        <v>221</v>
      </c>
      <c r="D2770" s="593">
        <v>14611</v>
      </c>
      <c r="E2770" s="924">
        <v>1343</v>
      </c>
      <c r="F2770" s="602" t="s">
        <v>233</v>
      </c>
      <c r="G2770" s="924">
        <v>1085</v>
      </c>
      <c r="H2770" s="602">
        <v>5</v>
      </c>
      <c r="I2770" s="602">
        <v>4</v>
      </c>
      <c r="J2770" s="582">
        <v>68</v>
      </c>
      <c r="K2770" s="590" t="s">
        <v>307</v>
      </c>
      <c r="L2770" s="584">
        <f t="shared" si="421"/>
        <v>2428537</v>
      </c>
      <c r="M2770" s="782">
        <f>G2770*2200</f>
        <v>2387000</v>
      </c>
      <c r="N2770" s="925"/>
      <c r="O2770" s="926">
        <v>21637</v>
      </c>
      <c r="P2770" s="783"/>
      <c r="Q2770" s="586">
        <v>19900</v>
      </c>
      <c r="R2770" s="780">
        <f>M2770/G2770</f>
        <v>2200</v>
      </c>
      <c r="S2770" s="564">
        <f t="shared" si="425"/>
        <v>0</v>
      </c>
      <c r="T2770" s="592"/>
      <c r="U2770" s="591"/>
      <c r="V2770" s="589"/>
      <c r="W2770" s="592"/>
      <c r="X2770" s="592"/>
      <c r="Y2770" s="592">
        <v>1</v>
      </c>
      <c r="Z2770" s="592"/>
    </row>
    <row r="2771" spans="1:26" s="28" customFormat="1" hidden="1">
      <c r="A2771" s="714">
        <f t="shared" si="426"/>
        <v>13</v>
      </c>
      <c r="B2771" s="616" t="s">
        <v>2306</v>
      </c>
      <c r="C2771" s="602" t="s">
        <v>221</v>
      </c>
      <c r="D2771" s="593">
        <v>18340</v>
      </c>
      <c r="E2771" s="924">
        <v>3549</v>
      </c>
      <c r="F2771" s="602" t="s">
        <v>233</v>
      </c>
      <c r="G2771" s="924">
        <v>1247</v>
      </c>
      <c r="H2771" s="602">
        <v>5</v>
      </c>
      <c r="I2771" s="602">
        <v>6</v>
      </c>
      <c r="J2771" s="582">
        <v>105</v>
      </c>
      <c r="K2771" s="590" t="s">
        <v>224</v>
      </c>
      <c r="L2771" s="584">
        <f t="shared" si="421"/>
        <v>2362996.11</v>
      </c>
      <c r="M2771" s="782">
        <v>2310000</v>
      </c>
      <c r="N2771" s="925">
        <v>34727</v>
      </c>
      <c r="O2771" s="926"/>
      <c r="P2771" s="783"/>
      <c r="Q2771" s="586">
        <v>18269.11</v>
      </c>
      <c r="R2771" s="780">
        <f>M2771/J2771</f>
        <v>22000</v>
      </c>
      <c r="S2771" s="564">
        <f t="shared" si="425"/>
        <v>-1.3096723705530167E-10</v>
      </c>
      <c r="T2771" s="592"/>
      <c r="U2771" s="591"/>
      <c r="V2771" s="589"/>
      <c r="W2771" s="592"/>
      <c r="X2771" s="592"/>
      <c r="Y2771" s="592">
        <v>1</v>
      </c>
      <c r="Z2771" s="592"/>
    </row>
    <row r="2772" spans="1:26" s="28" customFormat="1" ht="37.5" hidden="1">
      <c r="A2772" s="714">
        <f t="shared" si="426"/>
        <v>14</v>
      </c>
      <c r="B2772" s="616" t="s">
        <v>2307</v>
      </c>
      <c r="C2772" s="602" t="s">
        <v>221</v>
      </c>
      <c r="D2772" s="593">
        <v>33793</v>
      </c>
      <c r="E2772" s="924">
        <v>3482.14</v>
      </c>
      <c r="F2772" s="602" t="s">
        <v>223</v>
      </c>
      <c r="G2772" s="924">
        <v>1341</v>
      </c>
      <c r="H2772" s="602">
        <v>9</v>
      </c>
      <c r="I2772" s="602">
        <v>2</v>
      </c>
      <c r="J2772" s="582">
        <v>72</v>
      </c>
      <c r="K2772" s="590" t="s">
        <v>307</v>
      </c>
      <c r="L2772" s="584">
        <f>M2772+N2772+O2772+P2772+Q2772</f>
        <v>3634091</v>
      </c>
      <c r="M2772" s="782">
        <f>G2772*2500+210000+6500</f>
        <v>3569000</v>
      </c>
      <c r="N2772" s="925"/>
      <c r="O2772" s="926">
        <v>25291</v>
      </c>
      <c r="P2772" s="783"/>
      <c r="Q2772" s="586">
        <v>39800</v>
      </c>
      <c r="R2772" s="780">
        <f>M2772/G2772</f>
        <v>2661.4466815809096</v>
      </c>
      <c r="S2772" s="564">
        <f t="shared" si="425"/>
        <v>0</v>
      </c>
      <c r="T2772" s="592"/>
      <c r="U2772" s="591"/>
      <c r="V2772" s="589"/>
      <c r="W2772" s="592"/>
      <c r="X2772" s="592"/>
      <c r="Y2772" s="592">
        <v>1</v>
      </c>
      <c r="Z2772" s="592"/>
    </row>
    <row r="2773" spans="1:26" s="89" customFormat="1" hidden="1">
      <c r="A2773" s="714">
        <f t="shared" si="426"/>
        <v>15</v>
      </c>
      <c r="B2773" s="592" t="s">
        <v>1359</v>
      </c>
      <c r="C2773" s="922" t="s">
        <v>221</v>
      </c>
      <c r="D2773" s="922">
        <v>23869</v>
      </c>
      <c r="E2773" s="923">
        <v>4082.5</v>
      </c>
      <c r="F2773" s="923" t="s">
        <v>233</v>
      </c>
      <c r="G2773" s="582">
        <v>1716</v>
      </c>
      <c r="H2773" s="593">
        <v>5</v>
      </c>
      <c r="I2773" s="593">
        <v>8</v>
      </c>
      <c r="J2773" s="593">
        <v>130</v>
      </c>
      <c r="K2773" s="590" t="s">
        <v>261</v>
      </c>
      <c r="L2773" s="584">
        <f>M2773+N2773+O2773+P2773+Q2773</f>
        <v>6056000</v>
      </c>
      <c r="M2773" s="782">
        <f>4206000+1800000</f>
        <v>6006000</v>
      </c>
      <c r="N2773" s="783">
        <v>30000</v>
      </c>
      <c r="O2773" s="784"/>
      <c r="P2773" s="783"/>
      <c r="Q2773" s="630">
        <v>20000</v>
      </c>
      <c r="R2773" s="780">
        <f>M2773/G2773</f>
        <v>3500</v>
      </c>
      <c r="S2773" s="564">
        <f t="shared" si="425"/>
        <v>0</v>
      </c>
      <c r="T2773" s="592"/>
      <c r="U2773" s="591"/>
      <c r="V2773" s="589"/>
      <c r="W2773" s="592"/>
      <c r="X2773" s="592"/>
      <c r="Y2773" s="592">
        <v>1</v>
      </c>
      <c r="Z2773" s="592"/>
    </row>
    <row r="2774" spans="1:26" s="89" customFormat="1" hidden="1">
      <c r="A2774" s="714">
        <f t="shared" si="426"/>
        <v>16</v>
      </c>
      <c r="B2774" s="616" t="s">
        <v>4038</v>
      </c>
      <c r="C2774" s="602" t="s">
        <v>221</v>
      </c>
      <c r="D2774" s="593">
        <v>14611</v>
      </c>
      <c r="E2774" s="924">
        <v>2200</v>
      </c>
      <c r="F2774" s="602" t="s">
        <v>4029</v>
      </c>
      <c r="G2774" s="924">
        <v>1000</v>
      </c>
      <c r="H2774" s="602">
        <v>5</v>
      </c>
      <c r="I2774" s="602">
        <v>4</v>
      </c>
      <c r="J2774" s="582">
        <v>60</v>
      </c>
      <c r="K2774" s="590" t="s">
        <v>234</v>
      </c>
      <c r="L2774" s="584">
        <f t="shared" ref="L2774:L2782" si="427">M2774+N2774+O2774+Q2774</f>
        <v>2342313</v>
      </c>
      <c r="M2774" s="782">
        <v>2300000</v>
      </c>
      <c r="N2774" s="783"/>
      <c r="O2774" s="926">
        <v>22313</v>
      </c>
      <c r="P2774" s="592"/>
      <c r="Q2774" s="925">
        <v>20000</v>
      </c>
      <c r="R2774" s="780">
        <f>M2774/G2774</f>
        <v>2300</v>
      </c>
      <c r="S2774" s="564">
        <f t="shared" si="425"/>
        <v>0</v>
      </c>
      <c r="T2774" s="592"/>
      <c r="U2774" s="591"/>
      <c r="V2774" s="589"/>
      <c r="W2774" s="592"/>
      <c r="X2774" s="592"/>
      <c r="Y2774" s="592">
        <v>1</v>
      </c>
      <c r="Z2774" s="592"/>
    </row>
    <row r="2775" spans="1:26" s="188" customFormat="1" hidden="1">
      <c r="A2775" s="714">
        <f t="shared" si="426"/>
        <v>17</v>
      </c>
      <c r="B2775" s="558" t="s">
        <v>4030</v>
      </c>
      <c r="C2775" s="714" t="s">
        <v>221</v>
      </c>
      <c r="D2775" s="559">
        <v>2511</v>
      </c>
      <c r="E2775" s="559">
        <v>542</v>
      </c>
      <c r="F2775" s="714" t="s">
        <v>228</v>
      </c>
      <c r="G2775" s="559">
        <v>563</v>
      </c>
      <c r="H2775" s="559">
        <v>2</v>
      </c>
      <c r="I2775" s="559">
        <v>2</v>
      </c>
      <c r="J2775" s="559">
        <v>16</v>
      </c>
      <c r="K2775" s="590" t="s">
        <v>339</v>
      </c>
      <c r="L2775" s="584">
        <f t="shared" si="427"/>
        <v>211120</v>
      </c>
      <c r="M2775" s="782">
        <v>208000</v>
      </c>
      <c r="N2775" s="783">
        <v>3120</v>
      </c>
      <c r="O2775" s="784"/>
      <c r="P2775" s="560"/>
      <c r="Q2775" s="564"/>
      <c r="R2775" s="1116">
        <f>M2775/J2775</f>
        <v>13000</v>
      </c>
      <c r="S2775" s="564">
        <f t="shared" si="425"/>
        <v>0</v>
      </c>
      <c r="T2775" s="556"/>
      <c r="U2775" s="560"/>
      <c r="V2775" s="560"/>
      <c r="W2775" s="560"/>
      <c r="X2775" s="560"/>
      <c r="Y2775" s="592">
        <v>1</v>
      </c>
      <c r="Z2775" s="560"/>
    </row>
    <row r="2776" spans="1:26" s="188" customFormat="1" hidden="1">
      <c r="A2776" s="714">
        <f t="shared" si="426"/>
        <v>18</v>
      </c>
      <c r="B2776" s="558" t="s">
        <v>4031</v>
      </c>
      <c r="C2776" s="714" t="s">
        <v>221</v>
      </c>
      <c r="D2776" s="559">
        <v>2497</v>
      </c>
      <c r="E2776" s="559">
        <v>544</v>
      </c>
      <c r="F2776" s="714" t="s">
        <v>228</v>
      </c>
      <c r="G2776" s="559">
        <v>621</v>
      </c>
      <c r="H2776" s="559">
        <v>2</v>
      </c>
      <c r="I2776" s="559">
        <v>2</v>
      </c>
      <c r="J2776" s="559">
        <v>16</v>
      </c>
      <c r="K2776" s="590" t="s">
        <v>339</v>
      </c>
      <c r="L2776" s="584">
        <f t="shared" si="427"/>
        <v>211120</v>
      </c>
      <c r="M2776" s="782">
        <v>208000</v>
      </c>
      <c r="N2776" s="783">
        <v>3120</v>
      </c>
      <c r="O2776" s="784"/>
      <c r="P2776" s="560"/>
      <c r="Q2776" s="564"/>
      <c r="R2776" s="1116">
        <f>M2776/J2776</f>
        <v>13000</v>
      </c>
      <c r="S2776" s="564">
        <f t="shared" si="425"/>
        <v>0</v>
      </c>
      <c r="T2776" s="556"/>
      <c r="U2776" s="560"/>
      <c r="V2776" s="560"/>
      <c r="W2776" s="560"/>
      <c r="X2776" s="560"/>
      <c r="Y2776" s="592">
        <v>1</v>
      </c>
      <c r="Z2776" s="560"/>
    </row>
    <row r="2777" spans="1:26" s="188" customFormat="1" hidden="1">
      <c r="A2777" s="714">
        <f t="shared" si="426"/>
        <v>19</v>
      </c>
      <c r="B2777" s="558" t="s">
        <v>4032</v>
      </c>
      <c r="C2777" s="714" t="s">
        <v>221</v>
      </c>
      <c r="D2777" s="559">
        <v>2890</v>
      </c>
      <c r="E2777" s="559">
        <v>527</v>
      </c>
      <c r="F2777" s="714" t="s">
        <v>228</v>
      </c>
      <c r="G2777" s="559">
        <v>626</v>
      </c>
      <c r="H2777" s="559">
        <v>2</v>
      </c>
      <c r="I2777" s="559">
        <v>2</v>
      </c>
      <c r="J2777" s="559">
        <v>16</v>
      </c>
      <c r="K2777" s="590" t="s">
        <v>339</v>
      </c>
      <c r="L2777" s="584">
        <f t="shared" si="427"/>
        <v>211120</v>
      </c>
      <c r="M2777" s="782">
        <v>208000</v>
      </c>
      <c r="N2777" s="783">
        <v>3120</v>
      </c>
      <c r="O2777" s="784"/>
      <c r="P2777" s="560"/>
      <c r="Q2777" s="564"/>
      <c r="R2777" s="1116">
        <f>M2777/J2777</f>
        <v>13000</v>
      </c>
      <c r="S2777" s="564">
        <f t="shared" si="425"/>
        <v>0</v>
      </c>
      <c r="T2777" s="556"/>
      <c r="U2777" s="560"/>
      <c r="V2777" s="560"/>
      <c r="W2777" s="560"/>
      <c r="X2777" s="560"/>
      <c r="Y2777" s="592">
        <v>1</v>
      </c>
      <c r="Z2777" s="560"/>
    </row>
    <row r="2778" spans="1:26" s="188" customFormat="1" hidden="1">
      <c r="A2778" s="714">
        <f t="shared" ref="A2778:A2792" si="428">A2777+1</f>
        <v>20</v>
      </c>
      <c r="B2778" s="558" t="s">
        <v>4033</v>
      </c>
      <c r="C2778" s="714" t="s">
        <v>221</v>
      </c>
      <c r="D2778" s="559">
        <v>3424</v>
      </c>
      <c r="E2778" s="559">
        <v>642</v>
      </c>
      <c r="F2778" s="714" t="s">
        <v>228</v>
      </c>
      <c r="G2778" s="559">
        <v>784</v>
      </c>
      <c r="H2778" s="559">
        <v>2</v>
      </c>
      <c r="I2778" s="559">
        <v>3</v>
      </c>
      <c r="J2778" s="559">
        <v>18</v>
      </c>
      <c r="K2778" s="590" t="s">
        <v>339</v>
      </c>
      <c r="L2778" s="584">
        <f t="shared" si="427"/>
        <v>237510</v>
      </c>
      <c r="M2778" s="782">
        <v>234000</v>
      </c>
      <c r="N2778" s="783">
        <v>3510</v>
      </c>
      <c r="O2778" s="784"/>
      <c r="P2778" s="560"/>
      <c r="Q2778" s="564"/>
      <c r="R2778" s="1116">
        <f>M2778/J2778</f>
        <v>13000</v>
      </c>
      <c r="S2778" s="564">
        <f t="shared" si="425"/>
        <v>0</v>
      </c>
      <c r="T2778" s="556"/>
      <c r="U2778" s="560"/>
      <c r="V2778" s="560"/>
      <c r="W2778" s="560"/>
      <c r="X2778" s="560"/>
      <c r="Y2778" s="592">
        <v>1</v>
      </c>
      <c r="Z2778" s="560"/>
    </row>
    <row r="2779" spans="1:26" s="188" customFormat="1" hidden="1">
      <c r="A2779" s="714">
        <f t="shared" si="428"/>
        <v>21</v>
      </c>
      <c r="B2779" s="560" t="s">
        <v>4034</v>
      </c>
      <c r="C2779" s="560" t="s">
        <v>239</v>
      </c>
      <c r="D2779" s="558">
        <v>2368</v>
      </c>
      <c r="E2779" s="558">
        <v>656</v>
      </c>
      <c r="F2779" s="558" t="s">
        <v>251</v>
      </c>
      <c r="G2779" s="558">
        <v>729</v>
      </c>
      <c r="H2779" s="558">
        <v>2</v>
      </c>
      <c r="I2779" s="558">
        <v>2</v>
      </c>
      <c r="J2779" s="558">
        <v>12</v>
      </c>
      <c r="K2779" s="556" t="s">
        <v>33</v>
      </c>
      <c r="L2779" s="584">
        <f t="shared" si="427"/>
        <v>1935963</v>
      </c>
      <c r="M2779" s="562">
        <v>1895400</v>
      </c>
      <c r="N2779" s="1117">
        <v>28968</v>
      </c>
      <c r="O2779" s="1118"/>
      <c r="P2779" s="1119"/>
      <c r="Q2779" s="1117">
        <v>11595</v>
      </c>
      <c r="R2779" s="1119">
        <f t="shared" ref="R2779:R2788" si="429">M2779/G2779</f>
        <v>2600</v>
      </c>
      <c r="S2779" s="564">
        <f t="shared" si="425"/>
        <v>0</v>
      </c>
      <c r="T2779" s="556"/>
      <c r="U2779" s="556"/>
      <c r="V2779" s="560"/>
      <c r="W2779" s="560"/>
      <c r="X2779" s="560"/>
      <c r="Y2779" s="592">
        <v>1</v>
      </c>
      <c r="Z2779" s="560"/>
    </row>
    <row r="2780" spans="1:26" s="188" customFormat="1" hidden="1">
      <c r="A2780" s="714">
        <f t="shared" si="428"/>
        <v>22</v>
      </c>
      <c r="B2780" s="560" t="s">
        <v>4035</v>
      </c>
      <c r="C2780" s="560" t="s">
        <v>239</v>
      </c>
      <c r="D2780" s="558">
        <v>3093</v>
      </c>
      <c r="E2780" s="558">
        <v>790</v>
      </c>
      <c r="F2780" s="558" t="s">
        <v>251</v>
      </c>
      <c r="G2780" s="558">
        <v>619</v>
      </c>
      <c r="H2780" s="558">
        <v>2</v>
      </c>
      <c r="I2780" s="558">
        <v>2</v>
      </c>
      <c r="J2780" s="558">
        <v>12</v>
      </c>
      <c r="K2780" s="556" t="s">
        <v>33</v>
      </c>
      <c r="L2780" s="584">
        <f t="shared" si="427"/>
        <v>1654560</v>
      </c>
      <c r="M2780" s="562">
        <v>1609400</v>
      </c>
      <c r="N2780" s="1117">
        <v>30015</v>
      </c>
      <c r="O2780" s="1118"/>
      <c r="P2780" s="1119"/>
      <c r="Q2780" s="1117">
        <v>15145</v>
      </c>
      <c r="R2780" s="1119">
        <f t="shared" si="429"/>
        <v>2600</v>
      </c>
      <c r="S2780" s="564">
        <f t="shared" si="425"/>
        <v>0</v>
      </c>
      <c r="T2780" s="556"/>
      <c r="U2780" s="556"/>
      <c r="V2780" s="560"/>
      <c r="W2780" s="560"/>
      <c r="X2780" s="560"/>
      <c r="Y2780" s="592">
        <v>1</v>
      </c>
      <c r="Z2780" s="560"/>
    </row>
    <row r="2781" spans="1:26" s="188" customFormat="1" hidden="1">
      <c r="A2781" s="714">
        <f t="shared" si="428"/>
        <v>23</v>
      </c>
      <c r="B2781" s="560" t="s">
        <v>4036</v>
      </c>
      <c r="C2781" s="560" t="s">
        <v>239</v>
      </c>
      <c r="D2781" s="558">
        <v>2258</v>
      </c>
      <c r="E2781" s="558">
        <v>479</v>
      </c>
      <c r="F2781" s="558" t="s">
        <v>251</v>
      </c>
      <c r="G2781" s="558">
        <v>452</v>
      </c>
      <c r="H2781" s="558">
        <v>2</v>
      </c>
      <c r="I2781" s="558">
        <v>1</v>
      </c>
      <c r="J2781" s="558">
        <v>8</v>
      </c>
      <c r="K2781" s="556" t="s">
        <v>33</v>
      </c>
      <c r="L2781" s="584">
        <f t="shared" si="427"/>
        <v>1214944</v>
      </c>
      <c r="M2781" s="562">
        <v>1175200</v>
      </c>
      <c r="N2781" s="1117">
        <v>28687</v>
      </c>
      <c r="O2781" s="1118"/>
      <c r="P2781" s="1119"/>
      <c r="Q2781" s="1117">
        <v>11057</v>
      </c>
      <c r="R2781" s="1119">
        <f t="shared" si="429"/>
        <v>2600</v>
      </c>
      <c r="S2781" s="564">
        <f t="shared" si="425"/>
        <v>0</v>
      </c>
      <c r="T2781" s="556"/>
      <c r="U2781" s="556"/>
      <c r="V2781" s="560"/>
      <c r="W2781" s="560"/>
      <c r="X2781" s="560"/>
      <c r="Y2781" s="592">
        <v>1</v>
      </c>
      <c r="Z2781" s="560"/>
    </row>
    <row r="2782" spans="1:26" s="188" customFormat="1" hidden="1">
      <c r="A2782" s="714">
        <f t="shared" si="428"/>
        <v>24</v>
      </c>
      <c r="B2782" s="560" t="s">
        <v>4037</v>
      </c>
      <c r="C2782" s="560" t="s">
        <v>221</v>
      </c>
      <c r="D2782" s="558">
        <v>4264</v>
      </c>
      <c r="E2782" s="558">
        <v>480</v>
      </c>
      <c r="F2782" s="558" t="s">
        <v>251</v>
      </c>
      <c r="G2782" s="558">
        <v>860</v>
      </c>
      <c r="H2782" s="558">
        <v>2</v>
      </c>
      <c r="I2782" s="558">
        <v>3</v>
      </c>
      <c r="J2782" s="558">
        <v>12</v>
      </c>
      <c r="K2782" s="556" t="s">
        <v>33</v>
      </c>
      <c r="L2782" s="584">
        <f t="shared" si="427"/>
        <v>2288923</v>
      </c>
      <c r="M2782" s="562">
        <v>2236000</v>
      </c>
      <c r="N2782" s="1117">
        <v>32043</v>
      </c>
      <c r="O2782" s="1118"/>
      <c r="P2782" s="1119"/>
      <c r="Q2782" s="1117">
        <v>20880</v>
      </c>
      <c r="R2782" s="1119">
        <f t="shared" si="429"/>
        <v>2600</v>
      </c>
      <c r="S2782" s="564">
        <f t="shared" si="425"/>
        <v>0</v>
      </c>
      <c r="T2782" s="556"/>
      <c r="U2782" s="556"/>
      <c r="V2782" s="560"/>
      <c r="W2782" s="560"/>
      <c r="X2782" s="560"/>
      <c r="Y2782" s="592">
        <v>1</v>
      </c>
      <c r="Z2782" s="560"/>
    </row>
    <row r="2783" spans="1:26" s="188" customFormat="1" ht="37.5" hidden="1">
      <c r="A2783" s="714">
        <f t="shared" si="428"/>
        <v>25</v>
      </c>
      <c r="B2783" s="560" t="s">
        <v>4268</v>
      </c>
      <c r="C2783" s="560" t="s">
        <v>229</v>
      </c>
      <c r="D2783" s="558">
        <v>1869</v>
      </c>
      <c r="E2783" s="558">
        <v>487.05</v>
      </c>
      <c r="F2783" s="558" t="s">
        <v>251</v>
      </c>
      <c r="G2783" s="558">
        <v>370.44</v>
      </c>
      <c r="H2783" s="558">
        <v>2</v>
      </c>
      <c r="I2783" s="558">
        <v>2</v>
      </c>
      <c r="J2783" s="558">
        <v>8</v>
      </c>
      <c r="K2783" s="556" t="s">
        <v>4215</v>
      </c>
      <c r="L2783" s="584">
        <f t="shared" ref="L2783:L2792" si="430">M2783+N2783+O2783+P2783+Q2783</f>
        <v>2277364</v>
      </c>
      <c r="M2783" s="562">
        <v>2240430</v>
      </c>
      <c r="N2783" s="1117">
        <v>25015</v>
      </c>
      <c r="O2783" s="1118"/>
      <c r="P2783" s="1119"/>
      <c r="Q2783" s="1117">
        <v>11919</v>
      </c>
      <c r="R2783" s="1119">
        <f t="shared" si="429"/>
        <v>6048.0239714933596</v>
      </c>
      <c r="S2783" s="564">
        <f t="shared" si="425"/>
        <v>0</v>
      </c>
      <c r="T2783" s="556"/>
      <c r="U2783" s="560"/>
      <c r="V2783" s="560"/>
      <c r="W2783" s="560"/>
      <c r="X2783" s="560"/>
      <c r="Y2783" s="592">
        <v>1</v>
      </c>
      <c r="Z2783" s="560"/>
    </row>
    <row r="2784" spans="1:26" s="188" customFormat="1" hidden="1">
      <c r="A2784" s="714">
        <f t="shared" si="428"/>
        <v>26</v>
      </c>
      <c r="B2784" s="560" t="s">
        <v>4289</v>
      </c>
      <c r="C2784" s="560" t="s">
        <v>221</v>
      </c>
      <c r="D2784" s="558">
        <v>19101</v>
      </c>
      <c r="E2784" s="558">
        <v>3316</v>
      </c>
      <c r="F2784" s="558" t="s">
        <v>233</v>
      </c>
      <c r="G2784" s="558">
        <v>670</v>
      </c>
      <c r="H2784" s="558">
        <v>12</v>
      </c>
      <c r="I2784" s="558">
        <v>1</v>
      </c>
      <c r="J2784" s="558">
        <v>83</v>
      </c>
      <c r="K2784" s="556" t="s">
        <v>234</v>
      </c>
      <c r="L2784" s="584">
        <f t="shared" si="430"/>
        <v>1646316</v>
      </c>
      <c r="M2784" s="562">
        <v>1600000</v>
      </c>
      <c r="N2784" s="1119"/>
      <c r="O2784" s="1120">
        <v>26316</v>
      </c>
      <c r="P2784" s="1119"/>
      <c r="Q2784" s="1117">
        <v>20000</v>
      </c>
      <c r="R2784" s="1119">
        <f t="shared" si="429"/>
        <v>2388.0597014925374</v>
      </c>
      <c r="S2784" s="564">
        <f t="shared" si="425"/>
        <v>0</v>
      </c>
      <c r="T2784" s="556"/>
      <c r="U2784" s="560"/>
      <c r="V2784" s="560"/>
      <c r="W2784" s="560"/>
      <c r="X2784" s="560"/>
      <c r="Y2784" s="592">
        <v>1</v>
      </c>
      <c r="Z2784" s="560"/>
    </row>
    <row r="2785" spans="1:26" s="188" customFormat="1" hidden="1">
      <c r="A2785" s="714">
        <f t="shared" si="428"/>
        <v>27</v>
      </c>
      <c r="B2785" s="560" t="s">
        <v>4291</v>
      </c>
      <c r="C2785" s="560" t="s">
        <v>221</v>
      </c>
      <c r="D2785" s="558">
        <v>8178</v>
      </c>
      <c r="E2785" s="558">
        <v>1622</v>
      </c>
      <c r="F2785" s="558" t="s">
        <v>251</v>
      </c>
      <c r="G2785" s="558">
        <v>1057.9000000000001</v>
      </c>
      <c r="H2785" s="558">
        <v>3</v>
      </c>
      <c r="I2785" s="558">
        <v>3</v>
      </c>
      <c r="J2785" s="558">
        <v>23</v>
      </c>
      <c r="K2785" s="556" t="s">
        <v>234</v>
      </c>
      <c r="L2785" s="584">
        <f t="shared" si="430"/>
        <v>2807445</v>
      </c>
      <c r="M2785" s="562">
        <v>2750540</v>
      </c>
      <c r="N2785" s="1117">
        <v>31565</v>
      </c>
      <c r="O2785" s="1118"/>
      <c r="P2785" s="1119"/>
      <c r="Q2785" s="1117">
        <v>25340</v>
      </c>
      <c r="R2785" s="1119">
        <f t="shared" si="429"/>
        <v>2600</v>
      </c>
      <c r="S2785" s="564">
        <f t="shared" si="425"/>
        <v>0</v>
      </c>
      <c r="T2785" s="556"/>
      <c r="U2785" s="560"/>
      <c r="V2785" s="560"/>
      <c r="W2785" s="560"/>
      <c r="X2785" s="560"/>
      <c r="Y2785" s="592">
        <v>1</v>
      </c>
      <c r="Z2785" s="560"/>
    </row>
    <row r="2786" spans="1:26" s="188" customFormat="1" hidden="1">
      <c r="A2786" s="714">
        <f t="shared" si="428"/>
        <v>28</v>
      </c>
      <c r="B2786" s="560" t="s">
        <v>4295</v>
      </c>
      <c r="C2786" s="560" t="s">
        <v>221</v>
      </c>
      <c r="D2786" s="558">
        <v>11057</v>
      </c>
      <c r="E2786" s="558">
        <v>1277.0999999999999</v>
      </c>
      <c r="F2786" s="558" t="s">
        <v>233</v>
      </c>
      <c r="G2786" s="558">
        <v>1189</v>
      </c>
      <c r="H2786" s="558">
        <v>3</v>
      </c>
      <c r="I2786" s="558">
        <v>4</v>
      </c>
      <c r="J2786" s="558">
        <v>42</v>
      </c>
      <c r="K2786" s="556" t="s">
        <v>234</v>
      </c>
      <c r="L2786" s="584">
        <f t="shared" si="430"/>
        <v>2775303</v>
      </c>
      <c r="M2786" s="562">
        <v>2734700</v>
      </c>
      <c r="N2786" s="1119"/>
      <c r="O2786" s="1120">
        <v>20603</v>
      </c>
      <c r="P2786" s="1119"/>
      <c r="Q2786" s="1117">
        <v>20000</v>
      </c>
      <c r="R2786" s="1119">
        <f t="shared" si="429"/>
        <v>2300</v>
      </c>
      <c r="S2786" s="564">
        <f t="shared" si="425"/>
        <v>0</v>
      </c>
      <c r="T2786" s="556"/>
      <c r="U2786" s="560"/>
      <c r="V2786" s="560"/>
      <c r="W2786" s="560"/>
      <c r="X2786" s="560"/>
      <c r="Y2786" s="592">
        <v>1</v>
      </c>
      <c r="Z2786" s="560"/>
    </row>
    <row r="2787" spans="1:26" s="188" customFormat="1" hidden="1">
      <c r="A2787" s="714">
        <f t="shared" si="428"/>
        <v>29</v>
      </c>
      <c r="B2787" s="560" t="s">
        <v>4293</v>
      </c>
      <c r="C2787" s="560" t="s">
        <v>221</v>
      </c>
      <c r="D2787" s="558">
        <v>14423</v>
      </c>
      <c r="E2787" s="558">
        <v>2208</v>
      </c>
      <c r="F2787" s="558" t="s">
        <v>233</v>
      </c>
      <c r="G2787" s="558">
        <v>1343</v>
      </c>
      <c r="H2787" s="558">
        <v>5</v>
      </c>
      <c r="I2787" s="558">
        <v>5</v>
      </c>
      <c r="J2787" s="558">
        <v>65</v>
      </c>
      <c r="K2787" s="556" t="s">
        <v>234</v>
      </c>
      <c r="L2787" s="584">
        <f t="shared" si="430"/>
        <v>3131144</v>
      </c>
      <c r="M2787" s="562">
        <v>3088900</v>
      </c>
      <c r="N2787" s="1119"/>
      <c r="O2787" s="1120">
        <v>22244</v>
      </c>
      <c r="P2787" s="1119"/>
      <c r="Q2787" s="1117">
        <v>20000</v>
      </c>
      <c r="R2787" s="1119">
        <f t="shared" si="429"/>
        <v>2300</v>
      </c>
      <c r="S2787" s="564">
        <f t="shared" si="425"/>
        <v>0</v>
      </c>
      <c r="T2787" s="556"/>
      <c r="U2787" s="560"/>
      <c r="V2787" s="560"/>
      <c r="W2787" s="560"/>
      <c r="X2787" s="560"/>
      <c r="Y2787" s="592">
        <v>1</v>
      </c>
      <c r="Z2787" s="560"/>
    </row>
    <row r="2788" spans="1:26" s="188" customFormat="1" hidden="1">
      <c r="A2788" s="714">
        <f t="shared" si="428"/>
        <v>30</v>
      </c>
      <c r="B2788" s="560" t="s">
        <v>4294</v>
      </c>
      <c r="C2788" s="560" t="s">
        <v>239</v>
      </c>
      <c r="D2788" s="558">
        <v>3431</v>
      </c>
      <c r="E2788" s="558">
        <v>824</v>
      </c>
      <c r="F2788" s="558" t="s">
        <v>222</v>
      </c>
      <c r="G2788" s="558">
        <v>666</v>
      </c>
      <c r="H2788" s="558">
        <v>2</v>
      </c>
      <c r="I2788" s="558">
        <v>2</v>
      </c>
      <c r="J2788" s="558">
        <v>16</v>
      </c>
      <c r="K2788" s="556" t="s">
        <v>234</v>
      </c>
      <c r="L2788" s="584">
        <f t="shared" si="430"/>
        <v>1779255</v>
      </c>
      <c r="M2788" s="562">
        <v>1731600</v>
      </c>
      <c r="N2788" s="1117">
        <v>30854</v>
      </c>
      <c r="O2788" s="1118"/>
      <c r="P2788" s="1119"/>
      <c r="Q2788" s="1117">
        <v>16801</v>
      </c>
      <c r="R2788" s="1119">
        <f t="shared" si="429"/>
        <v>2600</v>
      </c>
      <c r="S2788" s="564">
        <f t="shared" si="425"/>
        <v>0</v>
      </c>
      <c r="T2788" s="556"/>
      <c r="U2788" s="560"/>
      <c r="V2788" s="560"/>
      <c r="W2788" s="560"/>
      <c r="X2788" s="560"/>
      <c r="Y2788" s="592">
        <v>1</v>
      </c>
      <c r="Z2788" s="560"/>
    </row>
    <row r="2789" spans="1:26" s="188" customFormat="1" hidden="1">
      <c r="A2789" s="714">
        <f t="shared" si="428"/>
        <v>31</v>
      </c>
      <c r="B2789" s="560" t="s">
        <v>4302</v>
      </c>
      <c r="C2789" s="560" t="s">
        <v>221</v>
      </c>
      <c r="D2789" s="558">
        <v>12330</v>
      </c>
      <c r="E2789" s="558">
        <v>2362.8000000000002</v>
      </c>
      <c r="F2789" s="558" t="s">
        <v>222</v>
      </c>
      <c r="G2789" s="558">
        <v>1435</v>
      </c>
      <c r="H2789" s="558">
        <v>5</v>
      </c>
      <c r="I2789" s="558">
        <v>4</v>
      </c>
      <c r="J2789" s="558">
        <v>79</v>
      </c>
      <c r="K2789" s="556" t="s">
        <v>245</v>
      </c>
      <c r="L2789" s="584">
        <f t="shared" si="430"/>
        <v>1216441</v>
      </c>
      <c r="M2789" s="782">
        <v>1185000</v>
      </c>
      <c r="N2789" s="783"/>
      <c r="O2789" s="576">
        <v>15127</v>
      </c>
      <c r="P2789" s="783"/>
      <c r="Q2789" s="575">
        <v>16314</v>
      </c>
      <c r="R2789" s="555">
        <f>M2789/J2789</f>
        <v>15000</v>
      </c>
      <c r="S2789" s="564">
        <f t="shared" si="425"/>
        <v>0</v>
      </c>
      <c r="T2789" s="556"/>
      <c r="U2789" s="560"/>
      <c r="V2789" s="560"/>
      <c r="W2789" s="560"/>
      <c r="X2789" s="560"/>
      <c r="Y2789" s="592">
        <v>1</v>
      </c>
      <c r="Z2789" s="560"/>
    </row>
    <row r="2790" spans="1:26" s="188" customFormat="1" ht="37.5" hidden="1">
      <c r="A2790" s="714">
        <f t="shared" si="428"/>
        <v>32</v>
      </c>
      <c r="B2790" s="560" t="s">
        <v>4304</v>
      </c>
      <c r="C2790" s="560" t="s">
        <v>221</v>
      </c>
      <c r="D2790" s="558">
        <v>14423</v>
      </c>
      <c r="E2790" s="558">
        <v>2257.62</v>
      </c>
      <c r="F2790" s="558" t="s">
        <v>233</v>
      </c>
      <c r="G2790" s="558">
        <v>1149</v>
      </c>
      <c r="H2790" s="558">
        <v>5</v>
      </c>
      <c r="I2790" s="558">
        <v>5</v>
      </c>
      <c r="J2790" s="558">
        <v>75</v>
      </c>
      <c r="K2790" s="556" t="s">
        <v>4313</v>
      </c>
      <c r="L2790" s="584">
        <f t="shared" si="430"/>
        <v>5252858</v>
      </c>
      <c r="M2790" s="562">
        <v>5192526</v>
      </c>
      <c r="N2790" s="1117">
        <v>30332</v>
      </c>
      <c r="O2790" s="1118"/>
      <c r="P2790" s="1119"/>
      <c r="Q2790" s="1117">
        <v>30000</v>
      </c>
      <c r="R2790" s="555">
        <f>M2790/E2790</f>
        <v>2300</v>
      </c>
      <c r="S2790" s="564">
        <f t="shared" si="425"/>
        <v>0</v>
      </c>
      <c r="T2790" s="556"/>
      <c r="U2790" s="560"/>
      <c r="V2790" s="560"/>
      <c r="W2790" s="560"/>
      <c r="X2790" s="560"/>
      <c r="Y2790" s="592">
        <v>1</v>
      </c>
      <c r="Z2790" s="560"/>
    </row>
    <row r="2791" spans="1:26" s="188" customFormat="1" ht="37.5" hidden="1">
      <c r="A2791" s="714">
        <f t="shared" si="428"/>
        <v>33</v>
      </c>
      <c r="B2791" s="560" t="s">
        <v>4311</v>
      </c>
      <c r="C2791" s="560" t="s">
        <v>221</v>
      </c>
      <c r="D2791" s="558">
        <v>10050</v>
      </c>
      <c r="E2791" s="558">
        <v>1799</v>
      </c>
      <c r="F2791" s="558" t="s">
        <v>233</v>
      </c>
      <c r="G2791" s="558">
        <v>1320</v>
      </c>
      <c r="H2791" s="558">
        <v>4</v>
      </c>
      <c r="I2791" s="558">
        <v>4</v>
      </c>
      <c r="J2791" s="558">
        <v>48</v>
      </c>
      <c r="K2791" s="556" t="s">
        <v>3717</v>
      </c>
      <c r="L2791" s="584">
        <f t="shared" si="430"/>
        <v>2412253</v>
      </c>
      <c r="M2791" s="562">
        <v>2376000</v>
      </c>
      <c r="N2791" s="1119"/>
      <c r="O2791" s="1120">
        <v>16253</v>
      </c>
      <c r="P2791" s="1119"/>
      <c r="Q2791" s="1117">
        <v>20000</v>
      </c>
      <c r="R2791" s="1119">
        <f>M2791/G2791</f>
        <v>1800</v>
      </c>
      <c r="S2791" s="564"/>
      <c r="T2791" s="556"/>
      <c r="U2791" s="560"/>
      <c r="V2791" s="560"/>
      <c r="W2791" s="560"/>
      <c r="X2791" s="560"/>
      <c r="Y2791" s="592">
        <v>1</v>
      </c>
      <c r="Z2791" s="560"/>
    </row>
    <row r="2792" spans="1:26" s="188" customFormat="1" hidden="1">
      <c r="A2792" s="714">
        <f t="shared" si="428"/>
        <v>34</v>
      </c>
      <c r="B2792" s="560" t="s">
        <v>4312</v>
      </c>
      <c r="C2792" s="560" t="s">
        <v>221</v>
      </c>
      <c r="D2792" s="558">
        <v>5912</v>
      </c>
      <c r="E2792" s="558">
        <v>1202</v>
      </c>
      <c r="F2792" s="558" t="s">
        <v>251</v>
      </c>
      <c r="G2792" s="558">
        <v>1097</v>
      </c>
      <c r="H2792" s="558">
        <v>3</v>
      </c>
      <c r="I2792" s="558">
        <v>3</v>
      </c>
      <c r="J2792" s="558">
        <v>36</v>
      </c>
      <c r="K2792" s="556" t="s">
        <v>33</v>
      </c>
      <c r="L2792" s="584">
        <f t="shared" si="430"/>
        <v>2789812</v>
      </c>
      <c r="M2792" s="562">
        <v>2741300</v>
      </c>
      <c r="N2792" s="1117">
        <v>30193</v>
      </c>
      <c r="O2792" s="1118"/>
      <c r="P2792" s="1119"/>
      <c r="Q2792" s="1117">
        <v>18319</v>
      </c>
      <c r="R2792" s="1119">
        <f>M2792/G2792</f>
        <v>2498.9061075660893</v>
      </c>
      <c r="S2792" s="564"/>
      <c r="T2792" s="556"/>
      <c r="U2792" s="560"/>
      <c r="V2792" s="560"/>
      <c r="W2792" s="560"/>
      <c r="X2792" s="560"/>
      <c r="Y2792" s="592">
        <v>1</v>
      </c>
      <c r="Z2792" s="560"/>
    </row>
    <row r="2793" spans="1:26" s="28" customFormat="1" hidden="1">
      <c r="A2793" s="1361" t="s">
        <v>151</v>
      </c>
      <c r="B2793" s="1361"/>
      <c r="C2793" s="593" t="s">
        <v>277</v>
      </c>
      <c r="D2793" s="586">
        <f>SUM(D2759:D2792)</f>
        <v>558377</v>
      </c>
      <c r="E2793" s="586">
        <f>SUM(E2759:E2792)</f>
        <v>89798.340000000011</v>
      </c>
      <c r="F2793" s="593" t="s">
        <v>277</v>
      </c>
      <c r="G2793" s="586">
        <f>SUM(G2759:G2792)</f>
        <v>36839.839999999997</v>
      </c>
      <c r="H2793" s="593" t="s">
        <v>277</v>
      </c>
      <c r="I2793" s="593" t="s">
        <v>277</v>
      </c>
      <c r="J2793" s="582">
        <f>SUM(J2759:J2792)</f>
        <v>2318</v>
      </c>
      <c r="K2793" s="590" t="s">
        <v>28</v>
      </c>
      <c r="L2793" s="585">
        <f t="shared" ref="L2793:Q2793" si="431">SUM(L2759:L2792)</f>
        <v>107130729.06</v>
      </c>
      <c r="M2793" s="585">
        <f t="shared" si="431"/>
        <v>105100996</v>
      </c>
      <c r="N2793" s="586">
        <f t="shared" si="431"/>
        <v>1429218</v>
      </c>
      <c r="O2793" s="587">
        <f t="shared" si="431"/>
        <v>169784</v>
      </c>
      <c r="P2793" s="586">
        <f t="shared" si="431"/>
        <v>0</v>
      </c>
      <c r="Q2793" s="586">
        <f t="shared" si="431"/>
        <v>430731.06</v>
      </c>
      <c r="R2793" s="582" t="s">
        <v>28</v>
      </c>
      <c r="S2793" s="564">
        <f>L2793-M2793-N2793-O2793-P2793-Q2793</f>
        <v>2.3865140974521637E-9</v>
      </c>
      <c r="T2793" s="577" t="e">
        <f>'1.перечень МКД'!#REF!</f>
        <v>#REF!</v>
      </c>
      <c r="U2793" s="589" t="e">
        <f>L2793-T2793</f>
        <v>#REF!</v>
      </c>
      <c r="V2793" s="589"/>
      <c r="W2793" s="592"/>
      <c r="X2793" s="592"/>
      <c r="Y2793" s="592">
        <v>1</v>
      </c>
      <c r="Z2793" s="592"/>
    </row>
    <row r="2794" spans="1:26" s="28" customFormat="1" hidden="1">
      <c r="A2794" s="1347" t="s">
        <v>189</v>
      </c>
      <c r="B2794" s="1347"/>
      <c r="C2794" s="1347"/>
      <c r="D2794" s="1347"/>
      <c r="E2794" s="1347"/>
      <c r="F2794" s="1347"/>
      <c r="G2794" s="1347"/>
      <c r="H2794" s="1347"/>
      <c r="I2794" s="1347"/>
      <c r="J2794" s="1347"/>
      <c r="K2794" s="1347"/>
      <c r="L2794" s="1347"/>
      <c r="M2794" s="1347"/>
      <c r="N2794" s="1347"/>
      <c r="O2794" s="1347"/>
      <c r="P2794" s="1347"/>
      <c r="Q2794" s="1347"/>
      <c r="R2794" s="590"/>
      <c r="S2794" s="592"/>
      <c r="T2794" s="592"/>
      <c r="U2794" s="591"/>
      <c r="V2794" s="589"/>
      <c r="W2794" s="592"/>
      <c r="X2794" s="592"/>
      <c r="Y2794" s="592">
        <v>1</v>
      </c>
      <c r="Z2794" s="592"/>
    </row>
    <row r="2795" spans="1:26" s="89" customFormat="1" hidden="1">
      <c r="A2795" s="714">
        <v>1</v>
      </c>
      <c r="B2795" s="616" t="s">
        <v>3284</v>
      </c>
      <c r="C2795" s="602">
        <v>2925</v>
      </c>
      <c r="D2795" s="593" t="s">
        <v>296</v>
      </c>
      <c r="E2795" s="924">
        <v>532</v>
      </c>
      <c r="F2795" s="602" t="s">
        <v>303</v>
      </c>
      <c r="G2795" s="924">
        <v>650</v>
      </c>
      <c r="H2795" s="602">
        <v>2</v>
      </c>
      <c r="I2795" s="602">
        <v>3</v>
      </c>
      <c r="J2795" s="582">
        <v>18</v>
      </c>
      <c r="K2795" s="590" t="s">
        <v>252</v>
      </c>
      <c r="L2795" s="584">
        <f>SUM(M2795:Q2795)</f>
        <v>1839323</v>
      </c>
      <c r="M2795" s="782">
        <v>1800000</v>
      </c>
      <c r="N2795" s="783">
        <v>25000</v>
      </c>
      <c r="O2795" s="784"/>
      <c r="P2795" s="783"/>
      <c r="Q2795" s="630">
        <v>14323</v>
      </c>
      <c r="R2795" s="780">
        <f>M2795/G2795</f>
        <v>2769.2307692307691</v>
      </c>
      <c r="S2795" s="592"/>
      <c r="T2795" s="592"/>
      <c r="U2795" s="591"/>
      <c r="V2795" s="589"/>
      <c r="W2795" s="592"/>
      <c r="X2795" s="592"/>
      <c r="Y2795" s="592">
        <v>1</v>
      </c>
      <c r="Z2795" s="592"/>
    </row>
    <row r="2796" spans="1:26" s="89" customFormat="1" hidden="1">
      <c r="A2796" s="714">
        <f>A2795+1</f>
        <v>2</v>
      </c>
      <c r="B2796" s="616" t="s">
        <v>4301</v>
      </c>
      <c r="C2796" s="602">
        <v>4048.3</v>
      </c>
      <c r="D2796" s="593" t="s">
        <v>282</v>
      </c>
      <c r="E2796" s="924">
        <v>294.39999999999998</v>
      </c>
      <c r="F2796" s="602" t="s">
        <v>251</v>
      </c>
      <c r="G2796" s="924">
        <v>884.45</v>
      </c>
      <c r="H2796" s="602">
        <v>2</v>
      </c>
      <c r="I2796" s="602">
        <v>2</v>
      </c>
      <c r="J2796" s="582">
        <v>31</v>
      </c>
      <c r="K2796" s="590" t="s">
        <v>33</v>
      </c>
      <c r="L2796" s="584">
        <f>SUM(M2796:Q2796)</f>
        <v>2295512</v>
      </c>
      <c r="M2796" s="782">
        <v>2243736</v>
      </c>
      <c r="N2796" s="925">
        <v>31953</v>
      </c>
      <c r="O2796" s="784"/>
      <c r="P2796" s="783"/>
      <c r="Q2796" s="630">
        <v>19823</v>
      </c>
      <c r="R2796" s="780">
        <f>M2796/G2796</f>
        <v>2536.871502063429</v>
      </c>
      <c r="S2796" s="592"/>
      <c r="T2796" s="592"/>
      <c r="U2796" s="591"/>
      <c r="V2796" s="589"/>
      <c r="W2796" s="592"/>
      <c r="X2796" s="592"/>
      <c r="Y2796" s="592">
        <v>1</v>
      </c>
      <c r="Z2796" s="592"/>
    </row>
    <row r="2797" spans="1:26" s="28" customFormat="1" hidden="1">
      <c r="A2797" s="714">
        <f>A2796+1</f>
        <v>3</v>
      </c>
      <c r="B2797" s="616" t="s">
        <v>2313</v>
      </c>
      <c r="C2797" s="602" t="s">
        <v>325</v>
      </c>
      <c r="D2797" s="593">
        <v>2218</v>
      </c>
      <c r="E2797" s="924">
        <v>400</v>
      </c>
      <c r="F2797" s="602" t="s">
        <v>251</v>
      </c>
      <c r="G2797" s="924">
        <v>520</v>
      </c>
      <c r="H2797" s="602">
        <v>2</v>
      </c>
      <c r="I2797" s="602">
        <v>2</v>
      </c>
      <c r="J2797" s="582">
        <v>12</v>
      </c>
      <c r="K2797" s="590" t="s">
        <v>33</v>
      </c>
      <c r="L2797" s="584">
        <f>SUM(M2797:Q2797)</f>
        <v>1498437.58</v>
      </c>
      <c r="M2797" s="782">
        <v>1459046</v>
      </c>
      <c r="N2797" s="925">
        <v>28585</v>
      </c>
      <c r="O2797" s="784"/>
      <c r="P2797" s="783"/>
      <c r="Q2797" s="586">
        <v>10806.58</v>
      </c>
      <c r="R2797" s="780">
        <f>M2797/G2797</f>
        <v>2805.8576923076921</v>
      </c>
      <c r="S2797" s="592"/>
      <c r="T2797" s="592"/>
      <c r="U2797" s="591"/>
      <c r="V2797" s="589"/>
      <c r="W2797" s="592"/>
      <c r="X2797" s="592"/>
      <c r="Y2797" s="592">
        <v>1</v>
      </c>
      <c r="Z2797" s="592"/>
    </row>
    <row r="2798" spans="1:26" s="28" customFormat="1" hidden="1">
      <c r="A2798" s="1349" t="s">
        <v>190</v>
      </c>
      <c r="B2798" s="1349"/>
      <c r="C2798" s="593" t="s">
        <v>28</v>
      </c>
      <c r="D2798" s="586">
        <f>SUM(D2795:D2797)</f>
        <v>2218</v>
      </c>
      <c r="E2798" s="586">
        <f>SUM(E2795:E2797)</f>
        <v>1226.4000000000001</v>
      </c>
      <c r="F2798" s="593" t="s">
        <v>28</v>
      </c>
      <c r="G2798" s="586">
        <f>SUM(G2795:G2797)</f>
        <v>2054.4499999999998</v>
      </c>
      <c r="H2798" s="593" t="s">
        <v>28</v>
      </c>
      <c r="I2798" s="593" t="s">
        <v>28</v>
      </c>
      <c r="J2798" s="582">
        <f>SUM(J2795:J2797)</f>
        <v>61</v>
      </c>
      <c r="K2798" s="590" t="s">
        <v>28</v>
      </c>
      <c r="L2798" s="584">
        <f t="shared" ref="L2798:Q2798" si="432">SUM(L2795:L2797)</f>
        <v>5633272.5800000001</v>
      </c>
      <c r="M2798" s="585">
        <f t="shared" si="432"/>
        <v>5502782</v>
      </c>
      <c r="N2798" s="586">
        <f t="shared" si="432"/>
        <v>85538</v>
      </c>
      <c r="O2798" s="587">
        <f t="shared" si="432"/>
        <v>0</v>
      </c>
      <c r="P2798" s="586">
        <f t="shared" si="432"/>
        <v>0</v>
      </c>
      <c r="Q2798" s="586">
        <f t="shared" si="432"/>
        <v>44952.58</v>
      </c>
      <c r="R2798" s="582" t="s">
        <v>28</v>
      </c>
      <c r="S2798" s="564">
        <f>L2798-M2798-N2798-O2798-P2798-Q2798</f>
        <v>7.2759576141834259E-11</v>
      </c>
      <c r="T2798" s="577" t="e">
        <f>'1.перечень МКД'!#REF!</f>
        <v>#REF!</v>
      </c>
      <c r="U2798" s="589" t="e">
        <f>L2798-T2798</f>
        <v>#REF!</v>
      </c>
      <c r="V2798" s="589"/>
      <c r="W2798" s="592"/>
      <c r="X2798" s="592"/>
      <c r="Y2798" s="592">
        <v>1</v>
      </c>
      <c r="Z2798" s="592"/>
    </row>
    <row r="2799" spans="1:26" s="28" customFormat="1" hidden="1">
      <c r="A2799" s="1347" t="s">
        <v>191</v>
      </c>
      <c r="B2799" s="1347"/>
      <c r="C2799" s="1347"/>
      <c r="D2799" s="1347"/>
      <c r="E2799" s="1347"/>
      <c r="F2799" s="1347"/>
      <c r="G2799" s="1347"/>
      <c r="H2799" s="1347"/>
      <c r="I2799" s="1347"/>
      <c r="J2799" s="1347"/>
      <c r="K2799" s="1347"/>
      <c r="L2799" s="1347"/>
      <c r="M2799" s="1347"/>
      <c r="N2799" s="1347"/>
      <c r="O2799" s="1347"/>
      <c r="P2799" s="1347"/>
      <c r="Q2799" s="1347"/>
      <c r="R2799" s="590"/>
      <c r="S2799" s="592"/>
      <c r="T2799" s="592"/>
      <c r="U2799" s="591"/>
      <c r="V2799" s="589"/>
      <c r="W2799" s="592"/>
      <c r="X2799" s="592"/>
      <c r="Y2799" s="592">
        <v>1</v>
      </c>
      <c r="Z2799" s="592"/>
    </row>
    <row r="2800" spans="1:26" s="28" customFormat="1" hidden="1">
      <c r="A2800" s="591">
        <v>1</v>
      </c>
      <c r="B2800" s="927" t="s">
        <v>2314</v>
      </c>
      <c r="C2800" s="910" t="s">
        <v>318</v>
      </c>
      <c r="D2800" s="928">
        <v>5746</v>
      </c>
      <c r="E2800" s="643">
        <v>1078</v>
      </c>
      <c r="F2800" s="643" t="s">
        <v>230</v>
      </c>
      <c r="G2800" s="929">
        <v>902</v>
      </c>
      <c r="H2800" s="928">
        <v>2</v>
      </c>
      <c r="I2800" s="928">
        <v>4</v>
      </c>
      <c r="J2800" s="643">
        <v>31</v>
      </c>
      <c r="K2800" s="930" t="s">
        <v>224</v>
      </c>
      <c r="L2800" s="584">
        <f>SUM(M2800:Q2800)</f>
        <v>711552.88</v>
      </c>
      <c r="M2800" s="931">
        <f>J2800*22000</f>
        <v>682000</v>
      </c>
      <c r="N2800" s="1121">
        <v>25980</v>
      </c>
      <c r="O2800" s="736"/>
      <c r="P2800" s="932"/>
      <c r="Q2800" s="586">
        <v>3572.88</v>
      </c>
      <c r="R2800" s="582">
        <f>M2800/J2800</f>
        <v>22000</v>
      </c>
      <c r="S2800" s="592"/>
      <c r="T2800" s="592"/>
      <c r="U2800" s="591"/>
      <c r="V2800" s="589"/>
      <c r="W2800" s="592"/>
      <c r="X2800" s="592"/>
      <c r="Y2800" s="592">
        <v>1</v>
      </c>
      <c r="Z2800" s="592"/>
    </row>
    <row r="2801" spans="1:1025" s="28" customFormat="1" hidden="1">
      <c r="A2801" s="591">
        <v>2</v>
      </c>
      <c r="B2801" s="592" t="s">
        <v>3797</v>
      </c>
      <c r="C2801" s="922" t="s">
        <v>221</v>
      </c>
      <c r="D2801" s="922">
        <v>4572</v>
      </c>
      <c r="E2801" s="923">
        <v>933</v>
      </c>
      <c r="F2801" s="923" t="s">
        <v>222</v>
      </c>
      <c r="G2801" s="582">
        <f>57.3*13.3*1.3</f>
        <v>990.7170000000001</v>
      </c>
      <c r="H2801" s="593">
        <v>2</v>
      </c>
      <c r="I2801" s="593">
        <v>3</v>
      </c>
      <c r="J2801" s="582">
        <v>21</v>
      </c>
      <c r="K2801" s="590" t="s">
        <v>33</v>
      </c>
      <c r="L2801" s="584">
        <f>SUM(M2801:Q2801)</f>
        <v>2730110</v>
      </c>
      <c r="M2801" s="782">
        <f>ROUND(G2801*2700,0)</f>
        <v>2674936</v>
      </c>
      <c r="N2801" s="925">
        <v>32787</v>
      </c>
      <c r="O2801" s="784"/>
      <c r="P2801" s="783"/>
      <c r="Q2801" s="586">
        <v>22387</v>
      </c>
      <c r="R2801" s="780">
        <f>M2801/G2801</f>
        <v>2700.000100936998</v>
      </c>
      <c r="S2801" s="592"/>
      <c r="T2801" s="592"/>
      <c r="U2801" s="591"/>
      <c r="V2801" s="589"/>
      <c r="W2801" s="592"/>
      <c r="X2801" s="592"/>
      <c r="Y2801" s="592">
        <v>1</v>
      </c>
      <c r="Z2801" s="592"/>
    </row>
    <row r="2802" spans="1:1025" s="28" customFormat="1" hidden="1">
      <c r="A2802" s="1349" t="s">
        <v>192</v>
      </c>
      <c r="B2802" s="1349"/>
      <c r="C2802" s="593" t="s">
        <v>28</v>
      </c>
      <c r="D2802" s="612">
        <f>SUM(D2800:D2801)</f>
        <v>10318</v>
      </c>
      <c r="E2802" s="612">
        <f>SUM(E2800:E2801)</f>
        <v>2011</v>
      </c>
      <c r="F2802" s="700" t="s">
        <v>28</v>
      </c>
      <c r="G2802" s="612">
        <f>SUM(G2800:G2801)</f>
        <v>1892.7170000000001</v>
      </c>
      <c r="H2802" s="700" t="s">
        <v>28</v>
      </c>
      <c r="I2802" s="700" t="s">
        <v>28</v>
      </c>
      <c r="J2802" s="643">
        <f>SUM(J2800:J2801)</f>
        <v>52</v>
      </c>
      <c r="K2802" s="590" t="s">
        <v>28</v>
      </c>
      <c r="L2802" s="940">
        <f t="shared" ref="L2802:Q2802" si="433">SUM(L2800:L2801)</f>
        <v>3441662.88</v>
      </c>
      <c r="M2802" s="611">
        <f t="shared" si="433"/>
        <v>3356936</v>
      </c>
      <c r="N2802" s="612">
        <f t="shared" si="433"/>
        <v>58767</v>
      </c>
      <c r="O2802" s="613">
        <f t="shared" si="433"/>
        <v>0</v>
      </c>
      <c r="P2802" s="612">
        <f t="shared" si="433"/>
        <v>0</v>
      </c>
      <c r="Q2802" s="612">
        <f t="shared" si="433"/>
        <v>25959.88</v>
      </c>
      <c r="R2802" s="582" t="s">
        <v>28</v>
      </c>
      <c r="S2802" s="564">
        <f>L2802-M2802-N2802-O2802-P2802-Q2802</f>
        <v>-1.127773430198431E-10</v>
      </c>
      <c r="T2802" s="577" t="e">
        <f>'1.перечень МКД'!#REF!</f>
        <v>#REF!</v>
      </c>
      <c r="U2802" s="589" t="e">
        <f>L2802-T2802</f>
        <v>#REF!</v>
      </c>
      <c r="V2802" s="589"/>
      <c r="W2802" s="592"/>
      <c r="X2802" s="592"/>
      <c r="Y2802" s="592">
        <v>1</v>
      </c>
      <c r="Z2802" s="592"/>
    </row>
    <row r="2803" spans="1:1025" s="28" customFormat="1" hidden="1">
      <c r="A2803" s="1347" t="s">
        <v>193</v>
      </c>
      <c r="B2803" s="1347"/>
      <c r="C2803" s="1347"/>
      <c r="D2803" s="1347"/>
      <c r="E2803" s="1347"/>
      <c r="F2803" s="1347"/>
      <c r="G2803" s="1347"/>
      <c r="H2803" s="1347"/>
      <c r="I2803" s="1347"/>
      <c r="J2803" s="1347"/>
      <c r="K2803" s="1347"/>
      <c r="L2803" s="1347"/>
      <c r="M2803" s="1347"/>
      <c r="N2803" s="1347"/>
      <c r="O2803" s="1347"/>
      <c r="P2803" s="1347"/>
      <c r="Q2803" s="1347"/>
      <c r="R2803" s="590"/>
      <c r="S2803" s="592"/>
      <c r="T2803" s="592"/>
      <c r="U2803" s="591"/>
      <c r="V2803" s="589"/>
      <c r="W2803" s="592"/>
      <c r="X2803" s="592"/>
      <c r="Y2803" s="592">
        <v>1</v>
      </c>
      <c r="Z2803" s="592"/>
    </row>
    <row r="2804" spans="1:1025" s="28" customFormat="1" hidden="1">
      <c r="A2804" s="591">
        <v>1</v>
      </c>
      <c r="B2804" s="592" t="s">
        <v>2316</v>
      </c>
      <c r="C2804" s="593" t="s">
        <v>292</v>
      </c>
      <c r="D2804" s="593">
        <v>4784.5</v>
      </c>
      <c r="E2804" s="879">
        <v>490</v>
      </c>
      <c r="F2804" s="879" t="s">
        <v>251</v>
      </c>
      <c r="G2804" s="593">
        <v>918.98</v>
      </c>
      <c r="H2804" s="879">
        <v>2</v>
      </c>
      <c r="I2804" s="700">
        <v>3</v>
      </c>
      <c r="J2804" s="643">
        <v>23</v>
      </c>
      <c r="K2804" s="679" t="s">
        <v>33</v>
      </c>
      <c r="L2804" s="584">
        <f>M2804+O2804+Q2804+N2804</f>
        <v>2408376.12</v>
      </c>
      <c r="M2804" s="1122">
        <f>ROUND(G2804*2559.6,0)</f>
        <v>2352221</v>
      </c>
      <c r="N2804" s="1123">
        <v>32844</v>
      </c>
      <c r="O2804" s="935"/>
      <c r="P2804" s="934"/>
      <c r="Q2804" s="586">
        <v>23311.119999999999</v>
      </c>
      <c r="R2804" s="936">
        <f>M2804/G2804</f>
        <v>2559.5997736621034</v>
      </c>
      <c r="S2804" s="592"/>
      <c r="T2804" s="592"/>
      <c r="U2804" s="591"/>
      <c r="V2804" s="589"/>
      <c r="W2804" s="592"/>
      <c r="X2804" s="592"/>
      <c r="Y2804" s="592">
        <v>1</v>
      </c>
      <c r="Z2804" s="592"/>
    </row>
    <row r="2805" spans="1:1025" s="28" customFormat="1" hidden="1">
      <c r="A2805" s="1349" t="s">
        <v>194</v>
      </c>
      <c r="B2805" s="1349"/>
      <c r="C2805" s="593" t="s">
        <v>28</v>
      </c>
      <c r="D2805" s="586">
        <f>SUM(D2804:D2804)</f>
        <v>4784.5</v>
      </c>
      <c r="E2805" s="586">
        <f>SUM(E2804:E2804)</f>
        <v>490</v>
      </c>
      <c r="F2805" s="593" t="s">
        <v>28</v>
      </c>
      <c r="G2805" s="586">
        <f>SUM(G2804:G2804)</f>
        <v>918.98</v>
      </c>
      <c r="H2805" s="593" t="s">
        <v>28</v>
      </c>
      <c r="I2805" s="593" t="s">
        <v>28</v>
      </c>
      <c r="J2805" s="582">
        <f>SUM(J2804:J2804)</f>
        <v>23</v>
      </c>
      <c r="K2805" s="590" t="s">
        <v>28</v>
      </c>
      <c r="L2805" s="584">
        <f t="shared" ref="L2805:Q2805" si="434">SUM(L2804:L2804)</f>
        <v>2408376.12</v>
      </c>
      <c r="M2805" s="585">
        <f t="shared" si="434"/>
        <v>2352221</v>
      </c>
      <c r="N2805" s="586">
        <f t="shared" si="434"/>
        <v>32844</v>
      </c>
      <c r="O2805" s="587">
        <f t="shared" si="434"/>
        <v>0</v>
      </c>
      <c r="P2805" s="586">
        <f t="shared" si="434"/>
        <v>0</v>
      </c>
      <c r="Q2805" s="586">
        <f t="shared" si="434"/>
        <v>23311.119999999999</v>
      </c>
      <c r="R2805" s="582" t="s">
        <v>28</v>
      </c>
      <c r="S2805" s="564">
        <f>L2805-M2805-N2805-O2805-P2805-Q2805</f>
        <v>1.127773430198431E-10</v>
      </c>
      <c r="T2805" s="577" t="e">
        <f>'1.перечень МКД'!#REF!</f>
        <v>#REF!</v>
      </c>
      <c r="U2805" s="589" t="e">
        <f>L2805-T2805</f>
        <v>#REF!</v>
      </c>
      <c r="V2805" s="589"/>
      <c r="W2805" s="592"/>
      <c r="X2805" s="592"/>
      <c r="Y2805" s="592">
        <v>1</v>
      </c>
      <c r="Z2805" s="592"/>
    </row>
    <row r="2806" spans="1:1025" s="28" customFormat="1" hidden="1">
      <c r="A2806" s="1347" t="s">
        <v>195</v>
      </c>
      <c r="B2806" s="1347"/>
      <c r="C2806" s="1347"/>
      <c r="D2806" s="1347"/>
      <c r="E2806" s="1347"/>
      <c r="F2806" s="1347"/>
      <c r="G2806" s="1347"/>
      <c r="H2806" s="1347"/>
      <c r="I2806" s="1347"/>
      <c r="J2806" s="1347"/>
      <c r="K2806" s="1347"/>
      <c r="L2806" s="1347"/>
      <c r="M2806" s="1347"/>
      <c r="N2806" s="1347"/>
      <c r="O2806" s="1347"/>
      <c r="P2806" s="1347"/>
      <c r="Q2806" s="1347"/>
      <c r="R2806" s="590"/>
      <c r="S2806" s="592"/>
      <c r="T2806" s="592"/>
      <c r="U2806" s="591"/>
      <c r="V2806" s="589"/>
      <c r="W2806" s="592"/>
      <c r="X2806" s="592"/>
      <c r="Y2806" s="592">
        <v>1</v>
      </c>
      <c r="Z2806" s="592"/>
    </row>
    <row r="2807" spans="1:1025" s="28" customFormat="1" ht="37.5" hidden="1">
      <c r="A2807" s="591">
        <v>1</v>
      </c>
      <c r="B2807" s="592" t="s">
        <v>2323</v>
      </c>
      <c r="C2807" s="593" t="s">
        <v>331</v>
      </c>
      <c r="D2807" s="593">
        <v>45750</v>
      </c>
      <c r="E2807" s="879">
        <v>8690</v>
      </c>
      <c r="F2807" s="879" t="s">
        <v>309</v>
      </c>
      <c r="G2807" s="593">
        <v>2222</v>
      </c>
      <c r="H2807" s="879">
        <v>9</v>
      </c>
      <c r="I2807" s="700">
        <v>6</v>
      </c>
      <c r="J2807" s="643">
        <v>204</v>
      </c>
      <c r="K2807" s="679" t="s">
        <v>219</v>
      </c>
      <c r="L2807" s="584">
        <f t="shared" ref="L2807:L2828" si="435">M2807+O2807+Q2807+N2807</f>
        <v>12191250</v>
      </c>
      <c r="M2807" s="1122">
        <v>12000000</v>
      </c>
      <c r="N2807" s="934">
        <v>191250</v>
      </c>
      <c r="O2807" s="935"/>
      <c r="P2807" s="934"/>
      <c r="Q2807" s="586"/>
      <c r="R2807" s="582">
        <f>M2807/I2807</f>
        <v>2000000</v>
      </c>
      <c r="S2807" s="592"/>
      <c r="T2807" s="592"/>
      <c r="U2807" s="591"/>
      <c r="V2807" s="589"/>
      <c r="W2807" s="592"/>
      <c r="X2807" s="592"/>
      <c r="Y2807" s="592">
        <v>1</v>
      </c>
      <c r="Z2807" s="592"/>
    </row>
    <row r="2808" spans="1:1025" s="28" customFormat="1" ht="37.5" hidden="1">
      <c r="A2808" s="591">
        <f t="shared" ref="A2808:A2817" si="436">A2807+1</f>
        <v>2</v>
      </c>
      <c r="B2808" s="592" t="s">
        <v>2327</v>
      </c>
      <c r="C2808" s="593" t="s">
        <v>334</v>
      </c>
      <c r="D2808" s="593">
        <v>88869</v>
      </c>
      <c r="E2808" s="879">
        <v>16224</v>
      </c>
      <c r="F2808" s="879" t="s">
        <v>309</v>
      </c>
      <c r="G2808" s="593">
        <v>3473</v>
      </c>
      <c r="H2808" s="879">
        <v>9</v>
      </c>
      <c r="I2808" s="700">
        <v>11</v>
      </c>
      <c r="J2808" s="643">
        <v>424</v>
      </c>
      <c r="K2808" s="679" t="s">
        <v>219</v>
      </c>
      <c r="L2808" s="584">
        <f t="shared" si="435"/>
        <v>22297500</v>
      </c>
      <c r="M2808" s="1122">
        <v>22000000</v>
      </c>
      <c r="N2808" s="934">
        <v>297500</v>
      </c>
      <c r="O2808" s="935"/>
      <c r="P2808" s="934"/>
      <c r="Q2808" s="586"/>
      <c r="R2808" s="582">
        <f>M2808/I2808</f>
        <v>2000000</v>
      </c>
      <c r="S2808" s="592"/>
      <c r="T2808" s="592"/>
      <c r="U2808" s="591"/>
      <c r="V2808" s="589"/>
      <c r="W2808" s="592"/>
      <c r="X2808" s="592"/>
      <c r="Y2808" s="592">
        <v>1</v>
      </c>
      <c r="Z2808" s="592"/>
    </row>
    <row r="2809" spans="1:1025" s="28" customFormat="1" ht="37.5" hidden="1">
      <c r="A2809" s="591">
        <f t="shared" si="436"/>
        <v>3</v>
      </c>
      <c r="B2809" s="592" t="s">
        <v>1386</v>
      </c>
      <c r="C2809" s="593" t="s">
        <v>311</v>
      </c>
      <c r="D2809" s="593">
        <v>79153</v>
      </c>
      <c r="E2809" s="879">
        <v>14100</v>
      </c>
      <c r="F2809" s="879" t="s">
        <v>309</v>
      </c>
      <c r="G2809" s="593">
        <v>3125</v>
      </c>
      <c r="H2809" s="879">
        <v>9</v>
      </c>
      <c r="I2809" s="700">
        <v>10</v>
      </c>
      <c r="J2809" s="643">
        <v>379</v>
      </c>
      <c r="K2809" s="679" t="s">
        <v>219</v>
      </c>
      <c r="L2809" s="584">
        <f t="shared" si="435"/>
        <v>12191250</v>
      </c>
      <c r="M2809" s="1122">
        <v>12000000</v>
      </c>
      <c r="N2809" s="934">
        <v>191250</v>
      </c>
      <c r="O2809" s="935"/>
      <c r="P2809" s="934"/>
      <c r="Q2809" s="586"/>
      <c r="R2809" s="582">
        <f>M2809/8</f>
        <v>1500000</v>
      </c>
      <c r="S2809" s="592"/>
      <c r="T2809" s="592"/>
      <c r="U2809" s="591"/>
      <c r="V2809" s="589"/>
      <c r="W2809" s="592"/>
      <c r="X2809" s="592"/>
      <c r="Y2809" s="592">
        <v>1</v>
      </c>
      <c r="Z2809" s="592"/>
    </row>
    <row r="2810" spans="1:1025" s="93" customFormat="1" ht="37.5" hidden="1">
      <c r="A2810" s="591">
        <f t="shared" si="436"/>
        <v>4</v>
      </c>
      <c r="B2810" s="1124" t="s">
        <v>1375</v>
      </c>
      <c r="C2810" s="591" t="s">
        <v>4039</v>
      </c>
      <c r="D2810" s="602">
        <v>131688</v>
      </c>
      <c r="E2810" s="1125">
        <v>17290</v>
      </c>
      <c r="F2810" s="1125" t="s">
        <v>309</v>
      </c>
      <c r="G2810" s="602">
        <v>5487</v>
      </c>
      <c r="H2810" s="1125">
        <v>9</v>
      </c>
      <c r="I2810" s="676">
        <v>12</v>
      </c>
      <c r="J2810" s="643">
        <v>384</v>
      </c>
      <c r="K2810" s="679" t="s">
        <v>219</v>
      </c>
      <c r="L2810" s="584">
        <f t="shared" si="435"/>
        <v>2085000</v>
      </c>
      <c r="M2810" s="1126">
        <v>2000000</v>
      </c>
      <c r="N2810" s="1127">
        <v>85000</v>
      </c>
      <c r="O2810" s="1128"/>
      <c r="P2810" s="1127"/>
      <c r="Q2810" s="1127"/>
      <c r="R2810" s="582">
        <f>M2810</f>
        <v>2000000</v>
      </c>
      <c r="S2810" s="1129"/>
      <c r="T2810" s="1124"/>
      <c r="U2810" s="1124"/>
      <c r="V2810" s="1124"/>
      <c r="W2810" s="1124"/>
      <c r="X2810" s="1124"/>
      <c r="Y2810" s="592">
        <v>1</v>
      </c>
      <c r="Z2810" s="1124"/>
      <c r="AA2810" s="119"/>
      <c r="AB2810" s="119"/>
      <c r="AC2810" s="119"/>
      <c r="AD2810" s="119"/>
      <c r="AE2810" s="119"/>
      <c r="AF2810" s="119"/>
      <c r="AG2810" s="119"/>
      <c r="AH2810" s="119"/>
      <c r="AI2810" s="119"/>
      <c r="AJ2810" s="119"/>
      <c r="AK2810" s="119"/>
      <c r="AL2810" s="119"/>
      <c r="AM2810" s="119"/>
      <c r="AN2810" s="119"/>
      <c r="AO2810" s="119"/>
      <c r="AP2810" s="119"/>
      <c r="AQ2810" s="119"/>
      <c r="AR2810" s="119"/>
      <c r="AS2810" s="119"/>
      <c r="AT2810" s="119"/>
      <c r="AU2810" s="119"/>
      <c r="AV2810" s="119"/>
      <c r="AW2810" s="119"/>
      <c r="AX2810" s="119"/>
      <c r="AY2810" s="119"/>
      <c r="AZ2810" s="119"/>
      <c r="BA2810" s="119"/>
      <c r="BB2810" s="119"/>
      <c r="BC2810" s="119"/>
      <c r="BD2810" s="119"/>
      <c r="BE2810" s="119"/>
      <c r="BF2810" s="119"/>
      <c r="BG2810" s="119"/>
      <c r="BH2810" s="119"/>
      <c r="BI2810" s="119"/>
      <c r="BJ2810" s="119"/>
      <c r="BK2810" s="119"/>
      <c r="BL2810" s="119"/>
      <c r="BM2810" s="119"/>
      <c r="BN2810" s="119"/>
      <c r="BO2810" s="119"/>
      <c r="BP2810" s="119"/>
      <c r="BQ2810" s="119"/>
      <c r="BR2810" s="119"/>
      <c r="BS2810" s="119"/>
      <c r="BT2810" s="119"/>
      <c r="BU2810" s="119"/>
      <c r="BV2810" s="119"/>
      <c r="BW2810" s="119"/>
      <c r="BX2810" s="119"/>
      <c r="BY2810" s="119"/>
      <c r="BZ2810" s="119"/>
      <c r="CA2810" s="119"/>
      <c r="CB2810" s="119"/>
      <c r="CC2810" s="119"/>
      <c r="CD2810" s="119"/>
      <c r="CE2810" s="119"/>
      <c r="CF2810" s="119"/>
      <c r="CG2810" s="119"/>
      <c r="CH2810" s="119"/>
      <c r="CI2810" s="119"/>
      <c r="CJ2810" s="119"/>
      <c r="CK2810" s="119"/>
      <c r="CL2810" s="119"/>
      <c r="CM2810" s="119"/>
      <c r="CN2810" s="119"/>
      <c r="CO2810" s="119"/>
      <c r="CP2810" s="119"/>
      <c r="CQ2810" s="119"/>
      <c r="CR2810" s="119"/>
      <c r="CS2810" s="119"/>
      <c r="CT2810" s="119"/>
      <c r="CU2810" s="119"/>
      <c r="CV2810" s="119"/>
      <c r="CW2810" s="119"/>
      <c r="CX2810" s="119"/>
      <c r="CY2810" s="119"/>
      <c r="CZ2810" s="119"/>
      <c r="DA2810" s="119"/>
      <c r="DB2810" s="119"/>
      <c r="DC2810" s="119"/>
      <c r="DD2810" s="119"/>
      <c r="DE2810" s="119"/>
      <c r="DF2810" s="119"/>
      <c r="DG2810" s="119"/>
      <c r="DH2810" s="119"/>
      <c r="DI2810" s="119"/>
      <c r="DJ2810" s="119"/>
      <c r="DK2810" s="119"/>
      <c r="DL2810" s="119"/>
      <c r="DM2810" s="119"/>
      <c r="DN2810" s="119"/>
      <c r="DO2810" s="119"/>
      <c r="DP2810" s="119"/>
      <c r="DQ2810" s="119"/>
      <c r="DR2810" s="119"/>
      <c r="DS2810" s="119"/>
      <c r="DT2810" s="119"/>
      <c r="DU2810" s="119"/>
      <c r="DV2810" s="119"/>
      <c r="DW2810" s="119"/>
      <c r="DX2810" s="119"/>
      <c r="DY2810" s="119"/>
      <c r="DZ2810" s="119"/>
      <c r="EA2810" s="119"/>
      <c r="EB2810" s="119"/>
      <c r="EC2810" s="119"/>
      <c r="ED2810" s="119"/>
      <c r="EE2810" s="119"/>
      <c r="EF2810" s="119"/>
      <c r="EG2810" s="119"/>
      <c r="EH2810" s="119"/>
      <c r="EI2810" s="119"/>
      <c r="EJ2810" s="119"/>
      <c r="EK2810" s="119"/>
      <c r="EL2810" s="119"/>
      <c r="EM2810" s="119"/>
      <c r="EN2810" s="119"/>
      <c r="EO2810" s="119"/>
      <c r="EP2810" s="119"/>
      <c r="EQ2810" s="119"/>
      <c r="ER2810" s="119"/>
      <c r="ES2810" s="119"/>
      <c r="ET2810" s="119"/>
      <c r="EU2810" s="119"/>
      <c r="EV2810" s="119"/>
      <c r="EW2810" s="119"/>
      <c r="EX2810" s="119"/>
      <c r="EY2810" s="119"/>
      <c r="EZ2810" s="119"/>
      <c r="FA2810" s="119"/>
      <c r="FB2810" s="119"/>
      <c r="FC2810" s="119"/>
      <c r="FD2810" s="119"/>
      <c r="FE2810" s="119"/>
      <c r="FF2810" s="119"/>
      <c r="FG2810" s="119"/>
      <c r="FH2810" s="119"/>
      <c r="FI2810" s="119"/>
      <c r="FJ2810" s="119"/>
      <c r="FK2810" s="119"/>
      <c r="FL2810" s="119"/>
      <c r="FM2810" s="119"/>
      <c r="FN2810" s="119"/>
      <c r="FO2810" s="119"/>
      <c r="FP2810" s="119"/>
      <c r="FQ2810" s="119"/>
      <c r="FR2810" s="119"/>
      <c r="FS2810" s="119"/>
      <c r="FT2810" s="119"/>
      <c r="FU2810" s="119"/>
      <c r="FV2810" s="119"/>
      <c r="FW2810" s="119"/>
      <c r="FX2810" s="119"/>
      <c r="FY2810" s="119"/>
      <c r="FZ2810" s="119"/>
      <c r="GA2810" s="119"/>
      <c r="GB2810" s="119"/>
      <c r="GC2810" s="119"/>
      <c r="GD2810" s="119"/>
      <c r="GE2810" s="119"/>
      <c r="GF2810" s="119"/>
      <c r="GG2810" s="119"/>
      <c r="GH2810" s="119"/>
      <c r="GI2810" s="119"/>
      <c r="GJ2810" s="119"/>
      <c r="GK2810" s="119"/>
      <c r="GL2810" s="119"/>
      <c r="GM2810" s="119"/>
      <c r="GN2810" s="119"/>
      <c r="GO2810" s="119"/>
      <c r="GP2810" s="119"/>
      <c r="GQ2810" s="119"/>
      <c r="GR2810" s="119"/>
      <c r="GS2810" s="119"/>
      <c r="GT2810" s="119"/>
      <c r="GU2810" s="119"/>
      <c r="GV2810" s="119"/>
      <c r="GW2810" s="119"/>
      <c r="GX2810" s="119"/>
      <c r="GY2810" s="119"/>
      <c r="GZ2810" s="119"/>
      <c r="HA2810" s="119"/>
      <c r="HB2810" s="119"/>
      <c r="HC2810" s="119"/>
      <c r="HD2810" s="119"/>
      <c r="HE2810" s="119"/>
      <c r="HF2810" s="119"/>
      <c r="HG2810" s="119"/>
      <c r="HH2810" s="119"/>
      <c r="HI2810" s="119"/>
      <c r="HJ2810" s="119"/>
      <c r="HK2810" s="119"/>
      <c r="HL2810" s="119"/>
      <c r="HM2810" s="119"/>
      <c r="HN2810" s="119"/>
      <c r="HO2810" s="119"/>
      <c r="HP2810" s="119"/>
      <c r="HQ2810" s="119"/>
      <c r="HR2810" s="119"/>
      <c r="HS2810" s="119"/>
      <c r="HT2810" s="119"/>
      <c r="HU2810" s="119"/>
      <c r="HV2810" s="119"/>
      <c r="HW2810" s="119"/>
      <c r="HX2810" s="119"/>
      <c r="HY2810" s="119"/>
      <c r="HZ2810" s="119"/>
      <c r="IA2810" s="119"/>
      <c r="IB2810" s="119"/>
      <c r="IC2810" s="119"/>
      <c r="ID2810" s="119"/>
      <c r="IE2810" s="119"/>
      <c r="IF2810" s="119"/>
      <c r="IG2810" s="119"/>
      <c r="IH2810" s="119"/>
      <c r="II2810" s="119"/>
      <c r="IJ2810" s="119"/>
      <c r="IK2810" s="119"/>
      <c r="IL2810" s="119"/>
      <c r="IM2810" s="119"/>
      <c r="IN2810" s="119"/>
      <c r="IO2810" s="119"/>
      <c r="IP2810" s="119"/>
      <c r="IQ2810" s="119"/>
      <c r="IR2810" s="119"/>
      <c r="IS2810" s="119"/>
      <c r="IT2810" s="119"/>
      <c r="IU2810" s="119"/>
      <c r="IV2810" s="119"/>
      <c r="IW2810" s="119"/>
      <c r="IX2810" s="119"/>
      <c r="IY2810" s="119"/>
      <c r="IZ2810" s="119"/>
      <c r="JA2810" s="119"/>
      <c r="JB2810" s="119"/>
      <c r="JC2810" s="119"/>
      <c r="JD2810" s="119"/>
      <c r="JE2810" s="119"/>
      <c r="JF2810" s="119"/>
      <c r="JG2810" s="119"/>
      <c r="JH2810" s="119"/>
      <c r="JI2810" s="119"/>
      <c r="JJ2810" s="119"/>
      <c r="JK2810" s="119"/>
      <c r="JL2810" s="119"/>
      <c r="JM2810" s="119"/>
      <c r="JN2810" s="119"/>
      <c r="JO2810" s="119"/>
      <c r="JP2810" s="119"/>
      <c r="JQ2810" s="119"/>
      <c r="JR2810" s="119"/>
      <c r="JS2810" s="119"/>
      <c r="JT2810" s="119"/>
      <c r="JU2810" s="119"/>
      <c r="JV2810" s="119"/>
      <c r="JW2810" s="119"/>
      <c r="JX2810" s="119"/>
      <c r="JY2810" s="119"/>
      <c r="JZ2810" s="119"/>
      <c r="KA2810" s="119"/>
      <c r="KB2810" s="119"/>
      <c r="KC2810" s="119"/>
      <c r="KD2810" s="119"/>
      <c r="KE2810" s="119"/>
      <c r="KF2810" s="119"/>
      <c r="KG2810" s="119"/>
      <c r="KH2810" s="119"/>
      <c r="KI2810" s="119"/>
      <c r="KJ2810" s="119"/>
      <c r="KK2810" s="119"/>
      <c r="KL2810" s="119"/>
      <c r="KM2810" s="119"/>
      <c r="KN2810" s="119"/>
      <c r="KO2810" s="119"/>
      <c r="KP2810" s="119"/>
      <c r="KQ2810" s="119"/>
      <c r="KR2810" s="119"/>
      <c r="KS2810" s="119"/>
      <c r="KT2810" s="119"/>
      <c r="KU2810" s="119"/>
      <c r="KV2810" s="119"/>
      <c r="KW2810" s="119"/>
      <c r="KX2810" s="119"/>
      <c r="KY2810" s="119"/>
      <c r="KZ2810" s="119"/>
      <c r="LA2810" s="119"/>
      <c r="LB2810" s="119"/>
      <c r="LC2810" s="119"/>
      <c r="LD2810" s="119"/>
      <c r="LE2810" s="119"/>
      <c r="LF2810" s="119"/>
      <c r="LG2810" s="119"/>
      <c r="LH2810" s="119"/>
      <c r="LI2810" s="119"/>
      <c r="LJ2810" s="119"/>
      <c r="LK2810" s="119"/>
      <c r="LL2810" s="119"/>
      <c r="LM2810" s="119"/>
      <c r="LN2810" s="119"/>
      <c r="LO2810" s="119"/>
      <c r="LP2810" s="119"/>
      <c r="LQ2810" s="119"/>
      <c r="LR2810" s="119"/>
      <c r="LS2810" s="119"/>
      <c r="LT2810" s="119"/>
      <c r="LU2810" s="119"/>
      <c r="LV2810" s="119"/>
      <c r="LW2810" s="119"/>
      <c r="LX2810" s="119"/>
      <c r="LY2810" s="119"/>
      <c r="LZ2810" s="119"/>
      <c r="MA2810" s="119"/>
      <c r="MB2810" s="119"/>
      <c r="MC2810" s="119"/>
      <c r="MD2810" s="119"/>
      <c r="ME2810" s="119"/>
      <c r="MF2810" s="119"/>
      <c r="MG2810" s="119"/>
      <c r="MH2810" s="119"/>
      <c r="MI2810" s="119"/>
      <c r="MJ2810" s="119"/>
      <c r="MK2810" s="119"/>
      <c r="ML2810" s="119"/>
      <c r="MM2810" s="119"/>
      <c r="MN2810" s="119"/>
      <c r="MO2810" s="119"/>
      <c r="MP2810" s="119"/>
      <c r="MQ2810" s="119"/>
      <c r="MR2810" s="119"/>
      <c r="MS2810" s="119"/>
      <c r="MT2810" s="119"/>
      <c r="MU2810" s="119"/>
      <c r="MV2810" s="119"/>
      <c r="MW2810" s="119"/>
      <c r="MX2810" s="119"/>
      <c r="MY2810" s="119"/>
      <c r="MZ2810" s="119"/>
      <c r="NA2810" s="119"/>
      <c r="NB2810" s="119"/>
      <c r="NC2810" s="119"/>
      <c r="ND2810" s="119"/>
      <c r="NE2810" s="119"/>
      <c r="NF2810" s="119"/>
      <c r="NG2810" s="119"/>
      <c r="NH2810" s="119"/>
      <c r="NI2810" s="119"/>
      <c r="NJ2810" s="119"/>
      <c r="NK2810" s="119"/>
      <c r="NL2810" s="119"/>
      <c r="NM2810" s="119"/>
      <c r="NN2810" s="119"/>
      <c r="NO2810" s="119"/>
      <c r="NP2810" s="119"/>
      <c r="NQ2810" s="119"/>
      <c r="NR2810" s="119"/>
      <c r="NS2810" s="119"/>
      <c r="NT2810" s="119"/>
      <c r="NU2810" s="119"/>
      <c r="NV2810" s="119"/>
      <c r="NW2810" s="119"/>
      <c r="NX2810" s="119"/>
      <c r="NY2810" s="119"/>
      <c r="NZ2810" s="119"/>
      <c r="OA2810" s="119"/>
      <c r="OB2810" s="119"/>
      <c r="OC2810" s="119"/>
      <c r="OD2810" s="119"/>
      <c r="OE2810" s="119"/>
      <c r="OF2810" s="119"/>
      <c r="OG2810" s="119"/>
      <c r="OH2810" s="119"/>
      <c r="OI2810" s="119"/>
      <c r="OJ2810" s="119"/>
      <c r="OK2810" s="119"/>
      <c r="OL2810" s="119"/>
      <c r="OM2810" s="119"/>
      <c r="ON2810" s="119"/>
      <c r="OO2810" s="119"/>
      <c r="OP2810" s="119"/>
      <c r="OQ2810" s="119"/>
      <c r="OR2810" s="119"/>
      <c r="OS2810" s="119"/>
      <c r="OT2810" s="119"/>
      <c r="OU2810" s="119"/>
      <c r="OV2810" s="119"/>
      <c r="OW2810" s="119"/>
      <c r="OX2810" s="119"/>
      <c r="OY2810" s="119"/>
      <c r="OZ2810" s="119"/>
      <c r="PA2810" s="119"/>
      <c r="PB2810" s="119"/>
      <c r="PC2810" s="119"/>
      <c r="PD2810" s="119"/>
      <c r="PE2810" s="119"/>
      <c r="PF2810" s="119"/>
      <c r="PG2810" s="119"/>
      <c r="PH2810" s="119"/>
      <c r="PI2810" s="119"/>
      <c r="PJ2810" s="119"/>
      <c r="PK2810" s="119"/>
      <c r="PL2810" s="119"/>
      <c r="PM2810" s="119"/>
      <c r="PN2810" s="119"/>
      <c r="PO2810" s="119"/>
      <c r="PP2810" s="119"/>
      <c r="PQ2810" s="119"/>
      <c r="PR2810" s="119"/>
      <c r="PS2810" s="119"/>
      <c r="PT2810" s="119"/>
      <c r="PU2810" s="119"/>
      <c r="PV2810" s="119"/>
      <c r="PW2810" s="119"/>
      <c r="PX2810" s="119"/>
      <c r="PY2810" s="119"/>
      <c r="PZ2810" s="119"/>
      <c r="QA2810" s="119"/>
      <c r="QB2810" s="119"/>
      <c r="QC2810" s="119"/>
      <c r="QD2810" s="119"/>
      <c r="QE2810" s="119"/>
      <c r="QF2810" s="119"/>
      <c r="QG2810" s="119"/>
      <c r="QH2810" s="119"/>
      <c r="QI2810" s="119"/>
      <c r="QJ2810" s="119"/>
      <c r="QK2810" s="119"/>
      <c r="QL2810" s="119"/>
      <c r="QM2810" s="119"/>
      <c r="QN2810" s="119"/>
      <c r="QO2810" s="119"/>
      <c r="QP2810" s="119"/>
      <c r="QQ2810" s="119"/>
      <c r="QR2810" s="119"/>
      <c r="QS2810" s="119"/>
      <c r="QT2810" s="119"/>
      <c r="QU2810" s="119"/>
      <c r="QV2810" s="119"/>
      <c r="QW2810" s="119"/>
      <c r="QX2810" s="119"/>
      <c r="QY2810" s="119"/>
      <c r="QZ2810" s="119"/>
      <c r="RA2810" s="119"/>
      <c r="RB2810" s="119"/>
      <c r="RC2810" s="119"/>
      <c r="RD2810" s="119"/>
      <c r="RE2810" s="119"/>
      <c r="RF2810" s="119"/>
      <c r="RG2810" s="119"/>
      <c r="RH2810" s="119"/>
      <c r="RI2810" s="119"/>
      <c r="RJ2810" s="119"/>
      <c r="RK2810" s="119"/>
      <c r="RL2810" s="119"/>
      <c r="RM2810" s="119"/>
      <c r="RN2810" s="119"/>
      <c r="RO2810" s="119"/>
      <c r="RP2810" s="119"/>
      <c r="RQ2810" s="119"/>
      <c r="RR2810" s="119"/>
      <c r="RS2810" s="119"/>
      <c r="RT2810" s="119"/>
      <c r="RU2810" s="119"/>
      <c r="RV2810" s="119"/>
      <c r="RW2810" s="119"/>
      <c r="RX2810" s="119"/>
      <c r="RY2810" s="119"/>
      <c r="RZ2810" s="119"/>
      <c r="SA2810" s="119"/>
      <c r="SB2810" s="119"/>
      <c r="SC2810" s="119"/>
      <c r="SD2810" s="119"/>
      <c r="SE2810" s="119"/>
      <c r="SF2810" s="119"/>
      <c r="SG2810" s="119"/>
      <c r="SH2810" s="119"/>
      <c r="SI2810" s="119"/>
      <c r="SJ2810" s="119"/>
      <c r="SK2810" s="119"/>
      <c r="SL2810" s="119"/>
      <c r="SM2810" s="119"/>
      <c r="SN2810" s="119"/>
      <c r="SO2810" s="119"/>
      <c r="SP2810" s="119"/>
      <c r="SQ2810" s="119"/>
      <c r="SR2810" s="119"/>
      <c r="SS2810" s="119"/>
      <c r="ST2810" s="119"/>
      <c r="SU2810" s="119"/>
      <c r="SV2810" s="119"/>
      <c r="SW2810" s="119"/>
      <c r="SX2810" s="119"/>
      <c r="SY2810" s="119"/>
      <c r="SZ2810" s="119"/>
      <c r="TA2810" s="119"/>
      <c r="TB2810" s="119"/>
      <c r="TC2810" s="119"/>
      <c r="TD2810" s="119"/>
      <c r="TE2810" s="119"/>
      <c r="TF2810" s="119"/>
      <c r="TG2810" s="119"/>
      <c r="TH2810" s="119"/>
      <c r="TI2810" s="119"/>
      <c r="TJ2810" s="119"/>
      <c r="TK2810" s="119"/>
      <c r="TL2810" s="119"/>
      <c r="TM2810" s="119"/>
      <c r="TN2810" s="119"/>
      <c r="TO2810" s="119"/>
      <c r="TP2810" s="119"/>
      <c r="TQ2810" s="119"/>
      <c r="TR2810" s="119"/>
      <c r="TS2810" s="119"/>
      <c r="TT2810" s="119"/>
      <c r="TU2810" s="119"/>
      <c r="TV2810" s="119"/>
      <c r="TW2810" s="119"/>
      <c r="TX2810" s="119"/>
      <c r="TY2810" s="119"/>
      <c r="TZ2810" s="119"/>
      <c r="UA2810" s="119"/>
      <c r="UB2810" s="119"/>
      <c r="UC2810" s="119"/>
      <c r="UD2810" s="119"/>
      <c r="UE2810" s="119"/>
      <c r="UF2810" s="119"/>
      <c r="UG2810" s="119"/>
      <c r="UH2810" s="119"/>
      <c r="UI2810" s="119"/>
      <c r="UJ2810" s="119"/>
      <c r="UK2810" s="119"/>
      <c r="UL2810" s="119"/>
      <c r="UM2810" s="119"/>
      <c r="UN2810" s="119"/>
      <c r="UO2810" s="119"/>
      <c r="UP2810" s="119"/>
      <c r="UQ2810" s="119"/>
      <c r="UR2810" s="119"/>
      <c r="US2810" s="119"/>
      <c r="UT2810" s="119"/>
      <c r="UU2810" s="119"/>
      <c r="UV2810" s="119"/>
      <c r="UW2810" s="119"/>
      <c r="UX2810" s="119"/>
      <c r="UY2810" s="119"/>
      <c r="UZ2810" s="119"/>
      <c r="VA2810" s="119"/>
      <c r="VB2810" s="119"/>
      <c r="VC2810" s="119"/>
      <c r="VD2810" s="119"/>
      <c r="VE2810" s="119"/>
      <c r="VF2810" s="119"/>
      <c r="VG2810" s="119"/>
      <c r="VH2810" s="119"/>
      <c r="VI2810" s="119"/>
      <c r="VJ2810" s="119"/>
      <c r="VK2810" s="119"/>
      <c r="VL2810" s="119"/>
      <c r="VM2810" s="119"/>
      <c r="VN2810" s="119"/>
      <c r="VO2810" s="119"/>
      <c r="VP2810" s="119"/>
      <c r="VQ2810" s="119"/>
      <c r="VR2810" s="119"/>
      <c r="VS2810" s="119"/>
      <c r="VT2810" s="119"/>
      <c r="VU2810" s="119"/>
      <c r="VV2810" s="119"/>
      <c r="VW2810" s="119"/>
      <c r="VX2810" s="119"/>
      <c r="VY2810" s="119"/>
      <c r="VZ2810" s="119"/>
      <c r="WA2810" s="119"/>
      <c r="WB2810" s="119"/>
      <c r="WC2810" s="119"/>
      <c r="WD2810" s="119"/>
      <c r="WE2810" s="119"/>
      <c r="WF2810" s="119"/>
      <c r="WG2810" s="119"/>
      <c r="WH2810" s="119"/>
      <c r="WI2810" s="119"/>
      <c r="WJ2810" s="119"/>
      <c r="WK2810" s="119"/>
      <c r="WL2810" s="119"/>
      <c r="WM2810" s="119"/>
      <c r="WN2810" s="119"/>
      <c r="WO2810" s="119"/>
      <c r="WP2810" s="119"/>
      <c r="WQ2810" s="119"/>
      <c r="WR2810" s="119"/>
      <c r="WS2810" s="119"/>
      <c r="WT2810" s="119"/>
      <c r="WU2810" s="119"/>
      <c r="WV2810" s="119"/>
      <c r="WW2810" s="119"/>
      <c r="WX2810" s="119"/>
      <c r="WY2810" s="119"/>
      <c r="WZ2810" s="119"/>
      <c r="XA2810" s="119"/>
      <c r="XB2810" s="119"/>
      <c r="XC2810" s="119"/>
      <c r="XD2810" s="119"/>
      <c r="XE2810" s="119"/>
      <c r="XF2810" s="119"/>
      <c r="XG2810" s="119"/>
      <c r="XH2810" s="119"/>
      <c r="XI2810" s="119"/>
      <c r="XJ2810" s="119"/>
      <c r="XK2810" s="119"/>
      <c r="XL2810" s="119"/>
      <c r="XM2810" s="119"/>
      <c r="XN2810" s="119"/>
      <c r="XO2810" s="119"/>
      <c r="XP2810" s="119"/>
      <c r="XQ2810" s="119"/>
      <c r="XR2810" s="119"/>
      <c r="XS2810" s="119"/>
      <c r="XT2810" s="119"/>
      <c r="XU2810" s="119"/>
      <c r="XV2810" s="119"/>
      <c r="XW2810" s="119"/>
      <c r="XX2810" s="119"/>
      <c r="XY2810" s="119"/>
      <c r="XZ2810" s="119"/>
      <c r="YA2810" s="119"/>
      <c r="YB2810" s="119"/>
      <c r="YC2810" s="119"/>
      <c r="YD2810" s="119"/>
      <c r="YE2810" s="119"/>
      <c r="YF2810" s="119"/>
      <c r="YG2810" s="119"/>
      <c r="YH2810" s="119"/>
      <c r="YI2810" s="119"/>
      <c r="YJ2810" s="119"/>
      <c r="YK2810" s="119"/>
      <c r="YL2810" s="119"/>
      <c r="YM2810" s="119"/>
      <c r="YN2810" s="119"/>
      <c r="YO2810" s="119"/>
      <c r="YP2810" s="119"/>
      <c r="YQ2810" s="119"/>
      <c r="YR2810" s="119"/>
      <c r="YS2810" s="119"/>
      <c r="YT2810" s="119"/>
      <c r="YU2810" s="119"/>
      <c r="YV2810" s="119"/>
      <c r="YW2810" s="119"/>
      <c r="YX2810" s="119"/>
      <c r="YY2810" s="119"/>
      <c r="YZ2810" s="119"/>
      <c r="ZA2810" s="119"/>
      <c r="ZB2810" s="119"/>
      <c r="ZC2810" s="119"/>
      <c r="ZD2810" s="119"/>
      <c r="ZE2810" s="119"/>
      <c r="ZF2810" s="119"/>
      <c r="ZG2810" s="119"/>
      <c r="ZH2810" s="119"/>
      <c r="ZI2810" s="119"/>
      <c r="ZJ2810" s="119"/>
      <c r="ZK2810" s="119"/>
      <c r="ZL2810" s="119"/>
      <c r="ZM2810" s="119"/>
      <c r="ZN2810" s="119"/>
      <c r="ZO2810" s="119"/>
      <c r="ZP2810" s="119"/>
      <c r="ZQ2810" s="119"/>
      <c r="ZR2810" s="119"/>
      <c r="ZS2810" s="119"/>
      <c r="ZT2810" s="119"/>
      <c r="ZU2810" s="119"/>
      <c r="ZV2810" s="119"/>
      <c r="ZW2810" s="119"/>
      <c r="ZX2810" s="119"/>
      <c r="ZY2810" s="119"/>
      <c r="ZZ2810" s="119"/>
      <c r="AAA2810" s="119"/>
      <c r="AAB2810" s="119"/>
      <c r="AAC2810" s="119"/>
      <c r="AAD2810" s="119"/>
      <c r="AAE2810" s="119"/>
      <c r="AAF2810" s="119"/>
      <c r="AAG2810" s="119"/>
      <c r="AAH2810" s="119"/>
      <c r="AAI2810" s="119"/>
      <c r="AAJ2810" s="119"/>
      <c r="AAK2810" s="119"/>
      <c r="AAL2810" s="119"/>
      <c r="AAM2810" s="119"/>
      <c r="AAN2810" s="119"/>
      <c r="AAO2810" s="119"/>
      <c r="AAP2810" s="119"/>
      <c r="AAQ2810" s="119"/>
      <c r="AAR2810" s="119"/>
      <c r="AAS2810" s="119"/>
      <c r="AAT2810" s="119"/>
      <c r="AAU2810" s="119"/>
      <c r="AAV2810" s="119"/>
      <c r="AAW2810" s="119"/>
      <c r="AAX2810" s="119"/>
      <c r="AAY2810" s="119"/>
      <c r="AAZ2810" s="119"/>
      <c r="ABA2810" s="119"/>
      <c r="ABB2810" s="119"/>
      <c r="ABC2810" s="119"/>
      <c r="ABD2810" s="119"/>
      <c r="ABE2810" s="119"/>
      <c r="ABF2810" s="119"/>
      <c r="ABG2810" s="119"/>
      <c r="ABH2810" s="119"/>
      <c r="ABI2810" s="119"/>
      <c r="ABJ2810" s="119"/>
      <c r="ABK2810" s="119"/>
      <c r="ABL2810" s="119"/>
      <c r="ABM2810" s="119"/>
      <c r="ABN2810" s="119"/>
      <c r="ABO2810" s="119"/>
      <c r="ABP2810" s="119"/>
      <c r="ABQ2810" s="119"/>
      <c r="ABR2810" s="119"/>
      <c r="ABS2810" s="119"/>
      <c r="ABT2810" s="119"/>
      <c r="ABU2810" s="119"/>
      <c r="ABV2810" s="119"/>
      <c r="ABW2810" s="119"/>
      <c r="ABX2810" s="119"/>
      <c r="ABY2810" s="119"/>
      <c r="ABZ2810" s="119"/>
      <c r="ACA2810" s="119"/>
      <c r="ACB2810" s="119"/>
      <c r="ACC2810" s="119"/>
      <c r="ACD2810" s="119"/>
      <c r="ACE2810" s="119"/>
      <c r="ACF2810" s="119"/>
      <c r="ACG2810" s="119"/>
      <c r="ACH2810" s="119"/>
      <c r="ACI2810" s="119"/>
      <c r="ACJ2810" s="119"/>
      <c r="ACK2810" s="119"/>
      <c r="ACL2810" s="119"/>
      <c r="ACM2810" s="119"/>
      <c r="ACN2810" s="119"/>
      <c r="ACO2810" s="119"/>
      <c r="ACP2810" s="119"/>
      <c r="ACQ2810" s="119"/>
      <c r="ACR2810" s="119"/>
      <c r="ACS2810" s="119"/>
      <c r="ACT2810" s="119"/>
      <c r="ACU2810" s="119"/>
      <c r="ACV2810" s="119"/>
      <c r="ACW2810" s="119"/>
      <c r="ACX2810" s="119"/>
      <c r="ACY2810" s="119"/>
      <c r="ACZ2810" s="119"/>
      <c r="ADA2810" s="119"/>
      <c r="ADB2810" s="119"/>
      <c r="ADC2810" s="119"/>
      <c r="ADD2810" s="119"/>
      <c r="ADE2810" s="119"/>
      <c r="ADF2810" s="119"/>
      <c r="ADG2810" s="119"/>
      <c r="ADH2810" s="119"/>
      <c r="ADI2810" s="119"/>
      <c r="ADJ2810" s="119"/>
      <c r="ADK2810" s="119"/>
      <c r="ADL2810" s="119"/>
      <c r="ADM2810" s="119"/>
      <c r="ADN2810" s="119"/>
      <c r="ADO2810" s="119"/>
      <c r="ADP2810" s="119"/>
      <c r="ADQ2810" s="119"/>
      <c r="ADR2810" s="119"/>
      <c r="ADS2810" s="119"/>
      <c r="ADT2810" s="119"/>
      <c r="ADU2810" s="119"/>
      <c r="ADV2810" s="119"/>
      <c r="ADW2810" s="119"/>
      <c r="ADX2810" s="119"/>
      <c r="ADY2810" s="119"/>
      <c r="ADZ2810" s="119"/>
      <c r="AEA2810" s="119"/>
      <c r="AEB2810" s="119"/>
      <c r="AEC2810" s="119"/>
      <c r="AED2810" s="119"/>
      <c r="AEE2810" s="119"/>
      <c r="AEF2810" s="119"/>
      <c r="AEG2810" s="119"/>
      <c r="AEH2810" s="119"/>
      <c r="AEI2810" s="119"/>
      <c r="AEJ2810" s="119"/>
      <c r="AEK2810" s="119"/>
      <c r="AEL2810" s="119"/>
      <c r="AEM2810" s="119"/>
      <c r="AEN2810" s="119"/>
      <c r="AEO2810" s="119"/>
      <c r="AEP2810" s="119"/>
      <c r="AEQ2810" s="119"/>
      <c r="AER2810" s="119"/>
      <c r="AES2810" s="119"/>
      <c r="AET2810" s="119"/>
      <c r="AEU2810" s="119"/>
      <c r="AEV2810" s="119"/>
      <c r="AEW2810" s="119"/>
      <c r="AEX2810" s="119"/>
      <c r="AEY2810" s="119"/>
      <c r="AEZ2810" s="119"/>
      <c r="AFA2810" s="119"/>
      <c r="AFB2810" s="119"/>
      <c r="AFC2810" s="119"/>
      <c r="AFD2810" s="119"/>
      <c r="AFE2810" s="119"/>
      <c r="AFF2810" s="119"/>
      <c r="AFG2810" s="119"/>
      <c r="AFH2810" s="119"/>
      <c r="AFI2810" s="119"/>
      <c r="AFJ2810" s="119"/>
      <c r="AFK2810" s="119"/>
      <c r="AFL2810" s="119"/>
      <c r="AFM2810" s="119"/>
      <c r="AFN2810" s="119"/>
      <c r="AFO2810" s="119"/>
      <c r="AFP2810" s="119"/>
      <c r="AFQ2810" s="119"/>
      <c r="AFR2810" s="119"/>
      <c r="AFS2810" s="119"/>
      <c r="AFT2810" s="119"/>
      <c r="AFU2810" s="119"/>
      <c r="AFV2810" s="119"/>
      <c r="AFW2810" s="119"/>
      <c r="AFX2810" s="119"/>
      <c r="AFY2810" s="119"/>
      <c r="AFZ2810" s="119"/>
      <c r="AGA2810" s="119"/>
      <c r="AGB2810" s="119"/>
      <c r="AGC2810" s="119"/>
      <c r="AGD2810" s="119"/>
      <c r="AGE2810" s="119"/>
      <c r="AGF2810" s="119"/>
      <c r="AGG2810" s="119"/>
      <c r="AGH2810" s="119"/>
      <c r="AGI2810" s="119"/>
      <c r="AGJ2810" s="119"/>
      <c r="AGK2810" s="119"/>
      <c r="AGL2810" s="119"/>
      <c r="AGM2810" s="119"/>
      <c r="AGN2810" s="119"/>
      <c r="AGO2810" s="119"/>
      <c r="AGP2810" s="119"/>
      <c r="AGQ2810" s="119"/>
      <c r="AGR2810" s="119"/>
      <c r="AGS2810" s="119"/>
      <c r="AGT2810" s="119"/>
      <c r="AGU2810" s="119"/>
      <c r="AGV2810" s="119"/>
      <c r="AGW2810" s="119"/>
      <c r="AGX2810" s="119"/>
      <c r="AGY2810" s="119"/>
      <c r="AGZ2810" s="119"/>
      <c r="AHA2810" s="119"/>
      <c r="AHB2810" s="119"/>
      <c r="AHC2810" s="119"/>
      <c r="AHD2810" s="119"/>
      <c r="AHE2810" s="119"/>
      <c r="AHF2810" s="119"/>
      <c r="AHG2810" s="119"/>
      <c r="AHH2810" s="119"/>
      <c r="AHI2810" s="119"/>
      <c r="AHJ2810" s="119"/>
      <c r="AHK2810" s="119"/>
      <c r="AHL2810" s="119"/>
      <c r="AHM2810" s="119"/>
      <c r="AHN2810" s="119"/>
      <c r="AHO2810" s="119"/>
      <c r="AHP2810" s="119"/>
      <c r="AHQ2810" s="119"/>
      <c r="AHR2810" s="119"/>
      <c r="AHS2810" s="119"/>
      <c r="AHT2810" s="119"/>
      <c r="AHU2810" s="119"/>
      <c r="AHV2810" s="119"/>
      <c r="AHW2810" s="119"/>
      <c r="AHX2810" s="119"/>
      <c r="AHY2810" s="119"/>
      <c r="AHZ2810" s="119"/>
      <c r="AIA2810" s="119"/>
      <c r="AIB2810" s="119"/>
      <c r="AIC2810" s="119"/>
      <c r="AID2810" s="119"/>
      <c r="AIE2810" s="119"/>
      <c r="AIF2810" s="119"/>
      <c r="AIG2810" s="119"/>
      <c r="AIH2810" s="119"/>
      <c r="AII2810" s="119"/>
      <c r="AIJ2810" s="119"/>
      <c r="AIK2810" s="119"/>
      <c r="AIL2810" s="119"/>
      <c r="AIM2810" s="119"/>
      <c r="AIN2810" s="119"/>
      <c r="AIO2810" s="119"/>
      <c r="AIP2810" s="119"/>
      <c r="AIQ2810" s="119"/>
      <c r="AIR2810" s="119"/>
      <c r="AIS2810" s="119"/>
      <c r="AIT2810" s="119"/>
      <c r="AIU2810" s="119"/>
      <c r="AIV2810" s="119"/>
      <c r="AIW2810" s="119"/>
      <c r="AIX2810" s="119"/>
      <c r="AIY2810" s="119"/>
      <c r="AIZ2810" s="119"/>
      <c r="AJA2810" s="119"/>
      <c r="AJB2810" s="119"/>
      <c r="AJC2810" s="119"/>
      <c r="AJD2810" s="119"/>
      <c r="AJE2810" s="119"/>
      <c r="AJF2810" s="119"/>
      <c r="AJG2810" s="119"/>
      <c r="AJH2810" s="119"/>
      <c r="AJI2810" s="119"/>
      <c r="AJJ2810" s="119"/>
      <c r="AJK2810" s="119"/>
      <c r="AJL2810" s="119"/>
      <c r="AJM2810" s="119"/>
      <c r="AJN2810" s="119"/>
      <c r="AJO2810" s="119"/>
      <c r="AJP2810" s="119"/>
      <c r="AJQ2810" s="119"/>
      <c r="AJR2810" s="119"/>
      <c r="AJS2810" s="119"/>
      <c r="AJT2810" s="119"/>
      <c r="AJU2810" s="119"/>
      <c r="AJV2810" s="119"/>
      <c r="AJW2810" s="119"/>
      <c r="AJX2810" s="119"/>
      <c r="AJY2810" s="119"/>
      <c r="AJZ2810" s="119"/>
      <c r="AKA2810" s="119"/>
      <c r="AKB2810" s="119"/>
      <c r="AKC2810" s="119"/>
      <c r="AKD2810" s="119"/>
      <c r="AKE2810" s="119"/>
      <c r="AKF2810" s="119"/>
      <c r="AKG2810" s="119"/>
      <c r="AKH2810" s="119"/>
      <c r="AKI2810" s="119"/>
      <c r="AKJ2810" s="119"/>
      <c r="AKK2810" s="119"/>
      <c r="AKL2810" s="119"/>
      <c r="AKM2810" s="119"/>
      <c r="AKN2810" s="119"/>
      <c r="AKO2810" s="119"/>
      <c r="AKP2810" s="119"/>
      <c r="AKQ2810" s="119"/>
      <c r="AKR2810" s="119"/>
      <c r="AKS2810" s="119"/>
      <c r="AKT2810" s="119"/>
      <c r="AKU2810" s="119"/>
      <c r="AKV2810" s="119"/>
      <c r="AKW2810" s="119"/>
      <c r="AKX2810" s="119"/>
      <c r="AKY2810" s="119"/>
      <c r="AKZ2810" s="119"/>
      <c r="ALA2810" s="119"/>
      <c r="ALB2810" s="119"/>
      <c r="ALC2810" s="119"/>
      <c r="ALD2810" s="119"/>
      <c r="ALE2810" s="119"/>
      <c r="ALF2810" s="119"/>
      <c r="ALG2810" s="119"/>
      <c r="ALH2810" s="119"/>
      <c r="ALI2810" s="119"/>
      <c r="ALJ2810" s="119"/>
      <c r="ALK2810" s="119"/>
      <c r="ALL2810" s="119"/>
      <c r="ALM2810" s="119"/>
      <c r="ALN2810" s="119"/>
      <c r="ALO2810" s="119"/>
      <c r="ALP2810" s="119"/>
      <c r="ALQ2810" s="119"/>
      <c r="ALR2810" s="119"/>
      <c r="ALS2810" s="119"/>
      <c r="ALT2810" s="119"/>
      <c r="ALU2810" s="119"/>
      <c r="ALV2810" s="119"/>
      <c r="ALW2810" s="119"/>
      <c r="ALX2810" s="119"/>
      <c r="ALY2810" s="119"/>
      <c r="ALZ2810" s="119"/>
      <c r="AMA2810" s="119"/>
      <c r="AMB2810" s="119"/>
      <c r="AMC2810" s="119"/>
      <c r="AMD2810" s="119"/>
      <c r="AME2810" s="119"/>
      <c r="AMF2810" s="119"/>
      <c r="AMG2810" s="119"/>
      <c r="AMH2810" s="119"/>
      <c r="AMI2810" s="119"/>
      <c r="AMJ2810" s="119"/>
      <c r="AMK2810" s="119"/>
    </row>
    <row r="2811" spans="1:1025" s="202" customFormat="1" ht="37.5" hidden="1">
      <c r="A2811" s="591">
        <f t="shared" si="436"/>
        <v>5</v>
      </c>
      <c r="B2811" s="1124" t="s">
        <v>3298</v>
      </c>
      <c r="C2811" s="1130" t="s">
        <v>4040</v>
      </c>
      <c r="D2811" s="1131">
        <v>19396</v>
      </c>
      <c r="E2811" s="1131">
        <v>2882</v>
      </c>
      <c r="F2811" s="1131" t="s">
        <v>309</v>
      </c>
      <c r="G2811" s="1131">
        <v>648</v>
      </c>
      <c r="H2811" s="1132">
        <v>9</v>
      </c>
      <c r="I2811" s="1132">
        <v>2</v>
      </c>
      <c r="J2811" s="1131">
        <v>66</v>
      </c>
      <c r="K2811" s="1133" t="s">
        <v>219</v>
      </c>
      <c r="L2811" s="584">
        <f t="shared" si="435"/>
        <v>4106250</v>
      </c>
      <c r="M2811" s="1126">
        <v>4000000</v>
      </c>
      <c r="N2811" s="1127">
        <v>106250</v>
      </c>
      <c r="O2811" s="1128"/>
      <c r="P2811" s="1127"/>
      <c r="Q2811" s="1127"/>
      <c r="R2811" s="582">
        <f>M2811/I2811</f>
        <v>2000000</v>
      </c>
      <c r="S2811" s="1127"/>
      <c r="T2811" s="1134"/>
      <c r="U2811" s="1134"/>
      <c r="V2811" s="1134"/>
      <c r="W2811" s="1134"/>
      <c r="X2811" s="1134"/>
      <c r="Y2811" s="592">
        <v>1</v>
      </c>
      <c r="Z2811" s="1134"/>
    </row>
    <row r="2812" spans="1:1025" s="202" customFormat="1" ht="37.5" hidden="1">
      <c r="A2812" s="591">
        <f t="shared" si="436"/>
        <v>6</v>
      </c>
      <c r="B2812" s="1124" t="s">
        <v>3578</v>
      </c>
      <c r="C2812" s="1135" t="s">
        <v>217</v>
      </c>
      <c r="D2812" s="1136">
        <v>39338</v>
      </c>
      <c r="E2812" s="1136">
        <v>7890</v>
      </c>
      <c r="F2812" s="1136" t="s">
        <v>233</v>
      </c>
      <c r="G2812" s="1136">
        <v>1550</v>
      </c>
      <c r="H2812" s="1136">
        <v>9</v>
      </c>
      <c r="I2812" s="1136">
        <v>5</v>
      </c>
      <c r="J2812" s="1136">
        <v>186</v>
      </c>
      <c r="K2812" s="1137" t="s">
        <v>4041</v>
      </c>
      <c r="L2812" s="584">
        <f t="shared" si="435"/>
        <v>10170000</v>
      </c>
      <c r="M2812" s="1126">
        <v>10000000</v>
      </c>
      <c r="N2812" s="1127">
        <v>170000</v>
      </c>
      <c r="O2812" s="1128"/>
      <c r="P2812" s="1127"/>
      <c r="Q2812" s="1127"/>
      <c r="R2812" s="582">
        <f>M2812/I2812</f>
        <v>2000000</v>
      </c>
      <c r="S2812" s="1127"/>
      <c r="T2812" s="1134"/>
      <c r="U2812" s="1134"/>
      <c r="V2812" s="1134"/>
      <c r="W2812" s="1134"/>
      <c r="X2812" s="1134"/>
      <c r="Y2812" s="592">
        <v>1</v>
      </c>
      <c r="Z2812" s="1134"/>
    </row>
    <row r="2813" spans="1:1025" s="202" customFormat="1" ht="37.5" hidden="1">
      <c r="A2813" s="591">
        <f t="shared" si="436"/>
        <v>7</v>
      </c>
      <c r="B2813" s="1124" t="s">
        <v>4042</v>
      </c>
      <c r="C2813" s="1135" t="s">
        <v>217</v>
      </c>
      <c r="D2813" s="1136">
        <v>39583</v>
      </c>
      <c r="E2813" s="1136">
        <v>7884</v>
      </c>
      <c r="F2813" s="1136" t="s">
        <v>233</v>
      </c>
      <c r="G2813" s="1136">
        <v>1570</v>
      </c>
      <c r="H2813" s="1136">
        <v>9</v>
      </c>
      <c r="I2813" s="1136">
        <v>5</v>
      </c>
      <c r="J2813" s="1136">
        <v>187</v>
      </c>
      <c r="K2813" s="1133" t="s">
        <v>219</v>
      </c>
      <c r="L2813" s="584">
        <f t="shared" si="435"/>
        <v>10170000</v>
      </c>
      <c r="M2813" s="1126">
        <v>10000000</v>
      </c>
      <c r="N2813" s="1127">
        <v>170000</v>
      </c>
      <c r="O2813" s="1128"/>
      <c r="P2813" s="1127"/>
      <c r="Q2813" s="1127"/>
      <c r="R2813" s="582">
        <f>M2813/I2813</f>
        <v>2000000</v>
      </c>
      <c r="S2813" s="1127"/>
      <c r="T2813" s="1134"/>
      <c r="U2813" s="1134"/>
      <c r="V2813" s="1134"/>
      <c r="W2813" s="1134"/>
      <c r="X2813" s="1134"/>
      <c r="Y2813" s="592">
        <v>1</v>
      </c>
      <c r="Z2813" s="1134"/>
    </row>
    <row r="2814" spans="1:1025" s="225" customFormat="1" ht="37.5" hidden="1">
      <c r="A2814" s="591">
        <f t="shared" si="436"/>
        <v>8</v>
      </c>
      <c r="B2814" s="1124" t="s">
        <v>4057</v>
      </c>
      <c r="C2814" s="1135" t="s">
        <v>4359</v>
      </c>
      <c r="D2814" s="1138">
        <v>16079</v>
      </c>
      <c r="E2814" s="1138">
        <v>1770</v>
      </c>
      <c r="F2814" s="1138" t="s">
        <v>309</v>
      </c>
      <c r="G2814" s="1138">
        <v>830</v>
      </c>
      <c r="H2814" s="1138">
        <v>9</v>
      </c>
      <c r="I2814" s="1138">
        <v>2</v>
      </c>
      <c r="J2814" s="1138">
        <v>114</v>
      </c>
      <c r="K2814" s="1139" t="s">
        <v>219</v>
      </c>
      <c r="L2814" s="584">
        <f t="shared" si="435"/>
        <v>4106250</v>
      </c>
      <c r="M2814" s="1126">
        <v>4000000</v>
      </c>
      <c r="N2814" s="1127">
        <v>106250</v>
      </c>
      <c r="O2814" s="1128"/>
      <c r="P2814" s="1127"/>
      <c r="Q2814" s="1127"/>
      <c r="R2814" s="582"/>
      <c r="S2814" s="1127"/>
      <c r="T2814" s="1134"/>
      <c r="U2814" s="1134"/>
      <c r="V2814" s="1134"/>
      <c r="W2814" s="1134"/>
      <c r="X2814" s="1134"/>
      <c r="Y2814" s="592"/>
      <c r="Z2814" s="1134"/>
    </row>
    <row r="2815" spans="1:1025" s="28" customFormat="1" hidden="1">
      <c r="A2815" s="591">
        <f t="shared" si="436"/>
        <v>9</v>
      </c>
      <c r="B2815" s="592" t="s">
        <v>2317</v>
      </c>
      <c r="C2815" s="593" t="s">
        <v>326</v>
      </c>
      <c r="D2815" s="593">
        <v>15074</v>
      </c>
      <c r="E2815" s="879">
        <v>2310</v>
      </c>
      <c r="F2815" s="879" t="s">
        <v>309</v>
      </c>
      <c r="G2815" s="593">
        <v>1040.8</v>
      </c>
      <c r="H2815" s="879">
        <v>5</v>
      </c>
      <c r="I2815" s="700">
        <v>2</v>
      </c>
      <c r="J2815" s="643">
        <v>40</v>
      </c>
      <c r="K2815" s="679" t="s">
        <v>33</v>
      </c>
      <c r="L2815" s="584">
        <f t="shared" si="435"/>
        <v>2227383</v>
      </c>
      <c r="M2815" s="1122">
        <v>2185680</v>
      </c>
      <c r="N2815" s="934"/>
      <c r="O2815" s="1140">
        <v>21803</v>
      </c>
      <c r="P2815" s="934"/>
      <c r="Q2815" s="586">
        <v>19900</v>
      </c>
      <c r="R2815" s="936">
        <f>M2815/G2815</f>
        <v>2100</v>
      </c>
      <c r="S2815" s="592"/>
      <c r="T2815" s="592"/>
      <c r="U2815" s="591"/>
      <c r="V2815" s="589"/>
      <c r="W2815" s="592"/>
      <c r="X2815" s="592"/>
      <c r="Y2815" s="592">
        <v>1</v>
      </c>
      <c r="Z2815" s="592"/>
    </row>
    <row r="2816" spans="1:1025" s="28" customFormat="1" hidden="1">
      <c r="A2816" s="591">
        <f t="shared" si="436"/>
        <v>10</v>
      </c>
      <c r="B2816" s="592" t="s">
        <v>2318</v>
      </c>
      <c r="C2816" s="593" t="s">
        <v>328</v>
      </c>
      <c r="D2816" s="593">
        <v>17734</v>
      </c>
      <c r="E2816" s="879">
        <v>3295</v>
      </c>
      <c r="F2816" s="879" t="s">
        <v>309</v>
      </c>
      <c r="G2816" s="593">
        <v>1242</v>
      </c>
      <c r="H2816" s="879">
        <v>5</v>
      </c>
      <c r="I2816" s="700">
        <v>6</v>
      </c>
      <c r="J2816" s="643">
        <v>99</v>
      </c>
      <c r="K2816" s="679" t="s">
        <v>4361</v>
      </c>
      <c r="L2816" s="584">
        <f t="shared" si="435"/>
        <v>2778590.71</v>
      </c>
      <c r="M2816" s="1122">
        <f>G2816*2200</f>
        <v>2732400</v>
      </c>
      <c r="N2816" s="934"/>
      <c r="O2816" s="1140">
        <v>23466</v>
      </c>
      <c r="P2816" s="934"/>
      <c r="Q2816" s="586">
        <v>22724.71</v>
      </c>
      <c r="R2816" s="936">
        <f>M2816/G2816</f>
        <v>2200</v>
      </c>
      <c r="S2816" s="592" t="s">
        <v>4274</v>
      </c>
      <c r="T2816" s="592"/>
      <c r="U2816" s="591"/>
      <c r="V2816" s="589"/>
      <c r="W2816" s="592"/>
      <c r="X2816" s="592"/>
      <c r="Y2816" s="592">
        <v>1</v>
      </c>
      <c r="Z2816" s="592"/>
    </row>
    <row r="2817" spans="1:26" s="28" customFormat="1" hidden="1">
      <c r="A2817" s="591">
        <f t="shared" si="436"/>
        <v>11</v>
      </c>
      <c r="B2817" s="592" t="s">
        <v>2319</v>
      </c>
      <c r="C2817" s="593" t="s">
        <v>329</v>
      </c>
      <c r="D2817" s="593">
        <v>11532</v>
      </c>
      <c r="E2817" s="879">
        <v>2282</v>
      </c>
      <c r="F2817" s="879" t="s">
        <v>309</v>
      </c>
      <c r="G2817" s="593">
        <v>815</v>
      </c>
      <c r="H2817" s="879">
        <v>5</v>
      </c>
      <c r="I2817" s="700">
        <v>4</v>
      </c>
      <c r="J2817" s="643">
        <v>80</v>
      </c>
      <c r="K2817" s="679" t="s">
        <v>238</v>
      </c>
      <c r="L2817" s="584">
        <f t="shared" si="435"/>
        <v>1948550.78</v>
      </c>
      <c r="M2817" s="1122">
        <f>J2817*30000-500000</f>
        <v>1900000</v>
      </c>
      <c r="N2817" s="1123">
        <v>30000</v>
      </c>
      <c r="O2817" s="935"/>
      <c r="P2817" s="934"/>
      <c r="Q2817" s="586">
        <v>18550.78</v>
      </c>
      <c r="R2817" s="936">
        <f>M2817/J2817</f>
        <v>23750</v>
      </c>
      <c r="S2817" s="592"/>
      <c r="T2817" s="592"/>
      <c r="U2817" s="591"/>
      <c r="V2817" s="589"/>
      <c r="W2817" s="592"/>
      <c r="X2817" s="592"/>
      <c r="Y2817" s="592">
        <v>1</v>
      </c>
      <c r="Z2817" s="592"/>
    </row>
    <row r="2818" spans="1:26" s="28" customFormat="1" ht="56.25" hidden="1">
      <c r="A2818" s="591">
        <f t="shared" ref="A2818:A2828" si="437">A2817+1</f>
        <v>12</v>
      </c>
      <c r="B2818" s="592" t="s">
        <v>2320</v>
      </c>
      <c r="C2818" s="593" t="s">
        <v>330</v>
      </c>
      <c r="D2818" s="593">
        <v>25557</v>
      </c>
      <c r="E2818" s="879">
        <v>3240</v>
      </c>
      <c r="F2818" s="879" t="s">
        <v>309</v>
      </c>
      <c r="G2818" s="593">
        <v>1693</v>
      </c>
      <c r="H2818" s="879">
        <v>5</v>
      </c>
      <c r="I2818" s="700">
        <v>8</v>
      </c>
      <c r="J2818" s="643">
        <v>129</v>
      </c>
      <c r="K2818" s="679" t="s">
        <v>3735</v>
      </c>
      <c r="L2818" s="584">
        <f t="shared" si="435"/>
        <v>3269972</v>
      </c>
      <c r="M2818" s="1122">
        <f>J2818*25000-11000</f>
        <v>3214000</v>
      </c>
      <c r="N2818" s="934"/>
      <c r="O2818" s="1140">
        <v>16172</v>
      </c>
      <c r="P2818" s="934"/>
      <c r="Q2818" s="586">
        <v>39800</v>
      </c>
      <c r="R2818" s="936">
        <f>M2818/J2818</f>
        <v>24914.728682170542</v>
      </c>
      <c r="S2818" s="592"/>
      <c r="T2818" s="592"/>
      <c r="U2818" s="591"/>
      <c r="V2818" s="589"/>
      <c r="W2818" s="592"/>
      <c r="X2818" s="592"/>
      <c r="Y2818" s="592">
        <v>1</v>
      </c>
      <c r="Z2818" s="592"/>
    </row>
    <row r="2819" spans="1:26" s="28" customFormat="1" ht="37.5" hidden="1">
      <c r="A2819" s="591">
        <f t="shared" si="437"/>
        <v>13</v>
      </c>
      <c r="B2819" s="592" t="s">
        <v>2321</v>
      </c>
      <c r="C2819" s="593" t="s">
        <v>310</v>
      </c>
      <c r="D2819" s="593">
        <v>2869</v>
      </c>
      <c r="E2819" s="879">
        <v>493.1</v>
      </c>
      <c r="F2819" s="879" t="s">
        <v>251</v>
      </c>
      <c r="G2819" s="593">
        <v>570</v>
      </c>
      <c r="H2819" s="879">
        <v>2</v>
      </c>
      <c r="I2819" s="700">
        <v>2</v>
      </c>
      <c r="J2819" s="643">
        <v>16</v>
      </c>
      <c r="K2819" s="679" t="s">
        <v>33</v>
      </c>
      <c r="L2819" s="584">
        <f t="shared" si="435"/>
        <v>2283801.39</v>
      </c>
      <c r="M2819" s="1122">
        <v>2239972</v>
      </c>
      <c r="N2819" s="1123">
        <v>29851</v>
      </c>
      <c r="O2819" s="935"/>
      <c r="P2819" s="934"/>
      <c r="Q2819" s="586">
        <v>13978.39</v>
      </c>
      <c r="R2819" s="936">
        <f>M2819/G2819</f>
        <v>3929.7754385964913</v>
      </c>
      <c r="S2819" s="592"/>
      <c r="T2819" s="592"/>
      <c r="U2819" s="591"/>
      <c r="V2819" s="589"/>
      <c r="W2819" s="592"/>
      <c r="X2819" s="592"/>
      <c r="Y2819" s="592">
        <v>1</v>
      </c>
      <c r="Z2819" s="592"/>
    </row>
    <row r="2820" spans="1:26" s="28" customFormat="1" ht="56.25" hidden="1">
      <c r="A2820" s="591">
        <f t="shared" si="437"/>
        <v>14</v>
      </c>
      <c r="B2820" s="592" t="s">
        <v>2324</v>
      </c>
      <c r="C2820" s="593" t="s">
        <v>332</v>
      </c>
      <c r="D2820" s="593">
        <v>17344</v>
      </c>
      <c r="E2820" s="879">
        <v>2140</v>
      </c>
      <c r="F2820" s="879" t="s">
        <v>309</v>
      </c>
      <c r="G2820" s="593">
        <v>842</v>
      </c>
      <c r="H2820" s="879">
        <v>5</v>
      </c>
      <c r="I2820" s="700">
        <v>2</v>
      </c>
      <c r="J2820" s="643">
        <v>82</v>
      </c>
      <c r="K2820" s="679" t="s">
        <v>3735</v>
      </c>
      <c r="L2820" s="584">
        <f t="shared" si="435"/>
        <v>1947774</v>
      </c>
      <c r="M2820" s="1122">
        <v>1891974</v>
      </c>
      <c r="N2820" s="934"/>
      <c r="O2820" s="1140">
        <v>16000</v>
      </c>
      <c r="P2820" s="934"/>
      <c r="Q2820" s="586">
        <v>39800</v>
      </c>
      <c r="R2820" s="936">
        <f>M2820/J2820</f>
        <v>23072.853658536584</v>
      </c>
      <c r="S2820" s="592"/>
      <c r="T2820" s="592"/>
      <c r="U2820" s="591"/>
      <c r="V2820" s="589"/>
      <c r="W2820" s="592"/>
      <c r="X2820" s="592"/>
      <c r="Y2820" s="592">
        <v>1</v>
      </c>
      <c r="Z2820" s="592"/>
    </row>
    <row r="2821" spans="1:26" s="28" customFormat="1" hidden="1">
      <c r="A2821" s="591">
        <f t="shared" si="437"/>
        <v>15</v>
      </c>
      <c r="B2821" s="592" t="s">
        <v>2325</v>
      </c>
      <c r="C2821" s="593" t="s">
        <v>312</v>
      </c>
      <c r="D2821" s="593">
        <v>7175</v>
      </c>
      <c r="E2821" s="879">
        <v>1705.53</v>
      </c>
      <c r="F2821" s="879" t="s">
        <v>309</v>
      </c>
      <c r="G2821" s="593">
        <v>683</v>
      </c>
      <c r="H2821" s="879">
        <v>3</v>
      </c>
      <c r="I2821" s="700">
        <v>3</v>
      </c>
      <c r="J2821" s="643">
        <v>33</v>
      </c>
      <c r="K2821" s="679" t="s">
        <v>33</v>
      </c>
      <c r="L2821" s="584">
        <f t="shared" si="435"/>
        <v>2504356</v>
      </c>
      <c r="M2821" s="1122">
        <v>2465568</v>
      </c>
      <c r="N2821" s="934"/>
      <c r="O2821" s="1140">
        <v>18888</v>
      </c>
      <c r="P2821" s="934"/>
      <c r="Q2821" s="586">
        <v>19900</v>
      </c>
      <c r="R2821" s="936">
        <f>M2821/G2821</f>
        <v>3609.9092240117129</v>
      </c>
      <c r="S2821" s="592"/>
      <c r="T2821" s="592"/>
      <c r="U2821" s="591"/>
      <c r="V2821" s="589"/>
      <c r="W2821" s="592"/>
      <c r="X2821" s="592"/>
      <c r="Y2821" s="592">
        <v>1</v>
      </c>
      <c r="Z2821" s="592"/>
    </row>
    <row r="2822" spans="1:26" s="28" customFormat="1" hidden="1">
      <c r="A2822" s="591">
        <f t="shared" si="437"/>
        <v>16</v>
      </c>
      <c r="B2822" s="592" t="s">
        <v>2326</v>
      </c>
      <c r="C2822" s="593" t="s">
        <v>333</v>
      </c>
      <c r="D2822" s="593">
        <v>2979</v>
      </c>
      <c r="E2822" s="879">
        <v>685.62</v>
      </c>
      <c r="F2822" s="879" t="s">
        <v>251</v>
      </c>
      <c r="G2822" s="593">
        <v>671.2</v>
      </c>
      <c r="H2822" s="879">
        <v>2</v>
      </c>
      <c r="I2822" s="700">
        <v>2</v>
      </c>
      <c r="J2822" s="643">
        <v>16</v>
      </c>
      <c r="K2822" s="679" t="s">
        <v>33</v>
      </c>
      <c r="L2822" s="584">
        <f t="shared" si="435"/>
        <v>1786378.4700000002</v>
      </c>
      <c r="M2822" s="1122">
        <v>1745120.0000000002</v>
      </c>
      <c r="N2822" s="934">
        <v>30128</v>
      </c>
      <c r="O2822" s="935"/>
      <c r="P2822" s="934"/>
      <c r="Q2822" s="586">
        <v>11130.47</v>
      </c>
      <c r="R2822" s="936">
        <f>M2822/J2822</f>
        <v>109070.00000000001</v>
      </c>
      <c r="S2822" s="592"/>
      <c r="T2822" s="592"/>
      <c r="U2822" s="591"/>
      <c r="V2822" s="589"/>
      <c r="W2822" s="592"/>
      <c r="X2822" s="592"/>
      <c r="Y2822" s="592">
        <v>1</v>
      </c>
      <c r="Z2822" s="592"/>
    </row>
    <row r="2823" spans="1:26" s="28" customFormat="1" hidden="1">
      <c r="A2823" s="591">
        <f t="shared" si="437"/>
        <v>17</v>
      </c>
      <c r="B2823" s="592" t="s">
        <v>2329</v>
      </c>
      <c r="C2823" s="593" t="s">
        <v>335</v>
      </c>
      <c r="D2823" s="593">
        <v>7598</v>
      </c>
      <c r="E2823" s="879">
        <v>1069</v>
      </c>
      <c r="F2823" s="879" t="s">
        <v>309</v>
      </c>
      <c r="G2823" s="593">
        <v>640</v>
      </c>
      <c r="H2823" s="879">
        <v>4</v>
      </c>
      <c r="I2823" s="700">
        <v>2</v>
      </c>
      <c r="J2823" s="643">
        <v>32</v>
      </c>
      <c r="K2823" s="679" t="s">
        <v>238</v>
      </c>
      <c r="L2823" s="584">
        <f t="shared" si="435"/>
        <v>1001746.39</v>
      </c>
      <c r="M2823" s="1122">
        <f>J2823*30000</f>
        <v>960000</v>
      </c>
      <c r="N2823" s="1123">
        <v>26442</v>
      </c>
      <c r="O2823" s="935"/>
      <c r="P2823" s="934"/>
      <c r="Q2823" s="586">
        <v>15304.39</v>
      </c>
      <c r="R2823" s="936">
        <f>M2823/J2823</f>
        <v>30000</v>
      </c>
      <c r="S2823" s="592"/>
      <c r="T2823" s="592"/>
      <c r="U2823" s="591"/>
      <c r="V2823" s="589"/>
      <c r="W2823" s="592"/>
      <c r="X2823" s="592"/>
      <c r="Y2823" s="592">
        <v>1</v>
      </c>
      <c r="Z2823" s="592"/>
    </row>
    <row r="2824" spans="1:26" s="28" customFormat="1" hidden="1">
      <c r="A2824" s="591">
        <f t="shared" si="437"/>
        <v>18</v>
      </c>
      <c r="B2824" s="592" t="s">
        <v>2330</v>
      </c>
      <c r="C2824" s="593" t="s">
        <v>336</v>
      </c>
      <c r="D2824" s="593">
        <v>1164</v>
      </c>
      <c r="E2824" s="879">
        <v>716</v>
      </c>
      <c r="F2824" s="879" t="s">
        <v>309</v>
      </c>
      <c r="G2824" s="593">
        <v>830</v>
      </c>
      <c r="H2824" s="879">
        <v>5</v>
      </c>
      <c r="I2824" s="700">
        <v>3</v>
      </c>
      <c r="J2824" s="643">
        <v>55</v>
      </c>
      <c r="K2824" s="679" t="s">
        <v>33</v>
      </c>
      <c r="L2824" s="584">
        <f t="shared" si="435"/>
        <v>2348411.7400000002</v>
      </c>
      <c r="M2824" s="1122">
        <v>2322507</v>
      </c>
      <c r="N2824" s="934"/>
      <c r="O2824" s="1140">
        <v>22316</v>
      </c>
      <c r="P2824" s="934"/>
      <c r="Q2824" s="586">
        <v>3588.74</v>
      </c>
      <c r="R2824" s="936">
        <f>M2824/G2824</f>
        <v>2798.2012048192769</v>
      </c>
      <c r="S2824" s="592"/>
      <c r="T2824" s="592"/>
      <c r="U2824" s="591"/>
      <c r="V2824" s="589"/>
      <c r="W2824" s="592"/>
      <c r="X2824" s="592"/>
      <c r="Y2824" s="592">
        <v>1</v>
      </c>
      <c r="Z2824" s="592"/>
    </row>
    <row r="2825" spans="1:26" s="89" customFormat="1" hidden="1">
      <c r="A2825" s="591">
        <f t="shared" si="437"/>
        <v>19</v>
      </c>
      <c r="B2825" s="591" t="s">
        <v>4277</v>
      </c>
      <c r="C2825" s="591" t="s">
        <v>328</v>
      </c>
      <c r="D2825" s="591">
        <v>10595</v>
      </c>
      <c r="E2825" s="1141">
        <v>2562</v>
      </c>
      <c r="F2825" s="1141" t="s">
        <v>309</v>
      </c>
      <c r="G2825" s="591">
        <v>815</v>
      </c>
      <c r="H2825" s="1141">
        <v>5</v>
      </c>
      <c r="I2825" s="702">
        <v>4</v>
      </c>
      <c r="J2825" s="1142">
        <v>80</v>
      </c>
      <c r="K2825" s="679" t="s">
        <v>4276</v>
      </c>
      <c r="L2825" s="584">
        <f t="shared" si="435"/>
        <v>1818150</v>
      </c>
      <c r="M2825" s="1122">
        <v>1776688</v>
      </c>
      <c r="N2825" s="934"/>
      <c r="O2825" s="1140">
        <v>21462</v>
      </c>
      <c r="P2825" s="934"/>
      <c r="Q2825" s="630">
        <v>20000</v>
      </c>
      <c r="R2825" s="1143">
        <f>M2825/G2825</f>
        <v>2179.9852760736198</v>
      </c>
      <c r="S2825" s="592"/>
      <c r="T2825" s="592"/>
      <c r="U2825" s="592"/>
      <c r="V2825" s="592"/>
      <c r="W2825" s="592"/>
      <c r="X2825" s="592"/>
      <c r="Y2825" s="592">
        <v>1</v>
      </c>
      <c r="Z2825" s="592"/>
    </row>
    <row r="2826" spans="1:26" s="89" customFormat="1" hidden="1">
      <c r="A2826" s="591">
        <f t="shared" si="437"/>
        <v>20</v>
      </c>
      <c r="B2826" s="591" t="s">
        <v>4278</v>
      </c>
      <c r="C2826" s="937" t="s">
        <v>350</v>
      </c>
      <c r="D2826" s="937">
        <v>13146</v>
      </c>
      <c r="E2826" s="1144">
        <v>2562</v>
      </c>
      <c r="F2826" s="1144" t="s">
        <v>309</v>
      </c>
      <c r="G2826" s="580">
        <v>922.5</v>
      </c>
      <c r="H2826" s="591">
        <v>5</v>
      </c>
      <c r="I2826" s="591">
        <v>4</v>
      </c>
      <c r="J2826" s="580">
        <v>69</v>
      </c>
      <c r="K2826" s="679" t="s">
        <v>4276</v>
      </c>
      <c r="L2826" s="584">
        <f t="shared" si="435"/>
        <v>2090191</v>
      </c>
      <c r="M2826" s="1122">
        <v>2048419</v>
      </c>
      <c r="N2826" s="934"/>
      <c r="O2826" s="1140">
        <v>21772</v>
      </c>
      <c r="P2826" s="934"/>
      <c r="Q2826" s="630">
        <v>20000</v>
      </c>
      <c r="R2826" s="1143">
        <f>M2826/G2826</f>
        <v>2220.508401084011</v>
      </c>
      <c r="S2826" s="592"/>
      <c r="T2826" s="592"/>
      <c r="U2826" s="592"/>
      <c r="V2826" s="592"/>
      <c r="W2826" s="592"/>
      <c r="X2826" s="592"/>
      <c r="Y2826" s="592">
        <v>1</v>
      </c>
      <c r="Z2826" s="592"/>
    </row>
    <row r="2827" spans="1:26" s="89" customFormat="1" ht="37.5" hidden="1">
      <c r="A2827" s="591">
        <f t="shared" si="437"/>
        <v>21</v>
      </c>
      <c r="B2827" s="591" t="s">
        <v>4281</v>
      </c>
      <c r="C2827" s="591" t="s">
        <v>4279</v>
      </c>
      <c r="D2827" s="591">
        <v>12187</v>
      </c>
      <c r="E2827" s="591">
        <v>2430</v>
      </c>
      <c r="F2827" s="1141" t="s">
        <v>309</v>
      </c>
      <c r="G2827" s="591">
        <v>1741</v>
      </c>
      <c r="H2827" s="591">
        <v>2</v>
      </c>
      <c r="I2827" s="591">
        <v>3</v>
      </c>
      <c r="J2827" s="591">
        <v>36</v>
      </c>
      <c r="K2827" s="679" t="s">
        <v>4280</v>
      </c>
      <c r="L2827" s="584">
        <f t="shared" si="435"/>
        <v>4086262</v>
      </c>
      <c r="M2827" s="585">
        <v>4047301</v>
      </c>
      <c r="N2827" s="586"/>
      <c r="O2827" s="1140">
        <v>18961</v>
      </c>
      <c r="P2827" s="586"/>
      <c r="Q2827" s="630">
        <v>20000</v>
      </c>
      <c r="R2827" s="1143">
        <f>M2827/G2827</f>
        <v>2324.6990235496842</v>
      </c>
      <c r="S2827" s="592"/>
      <c r="T2827" s="592"/>
      <c r="U2827" s="592"/>
      <c r="V2827" s="592"/>
      <c r="W2827" s="592"/>
      <c r="X2827" s="592"/>
      <c r="Y2827" s="592">
        <v>1</v>
      </c>
      <c r="Z2827" s="592"/>
    </row>
    <row r="2828" spans="1:26" s="89" customFormat="1" hidden="1">
      <c r="A2828" s="591">
        <f t="shared" si="437"/>
        <v>22</v>
      </c>
      <c r="B2828" s="591" t="s">
        <v>3299</v>
      </c>
      <c r="C2828" s="591" t="s">
        <v>327</v>
      </c>
      <c r="D2828" s="591">
        <v>76646</v>
      </c>
      <c r="E2828" s="591">
        <v>11316</v>
      </c>
      <c r="F2828" s="1141" t="s">
        <v>309</v>
      </c>
      <c r="G2828" s="591">
        <v>3121</v>
      </c>
      <c r="H2828" s="591">
        <v>9</v>
      </c>
      <c r="I2828" s="591">
        <v>10</v>
      </c>
      <c r="J2828" s="591">
        <v>320</v>
      </c>
      <c r="K2828" s="679" t="s">
        <v>238</v>
      </c>
      <c r="L2828" s="584">
        <f t="shared" si="435"/>
        <v>12078808</v>
      </c>
      <c r="M2828" s="585">
        <v>12000000</v>
      </c>
      <c r="N2828" s="630">
        <v>42918</v>
      </c>
      <c r="O2828" s="935"/>
      <c r="P2828" s="586"/>
      <c r="Q2828" s="630">
        <v>35890</v>
      </c>
      <c r="R2828" s="1143">
        <f>M2828/J2828</f>
        <v>37500</v>
      </c>
      <c r="S2828" s="592"/>
      <c r="T2828" s="592"/>
      <c r="U2828" s="592"/>
      <c r="V2828" s="592"/>
      <c r="W2828" s="592"/>
      <c r="X2828" s="592"/>
      <c r="Y2828" s="592">
        <v>1</v>
      </c>
      <c r="Z2828" s="592"/>
    </row>
    <row r="2829" spans="1:26" s="28" customFormat="1" hidden="1">
      <c r="A2829" s="1361" t="s">
        <v>196</v>
      </c>
      <c r="B2829" s="1361"/>
      <c r="C2829" s="700" t="s">
        <v>28</v>
      </c>
      <c r="D2829" s="586">
        <f>SUM(D2807:D2828)</f>
        <v>681456</v>
      </c>
      <c r="E2829" s="586">
        <f>SUM(E2807:E2828)</f>
        <v>113536.25</v>
      </c>
      <c r="F2829" s="700" t="s">
        <v>28</v>
      </c>
      <c r="G2829" s="586">
        <f>SUM(G2807:G2828)</f>
        <v>34531.5</v>
      </c>
      <c r="H2829" s="700" t="s">
        <v>28</v>
      </c>
      <c r="I2829" s="700" t="s">
        <v>28</v>
      </c>
      <c r="J2829" s="586">
        <f>SUM(J2807:J2828)</f>
        <v>3031</v>
      </c>
      <c r="K2829" s="590" t="s">
        <v>28</v>
      </c>
      <c r="L2829" s="585">
        <f t="shared" ref="L2829:Q2829" si="438">SUM(L2807:L2828)</f>
        <v>119487875.47999999</v>
      </c>
      <c r="M2829" s="585">
        <f t="shared" si="438"/>
        <v>117529629</v>
      </c>
      <c r="N2829" s="586">
        <f t="shared" si="438"/>
        <v>1476839</v>
      </c>
      <c r="O2829" s="587">
        <f t="shared" si="438"/>
        <v>180840</v>
      </c>
      <c r="P2829" s="586">
        <f t="shared" si="438"/>
        <v>0</v>
      </c>
      <c r="Q2829" s="586">
        <f t="shared" si="438"/>
        <v>300567.48</v>
      </c>
      <c r="R2829" s="582" t="s">
        <v>28</v>
      </c>
      <c r="S2829" s="592">
        <f>SUBTOTAL(9,M2829:Q2829)</f>
        <v>119487875.48</v>
      </c>
      <c r="T2829" s="645">
        <f>S2829-L2829</f>
        <v>0</v>
      </c>
      <c r="U2829" s="591"/>
      <c r="V2829" s="589"/>
      <c r="W2829" s="592"/>
      <c r="X2829" s="592"/>
      <c r="Y2829" s="592">
        <v>1</v>
      </c>
      <c r="Z2829" s="592"/>
    </row>
    <row r="2830" spans="1:26" s="28" customFormat="1" hidden="1">
      <c r="A2830" s="1347" t="s">
        <v>197</v>
      </c>
      <c r="B2830" s="1347"/>
      <c r="C2830" s="1347"/>
      <c r="D2830" s="1347"/>
      <c r="E2830" s="1347"/>
      <c r="F2830" s="1347"/>
      <c r="G2830" s="1347"/>
      <c r="H2830" s="1347"/>
      <c r="I2830" s="1347"/>
      <c r="J2830" s="1347"/>
      <c r="K2830" s="1347"/>
      <c r="L2830" s="1347"/>
      <c r="M2830" s="1347"/>
      <c r="N2830" s="1347"/>
      <c r="O2830" s="1347"/>
      <c r="P2830" s="1347"/>
      <c r="Q2830" s="1347"/>
      <c r="R2830" s="590"/>
      <c r="S2830" s="592"/>
      <c r="T2830" s="592"/>
      <c r="U2830" s="591"/>
      <c r="V2830" s="589"/>
      <c r="W2830" s="592"/>
      <c r="X2830" s="592"/>
      <c r="Y2830" s="592">
        <v>1</v>
      </c>
      <c r="Z2830" s="592"/>
    </row>
    <row r="2831" spans="1:26" s="28" customFormat="1" hidden="1">
      <c r="A2831" s="714">
        <v>1</v>
      </c>
      <c r="B2831" s="848" t="s">
        <v>2331</v>
      </c>
      <c r="C2831" s="922" t="s">
        <v>221</v>
      </c>
      <c r="D2831" s="922">
        <v>1889</v>
      </c>
      <c r="E2831" s="938">
        <v>172</v>
      </c>
      <c r="F2831" s="700" t="s">
        <v>251</v>
      </c>
      <c r="G2831" s="939">
        <v>3047</v>
      </c>
      <c r="H2831" s="928">
        <v>2</v>
      </c>
      <c r="I2831" s="928">
        <v>2</v>
      </c>
      <c r="J2831" s="643">
        <v>8</v>
      </c>
      <c r="K2831" s="930" t="s">
        <v>224</v>
      </c>
      <c r="L2831" s="584">
        <f>M2831+N2831+Q2831</f>
        <v>193959.52</v>
      </c>
      <c r="M2831" s="931">
        <f>J2831*21400</f>
        <v>171200</v>
      </c>
      <c r="N2831" s="1121">
        <v>21469</v>
      </c>
      <c r="O2831" s="736"/>
      <c r="P2831" s="932"/>
      <c r="Q2831" s="586">
        <v>1290.52</v>
      </c>
      <c r="R2831" s="582">
        <f>M2831/J2831</f>
        <v>21400</v>
      </c>
      <c r="S2831" s="592"/>
      <c r="T2831" s="592"/>
      <c r="U2831" s="591"/>
      <c r="V2831" s="589"/>
      <c r="W2831" s="592"/>
      <c r="X2831" s="592"/>
      <c r="Y2831" s="592">
        <v>1</v>
      </c>
      <c r="Z2831" s="592"/>
    </row>
    <row r="2832" spans="1:26" s="28" customFormat="1" hidden="1">
      <c r="A2832" s="714">
        <f>A2831+1</f>
        <v>2</v>
      </c>
      <c r="B2832" s="848" t="s">
        <v>2332</v>
      </c>
      <c r="C2832" s="922" t="s">
        <v>337</v>
      </c>
      <c r="D2832" s="922">
        <v>7821</v>
      </c>
      <c r="E2832" s="938">
        <v>560.25</v>
      </c>
      <c r="F2832" s="700" t="s">
        <v>251</v>
      </c>
      <c r="G2832" s="939">
        <v>2631.48</v>
      </c>
      <c r="H2832" s="928">
        <v>2</v>
      </c>
      <c r="I2832" s="928">
        <v>2</v>
      </c>
      <c r="J2832" s="643">
        <v>27</v>
      </c>
      <c r="K2832" s="930" t="s">
        <v>224</v>
      </c>
      <c r="L2832" s="584">
        <f>M2832+N2832+Q2832</f>
        <v>610601.46</v>
      </c>
      <c r="M2832" s="931">
        <f>J2832*21400</f>
        <v>577800</v>
      </c>
      <c r="N2832" s="1121">
        <v>27519</v>
      </c>
      <c r="O2832" s="736"/>
      <c r="P2832" s="932"/>
      <c r="Q2832" s="586">
        <v>5282.46</v>
      </c>
      <c r="R2832" s="582">
        <f>M2832/J2832</f>
        <v>21400</v>
      </c>
      <c r="S2832" s="592"/>
      <c r="T2832" s="592"/>
      <c r="U2832" s="591"/>
      <c r="V2832" s="589"/>
      <c r="W2832" s="592"/>
      <c r="X2832" s="592"/>
      <c r="Y2832" s="592">
        <v>1</v>
      </c>
      <c r="Z2832" s="592"/>
    </row>
    <row r="2833" spans="1:26" s="28" customFormat="1" hidden="1">
      <c r="A2833" s="714">
        <f>A2832+1</f>
        <v>3</v>
      </c>
      <c r="B2833" s="848" t="s">
        <v>2333</v>
      </c>
      <c r="C2833" s="922" t="s">
        <v>221</v>
      </c>
      <c r="D2833" s="922">
        <v>1510</v>
      </c>
      <c r="E2833" s="938">
        <v>193.6</v>
      </c>
      <c r="F2833" s="700" t="s">
        <v>251</v>
      </c>
      <c r="G2833" s="939">
        <v>780.6</v>
      </c>
      <c r="H2833" s="928">
        <v>2</v>
      </c>
      <c r="I2833" s="928">
        <v>2</v>
      </c>
      <c r="J2833" s="643">
        <v>8</v>
      </c>
      <c r="K2833" s="930" t="s">
        <v>224</v>
      </c>
      <c r="L2833" s="584">
        <f>M2833+N2833+Q2833</f>
        <v>193456.5</v>
      </c>
      <c r="M2833" s="931">
        <f>J2833*21400</f>
        <v>171200</v>
      </c>
      <c r="N2833" s="1121">
        <v>21162</v>
      </c>
      <c r="O2833" s="736"/>
      <c r="P2833" s="932"/>
      <c r="Q2833" s="586">
        <v>1094.5</v>
      </c>
      <c r="R2833" s="582">
        <f>M2833/J2833</f>
        <v>21400</v>
      </c>
      <c r="S2833" s="592"/>
      <c r="T2833" s="592"/>
      <c r="U2833" s="591"/>
      <c r="V2833" s="589"/>
      <c r="W2833" s="592"/>
      <c r="X2833" s="592"/>
      <c r="Y2833" s="592">
        <v>1</v>
      </c>
      <c r="Z2833" s="592"/>
    </row>
    <row r="2834" spans="1:26" s="28" customFormat="1" hidden="1">
      <c r="A2834" s="714">
        <f>A2833+1</f>
        <v>4</v>
      </c>
      <c r="B2834" s="592" t="s">
        <v>2334</v>
      </c>
      <c r="C2834" s="910" t="s">
        <v>221</v>
      </c>
      <c r="D2834" s="582">
        <v>1514</v>
      </c>
      <c r="E2834" s="582">
        <v>191.48</v>
      </c>
      <c r="F2834" s="582" t="s">
        <v>251</v>
      </c>
      <c r="G2834" s="582">
        <v>781</v>
      </c>
      <c r="H2834" s="582">
        <v>2</v>
      </c>
      <c r="I2834" s="582">
        <v>2</v>
      </c>
      <c r="J2834" s="582">
        <v>8</v>
      </c>
      <c r="K2834" s="590" t="s">
        <v>224</v>
      </c>
      <c r="L2834" s="584">
        <f>SUM(M2834:Q2834)</f>
        <v>193478.43</v>
      </c>
      <c r="M2834" s="931">
        <f>J2834*21400</f>
        <v>171200</v>
      </c>
      <c r="N2834" s="630">
        <v>21170</v>
      </c>
      <c r="O2834" s="587"/>
      <c r="P2834" s="586"/>
      <c r="Q2834" s="932">
        <v>1108.43</v>
      </c>
      <c r="R2834" s="582">
        <f>M2834/J2834</f>
        <v>21400</v>
      </c>
      <c r="S2834" s="592"/>
      <c r="T2834" s="592"/>
      <c r="U2834" s="591"/>
      <c r="V2834" s="589"/>
      <c r="W2834" s="592"/>
      <c r="X2834" s="592"/>
      <c r="Y2834" s="592">
        <v>1</v>
      </c>
      <c r="Z2834" s="592"/>
    </row>
    <row r="2835" spans="1:26" s="28" customFormat="1" hidden="1">
      <c r="A2835" s="714">
        <f>A2834+1</f>
        <v>5</v>
      </c>
      <c r="B2835" s="848" t="s">
        <v>2335</v>
      </c>
      <c r="C2835" s="922" t="s">
        <v>221</v>
      </c>
      <c r="D2835" s="922">
        <v>1615</v>
      </c>
      <c r="E2835" s="938">
        <v>197</v>
      </c>
      <c r="F2835" s="700" t="s">
        <v>251</v>
      </c>
      <c r="G2835" s="939">
        <v>2564</v>
      </c>
      <c r="H2835" s="928">
        <v>2</v>
      </c>
      <c r="I2835" s="928">
        <v>2</v>
      </c>
      <c r="J2835" s="643">
        <v>8</v>
      </c>
      <c r="K2835" s="930" t="s">
        <v>224</v>
      </c>
      <c r="L2835" s="584">
        <f>M2835+N2835+Q2835</f>
        <v>194248.82</v>
      </c>
      <c r="M2835" s="931">
        <f>J2835*21400</f>
        <v>171200</v>
      </c>
      <c r="N2835" s="1121">
        <v>21819</v>
      </c>
      <c r="O2835" s="736"/>
      <c r="P2835" s="932"/>
      <c r="Q2835" s="586">
        <v>1229.82</v>
      </c>
      <c r="R2835" s="582">
        <f>M2835/J2835</f>
        <v>21400</v>
      </c>
      <c r="S2835" s="592"/>
      <c r="T2835" s="645"/>
      <c r="U2835" s="591"/>
      <c r="V2835" s="589"/>
      <c r="W2835" s="592"/>
      <c r="X2835" s="592"/>
      <c r="Y2835" s="592">
        <v>1</v>
      </c>
      <c r="Z2835" s="592"/>
    </row>
    <row r="2836" spans="1:26" s="28" customFormat="1" hidden="1">
      <c r="A2836" s="1349" t="s">
        <v>198</v>
      </c>
      <c r="B2836" s="1349"/>
      <c r="C2836" s="593" t="s">
        <v>28</v>
      </c>
      <c r="D2836" s="586">
        <f t="shared" ref="D2836:J2836" si="439">SUM(D2831)</f>
        <v>1889</v>
      </c>
      <c r="E2836" s="586">
        <f t="shared" si="439"/>
        <v>172</v>
      </c>
      <c r="F2836" s="593" t="s">
        <v>28</v>
      </c>
      <c r="G2836" s="586">
        <f t="shared" si="439"/>
        <v>3047</v>
      </c>
      <c r="H2836" s="593" t="s">
        <v>28</v>
      </c>
      <c r="I2836" s="593" t="s">
        <v>28</v>
      </c>
      <c r="J2836" s="582">
        <f t="shared" si="439"/>
        <v>8</v>
      </c>
      <c r="K2836" s="590" t="s">
        <v>28</v>
      </c>
      <c r="L2836" s="584">
        <f t="shared" ref="L2836:Q2836" si="440">SUM(L2831:L2835)</f>
        <v>1385744.73</v>
      </c>
      <c r="M2836" s="585">
        <f t="shared" si="440"/>
        <v>1262600</v>
      </c>
      <c r="N2836" s="586">
        <f t="shared" si="440"/>
        <v>113139</v>
      </c>
      <c r="O2836" s="587">
        <f t="shared" si="440"/>
        <v>0</v>
      </c>
      <c r="P2836" s="586">
        <f t="shared" si="440"/>
        <v>0</v>
      </c>
      <c r="Q2836" s="586">
        <f t="shared" si="440"/>
        <v>10005.73</v>
      </c>
      <c r="R2836" s="582" t="s">
        <v>28</v>
      </c>
      <c r="S2836" s="564">
        <f>L2836-M2836-N2836-O2836-P2836-Q2836</f>
        <v>-1.8189894035458565E-11</v>
      </c>
      <c r="T2836" s="577" t="e">
        <f>'1.перечень МКД'!#REF!</f>
        <v>#REF!</v>
      </c>
      <c r="U2836" s="589" t="e">
        <f>L2836-T2836</f>
        <v>#REF!</v>
      </c>
      <c r="V2836" s="589"/>
      <c r="W2836" s="592"/>
      <c r="X2836" s="592"/>
      <c r="Y2836" s="592">
        <v>1</v>
      </c>
      <c r="Z2836" s="592"/>
    </row>
    <row r="2837" spans="1:26" s="28" customFormat="1" hidden="1">
      <c r="A2837" s="1352" t="s">
        <v>199</v>
      </c>
      <c r="B2837" s="1352"/>
      <c r="C2837" s="1352"/>
      <c r="D2837" s="1352"/>
      <c r="E2837" s="1352"/>
      <c r="F2837" s="1352"/>
      <c r="G2837" s="1352"/>
      <c r="H2837" s="1352"/>
      <c r="I2837" s="1352"/>
      <c r="J2837" s="1352"/>
      <c r="K2837" s="1352"/>
      <c r="L2837" s="1352"/>
      <c r="M2837" s="1352"/>
      <c r="N2837" s="1352"/>
      <c r="O2837" s="1352"/>
      <c r="P2837" s="1352"/>
      <c r="Q2837" s="1352"/>
      <c r="R2837" s="855"/>
      <c r="S2837" s="592"/>
      <c r="T2837" s="592"/>
      <c r="U2837" s="591"/>
      <c r="V2837" s="589"/>
      <c r="W2837" s="592"/>
      <c r="X2837" s="592"/>
      <c r="Y2837" s="592">
        <v>1</v>
      </c>
      <c r="Z2837" s="592"/>
    </row>
    <row r="2838" spans="1:26" s="28" customFormat="1" hidden="1">
      <c r="A2838" s="714">
        <v>1</v>
      </c>
      <c r="B2838" s="848" t="s">
        <v>2336</v>
      </c>
      <c r="C2838" s="922" t="s">
        <v>221</v>
      </c>
      <c r="D2838" s="922">
        <v>2877</v>
      </c>
      <c r="E2838" s="938">
        <v>596</v>
      </c>
      <c r="F2838" s="700" t="s">
        <v>290</v>
      </c>
      <c r="G2838" s="939">
        <v>560</v>
      </c>
      <c r="H2838" s="928">
        <v>2</v>
      </c>
      <c r="I2838" s="928">
        <v>2</v>
      </c>
      <c r="J2838" s="643">
        <v>16</v>
      </c>
      <c r="K2838" s="930" t="s">
        <v>226</v>
      </c>
      <c r="L2838" s="584">
        <f t="shared" ref="L2838:L2846" si="441">SUM(M2838:Q2838)</f>
        <v>2110218.2599999998</v>
      </c>
      <c r="M2838" s="931">
        <f>E2838*3500-21000-440</f>
        <v>2064560</v>
      </c>
      <c r="N2838" s="1121">
        <v>27403</v>
      </c>
      <c r="O2838" s="736"/>
      <c r="P2838" s="932"/>
      <c r="Q2838" s="586">
        <v>18255.259999999998</v>
      </c>
      <c r="R2838" s="599">
        <f>M2838/E2838</f>
        <v>3464.0268456375838</v>
      </c>
      <c r="S2838" s="1145"/>
      <c r="T2838" s="592"/>
      <c r="U2838" s="591"/>
      <c r="V2838" s="589"/>
      <c r="W2838" s="592"/>
      <c r="X2838" s="592"/>
      <c r="Y2838" s="592">
        <v>1</v>
      </c>
      <c r="Z2838" s="592"/>
    </row>
    <row r="2839" spans="1:26" s="28" customFormat="1" hidden="1">
      <c r="A2839" s="714">
        <f>A2838+1</f>
        <v>2</v>
      </c>
      <c r="B2839" s="848" t="s">
        <v>1395</v>
      </c>
      <c r="C2839" s="922" t="s">
        <v>221</v>
      </c>
      <c r="D2839" s="922">
        <v>1722</v>
      </c>
      <c r="E2839" s="938">
        <v>441</v>
      </c>
      <c r="F2839" s="700" t="s">
        <v>222</v>
      </c>
      <c r="G2839" s="939">
        <v>409</v>
      </c>
      <c r="H2839" s="928">
        <v>2</v>
      </c>
      <c r="I2839" s="928">
        <v>2</v>
      </c>
      <c r="J2839" s="643">
        <v>8</v>
      </c>
      <c r="K2839" s="930" t="s">
        <v>226</v>
      </c>
      <c r="L2839" s="584">
        <f t="shared" si="441"/>
        <v>1359563.09</v>
      </c>
      <c r="M2839" s="931">
        <f>E2839*3000</f>
        <v>1323000</v>
      </c>
      <c r="N2839" s="1121">
        <v>25637</v>
      </c>
      <c r="O2839" s="736"/>
      <c r="P2839" s="932"/>
      <c r="Q2839" s="586">
        <v>10926.09</v>
      </c>
      <c r="R2839" s="599">
        <f>M2839/E2839</f>
        <v>3000</v>
      </c>
      <c r="S2839" s="1145"/>
      <c r="T2839" s="592"/>
      <c r="U2839" s="591"/>
      <c r="V2839" s="589"/>
      <c r="W2839" s="592"/>
      <c r="X2839" s="592"/>
      <c r="Y2839" s="592">
        <v>1</v>
      </c>
      <c r="Z2839" s="592"/>
    </row>
    <row r="2840" spans="1:26" s="28" customFormat="1" ht="37.5" hidden="1">
      <c r="A2840" s="714">
        <f>A2841+1</f>
        <v>4</v>
      </c>
      <c r="B2840" s="927" t="s">
        <v>2337</v>
      </c>
      <c r="C2840" s="910" t="s">
        <v>221</v>
      </c>
      <c r="D2840" s="1146">
        <v>7248</v>
      </c>
      <c r="E2840" s="1146">
        <v>1003</v>
      </c>
      <c r="F2840" s="1147" t="s">
        <v>233</v>
      </c>
      <c r="G2840" s="1146">
        <v>1101</v>
      </c>
      <c r="H2840" s="852">
        <v>2</v>
      </c>
      <c r="I2840" s="852">
        <v>4</v>
      </c>
      <c r="J2840" s="1147">
        <v>30</v>
      </c>
      <c r="K2840" s="697" t="s">
        <v>237</v>
      </c>
      <c r="L2840" s="584">
        <f t="shared" si="441"/>
        <v>782693.79</v>
      </c>
      <c r="M2840" s="931">
        <f>J2840*25000</f>
        <v>750000</v>
      </c>
      <c r="N2840" s="932"/>
      <c r="O2840" s="1054">
        <v>11360</v>
      </c>
      <c r="P2840" s="932"/>
      <c r="Q2840" s="586">
        <v>21333.79</v>
      </c>
      <c r="R2840" s="582">
        <f>M2840/J2840</f>
        <v>25000</v>
      </c>
      <c r="S2840" s="592"/>
      <c r="T2840" s="592"/>
      <c r="U2840" s="591"/>
      <c r="V2840" s="589"/>
      <c r="W2840" s="592"/>
      <c r="X2840" s="592"/>
      <c r="Y2840" s="592">
        <v>1</v>
      </c>
      <c r="Z2840" s="592"/>
    </row>
    <row r="2841" spans="1:26" s="28" customFormat="1" hidden="1">
      <c r="A2841" s="714">
        <f>A2839+1</f>
        <v>3</v>
      </c>
      <c r="B2841" s="848" t="s">
        <v>2338</v>
      </c>
      <c r="C2841" s="922" t="s">
        <v>221</v>
      </c>
      <c r="D2841" s="922">
        <v>15795</v>
      </c>
      <c r="E2841" s="938">
        <v>2307</v>
      </c>
      <c r="F2841" s="700" t="s">
        <v>290</v>
      </c>
      <c r="G2841" s="939">
        <v>987</v>
      </c>
      <c r="H2841" s="928">
        <v>5</v>
      </c>
      <c r="I2841" s="928">
        <v>4</v>
      </c>
      <c r="J2841" s="643">
        <v>60</v>
      </c>
      <c r="K2841" s="930" t="s">
        <v>33</v>
      </c>
      <c r="L2841" s="584">
        <f t="shared" si="441"/>
        <v>1974899</v>
      </c>
      <c r="M2841" s="931">
        <f>G2841*1957</f>
        <v>1931559</v>
      </c>
      <c r="N2841" s="932"/>
      <c r="O2841" s="1054">
        <v>23440</v>
      </c>
      <c r="P2841" s="932"/>
      <c r="Q2841" s="586">
        <v>19900</v>
      </c>
      <c r="R2841" s="582">
        <f t="shared" ref="R2841:R2846" si="442">M2841/G2841</f>
        <v>1957</v>
      </c>
      <c r="S2841" s="592"/>
      <c r="T2841" s="592"/>
      <c r="U2841" s="591"/>
      <c r="V2841" s="589"/>
      <c r="W2841" s="592"/>
      <c r="X2841" s="592"/>
      <c r="Y2841" s="592">
        <v>1</v>
      </c>
      <c r="Z2841" s="592"/>
    </row>
    <row r="2842" spans="1:26" s="28" customFormat="1" hidden="1">
      <c r="A2842" s="714">
        <f t="shared" ref="A2842:A2846" si="443">A2840+1</f>
        <v>5</v>
      </c>
      <c r="B2842" s="848" t="s">
        <v>2339</v>
      </c>
      <c r="C2842" s="922" t="s">
        <v>221</v>
      </c>
      <c r="D2842" s="922">
        <v>2589</v>
      </c>
      <c r="E2842" s="938">
        <v>481</v>
      </c>
      <c r="F2842" s="700" t="s">
        <v>222</v>
      </c>
      <c r="G2842" s="939">
        <v>664</v>
      </c>
      <c r="H2842" s="928">
        <v>2</v>
      </c>
      <c r="I2842" s="928">
        <v>1</v>
      </c>
      <c r="J2842" s="643">
        <v>16</v>
      </c>
      <c r="K2842" s="930" t="s">
        <v>33</v>
      </c>
      <c r="L2842" s="584">
        <f t="shared" si="441"/>
        <v>1761548.61</v>
      </c>
      <c r="M2842" s="931">
        <f>G2842*2590</f>
        <v>1719760</v>
      </c>
      <c r="N2842" s="1121">
        <v>29174</v>
      </c>
      <c r="O2842" s="736"/>
      <c r="P2842" s="932"/>
      <c r="Q2842" s="586">
        <v>12614.61</v>
      </c>
      <c r="R2842" s="582">
        <f t="shared" si="442"/>
        <v>2590</v>
      </c>
      <c r="S2842" s="592"/>
      <c r="T2842" s="592"/>
      <c r="U2842" s="591"/>
      <c r="V2842" s="589"/>
      <c r="W2842" s="592"/>
      <c r="X2842" s="592"/>
      <c r="Y2842" s="592">
        <v>1</v>
      </c>
      <c r="Z2842" s="592"/>
    </row>
    <row r="2843" spans="1:26" s="28" customFormat="1" hidden="1">
      <c r="A2843" s="714">
        <f t="shared" si="443"/>
        <v>4</v>
      </c>
      <c r="B2843" s="848" t="s">
        <v>2340</v>
      </c>
      <c r="C2843" s="922" t="s">
        <v>221</v>
      </c>
      <c r="D2843" s="922">
        <v>2525</v>
      </c>
      <c r="E2843" s="938">
        <v>473</v>
      </c>
      <c r="F2843" s="700" t="s">
        <v>222</v>
      </c>
      <c r="G2843" s="939">
        <v>647</v>
      </c>
      <c r="H2843" s="928">
        <v>2</v>
      </c>
      <c r="I2843" s="928">
        <v>1</v>
      </c>
      <c r="J2843" s="643">
        <v>16</v>
      </c>
      <c r="K2843" s="930" t="s">
        <v>33</v>
      </c>
      <c r="L2843" s="584">
        <f t="shared" si="441"/>
        <v>1717018.18</v>
      </c>
      <c r="M2843" s="931">
        <f>G2843*2590</f>
        <v>1675730</v>
      </c>
      <c r="N2843" s="1121">
        <v>28986</v>
      </c>
      <c r="O2843" s="736"/>
      <c r="P2843" s="932"/>
      <c r="Q2843" s="586">
        <v>12302.18</v>
      </c>
      <c r="R2843" s="582">
        <f t="shared" si="442"/>
        <v>2590</v>
      </c>
      <c r="S2843" s="592"/>
      <c r="T2843" s="592"/>
      <c r="U2843" s="591"/>
      <c r="V2843" s="589"/>
      <c r="W2843" s="592"/>
      <c r="X2843" s="592"/>
      <c r="Y2843" s="592">
        <v>1</v>
      </c>
      <c r="Z2843" s="592"/>
    </row>
    <row r="2844" spans="1:26" s="28" customFormat="1" hidden="1">
      <c r="A2844" s="714">
        <f t="shared" si="443"/>
        <v>6</v>
      </c>
      <c r="B2844" s="848" t="s">
        <v>2341</v>
      </c>
      <c r="C2844" s="922" t="s">
        <v>221</v>
      </c>
      <c r="D2844" s="922">
        <v>4749</v>
      </c>
      <c r="E2844" s="938">
        <v>875</v>
      </c>
      <c r="F2844" s="700" t="s">
        <v>222</v>
      </c>
      <c r="G2844" s="939">
        <v>1124</v>
      </c>
      <c r="H2844" s="928">
        <v>2</v>
      </c>
      <c r="I2844" s="928">
        <v>2</v>
      </c>
      <c r="J2844" s="643">
        <v>32</v>
      </c>
      <c r="K2844" s="930" t="s">
        <v>33</v>
      </c>
      <c r="L2844" s="584">
        <f t="shared" si="441"/>
        <v>2967057.73</v>
      </c>
      <c r="M2844" s="931">
        <f>G2844*2590</f>
        <v>2911160</v>
      </c>
      <c r="N2844" s="1121">
        <v>32760</v>
      </c>
      <c r="O2844" s="736"/>
      <c r="P2844" s="932"/>
      <c r="Q2844" s="586">
        <v>23137.73</v>
      </c>
      <c r="R2844" s="582">
        <f t="shared" si="442"/>
        <v>2590</v>
      </c>
      <c r="S2844" s="592"/>
      <c r="T2844" s="592"/>
      <c r="U2844" s="591"/>
      <c r="V2844" s="589"/>
      <c r="W2844" s="592"/>
      <c r="X2844" s="592"/>
      <c r="Y2844" s="592">
        <v>1</v>
      </c>
      <c r="Z2844" s="592"/>
    </row>
    <row r="2845" spans="1:26" s="28" customFormat="1" hidden="1">
      <c r="A2845" s="714">
        <f t="shared" si="443"/>
        <v>5</v>
      </c>
      <c r="B2845" s="848" t="s">
        <v>2342</v>
      </c>
      <c r="C2845" s="922" t="s">
        <v>221</v>
      </c>
      <c r="D2845" s="922">
        <v>2888</v>
      </c>
      <c r="E2845" s="938">
        <v>597</v>
      </c>
      <c r="F2845" s="700" t="s">
        <v>290</v>
      </c>
      <c r="G2845" s="939">
        <v>562</v>
      </c>
      <c r="H2845" s="928">
        <v>2</v>
      </c>
      <c r="I2845" s="928">
        <v>2</v>
      </c>
      <c r="J2845" s="643">
        <v>16</v>
      </c>
      <c r="K2845" s="930" t="s">
        <v>33</v>
      </c>
      <c r="L2845" s="584">
        <f t="shared" si="441"/>
        <v>1131193.29</v>
      </c>
      <c r="M2845" s="931">
        <f>G2845*1957</f>
        <v>1099834</v>
      </c>
      <c r="N2845" s="932"/>
      <c r="O2845" s="1054">
        <v>17288</v>
      </c>
      <c r="P2845" s="932"/>
      <c r="Q2845" s="586">
        <v>14071.29</v>
      </c>
      <c r="R2845" s="582">
        <f t="shared" si="442"/>
        <v>1957</v>
      </c>
      <c r="S2845" s="592"/>
      <c r="T2845" s="592"/>
      <c r="U2845" s="591"/>
      <c r="V2845" s="589"/>
      <c r="W2845" s="592"/>
      <c r="X2845" s="592"/>
      <c r="Y2845" s="592">
        <v>1</v>
      </c>
      <c r="Z2845" s="592"/>
    </row>
    <row r="2846" spans="1:26" s="28" customFormat="1" hidden="1">
      <c r="A2846" s="714">
        <f t="shared" si="443"/>
        <v>7</v>
      </c>
      <c r="B2846" s="848" t="s">
        <v>2343</v>
      </c>
      <c r="C2846" s="922" t="s">
        <v>221</v>
      </c>
      <c r="D2846" s="922">
        <v>2559</v>
      </c>
      <c r="E2846" s="938">
        <v>503</v>
      </c>
      <c r="F2846" s="700" t="s">
        <v>222</v>
      </c>
      <c r="G2846" s="939">
        <v>756</v>
      </c>
      <c r="H2846" s="928">
        <v>2</v>
      </c>
      <c r="I2846" s="928">
        <v>2</v>
      </c>
      <c r="J2846" s="643">
        <v>12</v>
      </c>
      <c r="K2846" s="930" t="s">
        <v>33</v>
      </c>
      <c r="L2846" s="584">
        <f t="shared" si="441"/>
        <v>1999494.35</v>
      </c>
      <c r="M2846" s="931">
        <f>G2846*2590</f>
        <v>1958040</v>
      </c>
      <c r="N2846" s="1121">
        <v>28986</v>
      </c>
      <c r="O2846" s="736"/>
      <c r="P2846" s="932"/>
      <c r="Q2846" s="586">
        <v>12468.35</v>
      </c>
      <c r="R2846" s="582">
        <f t="shared" si="442"/>
        <v>2590</v>
      </c>
      <c r="S2846" s="590"/>
      <c r="T2846" s="588"/>
      <c r="U2846" s="591"/>
      <c r="V2846" s="589"/>
      <c r="W2846" s="592"/>
      <c r="X2846" s="592"/>
      <c r="Y2846" s="592">
        <v>1</v>
      </c>
      <c r="Z2846" s="592"/>
    </row>
    <row r="2847" spans="1:26" s="508" customFormat="1" hidden="1">
      <c r="A2847" s="1353" t="s">
        <v>157</v>
      </c>
      <c r="B2847" s="1353"/>
      <c r="C2847" s="593" t="s">
        <v>28</v>
      </c>
      <c r="D2847" s="783">
        <f>SUM(D2838:D2846)</f>
        <v>42952</v>
      </c>
      <c r="E2847" s="783">
        <f>SUM(E2838:E2846)</f>
        <v>7276</v>
      </c>
      <c r="F2847" s="593" t="s">
        <v>28</v>
      </c>
      <c r="G2847" s="783">
        <f>SUM(G2838:G2846)</f>
        <v>6810</v>
      </c>
      <c r="H2847" s="593" t="s">
        <v>28</v>
      </c>
      <c r="I2847" s="593" t="s">
        <v>28</v>
      </c>
      <c r="J2847" s="780">
        <f>SUM(J2838:J2846)</f>
        <v>206</v>
      </c>
      <c r="K2847" s="590" t="s">
        <v>28</v>
      </c>
      <c r="L2847" s="781">
        <f t="shared" ref="L2847:Q2847" si="444">SUM(L2838:L2846)</f>
        <v>15803686.299999999</v>
      </c>
      <c r="M2847" s="782">
        <f t="shared" si="444"/>
        <v>15433643</v>
      </c>
      <c r="N2847" s="783">
        <f t="shared" si="444"/>
        <v>172946</v>
      </c>
      <c r="O2847" s="784">
        <f t="shared" si="444"/>
        <v>52088</v>
      </c>
      <c r="P2847" s="783">
        <f t="shared" si="444"/>
        <v>0</v>
      </c>
      <c r="Q2847" s="783">
        <f t="shared" si="444"/>
        <v>145009.29999999999</v>
      </c>
      <c r="R2847" s="582" t="s">
        <v>28</v>
      </c>
      <c r="S2847" s="564">
        <f>L2847-M2847-N2847-O2847-P2847-Q2847</f>
        <v>-1.1059455573558807E-9</v>
      </c>
      <c r="T2847" s="577" t="e">
        <f>'1.перечень МКД'!#REF!</f>
        <v>#REF!</v>
      </c>
      <c r="U2847" s="589" t="e">
        <f>L2847-T2847</f>
        <v>#REF!</v>
      </c>
      <c r="V2847" s="589"/>
      <c r="W2847" s="855"/>
      <c r="X2847" s="855"/>
      <c r="Y2847" s="592">
        <v>1</v>
      </c>
      <c r="Z2847" s="855"/>
    </row>
    <row r="2848" spans="1:26" s="28" customFormat="1" hidden="1">
      <c r="A2848" s="1347" t="s">
        <v>200</v>
      </c>
      <c r="B2848" s="1347"/>
      <c r="C2848" s="1347"/>
      <c r="D2848" s="1347"/>
      <c r="E2848" s="1347"/>
      <c r="F2848" s="1347"/>
      <c r="G2848" s="1347"/>
      <c r="H2848" s="1347"/>
      <c r="I2848" s="1347"/>
      <c r="J2848" s="1347"/>
      <c r="K2848" s="1347"/>
      <c r="L2848" s="1347"/>
      <c r="M2848" s="1347"/>
      <c r="N2848" s="1347"/>
      <c r="O2848" s="1347"/>
      <c r="P2848" s="1347"/>
      <c r="Q2848" s="1347"/>
      <c r="R2848" s="590"/>
      <c r="S2848" s="592"/>
      <c r="T2848" s="592"/>
      <c r="U2848" s="591"/>
      <c r="V2848" s="589"/>
      <c r="W2848" s="592"/>
      <c r="X2848" s="592"/>
      <c r="Y2848" s="592">
        <v>1</v>
      </c>
      <c r="Z2848" s="592"/>
    </row>
    <row r="2849" spans="1:26" s="28" customFormat="1" hidden="1">
      <c r="A2849" s="714">
        <v>1</v>
      </c>
      <c r="B2849" s="848" t="s">
        <v>2344</v>
      </c>
      <c r="C2849" s="922" t="s">
        <v>221</v>
      </c>
      <c r="D2849" s="922"/>
      <c r="E2849" s="938">
        <v>4248</v>
      </c>
      <c r="F2849" s="700" t="s">
        <v>317</v>
      </c>
      <c r="G2849" s="939">
        <v>1784</v>
      </c>
      <c r="H2849" s="928">
        <v>5</v>
      </c>
      <c r="I2849" s="928">
        <v>6</v>
      </c>
      <c r="J2849" s="643">
        <v>120</v>
      </c>
      <c r="K2849" s="930" t="s">
        <v>231</v>
      </c>
      <c r="L2849" s="584">
        <f t="shared" ref="L2849:L2861" si="445">SUM(M2849:Q2849)</f>
        <v>4257113.9000000004</v>
      </c>
      <c r="M2849" s="931">
        <v>4200000</v>
      </c>
      <c r="N2849" s="1121">
        <v>34275</v>
      </c>
      <c r="O2849" s="736"/>
      <c r="P2849" s="932"/>
      <c r="Q2849" s="586">
        <v>22838.9</v>
      </c>
      <c r="R2849" s="582">
        <f>M2849/J2849</f>
        <v>35000</v>
      </c>
      <c r="S2849" s="590"/>
      <c r="T2849" s="588"/>
      <c r="U2849" s="591"/>
      <c r="V2849" s="589"/>
      <c r="W2849" s="592"/>
      <c r="X2849" s="592"/>
      <c r="Y2849" s="592">
        <v>1</v>
      </c>
      <c r="Z2849" s="592"/>
    </row>
    <row r="2850" spans="1:26" s="28" customFormat="1" hidden="1">
      <c r="A2850" s="714">
        <f>A2849+1</f>
        <v>2</v>
      </c>
      <c r="B2850" s="592" t="s">
        <v>2345</v>
      </c>
      <c r="C2850" s="593" t="s">
        <v>221</v>
      </c>
      <c r="D2850" s="646"/>
      <c r="E2850" s="646"/>
      <c r="F2850" s="593" t="s">
        <v>251</v>
      </c>
      <c r="G2850" s="646"/>
      <c r="H2850" s="593">
        <v>4</v>
      </c>
      <c r="I2850" s="593">
        <v>4</v>
      </c>
      <c r="J2850" s="582">
        <v>62</v>
      </c>
      <c r="K2850" s="590" t="s">
        <v>224</v>
      </c>
      <c r="L2850" s="584">
        <f t="shared" si="445"/>
        <v>1068307.8500000001</v>
      </c>
      <c r="M2850" s="585">
        <v>1026819</v>
      </c>
      <c r="N2850" s="1148">
        <v>32448</v>
      </c>
      <c r="O2850" s="1149"/>
      <c r="P2850" s="1150"/>
      <c r="Q2850" s="586">
        <v>9040.85</v>
      </c>
      <c r="R2850" s="1151">
        <f>M2850/J2850</f>
        <v>16561.596774193549</v>
      </c>
      <c r="S2850" s="592"/>
      <c r="T2850" s="592"/>
      <c r="U2850" s="591"/>
      <c r="V2850" s="589"/>
      <c r="W2850" s="592"/>
      <c r="X2850" s="592"/>
      <c r="Y2850" s="592">
        <v>1</v>
      </c>
      <c r="Z2850" s="592"/>
    </row>
    <row r="2851" spans="1:26" s="28" customFormat="1" hidden="1">
      <c r="A2851" s="714">
        <f t="shared" ref="A2851:A2869" si="446">A2850+1</f>
        <v>3</v>
      </c>
      <c r="B2851" s="848" t="s">
        <v>2346</v>
      </c>
      <c r="C2851" s="922" t="s">
        <v>221</v>
      </c>
      <c r="D2851" s="922">
        <v>26787</v>
      </c>
      <c r="E2851" s="938">
        <v>4029</v>
      </c>
      <c r="F2851" s="700" t="s">
        <v>315</v>
      </c>
      <c r="G2851" s="939">
        <v>2197</v>
      </c>
      <c r="H2851" s="928">
        <v>5</v>
      </c>
      <c r="I2851" s="928">
        <v>8</v>
      </c>
      <c r="J2851" s="643">
        <v>125</v>
      </c>
      <c r="K2851" s="930" t="s">
        <v>224</v>
      </c>
      <c r="L2851" s="584">
        <f t="shared" si="445"/>
        <v>1873937.36</v>
      </c>
      <c r="M2851" s="931">
        <v>1813411</v>
      </c>
      <c r="N2851" s="1121">
        <v>38384</v>
      </c>
      <c r="O2851" s="736"/>
      <c r="P2851" s="932"/>
      <c r="Q2851" s="586">
        <v>22142.36</v>
      </c>
      <c r="R2851" s="582">
        <f>M2851/J2851</f>
        <v>14507.288</v>
      </c>
      <c r="S2851" s="590"/>
      <c r="T2851" s="588"/>
      <c r="U2851" s="591"/>
      <c r="V2851" s="589"/>
      <c r="W2851" s="592"/>
      <c r="X2851" s="592"/>
      <c r="Y2851" s="592">
        <v>1</v>
      </c>
      <c r="Z2851" s="592"/>
    </row>
    <row r="2852" spans="1:26" s="28" customFormat="1" hidden="1">
      <c r="A2852" s="714">
        <f t="shared" si="446"/>
        <v>4</v>
      </c>
      <c r="B2852" s="848" t="s">
        <v>2347</v>
      </c>
      <c r="C2852" s="922" t="s">
        <v>221</v>
      </c>
      <c r="D2852" s="922">
        <v>13092</v>
      </c>
      <c r="E2852" s="938">
        <v>2324</v>
      </c>
      <c r="F2852" s="700" t="s">
        <v>315</v>
      </c>
      <c r="G2852" s="939">
        <v>1128</v>
      </c>
      <c r="H2852" s="928">
        <v>5</v>
      </c>
      <c r="I2852" s="928">
        <v>4</v>
      </c>
      <c r="J2852" s="643">
        <v>70</v>
      </c>
      <c r="K2852" s="930" t="s">
        <v>224</v>
      </c>
      <c r="L2852" s="584">
        <f t="shared" si="445"/>
        <v>1620868.1</v>
      </c>
      <c r="M2852" s="931">
        <v>1575000</v>
      </c>
      <c r="N2852" s="1121">
        <v>32629</v>
      </c>
      <c r="O2852" s="736"/>
      <c r="P2852" s="932"/>
      <c r="Q2852" s="586">
        <v>13239.1</v>
      </c>
      <c r="R2852" s="582">
        <f>M2852/J2852</f>
        <v>22500</v>
      </c>
      <c r="S2852" s="590"/>
      <c r="T2852" s="588"/>
      <c r="U2852" s="591"/>
      <c r="V2852" s="589"/>
      <c r="W2852" s="592"/>
      <c r="X2852" s="592"/>
      <c r="Y2852" s="592">
        <v>1</v>
      </c>
      <c r="Z2852" s="592"/>
    </row>
    <row r="2853" spans="1:26" s="28" customFormat="1" hidden="1">
      <c r="A2853" s="714">
        <f t="shared" si="446"/>
        <v>5</v>
      </c>
      <c r="B2853" s="848" t="s">
        <v>2348</v>
      </c>
      <c r="C2853" s="922" t="s">
        <v>221</v>
      </c>
      <c r="D2853" s="922">
        <v>27294</v>
      </c>
      <c r="E2853" s="938">
        <v>4717</v>
      </c>
      <c r="F2853" s="700" t="s">
        <v>317</v>
      </c>
      <c r="G2853" s="939">
        <v>1917</v>
      </c>
      <c r="H2853" s="928">
        <v>5</v>
      </c>
      <c r="I2853" s="928">
        <v>10</v>
      </c>
      <c r="J2853" s="643">
        <v>123</v>
      </c>
      <c r="K2853" s="930" t="s">
        <v>231</v>
      </c>
      <c r="L2853" s="584">
        <f t="shared" si="445"/>
        <v>4370357.3</v>
      </c>
      <c r="M2853" s="931">
        <v>4305000</v>
      </c>
      <c r="N2853" s="1121">
        <v>35993</v>
      </c>
      <c r="O2853" s="736"/>
      <c r="P2853" s="932"/>
      <c r="Q2853" s="586">
        <v>29364.3</v>
      </c>
      <c r="R2853" s="582">
        <f>M2853/J2853</f>
        <v>35000</v>
      </c>
      <c r="S2853" s="590"/>
      <c r="T2853" s="588"/>
      <c r="U2853" s="591"/>
      <c r="V2853" s="589"/>
      <c r="W2853" s="592"/>
      <c r="X2853" s="592"/>
      <c r="Y2853" s="592">
        <v>1</v>
      </c>
      <c r="Z2853" s="592"/>
    </row>
    <row r="2854" spans="1:26" s="28" customFormat="1" hidden="1">
      <c r="A2854" s="714">
        <f t="shared" si="446"/>
        <v>6</v>
      </c>
      <c r="B2854" s="848" t="s">
        <v>2349</v>
      </c>
      <c r="C2854" s="922" t="s">
        <v>221</v>
      </c>
      <c r="D2854" s="922">
        <v>13721</v>
      </c>
      <c r="E2854" s="938">
        <v>1561</v>
      </c>
      <c r="F2854" s="700" t="s">
        <v>315</v>
      </c>
      <c r="G2854" s="939">
        <v>1226</v>
      </c>
      <c r="H2854" s="928">
        <v>5</v>
      </c>
      <c r="I2854" s="928">
        <v>4</v>
      </c>
      <c r="J2854" s="643">
        <v>71</v>
      </c>
      <c r="K2854" s="930" t="s">
        <v>33</v>
      </c>
      <c r="L2854" s="584">
        <f t="shared" si="445"/>
        <v>3378083</v>
      </c>
      <c r="M2854" s="931">
        <v>3310200</v>
      </c>
      <c r="N2854" s="1121">
        <v>27883</v>
      </c>
      <c r="O2854" s="736"/>
      <c r="P2854" s="932"/>
      <c r="Q2854" s="586">
        <v>40000</v>
      </c>
      <c r="R2854" s="582">
        <f>M2854/G2854</f>
        <v>2700</v>
      </c>
      <c r="S2854" s="590"/>
      <c r="T2854" s="588"/>
      <c r="U2854" s="591"/>
      <c r="V2854" s="589"/>
      <c r="W2854" s="592"/>
      <c r="X2854" s="592"/>
      <c r="Y2854" s="592">
        <v>1</v>
      </c>
      <c r="Z2854" s="592"/>
    </row>
    <row r="2855" spans="1:26" s="28" customFormat="1" hidden="1">
      <c r="A2855" s="714">
        <f t="shared" si="446"/>
        <v>7</v>
      </c>
      <c r="B2855" s="848" t="s">
        <v>2350</v>
      </c>
      <c r="C2855" s="922" t="s">
        <v>221</v>
      </c>
      <c r="D2855" s="922">
        <v>9960</v>
      </c>
      <c r="E2855" s="938">
        <v>2415</v>
      </c>
      <c r="F2855" s="700" t="s">
        <v>315</v>
      </c>
      <c r="G2855" s="939">
        <v>918</v>
      </c>
      <c r="H2855" s="928">
        <v>5</v>
      </c>
      <c r="I2855" s="928">
        <v>3</v>
      </c>
      <c r="J2855" s="643">
        <v>60</v>
      </c>
      <c r="K2855" s="930" t="s">
        <v>224</v>
      </c>
      <c r="L2855" s="584">
        <f t="shared" si="445"/>
        <v>1124357.02</v>
      </c>
      <c r="M2855" s="931">
        <v>1084496</v>
      </c>
      <c r="N2855" s="1121">
        <v>30894</v>
      </c>
      <c r="O2855" s="736"/>
      <c r="P2855" s="932"/>
      <c r="Q2855" s="586">
        <v>8967.02</v>
      </c>
      <c r="R2855" s="582">
        <f>M2855/J2855</f>
        <v>18074.933333333334</v>
      </c>
      <c r="S2855" s="590"/>
      <c r="T2855" s="588"/>
      <c r="U2855" s="591"/>
      <c r="V2855" s="589"/>
      <c r="W2855" s="592"/>
      <c r="X2855" s="592"/>
      <c r="Y2855" s="592">
        <v>1</v>
      </c>
      <c r="Z2855" s="592"/>
    </row>
    <row r="2856" spans="1:26" s="28" customFormat="1" hidden="1">
      <c r="A2856" s="714">
        <f t="shared" si="446"/>
        <v>8</v>
      </c>
      <c r="B2856" s="848" t="s">
        <v>2351</v>
      </c>
      <c r="C2856" s="922" t="s">
        <v>221</v>
      </c>
      <c r="D2856" s="922">
        <v>3721</v>
      </c>
      <c r="E2856" s="938">
        <v>793</v>
      </c>
      <c r="F2856" s="700" t="s">
        <v>338</v>
      </c>
      <c r="G2856" s="939">
        <v>580</v>
      </c>
      <c r="H2856" s="928">
        <v>3</v>
      </c>
      <c r="I2856" s="928">
        <v>2</v>
      </c>
      <c r="J2856" s="643">
        <v>16</v>
      </c>
      <c r="K2856" s="930" t="s">
        <v>339</v>
      </c>
      <c r="L2856" s="584">
        <f t="shared" si="445"/>
        <v>135000</v>
      </c>
      <c r="M2856" s="931">
        <v>120000</v>
      </c>
      <c r="N2856" s="932">
        <v>15000</v>
      </c>
      <c r="O2856" s="736"/>
      <c r="P2856" s="932"/>
      <c r="Q2856" s="586"/>
      <c r="R2856" s="582">
        <f>M2856/J2856</f>
        <v>7500</v>
      </c>
      <c r="S2856" s="590"/>
      <c r="T2856" s="588"/>
      <c r="U2856" s="591"/>
      <c r="V2856" s="589"/>
      <c r="W2856" s="592"/>
      <c r="X2856" s="592"/>
      <c r="Y2856" s="592">
        <v>1</v>
      </c>
      <c r="Z2856" s="592"/>
    </row>
    <row r="2857" spans="1:26" s="28" customFormat="1" hidden="1">
      <c r="A2857" s="714">
        <f t="shared" si="446"/>
        <v>9</v>
      </c>
      <c r="B2857" s="848" t="s">
        <v>2352</v>
      </c>
      <c r="C2857" s="922" t="s">
        <v>221</v>
      </c>
      <c r="D2857" s="922">
        <v>7889</v>
      </c>
      <c r="E2857" s="938">
        <v>1370</v>
      </c>
      <c r="F2857" s="700" t="s">
        <v>315</v>
      </c>
      <c r="G2857" s="939">
        <v>970</v>
      </c>
      <c r="H2857" s="928">
        <v>4</v>
      </c>
      <c r="I2857" s="928">
        <v>3</v>
      </c>
      <c r="J2857" s="643">
        <v>47</v>
      </c>
      <c r="K2857" s="930" t="s">
        <v>231</v>
      </c>
      <c r="L2857" s="584">
        <f t="shared" si="445"/>
        <v>1687011.3</v>
      </c>
      <c r="M2857" s="931">
        <v>1645000</v>
      </c>
      <c r="N2857" s="1121">
        <v>26630</v>
      </c>
      <c r="O2857" s="736"/>
      <c r="P2857" s="932"/>
      <c r="Q2857" s="586">
        <v>15381.3</v>
      </c>
      <c r="R2857" s="582">
        <f>M2857/J2857</f>
        <v>35000</v>
      </c>
      <c r="S2857" s="590"/>
      <c r="T2857" s="588"/>
      <c r="U2857" s="591"/>
      <c r="V2857" s="589"/>
      <c r="W2857" s="592"/>
      <c r="X2857" s="592"/>
      <c r="Y2857" s="592">
        <v>1</v>
      </c>
      <c r="Z2857" s="592"/>
    </row>
    <row r="2858" spans="1:26" s="28" customFormat="1" ht="37.5" hidden="1">
      <c r="A2858" s="714">
        <f t="shared" si="446"/>
        <v>10</v>
      </c>
      <c r="B2858" s="848" t="s">
        <v>2353</v>
      </c>
      <c r="C2858" s="922" t="s">
        <v>221</v>
      </c>
      <c r="D2858" s="922">
        <v>13304</v>
      </c>
      <c r="E2858" s="938">
        <v>2116</v>
      </c>
      <c r="F2858" s="700" t="s">
        <v>315</v>
      </c>
      <c r="G2858" s="939">
        <v>1059</v>
      </c>
      <c r="H2858" s="928">
        <v>5</v>
      </c>
      <c r="I2858" s="928">
        <v>4</v>
      </c>
      <c r="J2858" s="643">
        <v>68</v>
      </c>
      <c r="K2858" s="930" t="s">
        <v>30</v>
      </c>
      <c r="L2858" s="584">
        <f t="shared" si="445"/>
        <v>2089624.4</v>
      </c>
      <c r="M2858" s="931">
        <v>2040000</v>
      </c>
      <c r="N2858" s="932"/>
      <c r="O2858" s="1054">
        <v>15133</v>
      </c>
      <c r="P2858" s="932"/>
      <c r="Q2858" s="586">
        <v>34491.4</v>
      </c>
      <c r="R2858" s="582">
        <f>M2858/J2858</f>
        <v>30000</v>
      </c>
      <c r="S2858" s="590"/>
      <c r="T2858" s="588"/>
      <c r="U2858" s="591"/>
      <c r="V2858" s="589"/>
      <c r="W2858" s="592"/>
      <c r="X2858" s="592"/>
      <c r="Y2858" s="592">
        <v>1</v>
      </c>
      <c r="Z2858" s="592"/>
    </row>
    <row r="2859" spans="1:26" s="28" customFormat="1" hidden="1">
      <c r="A2859" s="714">
        <f t="shared" si="446"/>
        <v>11</v>
      </c>
      <c r="B2859" s="848" t="s">
        <v>2354</v>
      </c>
      <c r="C2859" s="922" t="s">
        <v>221</v>
      </c>
      <c r="D2859" s="922">
        <v>24185</v>
      </c>
      <c r="E2859" s="938">
        <v>4135</v>
      </c>
      <c r="F2859" s="700" t="s">
        <v>317</v>
      </c>
      <c r="G2859" s="939">
        <v>2011</v>
      </c>
      <c r="H2859" s="928">
        <v>5</v>
      </c>
      <c r="I2859" s="928">
        <v>8</v>
      </c>
      <c r="J2859" s="643">
        <v>120</v>
      </c>
      <c r="K2859" s="930" t="s">
        <v>33</v>
      </c>
      <c r="L2859" s="584">
        <f t="shared" si="445"/>
        <v>4101108</v>
      </c>
      <c r="M2859" s="931">
        <v>4057610</v>
      </c>
      <c r="N2859" s="932"/>
      <c r="O2859" s="1054">
        <v>23498</v>
      </c>
      <c r="P2859" s="932"/>
      <c r="Q2859" s="586">
        <v>20000</v>
      </c>
      <c r="R2859" s="582">
        <f>M2859/G2859</f>
        <v>2017.7076081551468</v>
      </c>
      <c r="S2859" s="590"/>
      <c r="T2859" s="588"/>
      <c r="U2859" s="591"/>
      <c r="V2859" s="589"/>
      <c r="W2859" s="592"/>
      <c r="X2859" s="592"/>
      <c r="Y2859" s="592">
        <v>1</v>
      </c>
      <c r="Z2859" s="592"/>
    </row>
    <row r="2860" spans="1:26" s="28" customFormat="1" hidden="1">
      <c r="A2860" s="714">
        <f t="shared" si="446"/>
        <v>12</v>
      </c>
      <c r="B2860" s="848" t="s">
        <v>2355</v>
      </c>
      <c r="C2860" s="922" t="s">
        <v>221</v>
      </c>
      <c r="D2860" s="922"/>
      <c r="E2860" s="938"/>
      <c r="F2860" s="700" t="s">
        <v>317</v>
      </c>
      <c r="G2860" s="939">
        <v>1262</v>
      </c>
      <c r="H2860" s="928">
        <v>5</v>
      </c>
      <c r="I2860" s="928">
        <v>6</v>
      </c>
      <c r="J2860" s="643">
        <v>98</v>
      </c>
      <c r="K2860" s="930" t="s">
        <v>224</v>
      </c>
      <c r="L2860" s="584">
        <f t="shared" si="445"/>
        <v>2088814.8</v>
      </c>
      <c r="M2860" s="931">
        <v>2038482</v>
      </c>
      <c r="N2860" s="1121">
        <v>33919</v>
      </c>
      <c r="O2860" s="736"/>
      <c r="P2860" s="932"/>
      <c r="Q2860" s="586">
        <v>16413.8</v>
      </c>
      <c r="R2860" s="582">
        <f>M2860/J2860</f>
        <v>20800.836734693876</v>
      </c>
      <c r="S2860" s="590"/>
      <c r="T2860" s="588"/>
      <c r="U2860" s="591"/>
      <c r="V2860" s="589"/>
      <c r="W2860" s="592"/>
      <c r="X2860" s="592"/>
      <c r="Y2860" s="592">
        <v>1</v>
      </c>
      <c r="Z2860" s="592"/>
    </row>
    <row r="2861" spans="1:26" s="28" customFormat="1" ht="37.5" hidden="1">
      <c r="A2861" s="714">
        <f t="shared" si="446"/>
        <v>13</v>
      </c>
      <c r="B2861" s="848" t="s">
        <v>2356</v>
      </c>
      <c r="C2861" s="922" t="s">
        <v>221</v>
      </c>
      <c r="D2861" s="922">
        <v>7811</v>
      </c>
      <c r="E2861" s="938">
        <v>1332</v>
      </c>
      <c r="F2861" s="700" t="s">
        <v>316</v>
      </c>
      <c r="G2861" s="939">
        <v>691</v>
      </c>
      <c r="H2861" s="928">
        <v>5</v>
      </c>
      <c r="I2861" s="928">
        <v>2</v>
      </c>
      <c r="J2861" s="643">
        <v>36</v>
      </c>
      <c r="K2861" s="930" t="s">
        <v>30</v>
      </c>
      <c r="L2861" s="584">
        <f t="shared" si="445"/>
        <v>1116067.6000000001</v>
      </c>
      <c r="M2861" s="931">
        <v>1080000</v>
      </c>
      <c r="N2861" s="932"/>
      <c r="O2861" s="1054">
        <v>14627</v>
      </c>
      <c r="P2861" s="932"/>
      <c r="Q2861" s="586">
        <v>21440.6</v>
      </c>
      <c r="R2861" s="582">
        <f>M2861/J2861</f>
        <v>30000</v>
      </c>
      <c r="S2861" s="590"/>
      <c r="T2861" s="588"/>
      <c r="U2861" s="591"/>
      <c r="V2861" s="589"/>
      <c r="W2861" s="592"/>
      <c r="X2861" s="592"/>
      <c r="Y2861" s="592">
        <v>1</v>
      </c>
      <c r="Z2861" s="592"/>
    </row>
    <row r="2862" spans="1:26" s="28" customFormat="1" ht="37.5" hidden="1">
      <c r="A2862" s="714">
        <f t="shared" si="446"/>
        <v>14</v>
      </c>
      <c r="B2862" s="848" t="s">
        <v>2357</v>
      </c>
      <c r="C2862" s="922" t="s">
        <v>221</v>
      </c>
      <c r="D2862" s="922">
        <v>17700</v>
      </c>
      <c r="E2862" s="938">
        <v>3075</v>
      </c>
      <c r="F2862" s="700" t="s">
        <v>316</v>
      </c>
      <c r="G2862" s="939">
        <v>1655</v>
      </c>
      <c r="H2862" s="928">
        <v>5</v>
      </c>
      <c r="I2862" s="928">
        <v>6</v>
      </c>
      <c r="J2862" s="643">
        <v>100</v>
      </c>
      <c r="K2862" s="930" t="s">
        <v>30</v>
      </c>
      <c r="L2862" s="584">
        <f>SUM(M2862:Q2862)+M2863+N2863+O2863+P2863+Q2863</f>
        <v>6609372.9000000004</v>
      </c>
      <c r="M2862" s="931">
        <v>3000000</v>
      </c>
      <c r="N2862" s="932"/>
      <c r="O2862" s="1054">
        <v>15991</v>
      </c>
      <c r="P2862" s="932"/>
      <c r="Q2862" s="586">
        <v>40000</v>
      </c>
      <c r="R2862" s="582">
        <f>M2862/J2862</f>
        <v>30000</v>
      </c>
      <c r="S2862" s="590"/>
      <c r="T2862" s="588"/>
      <c r="U2862" s="591"/>
      <c r="V2862" s="589"/>
      <c r="W2862" s="592"/>
      <c r="X2862" s="592"/>
      <c r="Y2862" s="592">
        <v>1</v>
      </c>
      <c r="Z2862" s="592"/>
    </row>
    <row r="2863" spans="1:26" s="28" customFormat="1" hidden="1">
      <c r="A2863" s="714"/>
      <c r="B2863" s="592"/>
      <c r="C2863" s="922" t="s">
        <v>221</v>
      </c>
      <c r="D2863" s="922">
        <v>17700</v>
      </c>
      <c r="E2863" s="938">
        <v>3075</v>
      </c>
      <c r="F2863" s="700"/>
      <c r="G2863" s="939"/>
      <c r="H2863" s="928"/>
      <c r="I2863" s="928"/>
      <c r="J2863" s="643"/>
      <c r="K2863" s="930" t="s">
        <v>231</v>
      </c>
      <c r="L2863" s="584"/>
      <c r="M2863" s="931">
        <v>3500000</v>
      </c>
      <c r="N2863" s="1121">
        <v>30543</v>
      </c>
      <c r="O2863" s="736"/>
      <c r="P2863" s="932"/>
      <c r="Q2863" s="586">
        <v>22838.9</v>
      </c>
      <c r="R2863" s="582">
        <f>M2863/J2862</f>
        <v>35000</v>
      </c>
      <c r="S2863" s="590"/>
      <c r="T2863" s="588"/>
      <c r="U2863" s="591"/>
      <c r="V2863" s="589"/>
      <c r="W2863" s="592"/>
      <c r="X2863" s="592"/>
      <c r="Y2863" s="592">
        <v>1</v>
      </c>
      <c r="Z2863" s="592"/>
    </row>
    <row r="2864" spans="1:26" s="28" customFormat="1" hidden="1">
      <c r="A2864" s="714">
        <v>15</v>
      </c>
      <c r="B2864" s="848" t="s">
        <v>2358</v>
      </c>
      <c r="C2864" s="922" t="s">
        <v>221</v>
      </c>
      <c r="D2864" s="922">
        <v>13723</v>
      </c>
      <c r="E2864" s="938">
        <v>2398</v>
      </c>
      <c r="F2864" s="700" t="s">
        <v>316</v>
      </c>
      <c r="G2864" s="939">
        <v>1130</v>
      </c>
      <c r="H2864" s="928">
        <v>5</v>
      </c>
      <c r="I2864" s="928">
        <v>4</v>
      </c>
      <c r="J2864" s="643">
        <v>70</v>
      </c>
      <c r="K2864" s="930" t="s">
        <v>231</v>
      </c>
      <c r="L2864" s="584">
        <f>SUM(M2864:Q2864)</f>
        <v>2488797</v>
      </c>
      <c r="M2864" s="931">
        <v>2450000</v>
      </c>
      <c r="N2864" s="1121">
        <v>20153</v>
      </c>
      <c r="O2864" s="736"/>
      <c r="P2864" s="932"/>
      <c r="Q2864" s="586">
        <v>18644</v>
      </c>
      <c r="R2864" s="582">
        <f>M2864/J2864</f>
        <v>35000</v>
      </c>
      <c r="S2864" s="590"/>
      <c r="T2864" s="588"/>
      <c r="U2864" s="591"/>
      <c r="V2864" s="589"/>
      <c r="W2864" s="592"/>
      <c r="X2864" s="592"/>
      <c r="Y2864" s="592">
        <v>1</v>
      </c>
      <c r="Z2864" s="592"/>
    </row>
    <row r="2865" spans="1:26" s="28" customFormat="1" hidden="1">
      <c r="A2865" s="714">
        <f t="shared" si="446"/>
        <v>16</v>
      </c>
      <c r="B2865" s="848" t="s">
        <v>2359</v>
      </c>
      <c r="C2865" s="922" t="s">
        <v>221</v>
      </c>
      <c r="D2865" s="922">
        <v>12800</v>
      </c>
      <c r="E2865" s="938">
        <v>3426</v>
      </c>
      <c r="F2865" s="700" t="s">
        <v>317</v>
      </c>
      <c r="G2865" s="939">
        <v>1237</v>
      </c>
      <c r="H2865" s="928">
        <v>5</v>
      </c>
      <c r="I2865" s="928">
        <v>6</v>
      </c>
      <c r="J2865" s="643">
        <v>90</v>
      </c>
      <c r="K2865" s="930" t="s">
        <v>33</v>
      </c>
      <c r="L2865" s="584">
        <f>SUM(M2865:Q2865)</f>
        <v>3129311</v>
      </c>
      <c r="M2865" s="931">
        <v>3092258</v>
      </c>
      <c r="N2865" s="932"/>
      <c r="O2865" s="1054">
        <v>17053</v>
      </c>
      <c r="P2865" s="932"/>
      <c r="Q2865" s="586">
        <v>20000</v>
      </c>
      <c r="R2865" s="582">
        <f>M2865/G2865</f>
        <v>2499.8043654001617</v>
      </c>
      <c r="S2865" s="590"/>
      <c r="T2865" s="588"/>
      <c r="U2865" s="591"/>
      <c r="V2865" s="589"/>
      <c r="W2865" s="592"/>
      <c r="X2865" s="592"/>
      <c r="Y2865" s="592">
        <v>1</v>
      </c>
      <c r="Z2865" s="592"/>
    </row>
    <row r="2866" spans="1:26" s="28" customFormat="1" ht="37.5" hidden="1">
      <c r="A2866" s="714">
        <f t="shared" si="446"/>
        <v>17</v>
      </c>
      <c r="B2866" s="848" t="s">
        <v>2360</v>
      </c>
      <c r="C2866" s="922" t="s">
        <v>221</v>
      </c>
      <c r="D2866" s="922">
        <v>30778</v>
      </c>
      <c r="E2866" s="938">
        <v>5178</v>
      </c>
      <c r="F2866" s="700" t="s">
        <v>317</v>
      </c>
      <c r="G2866" s="939">
        <v>2264</v>
      </c>
      <c r="H2866" s="928">
        <v>5</v>
      </c>
      <c r="I2866" s="928">
        <v>10</v>
      </c>
      <c r="J2866" s="643">
        <v>150</v>
      </c>
      <c r="K2866" s="930" t="s">
        <v>30</v>
      </c>
      <c r="L2866" s="584">
        <f>M2866+N2866+O2866+P2866+Q2866</f>
        <v>4533500</v>
      </c>
      <c r="M2866" s="931">
        <v>4500000</v>
      </c>
      <c r="N2866" s="932"/>
      <c r="O2866" s="736">
        <f>ROUND(M2866*0.3%,0)</f>
        <v>13500</v>
      </c>
      <c r="P2866" s="932"/>
      <c r="Q2866" s="586">
        <v>20000</v>
      </c>
      <c r="R2866" s="582">
        <f>M2866/G2866</f>
        <v>1987.6325088339222</v>
      </c>
      <c r="S2866" s="590"/>
      <c r="T2866" s="588"/>
      <c r="U2866" s="591"/>
      <c r="V2866" s="589"/>
      <c r="W2866" s="592"/>
      <c r="X2866" s="592"/>
      <c r="Y2866" s="592">
        <v>1</v>
      </c>
      <c r="Z2866" s="592"/>
    </row>
    <row r="2867" spans="1:26" s="28" customFormat="1" hidden="1">
      <c r="A2867" s="714">
        <f t="shared" si="446"/>
        <v>18</v>
      </c>
      <c r="B2867" s="848" t="s">
        <v>2361</v>
      </c>
      <c r="C2867" s="922" t="s">
        <v>314</v>
      </c>
      <c r="D2867" s="922">
        <v>17745</v>
      </c>
      <c r="E2867" s="938">
        <v>3122</v>
      </c>
      <c r="F2867" s="700" t="s">
        <v>317</v>
      </c>
      <c r="G2867" s="939">
        <v>1268</v>
      </c>
      <c r="H2867" s="928">
        <v>5</v>
      </c>
      <c r="I2867" s="928">
        <v>6</v>
      </c>
      <c r="J2867" s="643">
        <v>80</v>
      </c>
      <c r="K2867" s="930" t="s">
        <v>33</v>
      </c>
      <c r="L2867" s="584">
        <f>M2867+N2867+O2867+P2867+Q2867</f>
        <v>2757019</v>
      </c>
      <c r="M2867" s="931">
        <v>2714260</v>
      </c>
      <c r="N2867" s="932"/>
      <c r="O2867" s="1054">
        <v>22759</v>
      </c>
      <c r="P2867" s="932"/>
      <c r="Q2867" s="586">
        <v>20000</v>
      </c>
      <c r="R2867" s="582">
        <f>M2867/G2867</f>
        <v>2140.5835962145111</v>
      </c>
      <c r="S2867" s="592"/>
      <c r="T2867" s="592"/>
      <c r="U2867" s="591"/>
      <c r="V2867" s="589"/>
      <c r="W2867" s="592"/>
      <c r="X2867" s="592"/>
      <c r="Y2867" s="592">
        <v>1</v>
      </c>
      <c r="Z2867" s="592"/>
    </row>
    <row r="2868" spans="1:26" s="28" customFormat="1" hidden="1">
      <c r="A2868" s="714">
        <f t="shared" si="446"/>
        <v>19</v>
      </c>
      <c r="B2868" s="848" t="s">
        <v>2362</v>
      </c>
      <c r="C2868" s="910" t="s">
        <v>221</v>
      </c>
      <c r="D2868" s="582">
        <v>3720</v>
      </c>
      <c r="E2868" s="582">
        <v>799</v>
      </c>
      <c r="F2868" s="582" t="s">
        <v>315</v>
      </c>
      <c r="G2868" s="582">
        <v>581</v>
      </c>
      <c r="H2868" s="582">
        <v>3</v>
      </c>
      <c r="I2868" s="582">
        <v>2</v>
      </c>
      <c r="J2868" s="582">
        <v>24</v>
      </c>
      <c r="K2868" s="590" t="s">
        <v>339</v>
      </c>
      <c r="L2868" s="584">
        <f>M2868+N2868+O2868+P2868+Q2868</f>
        <v>165000</v>
      </c>
      <c r="M2868" s="585">
        <v>150000</v>
      </c>
      <c r="N2868" s="586">
        <v>15000</v>
      </c>
      <c r="O2868" s="935"/>
      <c r="P2868" s="586"/>
      <c r="Q2868" s="586"/>
      <c r="R2868" s="582">
        <f>M2868/J2868</f>
        <v>6250</v>
      </c>
      <c r="S2868" s="592"/>
      <c r="T2868" s="592"/>
      <c r="U2868" s="591"/>
      <c r="V2868" s="589"/>
      <c r="W2868" s="592"/>
      <c r="X2868" s="592"/>
      <c r="Y2868" s="592">
        <v>1</v>
      </c>
      <c r="Z2868" s="592"/>
    </row>
    <row r="2869" spans="1:26" s="28" customFormat="1" hidden="1">
      <c r="A2869" s="714">
        <f t="shared" si="446"/>
        <v>20</v>
      </c>
      <c r="B2869" s="592" t="s">
        <v>2363</v>
      </c>
      <c r="C2869" s="922" t="s">
        <v>221</v>
      </c>
      <c r="D2869" s="922">
        <v>3489</v>
      </c>
      <c r="E2869" s="938">
        <v>898</v>
      </c>
      <c r="F2869" s="700" t="s">
        <v>317</v>
      </c>
      <c r="G2869" s="939" t="s">
        <v>4319</v>
      </c>
      <c r="H2869" s="928">
        <v>5</v>
      </c>
      <c r="I2869" s="928">
        <v>1</v>
      </c>
      <c r="J2869" s="643">
        <v>15</v>
      </c>
      <c r="K2869" s="930" t="s">
        <v>33</v>
      </c>
      <c r="L2869" s="584">
        <f>M2869+N2869+O2869+P2869+Q2869</f>
        <v>386370.42000000004</v>
      </c>
      <c r="M2869" s="931">
        <v>354593.4</v>
      </c>
      <c r="N2869" s="932"/>
      <c r="O2869" s="1054">
        <v>20966</v>
      </c>
      <c r="P2869" s="932"/>
      <c r="Q2869" s="630">
        <v>10811.02</v>
      </c>
      <c r="R2869" s="582">
        <f>M2869/G2869</f>
        <v>1515.3564102564103</v>
      </c>
      <c r="S2869" s="590"/>
      <c r="T2869" s="588"/>
      <c r="U2869" s="591"/>
      <c r="V2869" s="589"/>
      <c r="W2869" s="592"/>
      <c r="X2869" s="592"/>
      <c r="Y2869" s="592">
        <v>1</v>
      </c>
      <c r="Z2869" s="592"/>
    </row>
    <row r="2870" spans="1:26" s="28" customFormat="1" hidden="1">
      <c r="A2870" s="1349" t="s">
        <v>201</v>
      </c>
      <c r="B2870" s="1349"/>
      <c r="C2870" s="586" t="s">
        <v>28</v>
      </c>
      <c r="D2870" s="586">
        <f>SUM(D2849:D2869)</f>
        <v>265419</v>
      </c>
      <c r="E2870" s="586">
        <f>SUM(E2849:E2869)</f>
        <v>51011</v>
      </c>
      <c r="F2870" s="586" t="s">
        <v>28</v>
      </c>
      <c r="G2870" s="586">
        <f>SUM(G2849:G2869)</f>
        <v>23878</v>
      </c>
      <c r="H2870" s="586" t="s">
        <v>28</v>
      </c>
      <c r="I2870" s="586" t="s">
        <v>28</v>
      </c>
      <c r="J2870" s="582">
        <f>SUM(J2849:J2869)</f>
        <v>1545</v>
      </c>
      <c r="K2870" s="590" t="s">
        <v>28</v>
      </c>
      <c r="L2870" s="584">
        <f t="shared" ref="L2870:Q2870" si="447">SUM(L2849:L2869)</f>
        <v>48980020.950000003</v>
      </c>
      <c r="M2870" s="585">
        <f t="shared" si="447"/>
        <v>48057129.399999999</v>
      </c>
      <c r="N2870" s="586">
        <f t="shared" si="447"/>
        <v>373751</v>
      </c>
      <c r="O2870" s="587">
        <f t="shared" si="447"/>
        <v>143527</v>
      </c>
      <c r="P2870" s="586">
        <f t="shared" si="447"/>
        <v>0</v>
      </c>
      <c r="Q2870" s="586">
        <f t="shared" si="447"/>
        <v>405613.55000000005</v>
      </c>
      <c r="R2870" s="582" t="s">
        <v>28</v>
      </c>
      <c r="S2870" s="564">
        <f>L2870-M2870-N2870-O2870-P2870-Q2870</f>
        <v>4.4237822294235229E-9</v>
      </c>
      <c r="T2870" s="577" t="e">
        <f>'1.перечень МКД'!#REF!</f>
        <v>#REF!</v>
      </c>
      <c r="U2870" s="589"/>
      <c r="V2870" s="589"/>
      <c r="W2870" s="592"/>
      <c r="X2870" s="592"/>
      <c r="Y2870" s="592">
        <v>1</v>
      </c>
      <c r="Z2870" s="592"/>
    </row>
    <row r="2871" spans="1:26" s="28" customFormat="1" hidden="1">
      <c r="A2871" s="1352" t="s">
        <v>202</v>
      </c>
      <c r="B2871" s="1352"/>
      <c r="C2871" s="1352"/>
      <c r="D2871" s="1352"/>
      <c r="E2871" s="1352"/>
      <c r="F2871" s="1352"/>
      <c r="G2871" s="1352"/>
      <c r="H2871" s="1352"/>
      <c r="I2871" s="1352"/>
      <c r="J2871" s="1352"/>
      <c r="K2871" s="1352"/>
      <c r="L2871" s="1352"/>
      <c r="M2871" s="1352"/>
      <c r="N2871" s="1352"/>
      <c r="O2871" s="1352"/>
      <c r="P2871" s="1352"/>
      <c r="Q2871" s="1352"/>
      <c r="R2871" s="855"/>
      <c r="S2871" s="592"/>
      <c r="T2871" s="592"/>
      <c r="U2871" s="591"/>
      <c r="V2871" s="589"/>
      <c r="W2871" s="592"/>
      <c r="X2871" s="592"/>
      <c r="Y2871" s="592">
        <v>1</v>
      </c>
      <c r="Z2871" s="592"/>
    </row>
    <row r="2872" spans="1:26" s="28" customFormat="1" hidden="1">
      <c r="A2872" s="937">
        <v>1</v>
      </c>
      <c r="B2872" s="1152" t="s">
        <v>2364</v>
      </c>
      <c r="C2872" s="910" t="s">
        <v>318</v>
      </c>
      <c r="D2872" s="1153">
        <v>778.26</v>
      </c>
      <c r="E2872" s="612">
        <v>518</v>
      </c>
      <c r="F2872" s="643" t="s">
        <v>222</v>
      </c>
      <c r="G2872" s="929"/>
      <c r="H2872" s="928">
        <v>2</v>
      </c>
      <c r="I2872" s="928">
        <v>2</v>
      </c>
      <c r="J2872" s="643">
        <v>16</v>
      </c>
      <c r="K2872" s="930" t="s">
        <v>38</v>
      </c>
      <c r="L2872" s="584">
        <f>SUM(M2872:Q2872)</f>
        <v>1104772.48</v>
      </c>
      <c r="M2872" s="931">
        <f>1127573-46400+1000+80+13</f>
        <v>1082266</v>
      </c>
      <c r="N2872" s="932"/>
      <c r="O2872" s="1054">
        <v>17568</v>
      </c>
      <c r="P2872" s="932"/>
      <c r="Q2872" s="586">
        <v>4938.4799999999996</v>
      </c>
      <c r="R2872" s="599">
        <f>M2872/E2872</f>
        <v>2089.3166023166023</v>
      </c>
      <c r="S2872" s="592"/>
      <c r="T2872" s="592"/>
      <c r="U2872" s="591"/>
      <c r="V2872" s="589"/>
      <c r="W2872" s="592"/>
      <c r="X2872" s="592"/>
      <c r="Y2872" s="592">
        <v>1</v>
      </c>
      <c r="Z2872" s="592"/>
    </row>
    <row r="2873" spans="1:26" s="28" customFormat="1" hidden="1">
      <c r="A2873" s="937">
        <v>194</v>
      </c>
      <c r="B2873" s="1152" t="s">
        <v>2365</v>
      </c>
      <c r="C2873" s="910" t="s">
        <v>318</v>
      </c>
      <c r="D2873" s="928">
        <v>2024</v>
      </c>
      <c r="E2873" s="643">
        <v>409</v>
      </c>
      <c r="F2873" s="643" t="s">
        <v>222</v>
      </c>
      <c r="G2873" s="929">
        <v>355</v>
      </c>
      <c r="H2873" s="928">
        <v>2</v>
      </c>
      <c r="I2873" s="928">
        <v>2</v>
      </c>
      <c r="J2873" s="643">
        <v>8</v>
      </c>
      <c r="K2873" s="930" t="s">
        <v>33</v>
      </c>
      <c r="L2873" s="584">
        <f>SUM(M2873:Q2873)</f>
        <v>1032317.37</v>
      </c>
      <c r="M2873" s="931">
        <f>G2873*2800</f>
        <v>994000</v>
      </c>
      <c r="N2873" s="1121">
        <v>28456</v>
      </c>
      <c r="O2873" s="736"/>
      <c r="P2873" s="932"/>
      <c r="Q2873" s="586">
        <v>9861.3700000000008</v>
      </c>
      <c r="R2873" s="582">
        <f>M2873/G2873</f>
        <v>2800</v>
      </c>
      <c r="S2873" s="592"/>
      <c r="T2873" s="592"/>
      <c r="U2873" s="591"/>
      <c r="V2873" s="589"/>
      <c r="W2873" s="592"/>
      <c r="X2873" s="592"/>
      <c r="Y2873" s="592">
        <v>1</v>
      </c>
      <c r="Z2873" s="592"/>
    </row>
    <row r="2874" spans="1:26" s="28" customFormat="1" hidden="1">
      <c r="A2874" s="1349" t="s">
        <v>203</v>
      </c>
      <c r="B2874" s="1349"/>
      <c r="C2874" s="700" t="s">
        <v>28</v>
      </c>
      <c r="D2874" s="612">
        <f>SUM(D2872:D2873)</f>
        <v>2802.26</v>
      </c>
      <c r="E2874" s="612">
        <f>SUM(E2872:E2873)</f>
        <v>927</v>
      </c>
      <c r="F2874" s="700" t="s">
        <v>28</v>
      </c>
      <c r="G2874" s="612">
        <f>SUM(G2872:G2873)</f>
        <v>355</v>
      </c>
      <c r="H2874" s="700" t="s">
        <v>28</v>
      </c>
      <c r="I2874" s="700" t="s">
        <v>28</v>
      </c>
      <c r="J2874" s="643">
        <f>SUM(J2872:J2873)</f>
        <v>24</v>
      </c>
      <c r="K2874" s="590" t="s">
        <v>28</v>
      </c>
      <c r="L2874" s="940">
        <f t="shared" ref="L2874:Q2874" si="448">SUM(L2872:L2873)</f>
        <v>2137089.85</v>
      </c>
      <c r="M2874" s="611">
        <f t="shared" si="448"/>
        <v>2076266</v>
      </c>
      <c r="N2874" s="612">
        <f t="shared" si="448"/>
        <v>28456</v>
      </c>
      <c r="O2874" s="613">
        <f t="shared" si="448"/>
        <v>17568</v>
      </c>
      <c r="P2874" s="612">
        <f t="shared" si="448"/>
        <v>0</v>
      </c>
      <c r="Q2874" s="612">
        <f t="shared" si="448"/>
        <v>14799.85</v>
      </c>
      <c r="R2874" s="582" t="s">
        <v>28</v>
      </c>
      <c r="S2874" s="564">
        <f>L2874-M2874-N2874-O2874-P2874-Q2874</f>
        <v>9.276845958083868E-11</v>
      </c>
      <c r="T2874" s="577" t="e">
        <f>'1.перечень МКД'!#REF!</f>
        <v>#REF!</v>
      </c>
      <c r="U2874" s="589"/>
      <c r="V2874" s="589"/>
      <c r="W2874" s="592"/>
      <c r="X2874" s="592"/>
      <c r="Y2874" s="592">
        <v>1</v>
      </c>
      <c r="Z2874" s="592"/>
    </row>
    <row r="2875" spans="1:26" s="28" customFormat="1" hidden="1">
      <c r="A2875" s="1347" t="s">
        <v>204</v>
      </c>
      <c r="B2875" s="1347"/>
      <c r="C2875" s="1347"/>
      <c r="D2875" s="1347"/>
      <c r="E2875" s="1347"/>
      <c r="F2875" s="1347"/>
      <c r="G2875" s="1347"/>
      <c r="H2875" s="1347"/>
      <c r="I2875" s="1347"/>
      <c r="J2875" s="1347"/>
      <c r="K2875" s="1347"/>
      <c r="L2875" s="1347"/>
      <c r="M2875" s="1347"/>
      <c r="N2875" s="1347"/>
      <c r="O2875" s="1347"/>
      <c r="P2875" s="1347"/>
      <c r="Q2875" s="1347"/>
      <c r="R2875" s="590"/>
      <c r="S2875" s="592"/>
      <c r="T2875" s="592"/>
      <c r="U2875" s="591"/>
      <c r="V2875" s="589"/>
      <c r="W2875" s="592"/>
      <c r="X2875" s="592"/>
      <c r="Y2875" s="592">
        <v>1</v>
      </c>
      <c r="Z2875" s="592"/>
    </row>
    <row r="2876" spans="1:26" s="28" customFormat="1" hidden="1">
      <c r="A2876" s="937">
        <v>195</v>
      </c>
      <c r="B2876" s="848" t="s">
        <v>2366</v>
      </c>
      <c r="C2876" s="922" t="s">
        <v>314</v>
      </c>
      <c r="D2876" s="922"/>
      <c r="E2876" s="938">
        <v>319</v>
      </c>
      <c r="F2876" s="700" t="s">
        <v>291</v>
      </c>
      <c r="G2876" s="939">
        <v>303</v>
      </c>
      <c r="H2876" s="928">
        <v>2</v>
      </c>
      <c r="I2876" s="928">
        <v>1</v>
      </c>
      <c r="J2876" s="643">
        <v>8</v>
      </c>
      <c r="K2876" s="930" t="s">
        <v>238</v>
      </c>
      <c r="L2876" s="584">
        <f>SUM(M2876:Q2876)</f>
        <v>311275</v>
      </c>
      <c r="M2876" s="931">
        <f>J2876*35000</f>
        <v>280000</v>
      </c>
      <c r="N2876" s="1121">
        <v>24283</v>
      </c>
      <c r="O2876" s="736"/>
      <c r="P2876" s="932"/>
      <c r="Q2876" s="586">
        <v>6992</v>
      </c>
      <c r="R2876" s="582">
        <f>M2876/J2876</f>
        <v>35000</v>
      </c>
      <c r="S2876" s="592"/>
      <c r="T2876" s="592"/>
      <c r="U2876" s="591"/>
      <c r="V2876" s="589"/>
      <c r="W2876" s="592"/>
      <c r="X2876" s="592"/>
      <c r="Y2876" s="592">
        <v>1</v>
      </c>
      <c r="Z2876" s="592"/>
    </row>
    <row r="2877" spans="1:26" s="28" customFormat="1" hidden="1">
      <c r="A2877" s="714">
        <f>A2876+1</f>
        <v>196</v>
      </c>
      <c r="B2877" s="848" t="s">
        <v>2367</v>
      </c>
      <c r="C2877" s="922" t="s">
        <v>314</v>
      </c>
      <c r="D2877" s="922"/>
      <c r="E2877" s="938">
        <v>850</v>
      </c>
      <c r="F2877" s="700" t="s">
        <v>340</v>
      </c>
      <c r="G2877" s="939">
        <v>650</v>
      </c>
      <c r="H2877" s="928">
        <v>3</v>
      </c>
      <c r="I2877" s="928">
        <v>3</v>
      </c>
      <c r="J2877" s="643">
        <v>27</v>
      </c>
      <c r="K2877" s="930" t="s">
        <v>252</v>
      </c>
      <c r="L2877" s="584">
        <f>SUM(M2877:Q2877)</f>
        <v>2656582</v>
      </c>
      <c r="M2877" s="931">
        <f>G2877*4000</f>
        <v>2600000</v>
      </c>
      <c r="N2877" s="932">
        <v>35000</v>
      </c>
      <c r="O2877" s="736"/>
      <c r="P2877" s="932"/>
      <c r="Q2877" s="586">
        <v>21582</v>
      </c>
      <c r="R2877" s="582">
        <f>M2877/G2877</f>
        <v>4000</v>
      </c>
      <c r="S2877" s="592"/>
      <c r="T2877" s="592"/>
      <c r="U2877" s="591"/>
      <c r="V2877" s="589"/>
      <c r="W2877" s="592"/>
      <c r="X2877" s="592"/>
      <c r="Y2877" s="592">
        <v>1</v>
      </c>
      <c r="Z2877" s="592"/>
    </row>
    <row r="2878" spans="1:26" s="28" customFormat="1" hidden="1">
      <c r="A2878" s="714">
        <f t="shared" ref="A2878:A2880" si="449">A2877+1</f>
        <v>197</v>
      </c>
      <c r="B2878" s="848" t="s">
        <v>2368</v>
      </c>
      <c r="C2878" s="922" t="s">
        <v>239</v>
      </c>
      <c r="D2878" s="922"/>
      <c r="E2878" s="938">
        <v>299</v>
      </c>
      <c r="F2878" s="700" t="s">
        <v>291</v>
      </c>
      <c r="G2878" s="939">
        <v>650</v>
      </c>
      <c r="H2878" s="928">
        <v>2</v>
      </c>
      <c r="I2878" s="928">
        <v>1</v>
      </c>
      <c r="J2878" s="643">
        <v>14</v>
      </c>
      <c r="K2878" s="930" t="s">
        <v>224</v>
      </c>
      <c r="L2878" s="584">
        <f>SUM(M2878:Q2878)</f>
        <v>330275</v>
      </c>
      <c r="M2878" s="931">
        <f>J2878*21960</f>
        <v>307440</v>
      </c>
      <c r="N2878" s="1121">
        <v>20073</v>
      </c>
      <c r="O2878" s="736"/>
      <c r="P2878" s="932"/>
      <c r="Q2878" s="586">
        <v>2762</v>
      </c>
      <c r="R2878" s="582">
        <f>M2878/J2878</f>
        <v>21960</v>
      </c>
      <c r="S2878" s="592"/>
      <c r="T2878" s="592"/>
      <c r="U2878" s="591"/>
      <c r="V2878" s="589"/>
      <c r="W2878" s="592"/>
      <c r="X2878" s="592"/>
      <c r="Y2878" s="592">
        <v>1</v>
      </c>
      <c r="Z2878" s="592"/>
    </row>
    <row r="2879" spans="1:26" s="28" customFormat="1" hidden="1">
      <c r="A2879" s="714">
        <f t="shared" si="449"/>
        <v>198</v>
      </c>
      <c r="B2879" s="848" t="s">
        <v>2369</v>
      </c>
      <c r="C2879" s="922" t="s">
        <v>314</v>
      </c>
      <c r="D2879" s="922"/>
      <c r="E2879" s="938">
        <v>588.36</v>
      </c>
      <c r="F2879" s="700" t="s">
        <v>291</v>
      </c>
      <c r="G2879" s="939">
        <v>610</v>
      </c>
      <c r="H2879" s="928">
        <v>2</v>
      </c>
      <c r="I2879" s="928">
        <v>2</v>
      </c>
      <c r="J2879" s="643">
        <v>12</v>
      </c>
      <c r="K2879" s="930" t="s">
        <v>224</v>
      </c>
      <c r="L2879" s="584">
        <f>SUM(M2879:Q2879)</f>
        <v>288184</v>
      </c>
      <c r="M2879" s="931">
        <f>J2879*21960</f>
        <v>263520</v>
      </c>
      <c r="N2879" s="1121">
        <v>22785</v>
      </c>
      <c r="O2879" s="736"/>
      <c r="P2879" s="932"/>
      <c r="Q2879" s="586">
        <v>1879</v>
      </c>
      <c r="R2879" s="582">
        <f>M2879/J2879</f>
        <v>21960</v>
      </c>
      <c r="S2879" s="592"/>
      <c r="T2879" s="592"/>
      <c r="U2879" s="591"/>
      <c r="V2879" s="589"/>
      <c r="W2879" s="592"/>
      <c r="X2879" s="592"/>
      <c r="Y2879" s="592">
        <v>1</v>
      </c>
      <c r="Z2879" s="592"/>
    </row>
    <row r="2880" spans="1:26" s="28" customFormat="1" hidden="1">
      <c r="A2880" s="714">
        <f t="shared" si="449"/>
        <v>199</v>
      </c>
      <c r="B2880" s="848" t="s">
        <v>2370</v>
      </c>
      <c r="C2880" s="922" t="s">
        <v>314</v>
      </c>
      <c r="D2880" s="922"/>
      <c r="E2880" s="938">
        <v>754</v>
      </c>
      <c r="F2880" s="700" t="s">
        <v>291</v>
      </c>
      <c r="G2880" s="939">
        <v>601.01</v>
      </c>
      <c r="H2880" s="928">
        <v>2</v>
      </c>
      <c r="I2880" s="928">
        <v>2</v>
      </c>
      <c r="J2880" s="643">
        <v>16</v>
      </c>
      <c r="K2880" s="930" t="s">
        <v>33</v>
      </c>
      <c r="L2880" s="584">
        <f>SUM(M2880:Q2880)</f>
        <v>1724970</v>
      </c>
      <c r="M2880" s="931">
        <f>ROUND(G2880*2800,0)</f>
        <v>1682828</v>
      </c>
      <c r="N2880" s="1121">
        <v>29690</v>
      </c>
      <c r="O2880" s="736"/>
      <c r="P2880" s="932"/>
      <c r="Q2880" s="586">
        <v>12452</v>
      </c>
      <c r="R2880" s="582">
        <f>M2880/G2880</f>
        <v>2800</v>
      </c>
      <c r="S2880" s="592"/>
      <c r="T2880" s="592"/>
      <c r="U2880" s="591"/>
      <c r="V2880" s="589"/>
      <c r="W2880" s="592"/>
      <c r="X2880" s="592"/>
      <c r="Y2880" s="592">
        <v>1</v>
      </c>
      <c r="Z2880" s="592"/>
    </row>
    <row r="2881" spans="1:29" s="28" customFormat="1" hidden="1">
      <c r="A2881" s="1349" t="s">
        <v>205</v>
      </c>
      <c r="B2881" s="1349"/>
      <c r="C2881" s="593" t="s">
        <v>28</v>
      </c>
      <c r="D2881" s="586">
        <f>SUM(D2876:D2880)</f>
        <v>0</v>
      </c>
      <c r="E2881" s="586">
        <v>2810.33</v>
      </c>
      <c r="F2881" s="593" t="s">
        <v>28</v>
      </c>
      <c r="G2881" s="586">
        <f>SUM(G2876:G2880)</f>
        <v>2814.01</v>
      </c>
      <c r="H2881" s="593" t="s">
        <v>28</v>
      </c>
      <c r="I2881" s="593" t="s">
        <v>28</v>
      </c>
      <c r="J2881" s="582">
        <f>SUM(J2876:J2880)</f>
        <v>77</v>
      </c>
      <c r="K2881" s="590" t="s">
        <v>28</v>
      </c>
      <c r="L2881" s="584">
        <f>SUM(L2876:L2880)</f>
        <v>5311286</v>
      </c>
      <c r="M2881" s="585">
        <f>SUM(M2876:M2880)</f>
        <v>5133788</v>
      </c>
      <c r="N2881" s="586">
        <f>SUM(N2876:N2880)</f>
        <v>131831</v>
      </c>
      <c r="O2881" s="587"/>
      <c r="P2881" s="586"/>
      <c r="Q2881" s="586">
        <f>SUM(Q2876:Q2880)</f>
        <v>45667</v>
      </c>
      <c r="R2881" s="582" t="s">
        <v>28</v>
      </c>
      <c r="S2881" s="564">
        <f>L2881-M2881-N2881-O2881-P2881-Q2881</f>
        <v>0</v>
      </c>
      <c r="T2881" s="577" t="e">
        <f>'1.перечень МКД'!#REF!</f>
        <v>#REF!</v>
      </c>
      <c r="U2881" s="589"/>
      <c r="V2881" s="589"/>
      <c r="W2881" s="592"/>
      <c r="X2881" s="592"/>
      <c r="Y2881" s="592">
        <v>1</v>
      </c>
      <c r="Z2881" s="592"/>
    </row>
    <row r="2882" spans="1:29" s="35" customFormat="1" hidden="1">
      <c r="A2882" s="1365" t="s">
        <v>213</v>
      </c>
      <c r="B2882" s="1365"/>
      <c r="C2882" s="571" t="s">
        <v>28</v>
      </c>
      <c r="D2882" s="571">
        <f>D2884+D3405+D3805</f>
        <v>16000158.15102954</v>
      </c>
      <c r="E2882" s="571">
        <f ca="1">E2884+E3405+E3805</f>
        <v>1167072.118</v>
      </c>
      <c r="F2882" s="571" t="s">
        <v>28</v>
      </c>
      <c r="G2882" s="571">
        <f>G2884+G3405+G3805</f>
        <v>1145452.6727599998</v>
      </c>
      <c r="H2882" s="571" t="s">
        <v>28</v>
      </c>
      <c r="I2882" s="571" t="s">
        <v>28</v>
      </c>
      <c r="J2882" s="571">
        <f>J2884+J3405+J3805</f>
        <v>79368</v>
      </c>
      <c r="K2882" s="572" t="s">
        <v>28</v>
      </c>
      <c r="L2882" s="573">
        <f>M2882+N2882+O2882+P2882+Q2882</f>
        <v>3410573160.02</v>
      </c>
      <c r="M2882" s="574">
        <f>M2884+M3405+M3805</f>
        <v>3329113712.23</v>
      </c>
      <c r="N2882" s="575">
        <f>N2884+N3405+N3805</f>
        <v>37683105.82</v>
      </c>
      <c r="O2882" s="576">
        <f>O2884+O3405+O3805</f>
        <v>4211704.75</v>
      </c>
      <c r="P2882" s="575">
        <f>P2884+P3405+P3805</f>
        <v>0</v>
      </c>
      <c r="Q2882" s="575">
        <f>Q2884+Q3405+Q3805</f>
        <v>39564637.219999999</v>
      </c>
      <c r="R2882" s="582" t="s">
        <v>28</v>
      </c>
      <c r="S2882" s="586">
        <f>L2882-M2882-N2882-O2882-P2882-Q2882</f>
        <v>0</v>
      </c>
      <c r="T2882" s="578" t="e">
        <f>'1.перечень МКД'!#REF!</f>
        <v>#REF!</v>
      </c>
      <c r="U2882" s="941" t="e">
        <f>L2882-T2882</f>
        <v>#REF!</v>
      </c>
      <c r="V2882" s="579"/>
      <c r="W2882" s="579"/>
      <c r="X2882" s="579"/>
      <c r="Y2882" s="579"/>
      <c r="Z2882" s="579"/>
    </row>
    <row r="2883" spans="1:29" s="244" customFormat="1" hidden="1">
      <c r="A2883" s="1345" t="s">
        <v>140</v>
      </c>
      <c r="B2883" s="1345"/>
      <c r="C2883" s="1345"/>
      <c r="D2883" s="1345"/>
      <c r="E2883" s="1345"/>
      <c r="F2883" s="1345"/>
      <c r="G2883" s="1345"/>
      <c r="H2883" s="1345"/>
      <c r="I2883" s="1345"/>
      <c r="J2883" s="1345"/>
      <c r="K2883" s="1345"/>
      <c r="L2883" s="1345"/>
      <c r="M2883" s="1345"/>
      <c r="N2883" s="1345"/>
      <c r="O2883" s="1345"/>
      <c r="P2883" s="1345"/>
      <c r="Q2883" s="1345"/>
      <c r="R2883" s="570"/>
      <c r="S2883" s="555"/>
      <c r="T2883" s="556"/>
      <c r="U2883" s="558"/>
      <c r="V2883" s="556"/>
      <c r="W2883" s="556"/>
      <c r="X2883" s="556"/>
      <c r="Y2883" s="556"/>
      <c r="Z2883" s="556"/>
    </row>
    <row r="2884" spans="1:29" s="249" customFormat="1" hidden="1">
      <c r="A2884" s="1360" t="s">
        <v>162</v>
      </c>
      <c r="B2884" s="1360"/>
      <c r="C2884" s="561" t="s">
        <v>28</v>
      </c>
      <c r="D2884" s="582">
        <f>D3403</f>
        <v>8113108.9199999999</v>
      </c>
      <c r="E2884" s="582">
        <f>E3403</f>
        <v>1378016.7400000002</v>
      </c>
      <c r="F2884" s="561" t="s">
        <v>28</v>
      </c>
      <c r="G2884" s="582">
        <f>G3403</f>
        <v>474474.16999999975</v>
      </c>
      <c r="H2884" s="561" t="s">
        <v>28</v>
      </c>
      <c r="I2884" s="561" t="s">
        <v>28</v>
      </c>
      <c r="J2884" s="582">
        <f>J3403</f>
        <v>36887</v>
      </c>
      <c r="K2884" s="583" t="s">
        <v>28</v>
      </c>
      <c r="L2884" s="584">
        <f t="shared" ref="L2884:Q2884" si="450">L3403</f>
        <v>1614551569.0100012</v>
      </c>
      <c r="M2884" s="585">
        <f t="shared" si="450"/>
        <v>1581831784.23</v>
      </c>
      <c r="N2884" s="586">
        <f t="shared" si="450"/>
        <v>18262186</v>
      </c>
      <c r="O2884" s="587">
        <f t="shared" si="450"/>
        <v>2023533.9499999997</v>
      </c>
      <c r="P2884" s="586">
        <f t="shared" si="450"/>
        <v>0</v>
      </c>
      <c r="Q2884" s="586">
        <f t="shared" si="450"/>
        <v>12434064.830000002</v>
      </c>
      <c r="R2884" s="582" t="s">
        <v>28</v>
      </c>
      <c r="S2884" s="586">
        <f>L2884-M2884-N2884-O2884-P2884-Q2884</f>
        <v>1.1622905731201172E-6</v>
      </c>
      <c r="T2884" s="588" t="e">
        <f>'1.перечень МКД'!#REF!</f>
        <v>#REF!</v>
      </c>
      <c r="U2884" s="589" t="e">
        <f>T2884-L2884</f>
        <v>#REF!</v>
      </c>
      <c r="V2884" s="590"/>
      <c r="W2884" s="590"/>
      <c r="X2884" s="590"/>
      <c r="Y2884" s="590"/>
      <c r="Z2884" s="590"/>
    </row>
    <row r="2885" spans="1:29" s="244" customFormat="1" hidden="1">
      <c r="A2885" s="1345" t="s">
        <v>139</v>
      </c>
      <c r="B2885" s="1345"/>
      <c r="C2885" s="1345"/>
      <c r="D2885" s="1345"/>
      <c r="E2885" s="1345"/>
      <c r="F2885" s="1345"/>
      <c r="G2885" s="1345"/>
      <c r="H2885" s="1345"/>
      <c r="I2885" s="1345"/>
      <c r="J2885" s="1345"/>
      <c r="K2885" s="1345"/>
      <c r="L2885" s="1345"/>
      <c r="M2885" s="1345"/>
      <c r="N2885" s="1345"/>
      <c r="O2885" s="1345"/>
      <c r="P2885" s="1345"/>
      <c r="Q2885" s="1345"/>
      <c r="R2885" s="570"/>
      <c r="S2885" s="555"/>
      <c r="T2885" s="556"/>
      <c r="U2885" s="558"/>
      <c r="V2885" s="556"/>
      <c r="W2885" s="556"/>
      <c r="X2885" s="556"/>
      <c r="Y2885" s="556"/>
      <c r="Z2885" s="556"/>
    </row>
    <row r="2886" spans="1:29" s="75" customFormat="1" hidden="1">
      <c r="A2886" s="709">
        <v>1</v>
      </c>
      <c r="B2886" s="592" t="s">
        <v>2371</v>
      </c>
      <c r="C2886" s="593" t="s">
        <v>271</v>
      </c>
      <c r="D2886" s="594">
        <v>12563</v>
      </c>
      <c r="E2886" s="594">
        <v>2325</v>
      </c>
      <c r="F2886" s="594" t="s">
        <v>233</v>
      </c>
      <c r="G2886" s="594">
        <v>973</v>
      </c>
      <c r="H2886" s="594">
        <v>5</v>
      </c>
      <c r="I2886" s="594">
        <v>4</v>
      </c>
      <c r="J2886" s="594">
        <v>76</v>
      </c>
      <c r="K2886" s="590" t="s">
        <v>238</v>
      </c>
      <c r="L2886" s="595">
        <f>M2886+N2886+O2886+P2886+Q2886</f>
        <v>2122913</v>
      </c>
      <c r="M2886" s="596">
        <f>J2886*27000</f>
        <v>2052000</v>
      </c>
      <c r="N2886" s="597">
        <v>27000</v>
      </c>
      <c r="O2886" s="598"/>
      <c r="P2886" s="597"/>
      <c r="Q2886" s="675">
        <v>43913</v>
      </c>
      <c r="R2886" s="599">
        <f>M2886/J2886</f>
        <v>27000</v>
      </c>
      <c r="S2886" s="594"/>
      <c r="T2886" s="600"/>
      <c r="U2886" s="709"/>
      <c r="V2886" s="601"/>
      <c r="W2886" s="601"/>
      <c r="X2886" s="601"/>
      <c r="Y2886" s="601"/>
      <c r="Z2886" s="601"/>
    </row>
    <row r="2887" spans="1:29" s="133" customFormat="1" ht="37.5" hidden="1">
      <c r="A2887" s="1154">
        <f>A2886+1</f>
        <v>2</v>
      </c>
      <c r="B2887" s="985" t="s">
        <v>4216</v>
      </c>
      <c r="C2887" s="1031" t="s">
        <v>221</v>
      </c>
      <c r="D2887" s="1155">
        <v>37156</v>
      </c>
      <c r="E2887" s="1155">
        <v>6089</v>
      </c>
      <c r="F2887" s="1031" t="s">
        <v>233</v>
      </c>
      <c r="G2887" s="1155">
        <v>1769.4</v>
      </c>
      <c r="H2887" s="1031">
        <v>9</v>
      </c>
      <c r="I2887" s="1031">
        <v>4</v>
      </c>
      <c r="J2887" s="1031">
        <v>135</v>
      </c>
      <c r="K2887" s="991" t="s">
        <v>219</v>
      </c>
      <c r="L2887" s="992">
        <f>M2887+N2887+O2887+P2887+Q2887</f>
        <v>8148750</v>
      </c>
      <c r="M2887" s="993">
        <v>8000000</v>
      </c>
      <c r="N2887" s="722">
        <v>148750</v>
      </c>
      <c r="O2887" s="963"/>
      <c r="P2887" s="722"/>
      <c r="Q2887" s="722"/>
      <c r="R2887" s="582">
        <f>M2887/I2887</f>
        <v>2000000</v>
      </c>
      <c r="S2887" s="965"/>
      <c r="T2887" s="965"/>
      <c r="U2887" s="994"/>
      <c r="V2887" s="965"/>
      <c r="W2887" s="965"/>
      <c r="X2887" s="965"/>
      <c r="Y2887" s="994"/>
      <c r="Z2887" s="718"/>
      <c r="AA2887" s="132"/>
      <c r="AC2887" s="144"/>
    </row>
    <row r="2888" spans="1:29" ht="37.5" hidden="1">
      <c r="A2888" s="1154">
        <f>A2887+1</f>
        <v>3</v>
      </c>
      <c r="B2888" s="945" t="s">
        <v>2377</v>
      </c>
      <c r="C2888" s="948" t="s">
        <v>221</v>
      </c>
      <c r="D2888" s="948">
        <v>21929</v>
      </c>
      <c r="E2888" s="948">
        <v>2583</v>
      </c>
      <c r="F2888" s="948" t="s">
        <v>233</v>
      </c>
      <c r="G2888" s="948">
        <v>661</v>
      </c>
      <c r="H2888" s="948">
        <v>12</v>
      </c>
      <c r="I2888" s="948">
        <v>1</v>
      </c>
      <c r="J2888" s="948">
        <v>80</v>
      </c>
      <c r="K2888" s="632" t="s">
        <v>4147</v>
      </c>
      <c r="L2888" s="951">
        <f>SUM(M2888:P2888)</f>
        <v>4506250</v>
      </c>
      <c r="M2888" s="623">
        <v>4400000</v>
      </c>
      <c r="N2888" s="952">
        <v>106250</v>
      </c>
      <c r="O2888" s="587"/>
      <c r="P2888" s="582"/>
      <c r="Q2888" s="582"/>
      <c r="R2888" s="586">
        <v>2200000</v>
      </c>
      <c r="S2888" s="1156">
        <v>2</v>
      </c>
      <c r="T2888" s="589"/>
      <c r="U2888" s="560"/>
      <c r="V2888" s="589" t="e">
        <f>B2888='1.перечень МКД'!#REF!</f>
        <v>#REF!</v>
      </c>
      <c r="W2888" s="600" t="e">
        <f>'2.виды ремонта'!#REF!='1.перечень МКД'!#REF!</f>
        <v>#REF!</v>
      </c>
    </row>
    <row r="2889" spans="1:29" s="133" customFormat="1" ht="37.5" hidden="1">
      <c r="A2889" s="1154">
        <f>A2888+1</f>
        <v>4</v>
      </c>
      <c r="B2889" s="985" t="s">
        <v>4217</v>
      </c>
      <c r="C2889" s="1031" t="s">
        <v>221</v>
      </c>
      <c r="D2889" s="1157">
        <v>13237</v>
      </c>
      <c r="E2889" s="1158">
        <v>2817.6</v>
      </c>
      <c r="F2889" s="1159" t="s">
        <v>233</v>
      </c>
      <c r="G2889" s="1158">
        <v>431</v>
      </c>
      <c r="H2889" s="1159">
        <v>12</v>
      </c>
      <c r="I2889" s="1159">
        <v>1</v>
      </c>
      <c r="J2889" s="1159">
        <v>48</v>
      </c>
      <c r="K2889" s="991" t="s">
        <v>219</v>
      </c>
      <c r="L2889" s="992">
        <f>M2889+N2889+O2889+P2889+Q2889</f>
        <v>4506250</v>
      </c>
      <c r="M2889" s="993">
        <v>4400000</v>
      </c>
      <c r="N2889" s="722">
        <v>106250</v>
      </c>
      <c r="O2889" s="963"/>
      <c r="P2889" s="722"/>
      <c r="Q2889" s="722"/>
      <c r="R2889" s="1160">
        <v>2200000</v>
      </c>
      <c r="S2889" s="965"/>
      <c r="T2889" s="965"/>
      <c r="U2889" s="994"/>
      <c r="V2889" s="965"/>
      <c r="W2889" s="965"/>
      <c r="X2889" s="965"/>
      <c r="Y2889" s="994"/>
      <c r="Z2889" s="718"/>
      <c r="AA2889" s="132"/>
      <c r="AC2889" s="144"/>
    </row>
    <row r="2890" spans="1:29" s="133" customFormat="1" ht="37.5" hidden="1">
      <c r="A2890" s="1154">
        <f t="shared" ref="A2890:A2954" si="451">A2889+1</f>
        <v>5</v>
      </c>
      <c r="B2890" s="985" t="s">
        <v>4218</v>
      </c>
      <c r="C2890" s="1161" t="s">
        <v>221</v>
      </c>
      <c r="D2890" s="1031">
        <v>10309</v>
      </c>
      <c r="E2890" s="1031">
        <v>2003</v>
      </c>
      <c r="F2890" s="1159" t="s">
        <v>233</v>
      </c>
      <c r="G2890" s="725">
        <v>383</v>
      </c>
      <c r="H2890" s="1031">
        <v>9</v>
      </c>
      <c r="I2890" s="1031">
        <v>1</v>
      </c>
      <c r="J2890" s="1162">
        <v>33</v>
      </c>
      <c r="K2890" s="991" t="s">
        <v>219</v>
      </c>
      <c r="L2890" s="992">
        <f>M2890+N2890+O2890+P2890+Q2890</f>
        <v>2085000</v>
      </c>
      <c r="M2890" s="993">
        <v>2000000</v>
      </c>
      <c r="N2890" s="722">
        <v>85000</v>
      </c>
      <c r="O2890" s="963"/>
      <c r="P2890" s="722"/>
      <c r="Q2890" s="722"/>
      <c r="R2890" s="582">
        <f t="shared" ref="R2890:R2895" si="452">M2890/I2890</f>
        <v>2000000</v>
      </c>
      <c r="S2890" s="965"/>
      <c r="T2890" s="965"/>
      <c r="U2890" s="994"/>
      <c r="V2890" s="965"/>
      <c r="W2890" s="965"/>
      <c r="X2890" s="965"/>
      <c r="Y2890" s="994"/>
      <c r="Z2890" s="718"/>
      <c r="AA2890" s="132"/>
      <c r="AC2890" s="144"/>
    </row>
    <row r="2891" spans="1:29" s="133" customFormat="1" ht="37.5" hidden="1">
      <c r="A2891" s="1154">
        <f t="shared" si="451"/>
        <v>6</v>
      </c>
      <c r="B2891" s="985" t="s">
        <v>4219</v>
      </c>
      <c r="C2891" s="986" t="s">
        <v>217</v>
      </c>
      <c r="D2891" s="1155">
        <v>23919</v>
      </c>
      <c r="E2891" s="1155">
        <v>3339</v>
      </c>
      <c r="F2891" s="1031" t="s">
        <v>233</v>
      </c>
      <c r="G2891" s="1155">
        <v>1031</v>
      </c>
      <c r="H2891" s="1031">
        <v>9</v>
      </c>
      <c r="I2891" s="1031">
        <v>2</v>
      </c>
      <c r="J2891" s="1031">
        <v>144</v>
      </c>
      <c r="K2891" s="991" t="s">
        <v>219</v>
      </c>
      <c r="L2891" s="992">
        <f>M2891+N2891+O2891+P2891+Q2891</f>
        <v>4106250</v>
      </c>
      <c r="M2891" s="993">
        <v>4000000</v>
      </c>
      <c r="N2891" s="722">
        <v>106250</v>
      </c>
      <c r="O2891" s="963"/>
      <c r="P2891" s="722"/>
      <c r="Q2891" s="722"/>
      <c r="R2891" s="582">
        <f t="shared" si="452"/>
        <v>2000000</v>
      </c>
      <c r="S2891" s="965"/>
      <c r="T2891" s="965"/>
      <c r="U2891" s="994"/>
      <c r="V2891" s="965"/>
      <c r="W2891" s="965"/>
      <c r="X2891" s="965"/>
      <c r="Y2891" s="994"/>
      <c r="Z2891" s="718"/>
      <c r="AA2891" s="132"/>
      <c r="AC2891" s="144"/>
    </row>
    <row r="2892" spans="1:29" s="133" customFormat="1" ht="37.5" hidden="1">
      <c r="A2892" s="1154">
        <f t="shared" si="451"/>
        <v>7</v>
      </c>
      <c r="B2892" s="985" t="s">
        <v>4220</v>
      </c>
      <c r="C2892" s="1161" t="s">
        <v>221</v>
      </c>
      <c r="D2892" s="1163">
        <v>33528</v>
      </c>
      <c r="E2892" s="1157">
        <v>7130</v>
      </c>
      <c r="F2892" s="1159" t="s">
        <v>233</v>
      </c>
      <c r="G2892" s="1163">
        <v>1522</v>
      </c>
      <c r="H2892" s="1031">
        <v>9</v>
      </c>
      <c r="I2892" s="1031">
        <v>3</v>
      </c>
      <c r="J2892" s="1164">
        <v>160</v>
      </c>
      <c r="K2892" s="991" t="s">
        <v>219</v>
      </c>
      <c r="L2892" s="992">
        <f>M2892+N2892+O2892+P2892+Q2892</f>
        <v>6127500</v>
      </c>
      <c r="M2892" s="993">
        <v>6000000</v>
      </c>
      <c r="N2892" s="722">
        <v>127500</v>
      </c>
      <c r="O2892" s="963"/>
      <c r="P2892" s="722"/>
      <c r="Q2892" s="722"/>
      <c r="R2892" s="582">
        <f t="shared" si="452"/>
        <v>2000000</v>
      </c>
      <c r="S2892" s="965"/>
      <c r="T2892" s="965"/>
      <c r="U2892" s="994"/>
      <c r="V2892" s="965"/>
      <c r="W2892" s="965"/>
      <c r="X2892" s="965"/>
      <c r="Y2892" s="994"/>
      <c r="Z2892" s="718"/>
      <c r="AA2892" s="132"/>
      <c r="AC2892" s="144"/>
    </row>
    <row r="2893" spans="1:29" s="133" customFormat="1" ht="37.5" hidden="1">
      <c r="A2893" s="1154">
        <f t="shared" si="451"/>
        <v>8</v>
      </c>
      <c r="B2893" s="1165" t="s">
        <v>4221</v>
      </c>
      <c r="C2893" s="1031" t="s">
        <v>217</v>
      </c>
      <c r="D2893" s="1031">
        <v>31207</v>
      </c>
      <c r="E2893" s="1031">
        <v>5567.7</v>
      </c>
      <c r="F2893" s="1031" t="s">
        <v>233</v>
      </c>
      <c r="G2893" s="1031">
        <v>1597</v>
      </c>
      <c r="H2893" s="1031">
        <v>9</v>
      </c>
      <c r="I2893" s="1031">
        <v>4</v>
      </c>
      <c r="J2893" s="1031">
        <v>143</v>
      </c>
      <c r="K2893" s="991" t="s">
        <v>219</v>
      </c>
      <c r="L2893" s="992">
        <f>M2893+N2893+O2893+P2893+Q2893</f>
        <v>8148750</v>
      </c>
      <c r="M2893" s="993">
        <v>8000000</v>
      </c>
      <c r="N2893" s="722">
        <v>148750</v>
      </c>
      <c r="O2893" s="963"/>
      <c r="P2893" s="722"/>
      <c r="Q2893" s="722"/>
      <c r="R2893" s="582">
        <f t="shared" si="452"/>
        <v>2000000</v>
      </c>
      <c r="S2893" s="965"/>
      <c r="T2893" s="965"/>
      <c r="U2893" s="994"/>
      <c r="V2893" s="965"/>
      <c r="W2893" s="965"/>
      <c r="X2893" s="965"/>
      <c r="Y2893" s="994"/>
      <c r="Z2893" s="718"/>
      <c r="AA2893" s="132"/>
      <c r="AC2893" s="144"/>
    </row>
    <row r="2894" spans="1:29" ht="37.5" hidden="1">
      <c r="A2894" s="1154">
        <f t="shared" si="451"/>
        <v>9</v>
      </c>
      <c r="B2894" s="973" t="s">
        <v>4145</v>
      </c>
      <c r="C2894" s="571" t="s">
        <v>296</v>
      </c>
      <c r="D2894" s="974">
        <v>47499</v>
      </c>
      <c r="E2894" s="974">
        <v>8789</v>
      </c>
      <c r="F2894" s="571" t="s">
        <v>227</v>
      </c>
      <c r="G2894" s="974">
        <v>2033</v>
      </c>
      <c r="H2894" s="571">
        <v>9</v>
      </c>
      <c r="I2894" s="571">
        <v>6</v>
      </c>
      <c r="J2894" s="571">
        <v>217</v>
      </c>
      <c r="K2894" s="629" t="s">
        <v>219</v>
      </c>
      <c r="L2894" s="951">
        <f>SUM(M2894:P2894)</f>
        <v>12191250</v>
      </c>
      <c r="M2894" s="623">
        <v>12000000</v>
      </c>
      <c r="N2894" s="630">
        <v>191250</v>
      </c>
      <c r="R2894" s="582">
        <f t="shared" si="452"/>
        <v>2000000</v>
      </c>
      <c r="S2894" s="1156">
        <v>6</v>
      </c>
      <c r="T2894" s="589"/>
      <c r="U2894" s="560"/>
      <c r="V2894" s="589" t="e">
        <f>B2894='1.перечень МКД'!#REF!</f>
        <v>#REF!</v>
      </c>
      <c r="W2894" s="600" t="e">
        <f>'2.виды ремонта'!#REF!='1.перечень МКД'!#REF!</f>
        <v>#REF!</v>
      </c>
    </row>
    <row r="2895" spans="1:29" s="133" customFormat="1" ht="37.5" hidden="1">
      <c r="A2895" s="1154">
        <f t="shared" si="451"/>
        <v>10</v>
      </c>
      <c r="B2895" s="1166" t="s">
        <v>4222</v>
      </c>
      <c r="C2895" s="1031" t="s">
        <v>217</v>
      </c>
      <c r="D2895" s="1031">
        <v>12276</v>
      </c>
      <c r="E2895" s="1031">
        <v>1980</v>
      </c>
      <c r="F2895" s="1031" t="s">
        <v>233</v>
      </c>
      <c r="G2895" s="1031">
        <v>570</v>
      </c>
      <c r="H2895" s="1031">
        <v>9</v>
      </c>
      <c r="I2895" s="1031">
        <v>1</v>
      </c>
      <c r="J2895" s="1031">
        <v>72</v>
      </c>
      <c r="K2895" s="991" t="s">
        <v>219</v>
      </c>
      <c r="L2895" s="992">
        <f t="shared" ref="L2895:L2901" si="453">M2895+N2895+O2895+P2895+Q2895</f>
        <v>2085000</v>
      </c>
      <c r="M2895" s="993">
        <v>2000000</v>
      </c>
      <c r="N2895" s="722">
        <v>85000</v>
      </c>
      <c r="O2895" s="963"/>
      <c r="P2895" s="722"/>
      <c r="Q2895" s="722"/>
      <c r="R2895" s="582">
        <f t="shared" si="452"/>
        <v>2000000</v>
      </c>
      <c r="S2895" s="965"/>
      <c r="T2895" s="965"/>
      <c r="U2895" s="994"/>
      <c r="V2895" s="965"/>
      <c r="W2895" s="965"/>
      <c r="X2895" s="965"/>
      <c r="Y2895" s="994"/>
      <c r="Z2895" s="718"/>
      <c r="AA2895" s="132"/>
      <c r="AC2895" s="144"/>
    </row>
    <row r="2896" spans="1:29" s="133" customFormat="1" ht="37.5" hidden="1">
      <c r="A2896" s="1154">
        <f t="shared" si="451"/>
        <v>11</v>
      </c>
      <c r="B2896" s="985" t="s">
        <v>1448</v>
      </c>
      <c r="C2896" s="1161" t="s">
        <v>221</v>
      </c>
      <c r="D2896" s="1163">
        <v>28278</v>
      </c>
      <c r="E2896" s="1157">
        <v>3864</v>
      </c>
      <c r="F2896" s="1159" t="s">
        <v>233</v>
      </c>
      <c r="G2896" s="1163">
        <v>592</v>
      </c>
      <c r="H2896" s="1031">
        <v>12</v>
      </c>
      <c r="I2896" s="1031">
        <v>1</v>
      </c>
      <c r="J2896" s="1161">
        <v>81</v>
      </c>
      <c r="K2896" s="991" t="s">
        <v>219</v>
      </c>
      <c r="L2896" s="992">
        <f t="shared" si="453"/>
        <v>4506250</v>
      </c>
      <c r="M2896" s="993">
        <v>4400000</v>
      </c>
      <c r="N2896" s="722">
        <v>106250</v>
      </c>
      <c r="O2896" s="963"/>
      <c r="P2896" s="722"/>
      <c r="Q2896" s="722"/>
      <c r="R2896" s="582">
        <v>2200000</v>
      </c>
      <c r="S2896" s="965"/>
      <c r="T2896" s="965"/>
      <c r="U2896" s="994"/>
      <c r="V2896" s="965"/>
      <c r="W2896" s="965"/>
      <c r="X2896" s="965"/>
      <c r="Y2896" s="994"/>
      <c r="Z2896" s="718"/>
      <c r="AA2896" s="132"/>
      <c r="AC2896" s="144"/>
    </row>
    <row r="2897" spans="1:29" s="133" customFormat="1" ht="37.5" hidden="1">
      <c r="A2897" s="1154">
        <f t="shared" si="451"/>
        <v>12</v>
      </c>
      <c r="B2897" s="1166" t="s">
        <v>4223</v>
      </c>
      <c r="C2897" s="1031" t="s">
        <v>217</v>
      </c>
      <c r="D2897" s="1163">
        <v>12798</v>
      </c>
      <c r="E2897" s="1157">
        <v>823.2</v>
      </c>
      <c r="F2897" s="1159" t="s">
        <v>233</v>
      </c>
      <c r="G2897" s="1163">
        <v>412</v>
      </c>
      <c r="H2897" s="1031">
        <v>12</v>
      </c>
      <c r="I2897" s="1031">
        <v>1</v>
      </c>
      <c r="J2897" s="1159">
        <v>48</v>
      </c>
      <c r="K2897" s="991" t="s">
        <v>219</v>
      </c>
      <c r="L2897" s="992">
        <f t="shared" si="453"/>
        <v>4506250</v>
      </c>
      <c r="M2897" s="993">
        <v>4400000</v>
      </c>
      <c r="N2897" s="722">
        <v>106250</v>
      </c>
      <c r="O2897" s="963"/>
      <c r="P2897" s="722"/>
      <c r="Q2897" s="722"/>
      <c r="R2897" s="1160">
        <v>2200000</v>
      </c>
      <c r="S2897" s="965"/>
      <c r="T2897" s="965"/>
      <c r="U2897" s="994"/>
      <c r="V2897" s="965"/>
      <c r="W2897" s="965"/>
      <c r="X2897" s="965"/>
      <c r="Y2897" s="994"/>
      <c r="Z2897" s="718"/>
      <c r="AA2897" s="132"/>
      <c r="AC2897" s="144"/>
    </row>
    <row r="2898" spans="1:29" s="133" customFormat="1" ht="37.5" hidden="1">
      <c r="A2898" s="1154">
        <f t="shared" si="451"/>
        <v>13</v>
      </c>
      <c r="B2898" s="985" t="s">
        <v>4224</v>
      </c>
      <c r="C2898" s="1161" t="s">
        <v>271</v>
      </c>
      <c r="D2898" s="1159">
        <v>14475</v>
      </c>
      <c r="E2898" s="1159">
        <v>2540</v>
      </c>
      <c r="F2898" s="1159" t="s">
        <v>233</v>
      </c>
      <c r="G2898" s="1159">
        <v>466</v>
      </c>
      <c r="H2898" s="1159">
        <v>9</v>
      </c>
      <c r="I2898" s="1159">
        <v>1</v>
      </c>
      <c r="J2898" s="1159">
        <v>52</v>
      </c>
      <c r="K2898" s="991" t="s">
        <v>219</v>
      </c>
      <c r="L2898" s="992">
        <f t="shared" si="453"/>
        <v>2085000</v>
      </c>
      <c r="M2898" s="993">
        <v>2000000</v>
      </c>
      <c r="N2898" s="722">
        <v>85000</v>
      </c>
      <c r="O2898" s="963"/>
      <c r="P2898" s="722"/>
      <c r="Q2898" s="722"/>
      <c r="R2898" s="582">
        <f>M2898/I2898</f>
        <v>2000000</v>
      </c>
      <c r="S2898" s="965"/>
      <c r="T2898" s="965"/>
      <c r="U2898" s="994"/>
      <c r="V2898" s="965"/>
      <c r="W2898" s="965"/>
      <c r="X2898" s="965"/>
      <c r="Y2898" s="994"/>
      <c r="Z2898" s="718"/>
      <c r="AA2898" s="132"/>
      <c r="AC2898" s="144"/>
    </row>
    <row r="2899" spans="1:29" s="133" customFormat="1" ht="37.5" hidden="1">
      <c r="A2899" s="1154">
        <f t="shared" si="451"/>
        <v>14</v>
      </c>
      <c r="B2899" s="985" t="s">
        <v>4225</v>
      </c>
      <c r="C2899" s="1161" t="s">
        <v>271</v>
      </c>
      <c r="D2899" s="1159">
        <v>12786</v>
      </c>
      <c r="E2899" s="1159">
        <v>2540</v>
      </c>
      <c r="F2899" s="1159" t="s">
        <v>233</v>
      </c>
      <c r="G2899" s="1159">
        <v>463.7</v>
      </c>
      <c r="H2899" s="1159">
        <v>9</v>
      </c>
      <c r="I2899" s="1159">
        <v>1</v>
      </c>
      <c r="J2899" s="1159">
        <v>51</v>
      </c>
      <c r="K2899" s="991" t="s">
        <v>219</v>
      </c>
      <c r="L2899" s="992">
        <f t="shared" si="453"/>
        <v>2085000</v>
      </c>
      <c r="M2899" s="993">
        <v>2000000</v>
      </c>
      <c r="N2899" s="722">
        <v>85000</v>
      </c>
      <c r="O2899" s="963"/>
      <c r="P2899" s="722"/>
      <c r="Q2899" s="722"/>
      <c r="R2899" s="582">
        <f>M2899/I2899</f>
        <v>2000000</v>
      </c>
      <c r="S2899" s="965"/>
      <c r="T2899" s="965"/>
      <c r="U2899" s="994"/>
      <c r="V2899" s="965"/>
      <c r="W2899" s="965"/>
      <c r="X2899" s="965"/>
      <c r="Y2899" s="994"/>
      <c r="Z2899" s="718"/>
      <c r="AA2899" s="132"/>
      <c r="AC2899" s="144"/>
    </row>
    <row r="2900" spans="1:29" s="133" customFormat="1" ht="37.5" hidden="1">
      <c r="A2900" s="1154">
        <f t="shared" si="451"/>
        <v>15</v>
      </c>
      <c r="B2900" s="985" t="s">
        <v>3754</v>
      </c>
      <c r="C2900" s="1031" t="s">
        <v>221</v>
      </c>
      <c r="D2900" s="1031">
        <v>29534</v>
      </c>
      <c r="E2900" s="1031">
        <v>4780</v>
      </c>
      <c r="F2900" s="1031" t="s">
        <v>233</v>
      </c>
      <c r="G2900" s="1031">
        <v>678</v>
      </c>
      <c r="H2900" s="1031">
        <v>14</v>
      </c>
      <c r="I2900" s="1031">
        <v>1</v>
      </c>
      <c r="J2900" s="1031">
        <v>75</v>
      </c>
      <c r="K2900" s="991" t="s">
        <v>219</v>
      </c>
      <c r="L2900" s="992">
        <f t="shared" si="453"/>
        <v>4506250</v>
      </c>
      <c r="M2900" s="993">
        <v>4400000</v>
      </c>
      <c r="N2900" s="722">
        <v>106250</v>
      </c>
      <c r="O2900" s="963"/>
      <c r="P2900" s="722"/>
      <c r="Q2900" s="722"/>
      <c r="R2900" s="1160">
        <v>2200000</v>
      </c>
      <c r="S2900" s="965"/>
      <c r="T2900" s="965"/>
      <c r="U2900" s="994"/>
      <c r="V2900" s="965"/>
      <c r="W2900" s="965"/>
      <c r="X2900" s="965"/>
      <c r="Y2900" s="994"/>
      <c r="Z2900" s="718"/>
      <c r="AA2900" s="132"/>
      <c r="AC2900" s="144"/>
    </row>
    <row r="2901" spans="1:29" s="133" customFormat="1" ht="37.5" hidden="1">
      <c r="A2901" s="1154">
        <f t="shared" si="451"/>
        <v>16</v>
      </c>
      <c r="B2901" s="985" t="s">
        <v>2399</v>
      </c>
      <c r="C2901" s="1161" t="s">
        <v>217</v>
      </c>
      <c r="D2901" s="1159">
        <v>62234</v>
      </c>
      <c r="E2901" s="1159">
        <v>10268</v>
      </c>
      <c r="F2901" s="1159" t="s">
        <v>233</v>
      </c>
      <c r="G2901" s="1159">
        <v>2694</v>
      </c>
      <c r="H2901" s="1159">
        <v>9</v>
      </c>
      <c r="I2901" s="1159">
        <v>6</v>
      </c>
      <c r="J2901" s="1159">
        <v>323</v>
      </c>
      <c r="K2901" s="991" t="s">
        <v>219</v>
      </c>
      <c r="L2901" s="992">
        <f t="shared" si="453"/>
        <v>2085000</v>
      </c>
      <c r="M2901" s="993">
        <v>2000000</v>
      </c>
      <c r="N2901" s="722">
        <v>85000</v>
      </c>
      <c r="O2901" s="963"/>
      <c r="P2901" s="722"/>
      <c r="Q2901" s="722"/>
      <c r="R2901" s="582">
        <f>M2901</f>
        <v>2000000</v>
      </c>
      <c r="S2901" s="965"/>
      <c r="T2901" s="965"/>
      <c r="U2901" s="994"/>
      <c r="V2901" s="965"/>
      <c r="W2901" s="965"/>
      <c r="X2901" s="965"/>
      <c r="Y2901" s="994"/>
      <c r="Z2901" s="718"/>
      <c r="AA2901" s="132"/>
      <c r="AC2901" s="144"/>
    </row>
    <row r="2902" spans="1:29" s="133" customFormat="1" ht="37.5" hidden="1">
      <c r="A2902" s="1154">
        <f t="shared" si="451"/>
        <v>17</v>
      </c>
      <c r="B2902" s="985" t="s">
        <v>2410</v>
      </c>
      <c r="C2902" s="986" t="s">
        <v>217</v>
      </c>
      <c r="D2902" s="1167">
        <v>11968</v>
      </c>
      <c r="E2902" s="988">
        <v>2459</v>
      </c>
      <c r="F2902" s="987" t="s">
        <v>233</v>
      </c>
      <c r="G2902" s="1168">
        <v>522</v>
      </c>
      <c r="H2902" s="987">
        <v>9</v>
      </c>
      <c r="I2902" s="987">
        <v>1</v>
      </c>
      <c r="J2902" s="990">
        <v>72</v>
      </c>
      <c r="K2902" s="991" t="s">
        <v>219</v>
      </c>
      <c r="L2902" s="992">
        <f>M2902+N2902+O2902+P2902+Q2902+M2903+N2903+O2903+P2903+Q2903</f>
        <v>3587816</v>
      </c>
      <c r="M2902" s="993">
        <v>2000000</v>
      </c>
      <c r="N2902" s="722">
        <v>85000</v>
      </c>
      <c r="O2902" s="963"/>
      <c r="P2902" s="722"/>
      <c r="Q2902" s="722"/>
      <c r="R2902" s="582">
        <f>M2902/I2902</f>
        <v>2000000</v>
      </c>
      <c r="S2902" s="965"/>
      <c r="T2902" s="965"/>
      <c r="U2902" s="994"/>
      <c r="V2902" s="965"/>
      <c r="W2902" s="965"/>
      <c r="X2902" s="965"/>
      <c r="Y2902" s="994"/>
      <c r="Z2902" s="718"/>
      <c r="AA2902" s="132"/>
      <c r="AC2902" s="144"/>
    </row>
    <row r="2903" spans="1:29" s="75" customFormat="1" hidden="1">
      <c r="A2903" s="709"/>
      <c r="B2903" s="592"/>
      <c r="C2903" s="593"/>
      <c r="D2903" s="594"/>
      <c r="E2903" s="594"/>
      <c r="F2903" s="594"/>
      <c r="G2903" s="594"/>
      <c r="H2903" s="594"/>
      <c r="I2903" s="594"/>
      <c r="J2903" s="594"/>
      <c r="K2903" s="590" t="s">
        <v>224</v>
      </c>
      <c r="L2903" s="595"/>
      <c r="M2903" s="596">
        <v>1440000</v>
      </c>
      <c r="N2903" s="597">
        <v>32000</v>
      </c>
      <c r="O2903" s="598"/>
      <c r="P2903" s="597"/>
      <c r="Q2903" s="675">
        <v>30816</v>
      </c>
      <c r="R2903" s="599">
        <f>M2903/J2902</f>
        <v>20000</v>
      </c>
      <c r="S2903" s="594"/>
      <c r="T2903" s="600"/>
      <c r="U2903" s="709"/>
      <c r="V2903" s="601"/>
      <c r="W2903" s="601"/>
      <c r="X2903" s="601"/>
      <c r="Y2903" s="601"/>
      <c r="Z2903" s="601"/>
    </row>
    <row r="2904" spans="1:29" s="133" customFormat="1" ht="37.5" hidden="1">
      <c r="A2904" s="1154">
        <f>A2902+1</f>
        <v>18</v>
      </c>
      <c r="B2904" s="985" t="s">
        <v>4226</v>
      </c>
      <c r="C2904" s="986" t="s">
        <v>217</v>
      </c>
      <c r="D2904" s="1167">
        <v>15757</v>
      </c>
      <c r="E2904" s="988">
        <v>3073</v>
      </c>
      <c r="F2904" s="987" t="s">
        <v>233</v>
      </c>
      <c r="G2904" s="1168">
        <v>842</v>
      </c>
      <c r="H2904" s="987">
        <v>9</v>
      </c>
      <c r="I2904" s="987">
        <v>2</v>
      </c>
      <c r="J2904" s="990">
        <v>72</v>
      </c>
      <c r="K2904" s="991" t="s">
        <v>219</v>
      </c>
      <c r="L2904" s="992">
        <f>M2904+N2904+O2904+P2904+Q2904</f>
        <v>2085000</v>
      </c>
      <c r="M2904" s="993">
        <v>2000000</v>
      </c>
      <c r="N2904" s="722">
        <v>85000</v>
      </c>
      <c r="O2904" s="963"/>
      <c r="P2904" s="722"/>
      <c r="Q2904" s="722"/>
      <c r="R2904" s="582">
        <f>M2904</f>
        <v>2000000</v>
      </c>
      <c r="S2904" s="965"/>
      <c r="T2904" s="965"/>
      <c r="U2904" s="994"/>
      <c r="V2904" s="965"/>
      <c r="W2904" s="965"/>
      <c r="X2904" s="965"/>
      <c r="Y2904" s="994"/>
      <c r="Z2904" s="718"/>
      <c r="AA2904" s="132"/>
      <c r="AC2904" s="144"/>
    </row>
    <row r="2905" spans="1:29" s="133" customFormat="1" ht="37.5" hidden="1">
      <c r="A2905" s="1154">
        <f t="shared" si="451"/>
        <v>19</v>
      </c>
      <c r="B2905" s="985" t="s">
        <v>2413</v>
      </c>
      <c r="C2905" s="986" t="s">
        <v>217</v>
      </c>
      <c r="D2905" s="987">
        <v>11459</v>
      </c>
      <c r="E2905" s="988">
        <v>2417</v>
      </c>
      <c r="F2905" s="987" t="s">
        <v>233</v>
      </c>
      <c r="G2905" s="989">
        <v>516</v>
      </c>
      <c r="H2905" s="987">
        <v>9</v>
      </c>
      <c r="I2905" s="987">
        <v>1</v>
      </c>
      <c r="J2905" s="990">
        <v>72</v>
      </c>
      <c r="K2905" s="991" t="s">
        <v>219</v>
      </c>
      <c r="L2905" s="992">
        <f>M2905+N2905+O2905+P2905+Q2905+M2906+N2906+O2906+P2906+Q2906</f>
        <v>3587816</v>
      </c>
      <c r="M2905" s="993">
        <v>2000000</v>
      </c>
      <c r="N2905" s="722">
        <v>85000</v>
      </c>
      <c r="O2905" s="963"/>
      <c r="P2905" s="722"/>
      <c r="Q2905" s="722"/>
      <c r="R2905" s="582">
        <f>M2905/I2905</f>
        <v>2000000</v>
      </c>
      <c r="S2905" s="965"/>
      <c r="T2905" s="965"/>
      <c r="U2905" s="994"/>
      <c r="V2905" s="965"/>
      <c r="W2905" s="965"/>
      <c r="X2905" s="965"/>
      <c r="Y2905" s="994"/>
      <c r="Z2905" s="718"/>
      <c r="AA2905" s="132"/>
      <c r="AC2905" s="144"/>
    </row>
    <row r="2906" spans="1:29" s="75" customFormat="1" hidden="1">
      <c r="A2906" s="709"/>
      <c r="B2906" s="592"/>
      <c r="C2906" s="593"/>
      <c r="D2906" s="594"/>
      <c r="E2906" s="594"/>
      <c r="F2906" s="594"/>
      <c r="G2906" s="594"/>
      <c r="H2906" s="594"/>
      <c r="I2906" s="594"/>
      <c r="J2906" s="594"/>
      <c r="K2906" s="590" t="s">
        <v>224</v>
      </c>
      <c r="L2906" s="595"/>
      <c r="M2906" s="596">
        <v>1440000</v>
      </c>
      <c r="N2906" s="597">
        <v>32000</v>
      </c>
      <c r="O2906" s="598"/>
      <c r="P2906" s="597"/>
      <c r="Q2906" s="675">
        <v>30816</v>
      </c>
      <c r="R2906" s="599">
        <f>M2906/J2905</f>
        <v>20000</v>
      </c>
      <c r="S2906" s="594"/>
      <c r="T2906" s="600"/>
      <c r="U2906" s="709"/>
      <c r="V2906" s="601"/>
      <c r="W2906" s="601"/>
      <c r="X2906" s="601"/>
      <c r="Y2906" s="601"/>
      <c r="Z2906" s="601"/>
    </row>
    <row r="2907" spans="1:29" s="133" customFormat="1" ht="37.5" hidden="1">
      <c r="A2907" s="1154">
        <f>A2905+1</f>
        <v>20</v>
      </c>
      <c r="B2907" s="985" t="s">
        <v>4227</v>
      </c>
      <c r="C2907" s="986" t="s">
        <v>217</v>
      </c>
      <c r="D2907" s="987">
        <v>25890</v>
      </c>
      <c r="E2907" s="988">
        <v>4812.8</v>
      </c>
      <c r="F2907" s="987" t="s">
        <v>233</v>
      </c>
      <c r="G2907" s="989">
        <v>1039</v>
      </c>
      <c r="H2907" s="987">
        <v>9</v>
      </c>
      <c r="I2907" s="987">
        <v>2</v>
      </c>
      <c r="J2907" s="990">
        <v>144</v>
      </c>
      <c r="K2907" s="991" t="s">
        <v>219</v>
      </c>
      <c r="L2907" s="992">
        <f t="shared" ref="L2907:L2917" si="454">M2907+N2907+O2907+P2907+Q2907</f>
        <v>4106250</v>
      </c>
      <c r="M2907" s="993">
        <v>4000000</v>
      </c>
      <c r="N2907" s="722">
        <v>106250</v>
      </c>
      <c r="O2907" s="963"/>
      <c r="P2907" s="722"/>
      <c r="Q2907" s="722"/>
      <c r="R2907" s="582">
        <f t="shared" ref="R2907:R2913" si="455">M2907/I2907</f>
        <v>2000000</v>
      </c>
      <c r="S2907" s="965"/>
      <c r="T2907" s="965"/>
      <c r="U2907" s="994"/>
      <c r="V2907" s="965"/>
      <c r="W2907" s="965"/>
      <c r="X2907" s="965"/>
      <c r="Y2907" s="994"/>
      <c r="Z2907" s="718"/>
      <c r="AA2907" s="132"/>
      <c r="AC2907" s="144"/>
    </row>
    <row r="2908" spans="1:29" s="133" customFormat="1" ht="37.5" hidden="1">
      <c r="A2908" s="1154">
        <f t="shared" si="451"/>
        <v>21</v>
      </c>
      <c r="B2908" s="985" t="s">
        <v>4228</v>
      </c>
      <c r="C2908" s="1161" t="s">
        <v>221</v>
      </c>
      <c r="D2908" s="1163">
        <v>16458</v>
      </c>
      <c r="E2908" s="1157">
        <v>4769.8999999999996</v>
      </c>
      <c r="F2908" s="1159" t="s">
        <v>233</v>
      </c>
      <c r="G2908" s="1163">
        <v>704</v>
      </c>
      <c r="H2908" s="1031">
        <v>9</v>
      </c>
      <c r="I2908" s="1031">
        <v>2</v>
      </c>
      <c r="J2908" s="1164">
        <v>72</v>
      </c>
      <c r="K2908" s="991" t="s">
        <v>219</v>
      </c>
      <c r="L2908" s="992">
        <f t="shared" si="454"/>
        <v>4106250</v>
      </c>
      <c r="M2908" s="993">
        <v>4000000</v>
      </c>
      <c r="N2908" s="722">
        <v>106250</v>
      </c>
      <c r="O2908" s="963"/>
      <c r="P2908" s="722"/>
      <c r="Q2908" s="722"/>
      <c r="R2908" s="582">
        <f t="shared" si="455"/>
        <v>2000000</v>
      </c>
      <c r="S2908" s="965"/>
      <c r="T2908" s="965"/>
      <c r="U2908" s="994"/>
      <c r="V2908" s="965"/>
      <c r="W2908" s="965"/>
      <c r="X2908" s="965"/>
      <c r="Y2908" s="994"/>
      <c r="Z2908" s="718"/>
      <c r="AA2908" s="132"/>
      <c r="AC2908" s="144"/>
    </row>
    <row r="2909" spans="1:29" s="133" customFormat="1" ht="37.5" hidden="1">
      <c r="A2909" s="1154">
        <f t="shared" si="451"/>
        <v>22</v>
      </c>
      <c r="B2909" s="1166" t="s">
        <v>4229</v>
      </c>
      <c r="C2909" s="1031" t="s">
        <v>217</v>
      </c>
      <c r="D2909" s="1163">
        <v>16985</v>
      </c>
      <c r="E2909" s="1157">
        <v>4850.8</v>
      </c>
      <c r="F2909" s="1159" t="s">
        <v>233</v>
      </c>
      <c r="G2909" s="1163">
        <v>727</v>
      </c>
      <c r="H2909" s="1031">
        <v>9</v>
      </c>
      <c r="I2909" s="1031">
        <v>2</v>
      </c>
      <c r="J2909" s="1169">
        <v>72</v>
      </c>
      <c r="K2909" s="991" t="s">
        <v>219</v>
      </c>
      <c r="L2909" s="992">
        <f t="shared" si="454"/>
        <v>4106250</v>
      </c>
      <c r="M2909" s="993">
        <v>4000000</v>
      </c>
      <c r="N2909" s="722">
        <v>106250</v>
      </c>
      <c r="O2909" s="963"/>
      <c r="P2909" s="722"/>
      <c r="Q2909" s="722"/>
      <c r="R2909" s="582">
        <f t="shared" si="455"/>
        <v>2000000</v>
      </c>
      <c r="S2909" s="965"/>
      <c r="T2909" s="965"/>
      <c r="U2909" s="994"/>
      <c r="V2909" s="965"/>
      <c r="W2909" s="965"/>
      <c r="X2909" s="965"/>
      <c r="Y2909" s="994"/>
      <c r="Z2909" s="718"/>
      <c r="AA2909" s="132"/>
      <c r="AC2909" s="144"/>
    </row>
    <row r="2910" spans="1:29" s="133" customFormat="1" ht="37.5" hidden="1">
      <c r="A2910" s="1154">
        <f t="shared" si="451"/>
        <v>23</v>
      </c>
      <c r="B2910" s="1166" t="s">
        <v>4230</v>
      </c>
      <c r="C2910" s="1031" t="s">
        <v>217</v>
      </c>
      <c r="D2910" s="1163">
        <v>32361</v>
      </c>
      <c r="E2910" s="1157">
        <v>10019.299999999999</v>
      </c>
      <c r="F2910" s="1159" t="s">
        <v>233</v>
      </c>
      <c r="G2910" s="1163">
        <v>1385.1</v>
      </c>
      <c r="H2910" s="1031">
        <v>9</v>
      </c>
      <c r="I2910" s="1031">
        <v>4</v>
      </c>
      <c r="J2910" s="1169">
        <v>144</v>
      </c>
      <c r="K2910" s="991" t="s">
        <v>219</v>
      </c>
      <c r="L2910" s="992">
        <f t="shared" si="454"/>
        <v>8148750</v>
      </c>
      <c r="M2910" s="993">
        <v>8000000</v>
      </c>
      <c r="N2910" s="722">
        <v>148750</v>
      </c>
      <c r="O2910" s="963"/>
      <c r="P2910" s="722"/>
      <c r="Q2910" s="722"/>
      <c r="R2910" s="582">
        <f t="shared" si="455"/>
        <v>2000000</v>
      </c>
      <c r="S2910" s="965"/>
      <c r="T2910" s="965"/>
      <c r="U2910" s="994"/>
      <c r="V2910" s="965"/>
      <c r="W2910" s="965"/>
      <c r="X2910" s="965"/>
      <c r="Y2910" s="994"/>
      <c r="Z2910" s="718"/>
      <c r="AA2910" s="132"/>
      <c r="AC2910" s="144"/>
    </row>
    <row r="2911" spans="1:29" s="133" customFormat="1" ht="37.5" hidden="1">
      <c r="A2911" s="1154">
        <f t="shared" si="451"/>
        <v>24</v>
      </c>
      <c r="B2911" s="1166" t="s">
        <v>4231</v>
      </c>
      <c r="C2911" s="1031" t="s">
        <v>217</v>
      </c>
      <c r="D2911" s="1163">
        <v>16962</v>
      </c>
      <c r="E2911" s="1157">
        <v>4846.3999999999996</v>
      </c>
      <c r="F2911" s="1159" t="s">
        <v>233</v>
      </c>
      <c r="G2911" s="1163">
        <v>726</v>
      </c>
      <c r="H2911" s="1031">
        <v>9</v>
      </c>
      <c r="I2911" s="1031">
        <v>2</v>
      </c>
      <c r="J2911" s="1169">
        <v>72</v>
      </c>
      <c r="K2911" s="991" t="s">
        <v>219</v>
      </c>
      <c r="L2911" s="992">
        <f t="shared" si="454"/>
        <v>4106250</v>
      </c>
      <c r="M2911" s="993">
        <v>4000000</v>
      </c>
      <c r="N2911" s="722">
        <v>106250</v>
      </c>
      <c r="O2911" s="963"/>
      <c r="P2911" s="722"/>
      <c r="Q2911" s="722"/>
      <c r="R2911" s="582">
        <f t="shared" si="455"/>
        <v>2000000</v>
      </c>
      <c r="S2911" s="965"/>
      <c r="T2911" s="965"/>
      <c r="U2911" s="994"/>
      <c r="V2911" s="965"/>
      <c r="W2911" s="965"/>
      <c r="X2911" s="965"/>
      <c r="Y2911" s="994"/>
      <c r="Z2911" s="718"/>
      <c r="AA2911" s="132"/>
      <c r="AC2911" s="144"/>
    </row>
    <row r="2912" spans="1:29" s="133" customFormat="1" ht="37.5" hidden="1">
      <c r="A2912" s="1154">
        <f t="shared" si="451"/>
        <v>25</v>
      </c>
      <c r="B2912" s="1166" t="s">
        <v>4191</v>
      </c>
      <c r="C2912" s="1031" t="s">
        <v>217</v>
      </c>
      <c r="D2912" s="1031">
        <v>15462</v>
      </c>
      <c r="E2912" s="1031">
        <v>3363</v>
      </c>
      <c r="F2912" s="1031" t="s">
        <v>233</v>
      </c>
      <c r="G2912" s="1031">
        <v>693</v>
      </c>
      <c r="H2912" s="1031">
        <v>9</v>
      </c>
      <c r="I2912" s="1031">
        <v>2</v>
      </c>
      <c r="J2912" s="1031">
        <v>72</v>
      </c>
      <c r="K2912" s="991" t="s">
        <v>219</v>
      </c>
      <c r="L2912" s="992">
        <f t="shared" si="454"/>
        <v>4106250</v>
      </c>
      <c r="M2912" s="993">
        <v>4000000</v>
      </c>
      <c r="N2912" s="722">
        <v>106250</v>
      </c>
      <c r="O2912" s="963"/>
      <c r="P2912" s="722"/>
      <c r="Q2912" s="722"/>
      <c r="R2912" s="582">
        <f t="shared" si="455"/>
        <v>2000000</v>
      </c>
      <c r="S2912" s="965"/>
      <c r="T2912" s="965"/>
      <c r="U2912" s="994"/>
      <c r="V2912" s="965"/>
      <c r="W2912" s="965"/>
      <c r="X2912" s="965"/>
      <c r="Y2912" s="994"/>
      <c r="Z2912" s="718"/>
      <c r="AA2912" s="132"/>
      <c r="AC2912" s="144"/>
    </row>
    <row r="2913" spans="1:29" s="133" customFormat="1" ht="37.5" hidden="1">
      <c r="A2913" s="1154">
        <f t="shared" si="451"/>
        <v>26</v>
      </c>
      <c r="B2913" s="1166" t="s">
        <v>4232</v>
      </c>
      <c r="C2913" s="1161" t="s">
        <v>221</v>
      </c>
      <c r="D2913" s="1163">
        <v>24042</v>
      </c>
      <c r="E2913" s="1157">
        <v>1944</v>
      </c>
      <c r="F2913" s="1159" t="s">
        <v>233</v>
      </c>
      <c r="G2913" s="1163">
        <v>972</v>
      </c>
      <c r="H2913" s="1031">
        <v>9</v>
      </c>
      <c r="I2913" s="1031">
        <v>2</v>
      </c>
      <c r="J2913" s="1159">
        <v>96</v>
      </c>
      <c r="K2913" s="991" t="s">
        <v>219</v>
      </c>
      <c r="L2913" s="992">
        <f t="shared" si="454"/>
        <v>4106250</v>
      </c>
      <c r="M2913" s="993">
        <v>4000000</v>
      </c>
      <c r="N2913" s="722">
        <v>106250</v>
      </c>
      <c r="O2913" s="963"/>
      <c r="P2913" s="722"/>
      <c r="Q2913" s="722"/>
      <c r="R2913" s="582">
        <f t="shared" si="455"/>
        <v>2000000</v>
      </c>
      <c r="S2913" s="965"/>
      <c r="T2913" s="965"/>
      <c r="U2913" s="994"/>
      <c r="V2913" s="965"/>
      <c r="W2913" s="965"/>
      <c r="X2913" s="965"/>
      <c r="Y2913" s="994"/>
      <c r="Z2913" s="718"/>
      <c r="AA2913" s="132"/>
      <c r="AC2913" s="144"/>
    </row>
    <row r="2914" spans="1:29" s="133" customFormat="1" ht="37.5" hidden="1">
      <c r="A2914" s="1154">
        <f t="shared" si="451"/>
        <v>27</v>
      </c>
      <c r="B2914" s="1166" t="s">
        <v>4233</v>
      </c>
      <c r="C2914" s="1031" t="s">
        <v>217</v>
      </c>
      <c r="D2914" s="1031">
        <v>17890</v>
      </c>
      <c r="E2914" s="1031">
        <v>2681.3</v>
      </c>
      <c r="F2914" s="1031" t="s">
        <v>233</v>
      </c>
      <c r="G2914" s="1031">
        <v>425</v>
      </c>
      <c r="H2914" s="1031">
        <v>12</v>
      </c>
      <c r="I2914" s="1031">
        <v>1</v>
      </c>
      <c r="J2914" s="1031">
        <v>48</v>
      </c>
      <c r="K2914" s="991" t="s">
        <v>219</v>
      </c>
      <c r="L2914" s="992">
        <f t="shared" si="454"/>
        <v>4506250</v>
      </c>
      <c r="M2914" s="993">
        <v>4400000</v>
      </c>
      <c r="N2914" s="722">
        <v>106250</v>
      </c>
      <c r="O2914" s="963"/>
      <c r="P2914" s="722"/>
      <c r="Q2914" s="722"/>
      <c r="R2914" s="1160">
        <v>2200000</v>
      </c>
      <c r="S2914" s="965"/>
      <c r="T2914" s="965"/>
      <c r="U2914" s="994"/>
      <c r="V2914" s="965"/>
      <c r="W2914" s="965"/>
      <c r="X2914" s="965"/>
      <c r="Y2914" s="994"/>
      <c r="Z2914" s="718"/>
      <c r="AA2914" s="132"/>
      <c r="AC2914" s="144"/>
    </row>
    <row r="2915" spans="1:29" s="133" customFormat="1" ht="37.5" hidden="1">
      <c r="A2915" s="1154">
        <f t="shared" si="451"/>
        <v>28</v>
      </c>
      <c r="B2915" s="1166" t="s">
        <v>4234</v>
      </c>
      <c r="C2915" s="1031" t="s">
        <v>217</v>
      </c>
      <c r="D2915" s="1031">
        <v>13018</v>
      </c>
      <c r="E2915" s="1031">
        <v>2681.3</v>
      </c>
      <c r="F2915" s="1031" t="s">
        <v>233</v>
      </c>
      <c r="G2915" s="1031">
        <v>424</v>
      </c>
      <c r="H2915" s="1031">
        <v>12</v>
      </c>
      <c r="I2915" s="1031">
        <v>1</v>
      </c>
      <c r="J2915" s="1031">
        <v>48</v>
      </c>
      <c r="K2915" s="991" t="s">
        <v>219</v>
      </c>
      <c r="L2915" s="992">
        <f t="shared" si="454"/>
        <v>4506250</v>
      </c>
      <c r="M2915" s="993">
        <v>4400000</v>
      </c>
      <c r="N2915" s="722">
        <v>106250</v>
      </c>
      <c r="O2915" s="963"/>
      <c r="P2915" s="722"/>
      <c r="Q2915" s="722"/>
      <c r="R2915" s="1160">
        <v>2200000</v>
      </c>
      <c r="S2915" s="965"/>
      <c r="T2915" s="965"/>
      <c r="U2915" s="994"/>
      <c r="V2915" s="965"/>
      <c r="W2915" s="965"/>
      <c r="X2915" s="965"/>
      <c r="Y2915" s="994"/>
      <c r="Z2915" s="718"/>
      <c r="AA2915" s="132"/>
      <c r="AC2915" s="144"/>
    </row>
    <row r="2916" spans="1:29" s="133" customFormat="1" ht="37.5" hidden="1">
      <c r="A2916" s="1154">
        <f t="shared" si="451"/>
        <v>29</v>
      </c>
      <c r="B2916" s="1166" t="s">
        <v>4235</v>
      </c>
      <c r="C2916" s="1031" t="s">
        <v>217</v>
      </c>
      <c r="D2916" s="1031">
        <v>16651</v>
      </c>
      <c r="E2916" s="1031">
        <v>2681.3</v>
      </c>
      <c r="F2916" s="1031" t="s">
        <v>233</v>
      </c>
      <c r="G2916" s="1031">
        <v>713</v>
      </c>
      <c r="H2916" s="1031">
        <v>10</v>
      </c>
      <c r="I2916" s="1031">
        <v>2</v>
      </c>
      <c r="J2916" s="1031">
        <v>78</v>
      </c>
      <c r="K2916" s="991" t="s">
        <v>219</v>
      </c>
      <c r="L2916" s="992">
        <f t="shared" si="454"/>
        <v>4506250</v>
      </c>
      <c r="M2916" s="993">
        <v>4400000</v>
      </c>
      <c r="N2916" s="722">
        <v>106250</v>
      </c>
      <c r="O2916" s="963"/>
      <c r="P2916" s="722"/>
      <c r="Q2916" s="722"/>
      <c r="R2916" s="1160">
        <v>2200000</v>
      </c>
      <c r="S2916" s="965"/>
      <c r="T2916" s="965"/>
      <c r="U2916" s="994"/>
      <c r="V2916" s="965"/>
      <c r="W2916" s="965"/>
      <c r="X2916" s="965"/>
      <c r="Y2916" s="994"/>
      <c r="Z2916" s="718"/>
      <c r="AA2916" s="132"/>
      <c r="AC2916" s="144"/>
    </row>
    <row r="2917" spans="1:29" s="133" customFormat="1" ht="37.5" hidden="1">
      <c r="A2917" s="1154">
        <f t="shared" si="451"/>
        <v>30</v>
      </c>
      <c r="B2917" s="1166" t="s">
        <v>4236</v>
      </c>
      <c r="C2917" s="1031" t="s">
        <v>217</v>
      </c>
      <c r="D2917" s="1031">
        <v>13311</v>
      </c>
      <c r="E2917" s="1031">
        <v>2681.3</v>
      </c>
      <c r="F2917" s="1031" t="s">
        <v>233</v>
      </c>
      <c r="G2917" s="1031">
        <v>429</v>
      </c>
      <c r="H2917" s="1031">
        <v>12</v>
      </c>
      <c r="I2917" s="1031">
        <v>1</v>
      </c>
      <c r="J2917" s="1031">
        <v>48</v>
      </c>
      <c r="K2917" s="991" t="s">
        <v>219</v>
      </c>
      <c r="L2917" s="992">
        <f t="shared" si="454"/>
        <v>4506250</v>
      </c>
      <c r="M2917" s="993">
        <v>4400000</v>
      </c>
      <c r="N2917" s="722">
        <v>106250</v>
      </c>
      <c r="O2917" s="963"/>
      <c r="P2917" s="722"/>
      <c r="Q2917" s="722"/>
      <c r="R2917" s="1160">
        <v>2200000</v>
      </c>
      <c r="S2917" s="965"/>
      <c r="T2917" s="965"/>
      <c r="U2917" s="994"/>
      <c r="V2917" s="965"/>
      <c r="W2917" s="965"/>
      <c r="X2917" s="965"/>
      <c r="Y2917" s="994"/>
      <c r="Z2917" s="718"/>
      <c r="AA2917" s="132"/>
      <c r="AC2917" s="144"/>
    </row>
    <row r="2918" spans="1:29" s="133" customFormat="1" ht="37.5" hidden="1">
      <c r="A2918" s="1154">
        <f t="shared" si="451"/>
        <v>31</v>
      </c>
      <c r="B2918" s="985" t="s">
        <v>2567</v>
      </c>
      <c r="C2918" s="986" t="s">
        <v>217</v>
      </c>
      <c r="D2918" s="1167">
        <v>41268</v>
      </c>
      <c r="E2918" s="1170">
        <v>2799</v>
      </c>
      <c r="F2918" s="987" t="s">
        <v>233</v>
      </c>
      <c r="G2918" s="1168">
        <v>1634</v>
      </c>
      <c r="H2918" s="987">
        <v>9</v>
      </c>
      <c r="I2918" s="987">
        <v>2</v>
      </c>
      <c r="J2918" s="990">
        <v>100</v>
      </c>
      <c r="K2918" s="991" t="s">
        <v>219</v>
      </c>
      <c r="L2918" s="992">
        <f>M2918+N2918+O2918+P2918+Q2918+M2919+N2919+O2919+P2919+Q2919</f>
        <v>7355850</v>
      </c>
      <c r="M2918" s="993">
        <v>4000000</v>
      </c>
      <c r="N2918" s="722">
        <v>106250</v>
      </c>
      <c r="O2918" s="963"/>
      <c r="P2918" s="722"/>
      <c r="Q2918" s="722"/>
      <c r="R2918" s="582">
        <f>M2918/I2918</f>
        <v>2000000</v>
      </c>
      <c r="S2918" s="965"/>
      <c r="T2918" s="965"/>
      <c r="U2918" s="994"/>
      <c r="V2918" s="965"/>
      <c r="W2918" s="965"/>
      <c r="X2918" s="965"/>
      <c r="Y2918" s="994"/>
      <c r="Z2918" s="718"/>
      <c r="AA2918" s="132"/>
      <c r="AC2918" s="144"/>
    </row>
    <row r="2919" spans="1:29" s="75" customFormat="1" ht="37.5" hidden="1">
      <c r="A2919" s="709"/>
      <c r="B2919" s="592"/>
      <c r="C2919" s="593"/>
      <c r="D2919" s="594"/>
      <c r="E2919" s="594"/>
      <c r="F2919" s="594"/>
      <c r="G2919" s="594"/>
      <c r="H2919" s="594"/>
      <c r="I2919" s="594"/>
      <c r="J2919" s="594"/>
      <c r="K2919" s="590" t="s">
        <v>30</v>
      </c>
      <c r="L2919" s="595"/>
      <c r="M2919" s="596">
        <v>3200000</v>
      </c>
      <c r="N2919" s="597"/>
      <c r="O2919" s="598">
        <f>M2919*0.3%</f>
        <v>9600</v>
      </c>
      <c r="P2919" s="597"/>
      <c r="Q2919" s="597">
        <v>40000</v>
      </c>
      <c r="R2919" s="599">
        <f>M2919/J2918</f>
        <v>32000</v>
      </c>
      <c r="S2919" s="594"/>
      <c r="T2919" s="600"/>
      <c r="U2919" s="709"/>
      <c r="V2919" s="601"/>
      <c r="W2919" s="601"/>
      <c r="X2919" s="601"/>
      <c r="Y2919" s="601"/>
      <c r="Z2919" s="601"/>
    </row>
    <row r="2920" spans="1:29" s="133" customFormat="1" ht="37.5" hidden="1">
      <c r="A2920" s="1154">
        <f>A2918+1</f>
        <v>32</v>
      </c>
      <c r="B2920" s="985" t="s">
        <v>4238</v>
      </c>
      <c r="C2920" s="986" t="s">
        <v>217</v>
      </c>
      <c r="D2920" s="987">
        <v>23327</v>
      </c>
      <c r="E2920" s="988">
        <v>5250</v>
      </c>
      <c r="F2920" s="987" t="s">
        <v>233</v>
      </c>
      <c r="G2920" s="989">
        <v>1002</v>
      </c>
      <c r="H2920" s="987">
        <v>9</v>
      </c>
      <c r="I2920" s="987">
        <v>3</v>
      </c>
      <c r="J2920" s="990">
        <v>108</v>
      </c>
      <c r="K2920" s="991" t="s">
        <v>219</v>
      </c>
      <c r="L2920" s="992">
        <f t="shared" ref="L2920:L2925" si="456">M2920+N2920+O2920+P2920+Q2920</f>
        <v>6127500</v>
      </c>
      <c r="M2920" s="993">
        <v>6000000</v>
      </c>
      <c r="N2920" s="722">
        <v>127500</v>
      </c>
      <c r="O2920" s="963"/>
      <c r="P2920" s="722"/>
      <c r="Q2920" s="722"/>
      <c r="R2920" s="582">
        <f>M2920/I2920</f>
        <v>2000000</v>
      </c>
      <c r="S2920" s="965"/>
      <c r="T2920" s="965"/>
      <c r="U2920" s="994"/>
      <c r="V2920" s="965"/>
      <c r="W2920" s="965"/>
      <c r="X2920" s="965"/>
      <c r="Y2920" s="994"/>
      <c r="Z2920" s="718"/>
      <c r="AA2920" s="132"/>
      <c r="AC2920" s="144"/>
    </row>
    <row r="2921" spans="1:29" s="133" customFormat="1" ht="37.5" hidden="1">
      <c r="A2921" s="1154">
        <f t="shared" si="451"/>
        <v>33</v>
      </c>
      <c r="B2921" s="985" t="s">
        <v>4239</v>
      </c>
      <c r="C2921" s="986" t="s">
        <v>217</v>
      </c>
      <c r="D2921" s="987">
        <v>47198</v>
      </c>
      <c r="E2921" s="988">
        <v>9750</v>
      </c>
      <c r="F2921" s="987" t="s">
        <v>233</v>
      </c>
      <c r="G2921" s="1168">
        <v>1836</v>
      </c>
      <c r="H2921" s="987">
        <v>9</v>
      </c>
      <c r="I2921" s="987">
        <v>6</v>
      </c>
      <c r="J2921" s="990">
        <v>215</v>
      </c>
      <c r="K2921" s="991" t="s">
        <v>219</v>
      </c>
      <c r="L2921" s="992">
        <f t="shared" si="456"/>
        <v>12191250</v>
      </c>
      <c r="M2921" s="993">
        <v>12000000</v>
      </c>
      <c r="N2921" s="722">
        <v>191250</v>
      </c>
      <c r="O2921" s="963"/>
      <c r="P2921" s="722"/>
      <c r="Q2921" s="722"/>
      <c r="R2921" s="582">
        <f>M2921/I2921</f>
        <v>2000000</v>
      </c>
      <c r="S2921" s="965"/>
      <c r="T2921" s="965"/>
      <c r="U2921" s="994"/>
      <c r="V2921" s="965"/>
      <c r="W2921" s="965"/>
      <c r="X2921" s="965"/>
      <c r="Y2921" s="994"/>
      <c r="Z2921" s="718"/>
      <c r="AA2921" s="132"/>
      <c r="AC2921" s="144"/>
    </row>
    <row r="2922" spans="1:29" s="133" customFormat="1" ht="37.5" hidden="1">
      <c r="A2922" s="1154">
        <f t="shared" si="451"/>
        <v>34</v>
      </c>
      <c r="B2922" s="985" t="s">
        <v>4240</v>
      </c>
      <c r="C2922" s="986" t="s">
        <v>217</v>
      </c>
      <c r="D2922" s="987">
        <v>16621</v>
      </c>
      <c r="E2922" s="1171">
        <v>3750</v>
      </c>
      <c r="F2922" s="987" t="s">
        <v>233</v>
      </c>
      <c r="G2922" s="1168">
        <v>674</v>
      </c>
      <c r="H2922" s="987">
        <v>9</v>
      </c>
      <c r="I2922" s="987">
        <v>2</v>
      </c>
      <c r="J2922" s="990">
        <v>72</v>
      </c>
      <c r="K2922" s="991" t="s">
        <v>219</v>
      </c>
      <c r="L2922" s="992">
        <f t="shared" si="456"/>
        <v>2085000</v>
      </c>
      <c r="M2922" s="993">
        <v>2000000</v>
      </c>
      <c r="N2922" s="722">
        <v>85000</v>
      </c>
      <c r="O2922" s="963"/>
      <c r="P2922" s="722"/>
      <c r="Q2922" s="722"/>
      <c r="R2922" s="582">
        <f>M2922</f>
        <v>2000000</v>
      </c>
      <c r="S2922" s="965"/>
      <c r="T2922" s="965"/>
      <c r="U2922" s="994"/>
      <c r="V2922" s="965"/>
      <c r="W2922" s="965"/>
      <c r="X2922" s="965"/>
      <c r="Y2922" s="994"/>
      <c r="Z2922" s="718"/>
      <c r="AA2922" s="132"/>
      <c r="AC2922" s="144"/>
    </row>
    <row r="2923" spans="1:29" s="133" customFormat="1" ht="37.5" hidden="1">
      <c r="A2923" s="1154">
        <f t="shared" si="451"/>
        <v>35</v>
      </c>
      <c r="B2923" s="985" t="s">
        <v>1653</v>
      </c>
      <c r="C2923" s="986" t="s">
        <v>217</v>
      </c>
      <c r="D2923" s="987">
        <v>13256</v>
      </c>
      <c r="E2923" s="988">
        <v>2250</v>
      </c>
      <c r="F2923" s="987" t="s">
        <v>233</v>
      </c>
      <c r="G2923" s="989">
        <v>523</v>
      </c>
      <c r="H2923" s="987">
        <v>9</v>
      </c>
      <c r="I2923" s="987">
        <v>1</v>
      </c>
      <c r="J2923" s="990">
        <v>147</v>
      </c>
      <c r="K2923" s="991" t="s">
        <v>219</v>
      </c>
      <c r="L2923" s="992">
        <f t="shared" si="456"/>
        <v>2085000</v>
      </c>
      <c r="M2923" s="993">
        <v>2000000</v>
      </c>
      <c r="N2923" s="722">
        <v>85000</v>
      </c>
      <c r="O2923" s="963"/>
      <c r="P2923" s="722"/>
      <c r="Q2923" s="722"/>
      <c r="R2923" s="582">
        <f>M2923/I2923</f>
        <v>2000000</v>
      </c>
      <c r="S2923" s="965"/>
      <c r="T2923" s="965"/>
      <c r="U2923" s="994"/>
      <c r="V2923" s="965"/>
      <c r="W2923" s="965"/>
      <c r="X2923" s="965"/>
      <c r="Y2923" s="994"/>
      <c r="Z2923" s="718"/>
      <c r="AA2923" s="132"/>
      <c r="AC2923" s="144"/>
    </row>
    <row r="2924" spans="1:29" s="133" customFormat="1" ht="37.5" hidden="1">
      <c r="A2924" s="1154">
        <f t="shared" si="451"/>
        <v>36</v>
      </c>
      <c r="B2924" s="985" t="s">
        <v>4241</v>
      </c>
      <c r="C2924" s="986" t="s">
        <v>217</v>
      </c>
      <c r="D2924" s="987">
        <v>17677</v>
      </c>
      <c r="E2924" s="988">
        <v>3250</v>
      </c>
      <c r="F2924" s="987" t="s">
        <v>233</v>
      </c>
      <c r="G2924" s="989">
        <v>694</v>
      </c>
      <c r="H2924" s="987">
        <v>9</v>
      </c>
      <c r="I2924" s="987">
        <v>2</v>
      </c>
      <c r="J2924" s="990">
        <v>72</v>
      </c>
      <c r="K2924" s="991" t="s">
        <v>219</v>
      </c>
      <c r="L2924" s="992">
        <f t="shared" si="456"/>
        <v>2085000</v>
      </c>
      <c r="M2924" s="993">
        <v>2000000</v>
      </c>
      <c r="N2924" s="722">
        <v>85000</v>
      </c>
      <c r="O2924" s="963"/>
      <c r="P2924" s="722"/>
      <c r="Q2924" s="722"/>
      <c r="R2924" s="582">
        <f>M2924</f>
        <v>2000000</v>
      </c>
      <c r="S2924" s="965"/>
      <c r="T2924" s="965"/>
      <c r="U2924" s="994"/>
      <c r="V2924" s="965"/>
      <c r="W2924" s="965"/>
      <c r="X2924" s="965"/>
      <c r="Y2924" s="994"/>
      <c r="Z2924" s="718"/>
      <c r="AA2924" s="132"/>
      <c r="AC2924" s="144"/>
    </row>
    <row r="2925" spans="1:29" s="133" customFormat="1" ht="37.5" hidden="1">
      <c r="A2925" s="1154">
        <f t="shared" si="451"/>
        <v>37</v>
      </c>
      <c r="B2925" s="985" t="s">
        <v>4242</v>
      </c>
      <c r="C2925" s="1031" t="s">
        <v>217</v>
      </c>
      <c r="D2925" s="1031">
        <v>13248</v>
      </c>
      <c r="E2925" s="1031">
        <v>2230</v>
      </c>
      <c r="F2925" s="1031" t="s">
        <v>233</v>
      </c>
      <c r="G2925" s="1031">
        <v>408</v>
      </c>
      <c r="H2925" s="1031">
        <v>12</v>
      </c>
      <c r="I2925" s="1031">
        <v>1</v>
      </c>
      <c r="J2925" s="1031">
        <v>48</v>
      </c>
      <c r="K2925" s="991" t="s">
        <v>219</v>
      </c>
      <c r="L2925" s="992">
        <f t="shared" si="456"/>
        <v>4506250</v>
      </c>
      <c r="M2925" s="993">
        <v>4400000</v>
      </c>
      <c r="N2925" s="722">
        <v>106250</v>
      </c>
      <c r="O2925" s="963"/>
      <c r="P2925" s="722"/>
      <c r="Q2925" s="722"/>
      <c r="R2925" s="1160">
        <v>2200000</v>
      </c>
      <c r="S2925" s="965"/>
      <c r="T2925" s="965"/>
      <c r="U2925" s="994"/>
      <c r="V2925" s="965"/>
      <c r="W2925" s="965"/>
      <c r="X2925" s="965"/>
      <c r="Y2925" s="994"/>
      <c r="Z2925" s="718"/>
      <c r="AA2925" s="132"/>
      <c r="AC2925" s="144"/>
    </row>
    <row r="2926" spans="1:29" s="133" customFormat="1" ht="37.5" hidden="1">
      <c r="A2926" s="1154">
        <f t="shared" si="451"/>
        <v>38</v>
      </c>
      <c r="B2926" s="985" t="s">
        <v>2653</v>
      </c>
      <c r="C2926" s="986" t="s">
        <v>217</v>
      </c>
      <c r="D2926" s="1167">
        <v>16045</v>
      </c>
      <c r="E2926" s="988">
        <v>2727</v>
      </c>
      <c r="F2926" s="987" t="s">
        <v>233</v>
      </c>
      <c r="G2926" s="1168">
        <v>700</v>
      </c>
      <c r="H2926" s="987">
        <v>9</v>
      </c>
      <c r="I2926" s="987">
        <v>2</v>
      </c>
      <c r="J2926" s="990">
        <v>72</v>
      </c>
      <c r="K2926" s="991" t="s">
        <v>219</v>
      </c>
      <c r="L2926" s="992">
        <f>M2926+N2926+O2926+P2926+Q2926+M2927+N2927+O2927+P2927+Q2927</f>
        <v>5612118</v>
      </c>
      <c r="M2926" s="993">
        <v>4000000</v>
      </c>
      <c r="N2926" s="722">
        <v>106250</v>
      </c>
      <c r="O2926" s="963"/>
      <c r="P2926" s="722"/>
      <c r="Q2926" s="722"/>
      <c r="R2926" s="582">
        <f>M2926/I2926</f>
        <v>2000000</v>
      </c>
      <c r="S2926" s="965"/>
      <c r="T2926" s="965"/>
      <c r="U2926" s="994"/>
      <c r="V2926" s="965"/>
      <c r="W2926" s="965"/>
      <c r="X2926" s="965"/>
      <c r="Y2926" s="994"/>
      <c r="Z2926" s="718"/>
      <c r="AA2926" s="132"/>
      <c r="AC2926" s="144"/>
    </row>
    <row r="2927" spans="1:29" s="75" customFormat="1" hidden="1">
      <c r="A2927" s="709"/>
      <c r="B2927" s="592"/>
      <c r="C2927" s="593"/>
      <c r="D2927" s="594"/>
      <c r="E2927" s="594"/>
      <c r="F2927" s="594"/>
      <c r="G2927" s="594"/>
      <c r="H2927" s="594"/>
      <c r="I2927" s="594"/>
      <c r="J2927" s="594"/>
      <c r="K2927" s="590" t="s">
        <v>33</v>
      </c>
      <c r="L2927" s="595"/>
      <c r="M2927" s="596">
        <v>1470000</v>
      </c>
      <c r="N2927" s="597"/>
      <c r="O2927" s="598">
        <v>4410</v>
      </c>
      <c r="P2927" s="597"/>
      <c r="Q2927" s="597">
        <v>31458</v>
      </c>
      <c r="R2927" s="599">
        <f>M2927/J2926</f>
        <v>20416.666666666668</v>
      </c>
      <c r="S2927" s="594"/>
      <c r="T2927" s="600"/>
      <c r="U2927" s="709"/>
      <c r="V2927" s="601"/>
      <c r="W2927" s="601"/>
      <c r="X2927" s="601"/>
      <c r="Y2927" s="601"/>
      <c r="Z2927" s="601"/>
    </row>
    <row r="2928" spans="1:29" s="133" customFormat="1" ht="37.5" hidden="1">
      <c r="A2928" s="1154">
        <f>A2926+1</f>
        <v>39</v>
      </c>
      <c r="B2928" s="985" t="s">
        <v>3401</v>
      </c>
      <c r="C2928" s="986" t="s">
        <v>217</v>
      </c>
      <c r="D2928" s="987">
        <v>10824</v>
      </c>
      <c r="E2928" s="988">
        <v>2250</v>
      </c>
      <c r="F2928" s="987" t="s">
        <v>233</v>
      </c>
      <c r="G2928" s="989">
        <v>400</v>
      </c>
      <c r="H2928" s="987">
        <v>9</v>
      </c>
      <c r="I2928" s="987">
        <v>1</v>
      </c>
      <c r="J2928" s="990">
        <v>103</v>
      </c>
      <c r="K2928" s="991" t="s">
        <v>219</v>
      </c>
      <c r="L2928" s="992">
        <f t="shared" ref="L2928:L2958" si="457">M2928+N2928+O2928+P2928+Q2928</f>
        <v>2085000</v>
      </c>
      <c r="M2928" s="993">
        <v>2000000</v>
      </c>
      <c r="N2928" s="722">
        <v>85000</v>
      </c>
      <c r="O2928" s="963"/>
      <c r="P2928" s="722"/>
      <c r="Q2928" s="722"/>
      <c r="R2928" s="582">
        <f>M2928/I2928</f>
        <v>2000000</v>
      </c>
      <c r="S2928" s="965"/>
      <c r="T2928" s="965"/>
      <c r="U2928" s="994"/>
      <c r="V2928" s="965"/>
      <c r="W2928" s="965"/>
      <c r="X2928" s="965"/>
      <c r="Y2928" s="994"/>
      <c r="Z2928" s="718"/>
      <c r="AA2928" s="132"/>
      <c r="AC2928" s="144"/>
    </row>
    <row r="2929" spans="1:29" s="133" customFormat="1" ht="37.5" hidden="1">
      <c r="A2929" s="1154">
        <f t="shared" si="451"/>
        <v>40</v>
      </c>
      <c r="B2929" s="985" t="s">
        <v>3855</v>
      </c>
      <c r="C2929" s="986" t="s">
        <v>217</v>
      </c>
      <c r="D2929" s="987">
        <v>30739</v>
      </c>
      <c r="E2929" s="988">
        <v>6804</v>
      </c>
      <c r="F2929" s="987" t="s">
        <v>233</v>
      </c>
      <c r="G2929" s="1168">
        <v>1364</v>
      </c>
      <c r="H2929" s="987">
        <v>9</v>
      </c>
      <c r="I2929" s="987">
        <v>4</v>
      </c>
      <c r="J2929" s="990">
        <v>420</v>
      </c>
      <c r="K2929" s="991" t="s">
        <v>219</v>
      </c>
      <c r="L2929" s="992">
        <f t="shared" si="457"/>
        <v>8148750</v>
      </c>
      <c r="M2929" s="993">
        <v>8000000</v>
      </c>
      <c r="N2929" s="722">
        <v>148750</v>
      </c>
      <c r="O2929" s="963"/>
      <c r="P2929" s="722"/>
      <c r="Q2929" s="722"/>
      <c r="R2929" s="582">
        <f>M2929/I2929</f>
        <v>2000000</v>
      </c>
      <c r="S2929" s="965"/>
      <c r="T2929" s="965"/>
      <c r="U2929" s="994"/>
      <c r="V2929" s="965"/>
      <c r="W2929" s="965"/>
      <c r="X2929" s="965"/>
      <c r="Y2929" s="994"/>
      <c r="Z2929" s="718"/>
      <c r="AA2929" s="132"/>
      <c r="AC2929" s="144"/>
    </row>
    <row r="2930" spans="1:29" s="133" customFormat="1" ht="37.5" hidden="1">
      <c r="A2930" s="1154">
        <f t="shared" si="451"/>
        <v>41</v>
      </c>
      <c r="B2930" s="985" t="s">
        <v>4243</v>
      </c>
      <c r="C2930" s="986" t="s">
        <v>217</v>
      </c>
      <c r="D2930" s="987">
        <v>15815</v>
      </c>
      <c r="E2930" s="988">
        <v>1146.9000000000001</v>
      </c>
      <c r="F2930" s="987" t="s">
        <v>233</v>
      </c>
      <c r="G2930" s="989">
        <v>686</v>
      </c>
      <c r="H2930" s="987">
        <v>9</v>
      </c>
      <c r="I2930" s="987">
        <v>2</v>
      </c>
      <c r="J2930" s="990">
        <v>72</v>
      </c>
      <c r="K2930" s="991" t="s">
        <v>219</v>
      </c>
      <c r="L2930" s="992">
        <f t="shared" si="457"/>
        <v>4106250</v>
      </c>
      <c r="M2930" s="993">
        <v>4000000</v>
      </c>
      <c r="N2930" s="722">
        <v>106250</v>
      </c>
      <c r="O2930" s="963"/>
      <c r="P2930" s="722"/>
      <c r="Q2930" s="722"/>
      <c r="R2930" s="582">
        <f>M2930/I2930</f>
        <v>2000000</v>
      </c>
      <c r="S2930" s="965"/>
      <c r="T2930" s="965"/>
      <c r="U2930" s="994"/>
      <c r="V2930" s="965"/>
      <c r="W2930" s="965"/>
      <c r="X2930" s="965"/>
      <c r="Y2930" s="994"/>
      <c r="Z2930" s="718"/>
      <c r="AA2930" s="132"/>
      <c r="AC2930" s="144"/>
    </row>
    <row r="2931" spans="1:29" s="133" customFormat="1" ht="37.5" hidden="1">
      <c r="A2931" s="1154">
        <f t="shared" si="451"/>
        <v>42</v>
      </c>
      <c r="B2931" s="985" t="s">
        <v>690</v>
      </c>
      <c r="C2931" s="986" t="s">
        <v>217</v>
      </c>
      <c r="D2931" s="987">
        <v>25735</v>
      </c>
      <c r="E2931" s="988">
        <v>4266</v>
      </c>
      <c r="F2931" s="987" t="s">
        <v>233</v>
      </c>
      <c r="G2931" s="989">
        <v>1011</v>
      </c>
      <c r="H2931" s="987">
        <v>9</v>
      </c>
      <c r="I2931" s="987">
        <v>3</v>
      </c>
      <c r="J2931" s="990">
        <v>107</v>
      </c>
      <c r="K2931" s="991" t="s">
        <v>219</v>
      </c>
      <c r="L2931" s="992">
        <f t="shared" si="457"/>
        <v>6127500</v>
      </c>
      <c r="M2931" s="993">
        <v>6000000</v>
      </c>
      <c r="N2931" s="722">
        <v>127500</v>
      </c>
      <c r="O2931" s="963"/>
      <c r="P2931" s="722"/>
      <c r="Q2931" s="722"/>
      <c r="R2931" s="582">
        <f>M2931/I2931</f>
        <v>2000000</v>
      </c>
      <c r="S2931" s="965"/>
      <c r="T2931" s="965"/>
      <c r="U2931" s="994"/>
      <c r="V2931" s="965"/>
      <c r="W2931" s="965"/>
      <c r="X2931" s="965"/>
      <c r="Y2931" s="994"/>
      <c r="Z2931" s="718"/>
      <c r="AA2931" s="132"/>
      <c r="AC2931" s="144"/>
    </row>
    <row r="2932" spans="1:29" s="133" customFormat="1" ht="37.5" hidden="1">
      <c r="A2932" s="1154">
        <f t="shared" si="451"/>
        <v>43</v>
      </c>
      <c r="B2932" s="985" t="s">
        <v>3835</v>
      </c>
      <c r="C2932" s="1161" t="s">
        <v>271</v>
      </c>
      <c r="D2932" s="1031">
        <v>51687</v>
      </c>
      <c r="E2932" s="1172">
        <v>6500</v>
      </c>
      <c r="F2932" s="1159" t="s">
        <v>233</v>
      </c>
      <c r="G2932" s="1033">
        <v>2215</v>
      </c>
      <c r="H2932" s="1033">
        <v>9</v>
      </c>
      <c r="I2932" s="1031">
        <v>5</v>
      </c>
      <c r="J2932" s="1031">
        <v>270</v>
      </c>
      <c r="K2932" s="991" t="s">
        <v>219</v>
      </c>
      <c r="L2932" s="992">
        <f t="shared" si="457"/>
        <v>10170000</v>
      </c>
      <c r="M2932" s="993">
        <v>10000000</v>
      </c>
      <c r="N2932" s="722">
        <v>170000</v>
      </c>
      <c r="O2932" s="963"/>
      <c r="P2932" s="722"/>
      <c r="Q2932" s="722"/>
      <c r="R2932" s="582">
        <f>M2932/I2932</f>
        <v>2000000</v>
      </c>
      <c r="S2932" s="965"/>
      <c r="T2932" s="965"/>
      <c r="U2932" s="994"/>
      <c r="V2932" s="965"/>
      <c r="W2932" s="965"/>
      <c r="X2932" s="965"/>
      <c r="Y2932" s="994"/>
      <c r="Z2932" s="718"/>
      <c r="AA2932" s="132"/>
      <c r="AC2932" s="144"/>
    </row>
    <row r="2933" spans="1:29" s="133" customFormat="1" ht="37.5" hidden="1">
      <c r="A2933" s="1154">
        <f t="shared" si="451"/>
        <v>44</v>
      </c>
      <c r="B2933" s="1166" t="s">
        <v>4244</v>
      </c>
      <c r="C2933" s="1031" t="s">
        <v>217</v>
      </c>
      <c r="D2933" s="1031">
        <v>17772</v>
      </c>
      <c r="E2933" s="1031">
        <v>2300</v>
      </c>
      <c r="F2933" s="1031" t="s">
        <v>233</v>
      </c>
      <c r="G2933" s="1031">
        <v>3905</v>
      </c>
      <c r="H2933" s="1031">
        <v>12</v>
      </c>
      <c r="I2933" s="1031">
        <v>1</v>
      </c>
      <c r="J2933" s="1031">
        <v>48</v>
      </c>
      <c r="K2933" s="991" t="s">
        <v>219</v>
      </c>
      <c r="L2933" s="992">
        <f t="shared" si="457"/>
        <v>2285000</v>
      </c>
      <c r="M2933" s="993">
        <v>2200000</v>
      </c>
      <c r="N2933" s="722">
        <v>85000</v>
      </c>
      <c r="O2933" s="963"/>
      <c r="P2933" s="722"/>
      <c r="Q2933" s="722"/>
      <c r="R2933" s="1160">
        <v>2200000</v>
      </c>
      <c r="S2933" s="965"/>
      <c r="T2933" s="965"/>
      <c r="U2933" s="994"/>
      <c r="V2933" s="965"/>
      <c r="W2933" s="965"/>
      <c r="X2933" s="965"/>
      <c r="Y2933" s="994"/>
      <c r="Z2933" s="718"/>
      <c r="AA2933" s="132"/>
      <c r="AC2933" s="144"/>
    </row>
    <row r="2934" spans="1:29" s="133" customFormat="1" ht="37.5" hidden="1">
      <c r="A2934" s="1154">
        <f t="shared" si="451"/>
        <v>45</v>
      </c>
      <c r="B2934" s="1166" t="s">
        <v>4245</v>
      </c>
      <c r="C2934" s="1031" t="s">
        <v>221</v>
      </c>
      <c r="D2934" s="1031">
        <v>48587</v>
      </c>
      <c r="E2934" s="1031">
        <v>5432.2</v>
      </c>
      <c r="F2934" s="1031" t="s">
        <v>233</v>
      </c>
      <c r="G2934" s="1031">
        <v>2128</v>
      </c>
      <c r="H2934" s="1031">
        <v>9</v>
      </c>
      <c r="I2934" s="1031">
        <v>4</v>
      </c>
      <c r="J2934" s="1031">
        <v>136</v>
      </c>
      <c r="K2934" s="991" t="s">
        <v>219</v>
      </c>
      <c r="L2934" s="992">
        <f t="shared" si="457"/>
        <v>8148750</v>
      </c>
      <c r="M2934" s="993">
        <v>8000000</v>
      </c>
      <c r="N2934" s="722">
        <v>148750</v>
      </c>
      <c r="O2934" s="963"/>
      <c r="P2934" s="722"/>
      <c r="Q2934" s="722"/>
      <c r="R2934" s="582">
        <f>M2934/I2934</f>
        <v>2000000</v>
      </c>
      <c r="S2934" s="965"/>
      <c r="T2934" s="965"/>
      <c r="U2934" s="994"/>
      <c r="V2934" s="965"/>
      <c r="W2934" s="965"/>
      <c r="X2934" s="965"/>
      <c r="Y2934" s="994"/>
      <c r="Z2934" s="718"/>
      <c r="AA2934" s="132"/>
      <c r="AC2934" s="144"/>
    </row>
    <row r="2935" spans="1:29" s="133" customFormat="1" ht="37.5" hidden="1">
      <c r="A2935" s="1154">
        <f t="shared" si="451"/>
        <v>46</v>
      </c>
      <c r="B2935" s="1166" t="s">
        <v>4246</v>
      </c>
      <c r="C2935" s="1031" t="s">
        <v>221</v>
      </c>
      <c r="D2935" s="1031">
        <v>51012</v>
      </c>
      <c r="E2935" s="1031">
        <v>5421.3</v>
      </c>
      <c r="F2935" s="1031" t="s">
        <v>233</v>
      </c>
      <c r="G2935" s="1031">
        <v>1555</v>
      </c>
      <c r="H2935" s="1031">
        <v>10</v>
      </c>
      <c r="I2935" s="1031">
        <v>4</v>
      </c>
      <c r="J2935" s="1031">
        <v>136</v>
      </c>
      <c r="K2935" s="991" t="s">
        <v>219</v>
      </c>
      <c r="L2935" s="992">
        <f t="shared" si="457"/>
        <v>8948750</v>
      </c>
      <c r="M2935" s="993">
        <v>8800000</v>
      </c>
      <c r="N2935" s="722">
        <v>148750</v>
      </c>
      <c r="O2935" s="963"/>
      <c r="P2935" s="722"/>
      <c r="Q2935" s="722"/>
      <c r="R2935" s="1160">
        <v>2200000</v>
      </c>
      <c r="S2935" s="965"/>
      <c r="T2935" s="965"/>
      <c r="U2935" s="994"/>
      <c r="V2935" s="965"/>
      <c r="W2935" s="965"/>
      <c r="X2935" s="965"/>
      <c r="Y2935" s="994"/>
      <c r="Z2935" s="718"/>
      <c r="AA2935" s="132"/>
      <c r="AC2935" s="144"/>
    </row>
    <row r="2936" spans="1:29" s="133" customFormat="1" ht="37.5" hidden="1">
      <c r="A2936" s="1154">
        <f t="shared" si="451"/>
        <v>47</v>
      </c>
      <c r="B2936" s="1166" t="s">
        <v>4247</v>
      </c>
      <c r="C2936" s="1031" t="s">
        <v>221</v>
      </c>
      <c r="D2936" s="1031">
        <v>12752</v>
      </c>
      <c r="E2936" s="1031">
        <v>2668</v>
      </c>
      <c r="F2936" s="1031" t="s">
        <v>233</v>
      </c>
      <c r="G2936" s="1031">
        <v>439</v>
      </c>
      <c r="H2936" s="1031">
        <v>9</v>
      </c>
      <c r="I2936" s="1031">
        <v>1</v>
      </c>
      <c r="J2936" s="1031">
        <v>32</v>
      </c>
      <c r="K2936" s="991" t="s">
        <v>219</v>
      </c>
      <c r="L2936" s="992">
        <f t="shared" si="457"/>
        <v>2085000</v>
      </c>
      <c r="M2936" s="993">
        <v>2000000</v>
      </c>
      <c r="N2936" s="722">
        <v>85000</v>
      </c>
      <c r="O2936" s="963"/>
      <c r="P2936" s="722"/>
      <c r="Q2936" s="722"/>
      <c r="R2936" s="582">
        <f t="shared" ref="R2936:R2949" si="458">M2936/I2936</f>
        <v>2000000</v>
      </c>
      <c r="S2936" s="965"/>
      <c r="T2936" s="965"/>
      <c r="U2936" s="994"/>
      <c r="V2936" s="965"/>
      <c r="W2936" s="965"/>
      <c r="X2936" s="965"/>
      <c r="Y2936" s="994"/>
      <c r="Z2936" s="718"/>
      <c r="AA2936" s="132"/>
      <c r="AC2936" s="144"/>
    </row>
    <row r="2937" spans="1:29" s="133" customFormat="1" ht="37.5" hidden="1">
      <c r="A2937" s="1154">
        <f t="shared" si="451"/>
        <v>48</v>
      </c>
      <c r="B2937" s="1166" t="s">
        <v>4248</v>
      </c>
      <c r="C2937" s="1031" t="s">
        <v>221</v>
      </c>
      <c r="D2937" s="1031">
        <v>12561</v>
      </c>
      <c r="E2937" s="1031">
        <v>2688</v>
      </c>
      <c r="F2937" s="1031" t="s">
        <v>233</v>
      </c>
      <c r="G2937" s="1031">
        <v>441</v>
      </c>
      <c r="H2937" s="1031">
        <v>9</v>
      </c>
      <c r="I2937" s="1031">
        <v>1</v>
      </c>
      <c r="J2937" s="1031">
        <v>32</v>
      </c>
      <c r="K2937" s="991" t="s">
        <v>219</v>
      </c>
      <c r="L2937" s="992">
        <f t="shared" si="457"/>
        <v>2085000</v>
      </c>
      <c r="M2937" s="993">
        <v>2000000</v>
      </c>
      <c r="N2937" s="722">
        <v>85000</v>
      </c>
      <c r="O2937" s="963"/>
      <c r="P2937" s="722"/>
      <c r="Q2937" s="722"/>
      <c r="R2937" s="582">
        <f t="shared" si="458"/>
        <v>2000000</v>
      </c>
      <c r="S2937" s="965"/>
      <c r="T2937" s="965"/>
      <c r="U2937" s="994"/>
      <c r="V2937" s="965"/>
      <c r="W2937" s="965"/>
      <c r="X2937" s="965"/>
      <c r="Y2937" s="994"/>
      <c r="Z2937" s="718"/>
      <c r="AA2937" s="132"/>
      <c r="AC2937" s="144"/>
    </row>
    <row r="2938" spans="1:29" s="133" customFormat="1" ht="37.5" hidden="1">
      <c r="A2938" s="1154">
        <f t="shared" si="451"/>
        <v>49</v>
      </c>
      <c r="B2938" s="985" t="s">
        <v>4249</v>
      </c>
      <c r="C2938" s="986" t="s">
        <v>217</v>
      </c>
      <c r="D2938" s="987">
        <v>16550</v>
      </c>
      <c r="E2938" s="988">
        <v>1146.9000000000001</v>
      </c>
      <c r="F2938" s="987" t="s">
        <v>233</v>
      </c>
      <c r="G2938" s="1168">
        <v>698</v>
      </c>
      <c r="H2938" s="987">
        <v>9</v>
      </c>
      <c r="I2938" s="987">
        <v>2</v>
      </c>
      <c r="J2938" s="990">
        <v>72</v>
      </c>
      <c r="K2938" s="991" t="s">
        <v>219</v>
      </c>
      <c r="L2938" s="992">
        <f t="shared" si="457"/>
        <v>4106250</v>
      </c>
      <c r="M2938" s="993">
        <v>4000000</v>
      </c>
      <c r="N2938" s="722">
        <v>106250</v>
      </c>
      <c r="O2938" s="963"/>
      <c r="P2938" s="722"/>
      <c r="Q2938" s="722"/>
      <c r="R2938" s="582">
        <f t="shared" si="458"/>
        <v>2000000</v>
      </c>
      <c r="S2938" s="965"/>
      <c r="T2938" s="965"/>
      <c r="U2938" s="994"/>
      <c r="V2938" s="965"/>
      <c r="W2938" s="965"/>
      <c r="X2938" s="965"/>
      <c r="Y2938" s="994"/>
      <c r="Z2938" s="718"/>
      <c r="AA2938" s="132"/>
      <c r="AC2938" s="144"/>
    </row>
    <row r="2939" spans="1:29" s="133" customFormat="1" ht="37.5" hidden="1">
      <c r="A2939" s="1154">
        <f t="shared" si="451"/>
        <v>50</v>
      </c>
      <c r="B2939" s="985" t="s">
        <v>1737</v>
      </c>
      <c r="C2939" s="986" t="s">
        <v>217</v>
      </c>
      <c r="D2939" s="1167">
        <v>46332</v>
      </c>
      <c r="E2939" s="988">
        <v>7495</v>
      </c>
      <c r="F2939" s="987" t="s">
        <v>233</v>
      </c>
      <c r="G2939" s="989">
        <v>1778</v>
      </c>
      <c r="H2939" s="987">
        <v>9</v>
      </c>
      <c r="I2939" s="987">
        <v>6</v>
      </c>
      <c r="J2939" s="990">
        <v>665</v>
      </c>
      <c r="K2939" s="991" t="s">
        <v>219</v>
      </c>
      <c r="L2939" s="992">
        <f t="shared" si="457"/>
        <v>12191250</v>
      </c>
      <c r="M2939" s="993">
        <v>12000000</v>
      </c>
      <c r="N2939" s="722">
        <v>191250</v>
      </c>
      <c r="O2939" s="963"/>
      <c r="P2939" s="722"/>
      <c r="Q2939" s="722"/>
      <c r="R2939" s="582">
        <f t="shared" si="458"/>
        <v>2000000</v>
      </c>
      <c r="S2939" s="965"/>
      <c r="T2939" s="965"/>
      <c r="U2939" s="994"/>
      <c r="V2939" s="965"/>
      <c r="W2939" s="965"/>
      <c r="X2939" s="965"/>
      <c r="Y2939" s="994"/>
      <c r="Z2939" s="718"/>
      <c r="AA2939" s="132"/>
      <c r="AC2939" s="144"/>
    </row>
    <row r="2940" spans="1:29" s="133" customFormat="1" ht="37.5" hidden="1">
      <c r="A2940" s="1154">
        <f t="shared" si="451"/>
        <v>51</v>
      </c>
      <c r="B2940" s="985" t="s">
        <v>4250</v>
      </c>
      <c r="C2940" s="986" t="s">
        <v>217</v>
      </c>
      <c r="D2940" s="1167">
        <v>30352</v>
      </c>
      <c r="E2940" s="988">
        <v>1944</v>
      </c>
      <c r="F2940" s="987" t="s">
        <v>233</v>
      </c>
      <c r="G2940" s="989">
        <v>1003</v>
      </c>
      <c r="H2940" s="987">
        <v>9</v>
      </c>
      <c r="I2940" s="987">
        <v>2</v>
      </c>
      <c r="J2940" s="990">
        <v>217</v>
      </c>
      <c r="K2940" s="991" t="s">
        <v>219</v>
      </c>
      <c r="L2940" s="992">
        <f t="shared" si="457"/>
        <v>4106250</v>
      </c>
      <c r="M2940" s="993">
        <v>4000000</v>
      </c>
      <c r="N2940" s="722">
        <v>106250</v>
      </c>
      <c r="O2940" s="963"/>
      <c r="P2940" s="722"/>
      <c r="Q2940" s="722"/>
      <c r="R2940" s="582">
        <f t="shared" si="458"/>
        <v>2000000</v>
      </c>
      <c r="S2940" s="965"/>
      <c r="T2940" s="965"/>
      <c r="U2940" s="994"/>
      <c r="V2940" s="965"/>
      <c r="W2940" s="965"/>
      <c r="X2940" s="965"/>
      <c r="Y2940" s="994"/>
      <c r="Z2940" s="718"/>
      <c r="AA2940" s="132"/>
      <c r="AC2940" s="144"/>
    </row>
    <row r="2941" spans="1:29" s="133" customFormat="1" ht="37.5" hidden="1">
      <c r="A2941" s="1154">
        <f t="shared" si="451"/>
        <v>52</v>
      </c>
      <c r="B2941" s="985" t="s">
        <v>1747</v>
      </c>
      <c r="C2941" s="986" t="s">
        <v>217</v>
      </c>
      <c r="D2941" s="987">
        <v>16080</v>
      </c>
      <c r="E2941" s="988">
        <v>1608</v>
      </c>
      <c r="F2941" s="987" t="s">
        <v>233</v>
      </c>
      <c r="G2941" s="989">
        <v>683</v>
      </c>
      <c r="H2941" s="987">
        <v>9</v>
      </c>
      <c r="I2941" s="987">
        <v>2</v>
      </c>
      <c r="J2941" s="990">
        <v>193</v>
      </c>
      <c r="K2941" s="991" t="s">
        <v>219</v>
      </c>
      <c r="L2941" s="992">
        <f t="shared" si="457"/>
        <v>4106250</v>
      </c>
      <c r="M2941" s="993">
        <v>4000000</v>
      </c>
      <c r="N2941" s="722">
        <v>106250</v>
      </c>
      <c r="O2941" s="963"/>
      <c r="P2941" s="722"/>
      <c r="Q2941" s="722"/>
      <c r="R2941" s="582">
        <f t="shared" si="458"/>
        <v>2000000</v>
      </c>
      <c r="S2941" s="965"/>
      <c r="T2941" s="965"/>
      <c r="U2941" s="994"/>
      <c r="V2941" s="965"/>
      <c r="W2941" s="965"/>
      <c r="X2941" s="965"/>
      <c r="Y2941" s="994"/>
      <c r="Z2941" s="718"/>
      <c r="AA2941" s="132"/>
      <c r="AC2941" s="144"/>
    </row>
    <row r="2942" spans="1:29" s="133" customFormat="1" ht="37.5" hidden="1">
      <c r="A2942" s="1154">
        <f t="shared" si="451"/>
        <v>53</v>
      </c>
      <c r="B2942" s="985" t="s">
        <v>1750</v>
      </c>
      <c r="C2942" s="986" t="s">
        <v>217</v>
      </c>
      <c r="D2942" s="987">
        <v>7393</v>
      </c>
      <c r="E2942" s="988">
        <v>982</v>
      </c>
      <c r="F2942" s="987" t="s">
        <v>233</v>
      </c>
      <c r="G2942" s="989">
        <v>340</v>
      </c>
      <c r="H2942" s="987">
        <v>9</v>
      </c>
      <c r="I2942" s="987">
        <v>1</v>
      </c>
      <c r="J2942" s="990">
        <v>91</v>
      </c>
      <c r="K2942" s="991" t="s">
        <v>219</v>
      </c>
      <c r="L2942" s="992">
        <f t="shared" si="457"/>
        <v>2085000</v>
      </c>
      <c r="M2942" s="993">
        <v>2000000</v>
      </c>
      <c r="N2942" s="722">
        <v>85000</v>
      </c>
      <c r="O2942" s="963"/>
      <c r="P2942" s="722"/>
      <c r="Q2942" s="722"/>
      <c r="R2942" s="582">
        <f t="shared" si="458"/>
        <v>2000000</v>
      </c>
      <c r="S2942" s="965"/>
      <c r="T2942" s="965"/>
      <c r="U2942" s="994"/>
      <c r="V2942" s="965"/>
      <c r="W2942" s="965"/>
      <c r="X2942" s="965"/>
      <c r="Y2942" s="994"/>
      <c r="Z2942" s="718"/>
      <c r="AA2942" s="132"/>
      <c r="AC2942" s="144"/>
    </row>
    <row r="2943" spans="1:29" s="133" customFormat="1" ht="37.5" hidden="1">
      <c r="A2943" s="1154">
        <f t="shared" si="451"/>
        <v>54</v>
      </c>
      <c r="B2943" s="985" t="s">
        <v>1751</v>
      </c>
      <c r="C2943" s="986" t="s">
        <v>217</v>
      </c>
      <c r="D2943" s="987">
        <v>16339</v>
      </c>
      <c r="E2943" s="988">
        <v>1633</v>
      </c>
      <c r="F2943" s="987" t="s">
        <v>233</v>
      </c>
      <c r="G2943" s="989">
        <v>689</v>
      </c>
      <c r="H2943" s="987">
        <v>9</v>
      </c>
      <c r="I2943" s="987">
        <v>2</v>
      </c>
      <c r="J2943" s="990">
        <v>221</v>
      </c>
      <c r="K2943" s="991" t="s">
        <v>219</v>
      </c>
      <c r="L2943" s="992">
        <f t="shared" si="457"/>
        <v>4106250</v>
      </c>
      <c r="M2943" s="993">
        <v>4000000</v>
      </c>
      <c r="N2943" s="722">
        <v>106250</v>
      </c>
      <c r="O2943" s="963"/>
      <c r="P2943" s="722"/>
      <c r="Q2943" s="722"/>
      <c r="R2943" s="582">
        <f t="shared" si="458"/>
        <v>2000000</v>
      </c>
      <c r="S2943" s="965"/>
      <c r="T2943" s="965"/>
      <c r="U2943" s="994"/>
      <c r="V2943" s="965"/>
      <c r="W2943" s="965"/>
      <c r="X2943" s="965"/>
      <c r="Y2943" s="994"/>
      <c r="Z2943" s="718"/>
      <c r="AA2943" s="132"/>
      <c r="AC2943" s="144"/>
    </row>
    <row r="2944" spans="1:29" s="133" customFormat="1" ht="37.5" hidden="1">
      <c r="A2944" s="1154">
        <f t="shared" si="451"/>
        <v>55</v>
      </c>
      <c r="B2944" s="985" t="s">
        <v>4251</v>
      </c>
      <c r="C2944" s="986" t="s">
        <v>217</v>
      </c>
      <c r="D2944" s="987">
        <v>15710</v>
      </c>
      <c r="E2944" s="988">
        <v>1146.9000000000001</v>
      </c>
      <c r="F2944" s="987" t="s">
        <v>233</v>
      </c>
      <c r="G2944" s="989">
        <v>678</v>
      </c>
      <c r="H2944" s="987">
        <v>9</v>
      </c>
      <c r="I2944" s="987">
        <v>2</v>
      </c>
      <c r="J2944" s="990">
        <v>69</v>
      </c>
      <c r="K2944" s="991" t="s">
        <v>219</v>
      </c>
      <c r="L2944" s="992">
        <f t="shared" si="457"/>
        <v>4106250</v>
      </c>
      <c r="M2944" s="993">
        <v>4000000</v>
      </c>
      <c r="N2944" s="722">
        <v>106250</v>
      </c>
      <c r="O2944" s="963"/>
      <c r="P2944" s="722"/>
      <c r="Q2944" s="722"/>
      <c r="R2944" s="582">
        <f t="shared" si="458"/>
        <v>2000000</v>
      </c>
      <c r="S2944" s="965"/>
      <c r="T2944" s="965"/>
      <c r="U2944" s="994"/>
      <c r="V2944" s="965"/>
      <c r="W2944" s="965"/>
      <c r="X2944" s="965"/>
      <c r="Y2944" s="994"/>
      <c r="Z2944" s="718"/>
      <c r="AA2944" s="132"/>
      <c r="AC2944" s="144"/>
    </row>
    <row r="2945" spans="1:29" s="133" customFormat="1" ht="37.5" hidden="1">
      <c r="A2945" s="1154">
        <f t="shared" si="451"/>
        <v>56</v>
      </c>
      <c r="B2945" s="985" t="s">
        <v>1749</v>
      </c>
      <c r="C2945" s="986" t="s">
        <v>217</v>
      </c>
      <c r="D2945" s="987">
        <v>12495</v>
      </c>
      <c r="E2945" s="988">
        <v>2250</v>
      </c>
      <c r="F2945" s="987" t="s">
        <v>233</v>
      </c>
      <c r="G2945" s="989">
        <v>532</v>
      </c>
      <c r="H2945" s="987">
        <v>9</v>
      </c>
      <c r="I2945" s="987">
        <v>1</v>
      </c>
      <c r="J2945" s="990">
        <v>128</v>
      </c>
      <c r="K2945" s="991" t="s">
        <v>219</v>
      </c>
      <c r="L2945" s="992">
        <f t="shared" si="457"/>
        <v>2085000</v>
      </c>
      <c r="M2945" s="993">
        <v>2000000</v>
      </c>
      <c r="N2945" s="722">
        <v>85000</v>
      </c>
      <c r="O2945" s="963"/>
      <c r="P2945" s="722"/>
      <c r="Q2945" s="722"/>
      <c r="R2945" s="582">
        <f t="shared" si="458"/>
        <v>2000000</v>
      </c>
      <c r="S2945" s="965"/>
      <c r="T2945" s="965"/>
      <c r="U2945" s="994"/>
      <c r="V2945" s="965"/>
      <c r="W2945" s="965"/>
      <c r="X2945" s="965"/>
      <c r="Y2945" s="994"/>
      <c r="Z2945" s="718"/>
      <c r="AA2945" s="132"/>
      <c r="AC2945" s="144"/>
    </row>
    <row r="2946" spans="1:29" s="133" customFormat="1" ht="37.5" hidden="1">
      <c r="A2946" s="1154">
        <f t="shared" si="451"/>
        <v>57</v>
      </c>
      <c r="B2946" s="985" t="s">
        <v>4252</v>
      </c>
      <c r="C2946" s="986" t="s">
        <v>217</v>
      </c>
      <c r="D2946" s="987">
        <v>16840</v>
      </c>
      <c r="E2946" s="988">
        <v>1146.9000000000001</v>
      </c>
      <c r="F2946" s="987" t="s">
        <v>233</v>
      </c>
      <c r="G2946" s="989">
        <v>694</v>
      </c>
      <c r="H2946" s="987">
        <v>9</v>
      </c>
      <c r="I2946" s="987">
        <v>2</v>
      </c>
      <c r="J2946" s="990">
        <v>69</v>
      </c>
      <c r="K2946" s="991" t="s">
        <v>219</v>
      </c>
      <c r="L2946" s="992">
        <f t="shared" si="457"/>
        <v>4106250</v>
      </c>
      <c r="M2946" s="993">
        <v>4000000</v>
      </c>
      <c r="N2946" s="722">
        <v>106250</v>
      </c>
      <c r="O2946" s="963"/>
      <c r="P2946" s="722"/>
      <c r="Q2946" s="722"/>
      <c r="R2946" s="582">
        <f t="shared" si="458"/>
        <v>2000000</v>
      </c>
      <c r="S2946" s="965"/>
      <c r="T2946" s="965"/>
      <c r="U2946" s="994"/>
      <c r="V2946" s="965"/>
      <c r="W2946" s="965"/>
      <c r="X2946" s="965"/>
      <c r="Y2946" s="994"/>
      <c r="Z2946" s="718"/>
      <c r="AA2946" s="132"/>
      <c r="AC2946" s="144"/>
    </row>
    <row r="2947" spans="1:29" s="133" customFormat="1" ht="37.5" hidden="1">
      <c r="A2947" s="1154">
        <f t="shared" si="451"/>
        <v>58</v>
      </c>
      <c r="B2947" s="985" t="s">
        <v>4253</v>
      </c>
      <c r="C2947" s="986" t="s">
        <v>217</v>
      </c>
      <c r="D2947" s="987">
        <v>13174</v>
      </c>
      <c r="E2947" s="988">
        <v>1146.9000000000001</v>
      </c>
      <c r="F2947" s="987" t="s">
        <v>233</v>
      </c>
      <c r="G2947" s="989">
        <v>697</v>
      </c>
      <c r="H2947" s="987">
        <v>9</v>
      </c>
      <c r="I2947" s="987">
        <v>2</v>
      </c>
      <c r="J2947" s="990">
        <v>70</v>
      </c>
      <c r="K2947" s="991" t="s">
        <v>219</v>
      </c>
      <c r="L2947" s="992">
        <f t="shared" si="457"/>
        <v>4106250</v>
      </c>
      <c r="M2947" s="993">
        <v>4000000</v>
      </c>
      <c r="N2947" s="722">
        <v>106250</v>
      </c>
      <c r="O2947" s="963"/>
      <c r="P2947" s="722"/>
      <c r="Q2947" s="722"/>
      <c r="R2947" s="582">
        <f t="shared" si="458"/>
        <v>2000000</v>
      </c>
      <c r="S2947" s="965"/>
      <c r="T2947" s="965"/>
      <c r="U2947" s="994"/>
      <c r="V2947" s="965"/>
      <c r="W2947" s="965"/>
      <c r="X2947" s="965"/>
      <c r="Y2947" s="994"/>
      <c r="Z2947" s="718"/>
      <c r="AA2947" s="132"/>
      <c r="AC2947" s="144"/>
    </row>
    <row r="2948" spans="1:29" s="133" customFormat="1" ht="37.5" hidden="1">
      <c r="A2948" s="1154">
        <f t="shared" si="451"/>
        <v>59</v>
      </c>
      <c r="B2948" s="985" t="s">
        <v>4254</v>
      </c>
      <c r="C2948" s="986" t="s">
        <v>217</v>
      </c>
      <c r="D2948" s="986">
        <v>16560</v>
      </c>
      <c r="E2948" s="988">
        <v>1146.9000000000001</v>
      </c>
      <c r="F2948" s="987" t="s">
        <v>233</v>
      </c>
      <c r="G2948" s="989">
        <v>686</v>
      </c>
      <c r="H2948" s="987">
        <v>9</v>
      </c>
      <c r="I2948" s="987">
        <v>2</v>
      </c>
      <c r="J2948" s="990">
        <v>71</v>
      </c>
      <c r="K2948" s="991" t="s">
        <v>219</v>
      </c>
      <c r="L2948" s="992">
        <f t="shared" si="457"/>
        <v>4106250</v>
      </c>
      <c r="M2948" s="993">
        <v>4000000</v>
      </c>
      <c r="N2948" s="722">
        <v>106250</v>
      </c>
      <c r="O2948" s="963"/>
      <c r="P2948" s="722"/>
      <c r="Q2948" s="722"/>
      <c r="R2948" s="582">
        <f t="shared" si="458"/>
        <v>2000000</v>
      </c>
      <c r="S2948" s="965"/>
      <c r="T2948" s="965"/>
      <c r="U2948" s="994"/>
      <c r="V2948" s="965"/>
      <c r="W2948" s="965"/>
      <c r="X2948" s="965"/>
      <c r="Y2948" s="994"/>
      <c r="Z2948" s="718"/>
      <c r="AA2948" s="132"/>
      <c r="AC2948" s="144"/>
    </row>
    <row r="2949" spans="1:29" s="133" customFormat="1" ht="37.5" hidden="1">
      <c r="A2949" s="1154">
        <f t="shared" si="451"/>
        <v>60</v>
      </c>
      <c r="B2949" s="985" t="s">
        <v>4255</v>
      </c>
      <c r="C2949" s="986" t="s">
        <v>217</v>
      </c>
      <c r="D2949" s="987">
        <v>15797</v>
      </c>
      <c r="E2949" s="988">
        <v>1146.9000000000001</v>
      </c>
      <c r="F2949" s="987" t="s">
        <v>233</v>
      </c>
      <c r="G2949" s="989">
        <v>687</v>
      </c>
      <c r="H2949" s="987">
        <v>9</v>
      </c>
      <c r="I2949" s="987">
        <v>2</v>
      </c>
      <c r="J2949" s="990">
        <v>72</v>
      </c>
      <c r="K2949" s="991" t="s">
        <v>219</v>
      </c>
      <c r="L2949" s="992">
        <f t="shared" si="457"/>
        <v>4106250</v>
      </c>
      <c r="M2949" s="993">
        <v>4000000</v>
      </c>
      <c r="N2949" s="722">
        <v>106250</v>
      </c>
      <c r="O2949" s="963"/>
      <c r="P2949" s="722"/>
      <c r="Q2949" s="722"/>
      <c r="R2949" s="582">
        <f t="shared" si="458"/>
        <v>2000000</v>
      </c>
      <c r="S2949" s="965"/>
      <c r="T2949" s="965"/>
      <c r="U2949" s="994"/>
      <c r="V2949" s="965"/>
      <c r="W2949" s="965"/>
      <c r="X2949" s="965"/>
      <c r="Y2949" s="994"/>
      <c r="Z2949" s="718"/>
      <c r="AA2949" s="132"/>
      <c r="AC2949" s="144"/>
    </row>
    <row r="2950" spans="1:29" s="133" customFormat="1" ht="37.5" hidden="1">
      <c r="A2950" s="1154">
        <f t="shared" si="451"/>
        <v>61</v>
      </c>
      <c r="B2950" s="985" t="s">
        <v>4256</v>
      </c>
      <c r="C2950" s="986" t="s">
        <v>217</v>
      </c>
      <c r="D2950" s="1173">
        <v>12561</v>
      </c>
      <c r="E2950" s="1174">
        <v>600.1</v>
      </c>
      <c r="F2950" s="987" t="s">
        <v>233</v>
      </c>
      <c r="G2950" s="989">
        <v>398</v>
      </c>
      <c r="H2950" s="987">
        <v>12</v>
      </c>
      <c r="I2950" s="987">
        <v>2</v>
      </c>
      <c r="J2950" s="990">
        <v>48</v>
      </c>
      <c r="K2950" s="991" t="s">
        <v>219</v>
      </c>
      <c r="L2950" s="992">
        <f t="shared" si="457"/>
        <v>4506250</v>
      </c>
      <c r="M2950" s="993">
        <v>4400000</v>
      </c>
      <c r="N2950" s="722">
        <v>106250</v>
      </c>
      <c r="O2950" s="963"/>
      <c r="P2950" s="722"/>
      <c r="Q2950" s="722"/>
      <c r="R2950" s="1160">
        <v>2200000</v>
      </c>
      <c r="S2950" s="965"/>
      <c r="T2950" s="965"/>
      <c r="U2950" s="994"/>
      <c r="V2950" s="965"/>
      <c r="W2950" s="965"/>
      <c r="X2950" s="965"/>
      <c r="Y2950" s="994"/>
      <c r="Z2950" s="718"/>
      <c r="AA2950" s="132"/>
      <c r="AC2950" s="144"/>
    </row>
    <row r="2951" spans="1:29" s="133" customFormat="1" ht="37.5" hidden="1">
      <c r="A2951" s="1154">
        <f t="shared" si="451"/>
        <v>62</v>
      </c>
      <c r="B2951" s="985" t="s">
        <v>4257</v>
      </c>
      <c r="C2951" s="986" t="s">
        <v>217</v>
      </c>
      <c r="D2951" s="987">
        <v>16212</v>
      </c>
      <c r="E2951" s="988">
        <v>1146.9000000000001</v>
      </c>
      <c r="F2951" s="987" t="s">
        <v>233</v>
      </c>
      <c r="G2951" s="989">
        <v>694</v>
      </c>
      <c r="H2951" s="987">
        <v>9</v>
      </c>
      <c r="I2951" s="987">
        <v>2</v>
      </c>
      <c r="J2951" s="990">
        <v>69</v>
      </c>
      <c r="K2951" s="991" t="s">
        <v>219</v>
      </c>
      <c r="L2951" s="992">
        <f t="shared" si="457"/>
        <v>4106250</v>
      </c>
      <c r="M2951" s="993">
        <v>4000000</v>
      </c>
      <c r="N2951" s="722">
        <v>106250</v>
      </c>
      <c r="O2951" s="963"/>
      <c r="P2951" s="722"/>
      <c r="Q2951" s="722"/>
      <c r="R2951" s="582">
        <f t="shared" ref="R2951:R2958" si="459">M2951/I2951</f>
        <v>2000000</v>
      </c>
      <c r="S2951" s="965"/>
      <c r="T2951" s="965"/>
      <c r="U2951" s="994"/>
      <c r="V2951" s="965"/>
      <c r="W2951" s="965"/>
      <c r="X2951" s="965"/>
      <c r="Y2951" s="994"/>
      <c r="Z2951" s="718"/>
      <c r="AA2951" s="132"/>
      <c r="AC2951" s="144"/>
    </row>
    <row r="2952" spans="1:29" s="133" customFormat="1" ht="37.5" hidden="1">
      <c r="A2952" s="1154">
        <f t="shared" si="451"/>
        <v>63</v>
      </c>
      <c r="B2952" s="985" t="s">
        <v>4258</v>
      </c>
      <c r="C2952" s="986" t="s">
        <v>217</v>
      </c>
      <c r="D2952" s="987">
        <v>15600</v>
      </c>
      <c r="E2952" s="988">
        <v>1146.9000000000001</v>
      </c>
      <c r="F2952" s="987" t="s">
        <v>233</v>
      </c>
      <c r="G2952" s="989">
        <v>679</v>
      </c>
      <c r="H2952" s="987">
        <v>9</v>
      </c>
      <c r="I2952" s="987">
        <v>2</v>
      </c>
      <c r="J2952" s="990">
        <v>68</v>
      </c>
      <c r="K2952" s="991" t="s">
        <v>219</v>
      </c>
      <c r="L2952" s="992">
        <f t="shared" si="457"/>
        <v>4106250</v>
      </c>
      <c r="M2952" s="993">
        <v>4000000</v>
      </c>
      <c r="N2952" s="722">
        <v>106250</v>
      </c>
      <c r="O2952" s="963"/>
      <c r="P2952" s="722"/>
      <c r="Q2952" s="722"/>
      <c r="R2952" s="582">
        <f t="shared" si="459"/>
        <v>2000000</v>
      </c>
      <c r="S2952" s="965"/>
      <c r="T2952" s="965"/>
      <c r="U2952" s="994"/>
      <c r="V2952" s="965"/>
      <c r="W2952" s="965"/>
      <c r="X2952" s="965"/>
      <c r="Y2952" s="994"/>
      <c r="Z2952" s="718"/>
      <c r="AA2952" s="132"/>
      <c r="AC2952" s="144"/>
    </row>
    <row r="2953" spans="1:29" s="133" customFormat="1" ht="37.5" hidden="1">
      <c r="A2953" s="1154">
        <f t="shared" si="451"/>
        <v>64</v>
      </c>
      <c r="B2953" s="985" t="s">
        <v>1753</v>
      </c>
      <c r="C2953" s="986" t="s">
        <v>217</v>
      </c>
      <c r="D2953" s="987">
        <v>15600</v>
      </c>
      <c r="E2953" s="988">
        <v>3240</v>
      </c>
      <c r="F2953" s="987" t="s">
        <v>233</v>
      </c>
      <c r="G2953" s="989">
        <v>679</v>
      </c>
      <c r="H2953" s="987">
        <v>9</v>
      </c>
      <c r="I2953" s="987">
        <v>2</v>
      </c>
      <c r="J2953" s="990">
        <v>168</v>
      </c>
      <c r="K2953" s="991" t="s">
        <v>219</v>
      </c>
      <c r="L2953" s="992">
        <f t="shared" si="457"/>
        <v>4106250</v>
      </c>
      <c r="M2953" s="993">
        <v>4000000</v>
      </c>
      <c r="N2953" s="722">
        <v>106250</v>
      </c>
      <c r="O2953" s="963"/>
      <c r="P2953" s="722"/>
      <c r="Q2953" s="722"/>
      <c r="R2953" s="582">
        <f t="shared" si="459"/>
        <v>2000000</v>
      </c>
      <c r="S2953" s="965"/>
      <c r="T2953" s="965"/>
      <c r="U2953" s="994"/>
      <c r="V2953" s="965"/>
      <c r="W2953" s="965"/>
      <c r="X2953" s="965"/>
      <c r="Y2953" s="994"/>
      <c r="Z2953" s="718"/>
      <c r="AA2953" s="132"/>
      <c r="AC2953" s="144"/>
    </row>
    <row r="2954" spans="1:29" s="133" customFormat="1" ht="37.5" hidden="1">
      <c r="A2954" s="1154">
        <f t="shared" si="451"/>
        <v>65</v>
      </c>
      <c r="B2954" s="985" t="s">
        <v>4259</v>
      </c>
      <c r="C2954" s="986" t="s">
        <v>296</v>
      </c>
      <c r="D2954" s="986">
        <v>15565</v>
      </c>
      <c r="E2954" s="1175">
        <v>3240</v>
      </c>
      <c r="F2954" s="986" t="s">
        <v>233</v>
      </c>
      <c r="G2954" s="989">
        <v>677</v>
      </c>
      <c r="H2954" s="986">
        <v>9</v>
      </c>
      <c r="I2954" s="986">
        <v>2</v>
      </c>
      <c r="J2954" s="990">
        <v>70</v>
      </c>
      <c r="K2954" s="991" t="s">
        <v>219</v>
      </c>
      <c r="L2954" s="992">
        <f t="shared" si="457"/>
        <v>4106250</v>
      </c>
      <c r="M2954" s="993">
        <v>4000000</v>
      </c>
      <c r="N2954" s="722">
        <v>106250</v>
      </c>
      <c r="O2954" s="963"/>
      <c r="P2954" s="722"/>
      <c r="Q2954" s="722"/>
      <c r="R2954" s="582">
        <f t="shared" si="459"/>
        <v>2000000</v>
      </c>
      <c r="S2954" s="965"/>
      <c r="T2954" s="965"/>
      <c r="U2954" s="994"/>
      <c r="V2954" s="965"/>
      <c r="W2954" s="965"/>
      <c r="X2954" s="965"/>
      <c r="Y2954" s="994"/>
      <c r="Z2954" s="718"/>
      <c r="AA2954" s="132"/>
      <c r="AC2954" s="144"/>
    </row>
    <row r="2955" spans="1:29" s="133" customFormat="1" ht="37.5" hidden="1">
      <c r="A2955" s="1154">
        <f>A2954+1</f>
        <v>66</v>
      </c>
      <c r="B2955" s="1166" t="s">
        <v>4260</v>
      </c>
      <c r="C2955" s="1031" t="s">
        <v>217</v>
      </c>
      <c r="D2955" s="1163">
        <v>44109</v>
      </c>
      <c r="E2955" s="1157">
        <v>7580</v>
      </c>
      <c r="F2955" s="1159" t="s">
        <v>233</v>
      </c>
      <c r="G2955" s="1163">
        <v>1822</v>
      </c>
      <c r="H2955" s="1031">
        <v>9</v>
      </c>
      <c r="I2955" s="1031">
        <v>6</v>
      </c>
      <c r="J2955" s="1159">
        <v>216</v>
      </c>
      <c r="K2955" s="991" t="s">
        <v>219</v>
      </c>
      <c r="L2955" s="992">
        <f t="shared" si="457"/>
        <v>12191250</v>
      </c>
      <c r="M2955" s="993">
        <v>12000000</v>
      </c>
      <c r="N2955" s="722">
        <v>191250</v>
      </c>
      <c r="O2955" s="963"/>
      <c r="P2955" s="722"/>
      <c r="Q2955" s="722"/>
      <c r="R2955" s="582">
        <f t="shared" si="459"/>
        <v>2000000</v>
      </c>
      <c r="S2955" s="965"/>
      <c r="T2955" s="965"/>
      <c r="U2955" s="994"/>
      <c r="V2955" s="965"/>
      <c r="W2955" s="965"/>
      <c r="X2955" s="965"/>
      <c r="Y2955" s="994"/>
      <c r="Z2955" s="718"/>
      <c r="AA2955" s="132"/>
      <c r="AC2955" s="144"/>
    </row>
    <row r="2956" spans="1:29" s="133" customFormat="1" ht="37.5" hidden="1">
      <c r="A2956" s="1154">
        <f>A2955+1</f>
        <v>67</v>
      </c>
      <c r="B2956" s="985" t="s">
        <v>4261</v>
      </c>
      <c r="C2956" s="1161" t="s">
        <v>217</v>
      </c>
      <c r="D2956" s="1164">
        <v>60318</v>
      </c>
      <c r="E2956" s="1164">
        <v>10049</v>
      </c>
      <c r="F2956" s="1176" t="s">
        <v>4161</v>
      </c>
      <c r="G2956" s="1164">
        <v>2663</v>
      </c>
      <c r="H2956" s="1164">
        <v>9</v>
      </c>
      <c r="I2956" s="1164">
        <v>7</v>
      </c>
      <c r="J2956" s="1164">
        <v>252</v>
      </c>
      <c r="K2956" s="991" t="s">
        <v>219</v>
      </c>
      <c r="L2956" s="992">
        <f t="shared" si="457"/>
        <v>14212500</v>
      </c>
      <c r="M2956" s="993">
        <v>14000000</v>
      </c>
      <c r="N2956" s="722">
        <v>212500</v>
      </c>
      <c r="O2956" s="963"/>
      <c r="P2956" s="722"/>
      <c r="Q2956" s="722"/>
      <c r="R2956" s="582">
        <f t="shared" si="459"/>
        <v>2000000</v>
      </c>
      <c r="S2956" s="965"/>
      <c r="T2956" s="965"/>
      <c r="U2956" s="994"/>
      <c r="V2956" s="965"/>
      <c r="W2956" s="965"/>
      <c r="X2956" s="965"/>
      <c r="Y2956" s="994"/>
      <c r="Z2956" s="718"/>
      <c r="AA2956" s="132"/>
      <c r="AC2956" s="144"/>
    </row>
    <row r="2957" spans="1:29" s="133" customFormat="1" ht="37.5" hidden="1">
      <c r="A2957" s="1154">
        <f>A2956+1</f>
        <v>68</v>
      </c>
      <c r="B2957" s="1166" t="s">
        <v>4262</v>
      </c>
      <c r="C2957" s="1031" t="s">
        <v>221</v>
      </c>
      <c r="D2957" s="1031">
        <v>62142</v>
      </c>
      <c r="E2957" s="1031">
        <v>7950</v>
      </c>
      <c r="F2957" s="1031" t="s">
        <v>233</v>
      </c>
      <c r="G2957" s="1031">
        <v>2732</v>
      </c>
      <c r="H2957" s="1031">
        <v>9</v>
      </c>
      <c r="I2957" s="1031">
        <v>5</v>
      </c>
      <c r="J2957" s="1031">
        <v>250</v>
      </c>
      <c r="K2957" s="991" t="s">
        <v>219</v>
      </c>
      <c r="L2957" s="992">
        <f t="shared" si="457"/>
        <v>10170000</v>
      </c>
      <c r="M2957" s="993">
        <v>10000000</v>
      </c>
      <c r="N2957" s="722">
        <v>170000</v>
      </c>
      <c r="O2957" s="963"/>
      <c r="P2957" s="722"/>
      <c r="Q2957" s="722"/>
      <c r="R2957" s="582">
        <f t="shared" si="459"/>
        <v>2000000</v>
      </c>
      <c r="S2957" s="965"/>
      <c r="T2957" s="965"/>
      <c r="U2957" s="994"/>
      <c r="V2957" s="965"/>
      <c r="W2957" s="965"/>
      <c r="X2957" s="965"/>
      <c r="Y2957" s="994"/>
      <c r="Z2957" s="718"/>
      <c r="AA2957" s="132"/>
      <c r="AC2957" s="144"/>
    </row>
    <row r="2958" spans="1:29" s="133" customFormat="1" ht="37.5" hidden="1">
      <c r="A2958" s="1154">
        <f>A2957+1</f>
        <v>69</v>
      </c>
      <c r="B2958" s="1166" t="s">
        <v>4263</v>
      </c>
      <c r="C2958" s="1031" t="s">
        <v>217</v>
      </c>
      <c r="D2958" s="1031">
        <v>16395</v>
      </c>
      <c r="E2958" s="1031">
        <v>2800</v>
      </c>
      <c r="F2958" s="1031" t="s">
        <v>233</v>
      </c>
      <c r="G2958" s="1031">
        <v>700</v>
      </c>
      <c r="H2958" s="1031">
        <v>9</v>
      </c>
      <c r="I2958" s="1031">
        <v>2</v>
      </c>
      <c r="J2958" s="1031">
        <v>72</v>
      </c>
      <c r="K2958" s="991" t="s">
        <v>219</v>
      </c>
      <c r="L2958" s="992">
        <f t="shared" si="457"/>
        <v>4106250</v>
      </c>
      <c r="M2958" s="993">
        <v>4000000</v>
      </c>
      <c r="N2958" s="722">
        <v>106250</v>
      </c>
      <c r="O2958" s="963"/>
      <c r="P2958" s="722"/>
      <c r="Q2958" s="722"/>
      <c r="R2958" s="582">
        <f t="shared" si="459"/>
        <v>2000000</v>
      </c>
      <c r="S2958" s="965"/>
      <c r="T2958" s="965"/>
      <c r="U2958" s="994"/>
      <c r="V2958" s="965"/>
      <c r="W2958" s="965"/>
      <c r="X2958" s="965"/>
      <c r="Y2958" s="994"/>
      <c r="Z2958" s="718"/>
      <c r="AA2958" s="132"/>
      <c r="AC2958" s="144"/>
    </row>
    <row r="2959" spans="1:29" s="133" customFormat="1" ht="37.5" hidden="1">
      <c r="A2959" s="1154">
        <f>A2958+1</f>
        <v>70</v>
      </c>
      <c r="B2959" s="985" t="s">
        <v>2749</v>
      </c>
      <c r="C2959" s="1161" t="s">
        <v>217</v>
      </c>
      <c r="D2959" s="1159">
        <v>13692</v>
      </c>
      <c r="E2959" s="1159">
        <v>2300</v>
      </c>
      <c r="F2959" s="1031" t="s">
        <v>233</v>
      </c>
      <c r="G2959" s="1159">
        <v>423</v>
      </c>
      <c r="H2959" s="1159">
        <v>12</v>
      </c>
      <c r="I2959" s="1159">
        <v>1</v>
      </c>
      <c r="J2959" s="1159">
        <v>48</v>
      </c>
      <c r="K2959" s="991" t="s">
        <v>219</v>
      </c>
      <c r="L2959" s="992">
        <f>M2959+N2959+O2959+P2959+Q2959+M2960+N2960+O2960+P2960+Q2960</f>
        <v>5416224.9000000004</v>
      </c>
      <c r="M2959" s="993">
        <v>4400000</v>
      </c>
      <c r="N2959" s="722">
        <v>106250</v>
      </c>
      <c r="O2959" s="963"/>
      <c r="P2959" s="722"/>
      <c r="Q2959" s="722"/>
      <c r="R2959" s="1160">
        <v>2200000</v>
      </c>
      <c r="S2959" s="965"/>
      <c r="T2959" s="965"/>
      <c r="U2959" s="994"/>
      <c r="V2959" s="965"/>
      <c r="W2959" s="965"/>
      <c r="X2959" s="965"/>
      <c r="Y2959" s="994"/>
      <c r="Z2959" s="718"/>
      <c r="AA2959" s="132"/>
      <c r="AC2959" s="144"/>
    </row>
    <row r="2960" spans="1:29" s="75" customFormat="1" hidden="1">
      <c r="A2960" s="709"/>
      <c r="B2960" s="592"/>
      <c r="C2960" s="593"/>
      <c r="D2960" s="594"/>
      <c r="E2960" s="594"/>
      <c r="F2960" s="594"/>
      <c r="G2960" s="594"/>
      <c r="H2960" s="594"/>
      <c r="I2960" s="594"/>
      <c r="J2960" s="594"/>
      <c r="K2960" s="590" t="s">
        <v>33</v>
      </c>
      <c r="L2960" s="595"/>
      <c r="M2960" s="596">
        <v>888300</v>
      </c>
      <c r="N2960" s="597"/>
      <c r="O2960" s="598">
        <f>M2960*0.003</f>
        <v>2664.9</v>
      </c>
      <c r="P2960" s="597"/>
      <c r="Q2960" s="597">
        <v>19010</v>
      </c>
      <c r="R2960" s="599">
        <f>M2960/G2959</f>
        <v>2100</v>
      </c>
      <c r="S2960" s="594"/>
      <c r="T2960" s="600"/>
      <c r="U2960" s="709"/>
      <c r="V2960" s="589"/>
      <c r="W2960" s="601"/>
      <c r="X2960" s="601"/>
      <c r="Y2960" s="601"/>
      <c r="Z2960" s="601"/>
    </row>
    <row r="2961" spans="1:26" s="75" customFormat="1" hidden="1">
      <c r="A2961" s="709">
        <f>A2959+1</f>
        <v>71</v>
      </c>
      <c r="B2961" s="592" t="s">
        <v>2372</v>
      </c>
      <c r="C2961" s="593" t="s">
        <v>271</v>
      </c>
      <c r="D2961" s="650">
        <v>13727</v>
      </c>
      <c r="E2961" s="594">
        <v>3030</v>
      </c>
      <c r="F2961" s="594" t="s">
        <v>222</v>
      </c>
      <c r="G2961" s="594">
        <v>1150</v>
      </c>
      <c r="H2961" s="594">
        <v>5</v>
      </c>
      <c r="I2961" s="594">
        <v>4</v>
      </c>
      <c r="J2961" s="594">
        <v>78</v>
      </c>
      <c r="K2961" s="590" t="s">
        <v>224</v>
      </c>
      <c r="L2961" s="595">
        <f t="shared" ref="L2961:L2993" si="460">M2961+N2961+O2961+P2961+Q2961</f>
        <v>1304707</v>
      </c>
      <c r="M2961" s="596">
        <f>J2961*16000</f>
        <v>1248000</v>
      </c>
      <c r="N2961" s="597">
        <v>30000</v>
      </c>
      <c r="O2961" s="598"/>
      <c r="P2961" s="597"/>
      <c r="Q2961" s="675">
        <v>26707</v>
      </c>
      <c r="R2961" s="599">
        <f>M2961/J2961</f>
        <v>16000</v>
      </c>
      <c r="S2961" s="594"/>
      <c r="T2961" s="600"/>
      <c r="U2961" s="709"/>
      <c r="V2961" s="601"/>
      <c r="W2961" s="601"/>
      <c r="X2961" s="601"/>
      <c r="Y2961" s="601"/>
      <c r="Z2961" s="601"/>
    </row>
    <row r="2962" spans="1:26" s="75" customFormat="1" ht="37.5" hidden="1">
      <c r="A2962" s="709">
        <f t="shared" ref="A2962:A2993" si="461">A2961+1</f>
        <v>72</v>
      </c>
      <c r="B2962" s="621" t="s">
        <v>2373</v>
      </c>
      <c r="C2962" s="593" t="s">
        <v>217</v>
      </c>
      <c r="D2962" s="594">
        <v>21833</v>
      </c>
      <c r="E2962" s="593">
        <v>2016</v>
      </c>
      <c r="F2962" s="582" t="s">
        <v>233</v>
      </c>
      <c r="G2962" s="622">
        <v>495</v>
      </c>
      <c r="H2962" s="608">
        <v>12</v>
      </c>
      <c r="I2962" s="608">
        <v>1</v>
      </c>
      <c r="J2962" s="608">
        <v>82</v>
      </c>
      <c r="K2962" s="590" t="s">
        <v>366</v>
      </c>
      <c r="L2962" s="595">
        <f t="shared" si="460"/>
        <v>4106250</v>
      </c>
      <c r="M2962" s="585">
        <v>4000000</v>
      </c>
      <c r="N2962" s="628">
        <v>106250</v>
      </c>
      <c r="O2962" s="598"/>
      <c r="P2962" s="586"/>
      <c r="Q2962" s="630"/>
      <c r="R2962" s="582">
        <v>2200000</v>
      </c>
      <c r="S2962" s="594"/>
      <c r="T2962" s="600"/>
      <c r="U2962" s="709"/>
      <c r="V2962" s="601"/>
      <c r="W2962" s="601"/>
      <c r="X2962" s="601"/>
      <c r="Y2962" s="601"/>
      <c r="Z2962" s="601"/>
    </row>
    <row r="2963" spans="1:26" s="75" customFormat="1" ht="37.5" hidden="1">
      <c r="A2963" s="709">
        <f t="shared" si="461"/>
        <v>73</v>
      </c>
      <c r="B2963" s="592" t="s">
        <v>2374</v>
      </c>
      <c r="C2963" s="593" t="s">
        <v>271</v>
      </c>
      <c r="D2963" s="594">
        <v>8367</v>
      </c>
      <c r="E2963" s="594">
        <v>3360</v>
      </c>
      <c r="F2963" s="594" t="s">
        <v>233</v>
      </c>
      <c r="G2963" s="594">
        <v>343.2</v>
      </c>
      <c r="H2963" s="594">
        <v>10</v>
      </c>
      <c r="I2963" s="594">
        <v>2</v>
      </c>
      <c r="J2963" s="594">
        <v>40</v>
      </c>
      <c r="K2963" s="590" t="s">
        <v>366</v>
      </c>
      <c r="L2963" s="595">
        <f t="shared" si="460"/>
        <v>4142250</v>
      </c>
      <c r="M2963" s="596">
        <v>4036000</v>
      </c>
      <c r="N2963" s="597">
        <v>106250</v>
      </c>
      <c r="O2963" s="598"/>
      <c r="P2963" s="597"/>
      <c r="Q2963" s="675"/>
      <c r="R2963" s="599">
        <v>2200000</v>
      </c>
      <c r="S2963" s="594"/>
      <c r="T2963" s="600"/>
      <c r="U2963" s="709"/>
      <c r="V2963" s="601"/>
      <c r="W2963" s="601"/>
      <c r="X2963" s="601"/>
      <c r="Y2963" s="601"/>
      <c r="Z2963" s="601"/>
    </row>
    <row r="2964" spans="1:26" s="75" customFormat="1" ht="37.5" hidden="1">
      <c r="A2964" s="709">
        <f t="shared" si="461"/>
        <v>74</v>
      </c>
      <c r="B2964" s="1177" t="s">
        <v>2375</v>
      </c>
      <c r="C2964" s="593" t="s">
        <v>217</v>
      </c>
      <c r="D2964" s="618">
        <v>16709</v>
      </c>
      <c r="E2964" s="594">
        <v>3960</v>
      </c>
      <c r="F2964" s="582" t="s">
        <v>233</v>
      </c>
      <c r="G2964" s="618">
        <v>686.6</v>
      </c>
      <c r="H2964" s="650">
        <v>10</v>
      </c>
      <c r="I2964" s="650">
        <v>2</v>
      </c>
      <c r="J2964" s="650">
        <v>76</v>
      </c>
      <c r="K2964" s="590" t="s">
        <v>366</v>
      </c>
      <c r="L2964" s="595">
        <f t="shared" si="460"/>
        <v>4106250</v>
      </c>
      <c r="M2964" s="585">
        <v>4000000</v>
      </c>
      <c r="N2964" s="628">
        <v>106250</v>
      </c>
      <c r="O2964" s="598"/>
      <c r="P2964" s="586"/>
      <c r="Q2964" s="630"/>
      <c r="R2964" s="599">
        <v>2200000</v>
      </c>
      <c r="S2964" s="594"/>
      <c r="T2964" s="600"/>
      <c r="U2964" s="709"/>
      <c r="V2964" s="601"/>
      <c r="W2964" s="601"/>
      <c r="X2964" s="601"/>
      <c r="Y2964" s="601"/>
      <c r="Z2964" s="601"/>
    </row>
    <row r="2965" spans="1:26" s="75" customFormat="1" hidden="1">
      <c r="A2965" s="709">
        <f t="shared" si="461"/>
        <v>75</v>
      </c>
      <c r="B2965" s="592" t="s">
        <v>2376</v>
      </c>
      <c r="C2965" s="593" t="s">
        <v>217</v>
      </c>
      <c r="D2965" s="594">
        <v>15170</v>
      </c>
      <c r="E2965" s="594">
        <v>3100</v>
      </c>
      <c r="F2965" s="594" t="s">
        <v>233</v>
      </c>
      <c r="G2965" s="594">
        <v>651.9</v>
      </c>
      <c r="H2965" s="594">
        <v>9</v>
      </c>
      <c r="I2965" s="594">
        <v>2</v>
      </c>
      <c r="J2965" s="594">
        <v>72</v>
      </c>
      <c r="K2965" s="590" t="s">
        <v>33</v>
      </c>
      <c r="L2965" s="595">
        <f t="shared" si="460"/>
        <v>1402392.97</v>
      </c>
      <c r="M2965" s="596">
        <f>G2965*2100</f>
        <v>1368990</v>
      </c>
      <c r="N2965" s="597"/>
      <c r="O2965" s="598">
        <f t="shared" ref="O2965:O2972" si="462">M2965*0.3%</f>
        <v>4106.97</v>
      </c>
      <c r="P2965" s="597"/>
      <c r="Q2965" s="675">
        <v>29296</v>
      </c>
      <c r="R2965" s="599">
        <f>M2965/G2965</f>
        <v>2100</v>
      </c>
      <c r="S2965" s="594"/>
      <c r="T2965" s="600"/>
      <c r="U2965" s="709"/>
      <c r="V2965" s="601"/>
      <c r="W2965" s="601"/>
      <c r="X2965" s="601"/>
      <c r="Y2965" s="601"/>
      <c r="Z2965" s="601"/>
    </row>
    <row r="2966" spans="1:26" s="75" customFormat="1" ht="37.5" hidden="1">
      <c r="A2966" s="709">
        <f t="shared" si="461"/>
        <v>76</v>
      </c>
      <c r="B2966" s="592" t="s">
        <v>2378</v>
      </c>
      <c r="C2966" s="593" t="s">
        <v>229</v>
      </c>
      <c r="D2966" s="594">
        <v>1292</v>
      </c>
      <c r="E2966" s="594">
        <v>580</v>
      </c>
      <c r="F2966" s="594" t="s">
        <v>313</v>
      </c>
      <c r="G2966" s="594">
        <v>297</v>
      </c>
      <c r="H2966" s="594">
        <v>2</v>
      </c>
      <c r="I2966" s="594">
        <v>1</v>
      </c>
      <c r="J2966" s="594">
        <v>8</v>
      </c>
      <c r="K2966" s="590" t="s">
        <v>30</v>
      </c>
      <c r="L2966" s="595">
        <f t="shared" si="460"/>
        <v>240600</v>
      </c>
      <c r="M2966" s="596">
        <f>SUM(J2966*25000)</f>
        <v>200000</v>
      </c>
      <c r="N2966" s="597"/>
      <c r="O2966" s="598">
        <f t="shared" si="462"/>
        <v>600</v>
      </c>
      <c r="P2966" s="597"/>
      <c r="Q2966" s="675">
        <v>40000</v>
      </c>
      <c r="R2966" s="599">
        <f>M2966/J2966</f>
        <v>25000</v>
      </c>
      <c r="S2966" s="594"/>
      <c r="T2966" s="600"/>
      <c r="U2966" s="709"/>
      <c r="V2966" s="601"/>
      <c r="W2966" s="601"/>
      <c r="X2966" s="601"/>
      <c r="Y2966" s="601"/>
      <c r="Z2966" s="601"/>
    </row>
    <row r="2967" spans="1:26" s="75" customFormat="1" ht="37.5" hidden="1">
      <c r="A2967" s="709">
        <f t="shared" si="461"/>
        <v>77</v>
      </c>
      <c r="B2967" s="592" t="s">
        <v>2379</v>
      </c>
      <c r="C2967" s="593" t="s">
        <v>271</v>
      </c>
      <c r="D2967" s="650">
        <v>12440</v>
      </c>
      <c r="E2967" s="594">
        <v>3030</v>
      </c>
      <c r="F2967" s="594" t="s">
        <v>222</v>
      </c>
      <c r="G2967" s="594">
        <v>1119</v>
      </c>
      <c r="H2967" s="594">
        <v>5</v>
      </c>
      <c r="I2967" s="594">
        <v>4</v>
      </c>
      <c r="J2967" s="594">
        <v>48</v>
      </c>
      <c r="K2967" s="590" t="s">
        <v>30</v>
      </c>
      <c r="L2967" s="595">
        <f t="shared" si="460"/>
        <v>1339888</v>
      </c>
      <c r="M2967" s="596">
        <f>J2967*27000</f>
        <v>1296000</v>
      </c>
      <c r="N2967" s="597"/>
      <c r="O2967" s="598">
        <f t="shared" si="462"/>
        <v>3888</v>
      </c>
      <c r="P2967" s="597"/>
      <c r="Q2967" s="675">
        <v>40000</v>
      </c>
      <c r="R2967" s="599">
        <f>M2967/J2967</f>
        <v>27000</v>
      </c>
      <c r="S2967" s="594"/>
      <c r="T2967" s="600"/>
      <c r="U2967" s="709"/>
      <c r="V2967" s="601"/>
      <c r="W2967" s="601"/>
      <c r="X2967" s="601"/>
      <c r="Y2967" s="601"/>
      <c r="Z2967" s="601"/>
    </row>
    <row r="2968" spans="1:26" s="75" customFormat="1" hidden="1">
      <c r="A2968" s="709">
        <f t="shared" si="461"/>
        <v>78</v>
      </c>
      <c r="B2968" s="592" t="s">
        <v>2380</v>
      </c>
      <c r="C2968" s="593" t="s">
        <v>217</v>
      </c>
      <c r="D2968" s="594">
        <v>18609</v>
      </c>
      <c r="E2968" s="594">
        <v>2400</v>
      </c>
      <c r="F2968" s="594" t="s">
        <v>222</v>
      </c>
      <c r="G2968" s="594">
        <v>1680</v>
      </c>
      <c r="H2968" s="594">
        <v>5</v>
      </c>
      <c r="I2968" s="594">
        <v>6</v>
      </c>
      <c r="J2968" s="594">
        <v>120</v>
      </c>
      <c r="K2968" s="590" t="s">
        <v>33</v>
      </c>
      <c r="L2968" s="595">
        <f t="shared" si="460"/>
        <v>5937640</v>
      </c>
      <c r="M2968" s="596">
        <f>G2968*3500</f>
        <v>5880000</v>
      </c>
      <c r="N2968" s="597"/>
      <c r="O2968" s="598">
        <f t="shared" si="462"/>
        <v>17640</v>
      </c>
      <c r="P2968" s="597"/>
      <c r="Q2968" s="675">
        <v>40000</v>
      </c>
      <c r="R2968" s="599">
        <f>M2968/G2968</f>
        <v>3500</v>
      </c>
      <c r="S2968" s="594"/>
      <c r="T2968" s="600"/>
      <c r="U2968" s="709"/>
      <c r="V2968" s="601"/>
      <c r="W2968" s="601"/>
      <c r="X2968" s="601"/>
      <c r="Y2968" s="601"/>
      <c r="Z2968" s="601"/>
    </row>
    <row r="2969" spans="1:26" s="75" customFormat="1" ht="37.5" hidden="1">
      <c r="A2969" s="709">
        <f t="shared" si="461"/>
        <v>79</v>
      </c>
      <c r="B2969" s="592" t="s">
        <v>2381</v>
      </c>
      <c r="C2969" s="593" t="s">
        <v>271</v>
      </c>
      <c r="D2969" s="650">
        <v>13500</v>
      </c>
      <c r="E2969" s="594">
        <v>3030</v>
      </c>
      <c r="F2969" s="594" t="s">
        <v>222</v>
      </c>
      <c r="G2969" s="594">
        <v>1145</v>
      </c>
      <c r="H2969" s="594">
        <v>5</v>
      </c>
      <c r="I2969" s="594">
        <v>4</v>
      </c>
      <c r="J2969" s="594">
        <v>76</v>
      </c>
      <c r="K2969" s="590" t="s">
        <v>30</v>
      </c>
      <c r="L2969" s="595">
        <f t="shared" si="460"/>
        <v>2098156</v>
      </c>
      <c r="M2969" s="596">
        <f>J2969*27000</f>
        <v>2052000</v>
      </c>
      <c r="N2969" s="597"/>
      <c r="O2969" s="598">
        <f t="shared" si="462"/>
        <v>6156</v>
      </c>
      <c r="P2969" s="597"/>
      <c r="Q2969" s="675">
        <v>40000</v>
      </c>
      <c r="R2969" s="599">
        <f>M2969/J2969</f>
        <v>27000</v>
      </c>
      <c r="S2969" s="594"/>
      <c r="T2969" s="600"/>
      <c r="U2969" s="709"/>
      <c r="V2969" s="601"/>
      <c r="W2969" s="601"/>
      <c r="X2969" s="601"/>
      <c r="Y2969" s="601"/>
      <c r="Z2969" s="601"/>
    </row>
    <row r="2970" spans="1:26" s="75" customFormat="1" hidden="1">
      <c r="A2970" s="709">
        <f t="shared" si="461"/>
        <v>80</v>
      </c>
      <c r="B2970" s="592" t="s">
        <v>2382</v>
      </c>
      <c r="C2970" s="593" t="s">
        <v>271</v>
      </c>
      <c r="D2970" s="594">
        <v>9989</v>
      </c>
      <c r="E2970" s="594">
        <v>2020.12</v>
      </c>
      <c r="F2970" s="594" t="s">
        <v>222</v>
      </c>
      <c r="G2970" s="594">
        <v>908</v>
      </c>
      <c r="H2970" s="594">
        <v>5</v>
      </c>
      <c r="I2970" s="594">
        <v>3</v>
      </c>
      <c r="J2970" s="594">
        <v>57</v>
      </c>
      <c r="K2970" s="590" t="s">
        <v>33</v>
      </c>
      <c r="L2970" s="595">
        <f t="shared" si="460"/>
        <v>3227534</v>
      </c>
      <c r="M2970" s="596">
        <f>G2970*3500</f>
        <v>3178000</v>
      </c>
      <c r="N2970" s="597"/>
      <c r="O2970" s="598">
        <f t="shared" si="462"/>
        <v>9534</v>
      </c>
      <c r="P2970" s="597"/>
      <c r="Q2970" s="675">
        <v>40000</v>
      </c>
      <c r="R2970" s="599">
        <f>M2970/G2970</f>
        <v>3500</v>
      </c>
      <c r="S2970" s="594"/>
      <c r="T2970" s="600"/>
      <c r="U2970" s="709"/>
      <c r="V2970" s="601"/>
      <c r="W2970" s="601"/>
      <c r="X2970" s="601"/>
      <c r="Y2970" s="601"/>
      <c r="Z2970" s="601"/>
    </row>
    <row r="2971" spans="1:26" s="75" customFormat="1" hidden="1">
      <c r="A2971" s="709">
        <f t="shared" si="461"/>
        <v>81</v>
      </c>
      <c r="B2971" s="592" t="s">
        <v>2383</v>
      </c>
      <c r="C2971" s="593" t="s">
        <v>271</v>
      </c>
      <c r="D2971" s="594">
        <v>11657</v>
      </c>
      <c r="E2971" s="594">
        <v>2276.8000000000002</v>
      </c>
      <c r="F2971" s="594" t="s">
        <v>222</v>
      </c>
      <c r="G2971" s="594">
        <v>1052</v>
      </c>
      <c r="H2971" s="594">
        <v>5</v>
      </c>
      <c r="I2971" s="594">
        <v>3</v>
      </c>
      <c r="J2971" s="594">
        <v>24</v>
      </c>
      <c r="K2971" s="590" t="s">
        <v>33</v>
      </c>
      <c r="L2971" s="595">
        <f t="shared" si="460"/>
        <v>3733046</v>
      </c>
      <c r="M2971" s="596">
        <f>G2971*3500</f>
        <v>3682000</v>
      </c>
      <c r="N2971" s="597"/>
      <c r="O2971" s="598">
        <f t="shared" si="462"/>
        <v>11046</v>
      </c>
      <c r="P2971" s="597"/>
      <c r="Q2971" s="675">
        <v>40000</v>
      </c>
      <c r="R2971" s="599">
        <f>M2971/G2971</f>
        <v>3500</v>
      </c>
      <c r="S2971" s="594"/>
      <c r="T2971" s="600"/>
      <c r="U2971" s="709"/>
      <c r="V2971" s="601"/>
      <c r="W2971" s="601"/>
      <c r="X2971" s="601"/>
      <c r="Y2971" s="601"/>
      <c r="Z2971" s="601"/>
    </row>
    <row r="2972" spans="1:26" s="75" customFormat="1" hidden="1">
      <c r="A2972" s="709">
        <f t="shared" si="461"/>
        <v>82</v>
      </c>
      <c r="B2972" s="592" t="s">
        <v>2384</v>
      </c>
      <c r="C2972" s="593" t="s">
        <v>271</v>
      </c>
      <c r="D2972" s="594">
        <v>7593</v>
      </c>
      <c r="E2972" s="594">
        <v>1643.21</v>
      </c>
      <c r="F2972" s="594" t="s">
        <v>222</v>
      </c>
      <c r="G2972" s="594">
        <v>696</v>
      </c>
      <c r="H2972" s="594">
        <v>5</v>
      </c>
      <c r="I2972" s="594">
        <v>3</v>
      </c>
      <c r="J2972" s="594">
        <v>60</v>
      </c>
      <c r="K2972" s="590" t="s">
        <v>33</v>
      </c>
      <c r="L2972" s="595">
        <f t="shared" si="460"/>
        <v>2483308</v>
      </c>
      <c r="M2972" s="596">
        <f>G2972*3500</f>
        <v>2436000</v>
      </c>
      <c r="N2972" s="597"/>
      <c r="O2972" s="598">
        <f t="shared" si="462"/>
        <v>7308</v>
      </c>
      <c r="P2972" s="597"/>
      <c r="Q2972" s="675">
        <v>40000</v>
      </c>
      <c r="R2972" s="599">
        <f>M2972/G2972</f>
        <v>3500</v>
      </c>
      <c r="S2972" s="594"/>
      <c r="T2972" s="600"/>
      <c r="U2972" s="709"/>
      <c r="V2972" s="601"/>
      <c r="W2972" s="601"/>
      <c r="X2972" s="601"/>
      <c r="Y2972" s="601"/>
      <c r="Z2972" s="601"/>
    </row>
    <row r="2973" spans="1:26" s="75" customFormat="1" ht="37.5" hidden="1">
      <c r="A2973" s="709">
        <f t="shared" si="461"/>
        <v>83</v>
      </c>
      <c r="B2973" s="592" t="s">
        <v>2385</v>
      </c>
      <c r="C2973" s="593" t="s">
        <v>271</v>
      </c>
      <c r="D2973" s="618">
        <v>132707</v>
      </c>
      <c r="E2973" s="594">
        <v>20562.5</v>
      </c>
      <c r="F2973" s="582" t="s">
        <v>233</v>
      </c>
      <c r="G2973" s="618">
        <v>5862</v>
      </c>
      <c r="H2973" s="650">
        <v>13</v>
      </c>
      <c r="I2973" s="650">
        <v>8</v>
      </c>
      <c r="J2973" s="650">
        <v>378</v>
      </c>
      <c r="K2973" s="590" t="s">
        <v>366</v>
      </c>
      <c r="L2973" s="595">
        <f t="shared" si="460"/>
        <v>32403750</v>
      </c>
      <c r="M2973" s="585">
        <v>32000000</v>
      </c>
      <c r="N2973" s="586">
        <v>403750</v>
      </c>
      <c r="O2973" s="598"/>
      <c r="P2973" s="586"/>
      <c r="Q2973" s="630"/>
      <c r="R2973" s="599">
        <v>2200000</v>
      </c>
      <c r="S2973" s="594"/>
      <c r="T2973" s="600"/>
      <c r="U2973" s="709"/>
      <c r="V2973" s="601"/>
      <c r="W2973" s="601"/>
      <c r="X2973" s="601"/>
      <c r="Y2973" s="601"/>
      <c r="Z2973" s="601"/>
    </row>
    <row r="2974" spans="1:26" s="75" customFormat="1" ht="37.5" hidden="1">
      <c r="A2974" s="709">
        <f t="shared" si="461"/>
        <v>84</v>
      </c>
      <c r="B2974" s="592" t="s">
        <v>2386</v>
      </c>
      <c r="C2974" s="593" t="s">
        <v>271</v>
      </c>
      <c r="D2974" s="594">
        <v>18793</v>
      </c>
      <c r="E2974" s="594">
        <v>2550</v>
      </c>
      <c r="F2974" s="594" t="s">
        <v>222</v>
      </c>
      <c r="G2974" s="594">
        <v>1711</v>
      </c>
      <c r="H2974" s="594">
        <v>5</v>
      </c>
      <c r="I2974" s="594">
        <v>6</v>
      </c>
      <c r="J2974" s="594">
        <v>120</v>
      </c>
      <c r="K2974" s="590" t="s">
        <v>30</v>
      </c>
      <c r="L2974" s="595">
        <f t="shared" si="460"/>
        <v>3289720</v>
      </c>
      <c r="M2974" s="596">
        <f>J2974*27000</f>
        <v>3240000</v>
      </c>
      <c r="N2974" s="597"/>
      <c r="O2974" s="598">
        <f>M2974*0.3%</f>
        <v>9720</v>
      </c>
      <c r="P2974" s="597"/>
      <c r="Q2974" s="675">
        <v>40000</v>
      </c>
      <c r="R2974" s="599">
        <f>M2974/J2974</f>
        <v>27000</v>
      </c>
      <c r="S2974" s="594"/>
      <c r="T2974" s="600"/>
      <c r="U2974" s="709"/>
      <c r="V2974" s="601"/>
      <c r="W2974" s="601"/>
      <c r="X2974" s="601"/>
      <c r="Y2974" s="601"/>
      <c r="Z2974" s="601"/>
    </row>
    <row r="2975" spans="1:26" s="75" customFormat="1" hidden="1">
      <c r="A2975" s="709">
        <f t="shared" si="461"/>
        <v>85</v>
      </c>
      <c r="B2975" s="592" t="s">
        <v>2388</v>
      </c>
      <c r="C2975" s="593" t="s">
        <v>271</v>
      </c>
      <c r="D2975" s="594">
        <v>14576</v>
      </c>
      <c r="E2975" s="594">
        <v>2500</v>
      </c>
      <c r="F2975" s="594" t="s">
        <v>233</v>
      </c>
      <c r="G2975" s="594">
        <v>428</v>
      </c>
      <c r="H2975" s="594">
        <v>9</v>
      </c>
      <c r="I2975" s="594">
        <v>1</v>
      </c>
      <c r="J2975" s="594">
        <v>54</v>
      </c>
      <c r="K2975" s="590" t="s">
        <v>224</v>
      </c>
      <c r="L2975" s="595">
        <f t="shared" si="460"/>
        <v>1135112</v>
      </c>
      <c r="M2975" s="596">
        <f>J2975*20000</f>
        <v>1080000</v>
      </c>
      <c r="N2975" s="597">
        <v>32000</v>
      </c>
      <c r="O2975" s="598"/>
      <c r="P2975" s="597"/>
      <c r="Q2975" s="675">
        <v>23112</v>
      </c>
      <c r="R2975" s="599">
        <f>M2975/J2975</f>
        <v>20000</v>
      </c>
      <c r="S2975" s="594"/>
      <c r="T2975" s="600"/>
      <c r="U2975" s="709"/>
      <c r="V2975" s="601"/>
      <c r="W2975" s="601"/>
      <c r="X2975" s="601"/>
      <c r="Y2975" s="601"/>
      <c r="Z2975" s="601"/>
    </row>
    <row r="2976" spans="1:26" s="75" customFormat="1" hidden="1">
      <c r="A2976" s="709">
        <f t="shared" si="461"/>
        <v>86</v>
      </c>
      <c r="B2976" s="592" t="s">
        <v>2390</v>
      </c>
      <c r="C2976" s="593" t="s">
        <v>271</v>
      </c>
      <c r="D2976" s="594">
        <v>8727</v>
      </c>
      <c r="E2976" s="594">
        <v>1565</v>
      </c>
      <c r="F2976" s="594" t="s">
        <v>251</v>
      </c>
      <c r="G2976" s="594">
        <v>659</v>
      </c>
      <c r="H2976" s="594">
        <v>5</v>
      </c>
      <c r="I2976" s="594">
        <v>2</v>
      </c>
      <c r="J2976" s="594">
        <v>40</v>
      </c>
      <c r="K2976" s="590" t="s">
        <v>33</v>
      </c>
      <c r="L2976" s="595">
        <f t="shared" si="460"/>
        <v>1890222.6</v>
      </c>
      <c r="M2976" s="596">
        <f>G2976*2800</f>
        <v>1845200</v>
      </c>
      <c r="N2976" s="597"/>
      <c r="O2976" s="598">
        <f>M2976*0.3%</f>
        <v>5535.6</v>
      </c>
      <c r="P2976" s="597"/>
      <c r="Q2976" s="675">
        <v>39487</v>
      </c>
      <c r="R2976" s="599">
        <f>M2976/G2976</f>
        <v>2800</v>
      </c>
      <c r="S2976" s="594"/>
      <c r="T2976" s="600"/>
      <c r="U2976" s="709"/>
      <c r="V2976" s="601"/>
      <c r="W2976" s="601"/>
      <c r="X2976" s="601"/>
      <c r="Y2976" s="601"/>
      <c r="Z2976" s="601"/>
    </row>
    <row r="2977" spans="1:26" s="75" customFormat="1" hidden="1">
      <c r="A2977" s="709">
        <f t="shared" si="461"/>
        <v>87</v>
      </c>
      <c r="B2977" s="592" t="s">
        <v>2392</v>
      </c>
      <c r="C2977" s="593" t="s">
        <v>271</v>
      </c>
      <c r="D2977" s="594">
        <v>17426</v>
      </c>
      <c r="E2977" s="594">
        <v>4553</v>
      </c>
      <c r="F2977" s="594" t="s">
        <v>251</v>
      </c>
      <c r="G2977" s="594">
        <v>2298</v>
      </c>
      <c r="H2977" s="594">
        <v>5</v>
      </c>
      <c r="I2977" s="594">
        <v>8</v>
      </c>
      <c r="J2977" s="594">
        <v>161</v>
      </c>
      <c r="K2977" s="590" t="s">
        <v>224</v>
      </c>
      <c r="L2977" s="595">
        <f t="shared" si="460"/>
        <v>2663126</v>
      </c>
      <c r="M2977" s="596">
        <f>J2977*16000</f>
        <v>2576000</v>
      </c>
      <c r="N2977" s="597">
        <v>32000</v>
      </c>
      <c r="O2977" s="598"/>
      <c r="P2977" s="597"/>
      <c r="Q2977" s="675">
        <v>55126</v>
      </c>
      <c r="R2977" s="599">
        <f>M2977/J2977</f>
        <v>16000</v>
      </c>
      <c r="S2977" s="594"/>
      <c r="T2977" s="600"/>
      <c r="U2977" s="709"/>
      <c r="V2977" s="601"/>
      <c r="W2977" s="601"/>
      <c r="X2977" s="601"/>
      <c r="Y2977" s="601"/>
      <c r="Z2977" s="601"/>
    </row>
    <row r="2978" spans="1:26" s="75" customFormat="1" hidden="1">
      <c r="A2978" s="709">
        <f t="shared" si="461"/>
        <v>88</v>
      </c>
      <c r="B2978" s="592" t="s">
        <v>2393</v>
      </c>
      <c r="C2978" s="593" t="s">
        <v>271</v>
      </c>
      <c r="D2978" s="594">
        <v>8727</v>
      </c>
      <c r="E2978" s="594">
        <v>1376</v>
      </c>
      <c r="F2978" s="594" t="s">
        <v>251</v>
      </c>
      <c r="G2978" s="594">
        <v>587</v>
      </c>
      <c r="H2978" s="594">
        <v>5</v>
      </c>
      <c r="I2978" s="594">
        <v>2</v>
      </c>
      <c r="J2978" s="594">
        <v>40</v>
      </c>
      <c r="K2978" s="590" t="s">
        <v>224</v>
      </c>
      <c r="L2978" s="595">
        <f t="shared" si="460"/>
        <v>678696</v>
      </c>
      <c r="M2978" s="596">
        <f>J2978*16000</f>
        <v>640000</v>
      </c>
      <c r="N2978" s="597">
        <v>25000</v>
      </c>
      <c r="O2978" s="598"/>
      <c r="P2978" s="597"/>
      <c r="Q2978" s="675">
        <v>13696</v>
      </c>
      <c r="R2978" s="599">
        <f>M2978/J2978</f>
        <v>16000</v>
      </c>
      <c r="S2978" s="594"/>
      <c r="T2978" s="600"/>
      <c r="U2978" s="709"/>
      <c r="V2978" s="601"/>
      <c r="W2978" s="601"/>
      <c r="X2978" s="601"/>
      <c r="Y2978" s="601"/>
      <c r="Z2978" s="601"/>
    </row>
    <row r="2979" spans="1:26" s="75" customFormat="1" hidden="1">
      <c r="A2979" s="709">
        <f t="shared" si="461"/>
        <v>89</v>
      </c>
      <c r="B2979" s="592" t="s">
        <v>2394</v>
      </c>
      <c r="C2979" s="593" t="s">
        <v>271</v>
      </c>
      <c r="D2979" s="594">
        <v>8727</v>
      </c>
      <c r="E2979" s="594">
        <v>1389</v>
      </c>
      <c r="F2979" s="594" t="s">
        <v>251</v>
      </c>
      <c r="G2979" s="594">
        <v>587</v>
      </c>
      <c r="H2979" s="594">
        <v>5</v>
      </c>
      <c r="I2979" s="594">
        <v>2</v>
      </c>
      <c r="J2979" s="594">
        <v>40</v>
      </c>
      <c r="K2979" s="590" t="s">
        <v>33</v>
      </c>
      <c r="L2979" s="595">
        <f t="shared" si="460"/>
        <v>1683703.8</v>
      </c>
      <c r="M2979" s="596">
        <f>G2979*2800</f>
        <v>1643600</v>
      </c>
      <c r="N2979" s="597"/>
      <c r="O2979" s="598">
        <f>M2979*0.3%</f>
        <v>4930.8</v>
      </c>
      <c r="P2979" s="597"/>
      <c r="Q2979" s="675">
        <v>35173</v>
      </c>
      <c r="R2979" s="599">
        <f>M2979/G2979</f>
        <v>2800</v>
      </c>
      <c r="S2979" s="594"/>
      <c r="T2979" s="600"/>
      <c r="U2979" s="709"/>
      <c r="V2979" s="601"/>
      <c r="W2979" s="601"/>
      <c r="X2979" s="601"/>
      <c r="Y2979" s="601"/>
      <c r="Z2979" s="601"/>
    </row>
    <row r="2980" spans="1:26" s="75" customFormat="1" hidden="1">
      <c r="A2980" s="709">
        <f t="shared" si="461"/>
        <v>90</v>
      </c>
      <c r="B2980" s="592" t="s">
        <v>2395</v>
      </c>
      <c r="C2980" s="593" t="s">
        <v>271</v>
      </c>
      <c r="D2980" s="594">
        <v>8727</v>
      </c>
      <c r="E2980" s="594">
        <v>1461</v>
      </c>
      <c r="F2980" s="594" t="s">
        <v>251</v>
      </c>
      <c r="G2980" s="594">
        <v>565</v>
      </c>
      <c r="H2980" s="594">
        <v>5</v>
      </c>
      <c r="I2980" s="594">
        <v>2</v>
      </c>
      <c r="J2980" s="594">
        <v>40</v>
      </c>
      <c r="K2980" s="590" t="s">
        <v>33</v>
      </c>
      <c r="L2980" s="595">
        <f t="shared" si="460"/>
        <v>1620601</v>
      </c>
      <c r="M2980" s="596">
        <f>G2980*2800</f>
        <v>1582000</v>
      </c>
      <c r="N2980" s="597"/>
      <c r="O2980" s="598">
        <f>M2980*0.3%</f>
        <v>4746</v>
      </c>
      <c r="P2980" s="597"/>
      <c r="Q2980" s="675">
        <v>33855</v>
      </c>
      <c r="R2980" s="599">
        <f>M2980/G2980</f>
        <v>2800</v>
      </c>
      <c r="S2980" s="594"/>
      <c r="T2980" s="600"/>
      <c r="U2980" s="709"/>
      <c r="V2980" s="601"/>
      <c r="W2980" s="601"/>
      <c r="X2980" s="601"/>
      <c r="Y2980" s="601"/>
      <c r="Z2980" s="601"/>
    </row>
    <row r="2981" spans="1:26" s="75" customFormat="1" hidden="1">
      <c r="A2981" s="709">
        <f t="shared" si="461"/>
        <v>91</v>
      </c>
      <c r="B2981" s="592" t="s">
        <v>2396</v>
      </c>
      <c r="C2981" s="593" t="s">
        <v>271</v>
      </c>
      <c r="D2981" s="594">
        <v>12718</v>
      </c>
      <c r="E2981" s="594">
        <v>2400</v>
      </c>
      <c r="F2981" s="594" t="s">
        <v>251</v>
      </c>
      <c r="G2981" s="594">
        <v>1142</v>
      </c>
      <c r="H2981" s="594">
        <v>5</v>
      </c>
      <c r="I2981" s="594">
        <v>4</v>
      </c>
      <c r="J2981" s="594">
        <v>80</v>
      </c>
      <c r="K2981" s="590" t="s">
        <v>224</v>
      </c>
      <c r="L2981" s="595">
        <f t="shared" si="460"/>
        <v>1339392</v>
      </c>
      <c r="M2981" s="596">
        <f>J2981*16000</f>
        <v>1280000</v>
      </c>
      <c r="N2981" s="597">
        <v>32000</v>
      </c>
      <c r="O2981" s="598"/>
      <c r="P2981" s="597"/>
      <c r="Q2981" s="675">
        <v>27392</v>
      </c>
      <c r="R2981" s="599">
        <f>M2981/J2981</f>
        <v>16000</v>
      </c>
      <c r="S2981" s="594"/>
      <c r="T2981" s="600"/>
      <c r="U2981" s="709"/>
      <c r="V2981" s="601"/>
      <c r="W2981" s="601"/>
      <c r="X2981" s="601"/>
      <c r="Y2981" s="601"/>
      <c r="Z2981" s="601"/>
    </row>
    <row r="2982" spans="1:26" s="75" customFormat="1" hidden="1">
      <c r="A2982" s="709">
        <f t="shared" si="461"/>
        <v>92</v>
      </c>
      <c r="B2982" s="592" t="s">
        <v>2397</v>
      </c>
      <c r="C2982" s="593" t="s">
        <v>271</v>
      </c>
      <c r="D2982" s="594">
        <v>12398</v>
      </c>
      <c r="E2982" s="594">
        <v>2465</v>
      </c>
      <c r="F2982" s="594" t="s">
        <v>230</v>
      </c>
      <c r="G2982" s="594">
        <v>1143</v>
      </c>
      <c r="H2982" s="594">
        <v>5</v>
      </c>
      <c r="I2982" s="594">
        <v>4</v>
      </c>
      <c r="J2982" s="594">
        <v>78</v>
      </c>
      <c r="K2982" s="590" t="s">
        <v>33</v>
      </c>
      <c r="L2982" s="595">
        <f t="shared" si="460"/>
        <v>4052501.5</v>
      </c>
      <c r="M2982" s="596">
        <f>G2982*3500</f>
        <v>4000500</v>
      </c>
      <c r="N2982" s="597"/>
      <c r="O2982" s="598">
        <f>M2982*0.3%</f>
        <v>12001.5</v>
      </c>
      <c r="P2982" s="597"/>
      <c r="Q2982" s="675">
        <v>40000</v>
      </c>
      <c r="R2982" s="599">
        <f>M2982/G2982</f>
        <v>3500</v>
      </c>
      <c r="S2982" s="594"/>
      <c r="T2982" s="600"/>
      <c r="U2982" s="709"/>
      <c r="V2982" s="601"/>
      <c r="W2982" s="601"/>
      <c r="X2982" s="601"/>
      <c r="Y2982" s="601"/>
      <c r="Z2982" s="601"/>
    </row>
    <row r="2983" spans="1:26" s="75" customFormat="1" hidden="1">
      <c r="A2983" s="709">
        <f t="shared" si="461"/>
        <v>93</v>
      </c>
      <c r="B2983" s="592" t="s">
        <v>2400</v>
      </c>
      <c r="C2983" s="593" t="s">
        <v>271</v>
      </c>
      <c r="D2983" s="594">
        <v>14517</v>
      </c>
      <c r="E2983" s="594">
        <v>2198</v>
      </c>
      <c r="F2983" s="594" t="s">
        <v>233</v>
      </c>
      <c r="G2983" s="594">
        <v>980.3</v>
      </c>
      <c r="H2983" s="594">
        <v>5</v>
      </c>
      <c r="I2983" s="594">
        <v>4</v>
      </c>
      <c r="J2983" s="594">
        <v>60</v>
      </c>
      <c r="K2983" s="590" t="s">
        <v>252</v>
      </c>
      <c r="L2983" s="595">
        <f t="shared" si="460"/>
        <v>3020900</v>
      </c>
      <c r="M2983" s="596">
        <f>G2983*3000</f>
        <v>2940900</v>
      </c>
      <c r="N2983" s="597">
        <v>40000</v>
      </c>
      <c r="O2983" s="598"/>
      <c r="P2983" s="597"/>
      <c r="Q2983" s="675">
        <v>40000</v>
      </c>
      <c r="R2983" s="582">
        <f>M2983/G2983</f>
        <v>3000</v>
      </c>
      <c r="S2983" s="594"/>
      <c r="T2983" s="600"/>
      <c r="U2983" s="709"/>
      <c r="V2983" s="601"/>
      <c r="W2983" s="601"/>
      <c r="X2983" s="601"/>
      <c r="Y2983" s="601"/>
      <c r="Z2983" s="601"/>
    </row>
    <row r="2984" spans="1:26" s="75" customFormat="1" ht="37.5" hidden="1">
      <c r="A2984" s="709">
        <f t="shared" si="461"/>
        <v>94</v>
      </c>
      <c r="B2984" s="592" t="s">
        <v>2401</v>
      </c>
      <c r="C2984" s="593" t="s">
        <v>271</v>
      </c>
      <c r="D2984" s="594">
        <v>5235</v>
      </c>
      <c r="E2984" s="594">
        <v>452.1</v>
      </c>
      <c r="F2984" s="594" t="s">
        <v>222</v>
      </c>
      <c r="G2984" s="594">
        <v>565</v>
      </c>
      <c r="H2984" s="594">
        <v>9</v>
      </c>
      <c r="I2984" s="594">
        <v>2</v>
      </c>
      <c r="J2984" s="594">
        <v>30</v>
      </c>
      <c r="K2984" s="590" t="s">
        <v>366</v>
      </c>
      <c r="L2984" s="595">
        <f t="shared" si="460"/>
        <v>4106250</v>
      </c>
      <c r="M2984" s="596">
        <v>4000000</v>
      </c>
      <c r="N2984" s="597">
        <v>106250</v>
      </c>
      <c r="O2984" s="598"/>
      <c r="P2984" s="597"/>
      <c r="Q2984" s="675"/>
      <c r="R2984" s="582">
        <f>M2984/I2984</f>
        <v>2000000</v>
      </c>
      <c r="S2984" s="594"/>
      <c r="T2984" s="600"/>
      <c r="U2984" s="709"/>
      <c r="V2984" s="601"/>
      <c r="W2984" s="601"/>
      <c r="X2984" s="601"/>
      <c r="Y2984" s="601"/>
      <c r="Z2984" s="601"/>
    </row>
    <row r="2985" spans="1:26" s="75" customFormat="1" ht="37.5" hidden="1">
      <c r="A2985" s="709">
        <f t="shared" si="461"/>
        <v>95</v>
      </c>
      <c r="B2985" s="592" t="s">
        <v>2402</v>
      </c>
      <c r="C2985" s="593" t="s">
        <v>217</v>
      </c>
      <c r="D2985" s="594">
        <v>16761</v>
      </c>
      <c r="E2985" s="594">
        <v>3240</v>
      </c>
      <c r="F2985" s="594" t="s">
        <v>233</v>
      </c>
      <c r="G2985" s="594">
        <v>828</v>
      </c>
      <c r="H2985" s="594">
        <v>9</v>
      </c>
      <c r="I2985" s="594">
        <v>2</v>
      </c>
      <c r="J2985" s="594">
        <v>72</v>
      </c>
      <c r="K2985" s="590" t="s">
        <v>366</v>
      </c>
      <c r="L2985" s="595">
        <f t="shared" si="460"/>
        <v>4106250</v>
      </c>
      <c r="M2985" s="596">
        <v>4000000</v>
      </c>
      <c r="N2985" s="597">
        <v>106250</v>
      </c>
      <c r="O2985" s="598"/>
      <c r="P2985" s="597"/>
      <c r="Q2985" s="675"/>
      <c r="R2985" s="582">
        <f>M2985/I2985</f>
        <v>2000000</v>
      </c>
      <c r="S2985" s="594"/>
      <c r="T2985" s="600"/>
      <c r="U2985" s="709"/>
      <c r="V2985" s="601"/>
      <c r="W2985" s="601"/>
      <c r="X2985" s="601"/>
      <c r="Y2985" s="601"/>
      <c r="Z2985" s="601"/>
    </row>
    <row r="2986" spans="1:26" s="75" customFormat="1" ht="37.5" hidden="1">
      <c r="A2986" s="709">
        <f t="shared" si="461"/>
        <v>96</v>
      </c>
      <c r="B2986" s="592" t="s">
        <v>2403</v>
      </c>
      <c r="C2986" s="593" t="s">
        <v>217</v>
      </c>
      <c r="D2986" s="594">
        <v>15982</v>
      </c>
      <c r="E2986" s="594">
        <v>3240</v>
      </c>
      <c r="F2986" s="594" t="s">
        <v>233</v>
      </c>
      <c r="G2986" s="594">
        <v>687</v>
      </c>
      <c r="H2986" s="594">
        <v>9</v>
      </c>
      <c r="I2986" s="594">
        <v>2</v>
      </c>
      <c r="J2986" s="594">
        <v>72</v>
      </c>
      <c r="K2986" s="590" t="s">
        <v>366</v>
      </c>
      <c r="L2986" s="595">
        <f t="shared" si="460"/>
        <v>4142250</v>
      </c>
      <c r="M2986" s="596">
        <v>4036000</v>
      </c>
      <c r="N2986" s="597">
        <v>106250</v>
      </c>
      <c r="O2986" s="598"/>
      <c r="P2986" s="597"/>
      <c r="Q2986" s="675"/>
      <c r="R2986" s="582">
        <f>M2986/I2986</f>
        <v>2018000</v>
      </c>
      <c r="S2986" s="594"/>
      <c r="T2986" s="600"/>
      <c r="U2986" s="709"/>
      <c r="V2986" s="601"/>
      <c r="W2986" s="601"/>
      <c r="X2986" s="601"/>
      <c r="Y2986" s="601"/>
      <c r="Z2986" s="601"/>
    </row>
    <row r="2987" spans="1:26" s="75" customFormat="1" ht="37.5" hidden="1">
      <c r="A2987" s="709">
        <f t="shared" si="461"/>
        <v>97</v>
      </c>
      <c r="B2987" s="592" t="s">
        <v>2404</v>
      </c>
      <c r="C2987" s="593" t="s">
        <v>217</v>
      </c>
      <c r="D2987" s="594">
        <v>16359</v>
      </c>
      <c r="E2987" s="594">
        <v>3240</v>
      </c>
      <c r="F2987" s="594" t="s">
        <v>233</v>
      </c>
      <c r="G2987" s="594">
        <v>714</v>
      </c>
      <c r="H2987" s="594">
        <v>9</v>
      </c>
      <c r="I2987" s="594">
        <v>2</v>
      </c>
      <c r="J2987" s="594">
        <v>72</v>
      </c>
      <c r="K2987" s="590" t="s">
        <v>366</v>
      </c>
      <c r="L2987" s="595">
        <f t="shared" si="460"/>
        <v>4142250</v>
      </c>
      <c r="M2987" s="596">
        <v>4036000</v>
      </c>
      <c r="N2987" s="597">
        <v>106250</v>
      </c>
      <c r="O2987" s="598"/>
      <c r="P2987" s="597"/>
      <c r="Q2987" s="675"/>
      <c r="R2987" s="582">
        <f>M2987/I2987</f>
        <v>2018000</v>
      </c>
      <c r="S2987" s="594"/>
      <c r="T2987" s="600"/>
      <c r="U2987" s="709"/>
      <c r="V2987" s="601"/>
      <c r="W2987" s="601"/>
      <c r="X2987" s="601"/>
      <c r="Y2987" s="601"/>
      <c r="Z2987" s="601"/>
    </row>
    <row r="2988" spans="1:26" s="75" customFormat="1" hidden="1">
      <c r="A2988" s="709">
        <f t="shared" si="461"/>
        <v>98</v>
      </c>
      <c r="B2988" s="592" t="s">
        <v>2405</v>
      </c>
      <c r="C2988" s="593" t="s">
        <v>217</v>
      </c>
      <c r="D2988" s="594">
        <v>23683</v>
      </c>
      <c r="E2988" s="594">
        <v>3972</v>
      </c>
      <c r="F2988" s="594" t="s">
        <v>233</v>
      </c>
      <c r="G2988" s="594">
        <v>1034</v>
      </c>
      <c r="H2988" s="594">
        <v>9</v>
      </c>
      <c r="I2988" s="594">
        <v>2</v>
      </c>
      <c r="J2988" s="594">
        <v>144</v>
      </c>
      <c r="K2988" s="590" t="s">
        <v>224</v>
      </c>
      <c r="L2988" s="595">
        <f t="shared" si="460"/>
        <v>2973632</v>
      </c>
      <c r="M2988" s="596">
        <f>J2988*20000</f>
        <v>2880000</v>
      </c>
      <c r="N2988" s="597">
        <v>32000</v>
      </c>
      <c r="O2988" s="598"/>
      <c r="P2988" s="597"/>
      <c r="Q2988" s="675">
        <v>61632</v>
      </c>
      <c r="R2988" s="599">
        <f>M2988/J2988</f>
        <v>20000</v>
      </c>
      <c r="S2988" s="594"/>
      <c r="T2988" s="600"/>
      <c r="U2988" s="709"/>
      <c r="V2988" s="601"/>
      <c r="W2988" s="601"/>
      <c r="X2988" s="601"/>
      <c r="Y2988" s="601"/>
      <c r="Z2988" s="601"/>
    </row>
    <row r="2989" spans="1:26" s="75" customFormat="1" ht="37.5" hidden="1">
      <c r="A2989" s="709">
        <f t="shared" si="461"/>
        <v>99</v>
      </c>
      <c r="B2989" s="592" t="s">
        <v>2406</v>
      </c>
      <c r="C2989" s="593" t="s">
        <v>217</v>
      </c>
      <c r="D2989" s="594">
        <v>16480</v>
      </c>
      <c r="E2989" s="594">
        <v>3240</v>
      </c>
      <c r="F2989" s="594" t="s">
        <v>233</v>
      </c>
      <c r="G2989" s="594">
        <v>675</v>
      </c>
      <c r="H2989" s="594">
        <v>9</v>
      </c>
      <c r="I2989" s="594">
        <v>2</v>
      </c>
      <c r="J2989" s="594">
        <v>72</v>
      </c>
      <c r="K2989" s="590" t="s">
        <v>366</v>
      </c>
      <c r="L2989" s="595">
        <f t="shared" si="460"/>
        <v>4142250</v>
      </c>
      <c r="M2989" s="596">
        <v>4036000</v>
      </c>
      <c r="N2989" s="597">
        <v>106250</v>
      </c>
      <c r="O2989" s="598"/>
      <c r="P2989" s="597"/>
      <c r="Q2989" s="675"/>
      <c r="R2989" s="582">
        <f>M2989/I2989</f>
        <v>2018000</v>
      </c>
      <c r="S2989" s="594"/>
      <c r="T2989" s="600"/>
      <c r="U2989" s="709"/>
      <c r="V2989" s="601"/>
      <c r="W2989" s="601"/>
      <c r="X2989" s="601"/>
      <c r="Y2989" s="601"/>
      <c r="Z2989" s="601"/>
    </row>
    <row r="2990" spans="1:26" s="75" customFormat="1" ht="37.5" hidden="1">
      <c r="A2990" s="709">
        <f t="shared" si="461"/>
        <v>100</v>
      </c>
      <c r="B2990" s="592" t="s">
        <v>2407</v>
      </c>
      <c r="C2990" s="593" t="s">
        <v>217</v>
      </c>
      <c r="D2990" s="594">
        <v>24292</v>
      </c>
      <c r="E2990" s="594">
        <v>4536</v>
      </c>
      <c r="F2990" s="594" t="s">
        <v>233</v>
      </c>
      <c r="G2990" s="594">
        <v>1028</v>
      </c>
      <c r="H2990" s="594">
        <v>9</v>
      </c>
      <c r="I2990" s="594">
        <v>3</v>
      </c>
      <c r="J2990" s="594">
        <v>106</v>
      </c>
      <c r="K2990" s="590" t="s">
        <v>366</v>
      </c>
      <c r="L2990" s="595">
        <f t="shared" si="460"/>
        <v>6127500</v>
      </c>
      <c r="M2990" s="596">
        <v>6000000</v>
      </c>
      <c r="N2990" s="597">
        <v>127500</v>
      </c>
      <c r="O2990" s="598"/>
      <c r="P2990" s="597"/>
      <c r="Q2990" s="675"/>
      <c r="R2990" s="582">
        <f>M2990/I2990</f>
        <v>2000000</v>
      </c>
      <c r="S2990" s="594"/>
      <c r="T2990" s="600"/>
      <c r="U2990" s="709"/>
      <c r="V2990" s="601"/>
      <c r="W2990" s="601"/>
      <c r="X2990" s="601"/>
      <c r="Y2990" s="601"/>
      <c r="Z2990" s="601"/>
    </row>
    <row r="2991" spans="1:26" s="75" customFormat="1" hidden="1">
      <c r="A2991" s="709">
        <f t="shared" si="461"/>
        <v>101</v>
      </c>
      <c r="B2991" s="592" t="s">
        <v>2408</v>
      </c>
      <c r="C2991" s="593" t="s">
        <v>217</v>
      </c>
      <c r="D2991" s="594">
        <v>34473</v>
      </c>
      <c r="E2991" s="594">
        <v>2800</v>
      </c>
      <c r="F2991" s="594" t="s">
        <v>233</v>
      </c>
      <c r="G2991" s="594">
        <v>1384</v>
      </c>
      <c r="H2991" s="594">
        <v>9</v>
      </c>
      <c r="I2991" s="594">
        <v>4</v>
      </c>
      <c r="J2991" s="594">
        <v>144</v>
      </c>
      <c r="K2991" s="590" t="s">
        <v>224</v>
      </c>
      <c r="L2991" s="595">
        <f t="shared" si="460"/>
        <v>2973632</v>
      </c>
      <c r="M2991" s="596">
        <f>J2991*20000</f>
        <v>2880000</v>
      </c>
      <c r="N2991" s="597">
        <v>32000</v>
      </c>
      <c r="O2991" s="598"/>
      <c r="P2991" s="597"/>
      <c r="Q2991" s="675">
        <v>61632</v>
      </c>
      <c r="R2991" s="599">
        <f>M2991/J2991</f>
        <v>20000</v>
      </c>
      <c r="S2991" s="594"/>
      <c r="T2991" s="600"/>
      <c r="U2991" s="709"/>
      <c r="V2991" s="601"/>
      <c r="W2991" s="601"/>
      <c r="X2991" s="601"/>
      <c r="Y2991" s="601"/>
      <c r="Z2991" s="601"/>
    </row>
    <row r="2992" spans="1:26" s="75" customFormat="1" hidden="1">
      <c r="A2992" s="709">
        <f t="shared" si="461"/>
        <v>102</v>
      </c>
      <c r="B2992" s="592" t="s">
        <v>2409</v>
      </c>
      <c r="C2992" s="593" t="s">
        <v>217</v>
      </c>
      <c r="D2992" s="594">
        <v>15916</v>
      </c>
      <c r="E2992" s="594">
        <v>3110</v>
      </c>
      <c r="F2992" s="594" t="s">
        <v>233</v>
      </c>
      <c r="G2992" s="594">
        <v>687</v>
      </c>
      <c r="H2992" s="594">
        <v>9</v>
      </c>
      <c r="I2992" s="594">
        <v>2</v>
      </c>
      <c r="J2992" s="594">
        <v>72</v>
      </c>
      <c r="K2992" s="590" t="s">
        <v>224</v>
      </c>
      <c r="L2992" s="595">
        <f t="shared" si="460"/>
        <v>1502816</v>
      </c>
      <c r="M2992" s="596">
        <f>J2992*20000</f>
        <v>1440000</v>
      </c>
      <c r="N2992" s="597">
        <v>32000</v>
      </c>
      <c r="O2992" s="598"/>
      <c r="P2992" s="597"/>
      <c r="Q2992" s="675">
        <v>30816</v>
      </c>
      <c r="R2992" s="599">
        <f>M2992/J2992</f>
        <v>20000</v>
      </c>
      <c r="S2992" s="594"/>
      <c r="T2992" s="600"/>
      <c r="U2992" s="709"/>
      <c r="V2992" s="601"/>
      <c r="W2992" s="601"/>
      <c r="X2992" s="601"/>
      <c r="Y2992" s="601"/>
      <c r="Z2992" s="601"/>
    </row>
    <row r="2993" spans="1:26" s="75" customFormat="1" ht="37.5" hidden="1">
      <c r="A2993" s="709">
        <f t="shared" si="461"/>
        <v>103</v>
      </c>
      <c r="B2993" s="592" t="s">
        <v>2411</v>
      </c>
      <c r="C2993" s="593" t="s">
        <v>217</v>
      </c>
      <c r="D2993" s="594">
        <v>31153</v>
      </c>
      <c r="E2993" s="594">
        <v>5832</v>
      </c>
      <c r="F2993" s="594" t="s">
        <v>233</v>
      </c>
      <c r="G2993" s="594">
        <v>1254</v>
      </c>
      <c r="H2993" s="594">
        <v>9</v>
      </c>
      <c r="I2993" s="594">
        <v>4</v>
      </c>
      <c r="J2993" s="594">
        <v>145</v>
      </c>
      <c r="K2993" s="590" t="s">
        <v>366</v>
      </c>
      <c r="L2993" s="595">
        <f t="shared" si="460"/>
        <v>8148750</v>
      </c>
      <c r="M2993" s="607">
        <v>8000000</v>
      </c>
      <c r="N2993" s="675">
        <v>148750</v>
      </c>
      <c r="O2993" s="887"/>
      <c r="P2993" s="675"/>
      <c r="Q2993" s="675"/>
      <c r="R2993" s="582">
        <f>M2993/I2993</f>
        <v>2000000</v>
      </c>
      <c r="S2993" s="594"/>
      <c r="T2993" s="600"/>
      <c r="U2993" s="709"/>
      <c r="V2993" s="601"/>
      <c r="W2993" s="601"/>
      <c r="X2993" s="601"/>
      <c r="Y2993" s="601"/>
      <c r="Z2993" s="601"/>
    </row>
    <row r="2994" spans="1:26" s="75" customFormat="1" hidden="1">
      <c r="A2994" s="1363">
        <f>A2993+1</f>
        <v>104</v>
      </c>
      <c r="B2994" s="592" t="s">
        <v>2412</v>
      </c>
      <c r="C2994" s="593" t="s">
        <v>217</v>
      </c>
      <c r="D2994" s="594">
        <v>23979</v>
      </c>
      <c r="E2994" s="594">
        <v>4013</v>
      </c>
      <c r="F2994" s="594" t="s">
        <v>233</v>
      </c>
      <c r="G2994" s="594">
        <v>1065</v>
      </c>
      <c r="H2994" s="594">
        <v>9</v>
      </c>
      <c r="I2994" s="594">
        <v>2</v>
      </c>
      <c r="J2994" s="594">
        <v>144</v>
      </c>
      <c r="K2994" s="590" t="s">
        <v>33</v>
      </c>
      <c r="L2994" s="1357">
        <f>M2994+N2994+O2994+P2994+Q2994+M2995+N2995+O2995+P2995+Q2995</f>
        <v>6397320.5</v>
      </c>
      <c r="M2994" s="596">
        <f>G2994*2100</f>
        <v>2236500</v>
      </c>
      <c r="N2994" s="597"/>
      <c r="O2994" s="598">
        <f>M2994*0.3%</f>
        <v>6709.5</v>
      </c>
      <c r="P2994" s="597"/>
      <c r="Q2994" s="675">
        <v>47861</v>
      </c>
      <c r="R2994" s="599">
        <f>M2994/G2994</f>
        <v>2100</v>
      </c>
      <c r="S2994" s="594"/>
      <c r="T2994" s="600"/>
      <c r="U2994" s="709"/>
      <c r="V2994" s="601"/>
      <c r="W2994" s="601"/>
      <c r="X2994" s="601"/>
      <c r="Y2994" s="601"/>
      <c r="Z2994" s="601"/>
    </row>
    <row r="2995" spans="1:26" s="75" customFormat="1" ht="37.5" hidden="1">
      <c r="A2995" s="1363"/>
      <c r="B2995" s="592"/>
      <c r="C2995" s="593"/>
      <c r="D2995" s="594"/>
      <c r="E2995" s="594"/>
      <c r="F2995" s="594"/>
      <c r="G2995" s="594"/>
      <c r="H2995" s="594"/>
      <c r="I2995" s="594"/>
      <c r="J2995" s="594"/>
      <c r="K2995" s="590" t="s">
        <v>219</v>
      </c>
      <c r="L2995" s="1357"/>
      <c r="M2995" s="596">
        <v>4000000</v>
      </c>
      <c r="N2995" s="597">
        <v>106250</v>
      </c>
      <c r="O2995" s="598"/>
      <c r="P2995" s="597"/>
      <c r="Q2995" s="675"/>
      <c r="R2995" s="599"/>
      <c r="S2995" s="594"/>
      <c r="T2995" s="600"/>
      <c r="U2995" s="709"/>
      <c r="V2995" s="589"/>
      <c r="W2995" s="601"/>
      <c r="X2995" s="601"/>
      <c r="Y2995" s="601"/>
      <c r="Z2995" s="601"/>
    </row>
    <row r="2996" spans="1:26" s="75" customFormat="1" hidden="1">
      <c r="A2996" s="709">
        <f>A2994+1</f>
        <v>105</v>
      </c>
      <c r="B2996" s="592" t="s">
        <v>2414</v>
      </c>
      <c r="C2996" s="593" t="s">
        <v>217</v>
      </c>
      <c r="D2996" s="594">
        <v>16101</v>
      </c>
      <c r="E2996" s="594">
        <v>2615</v>
      </c>
      <c r="F2996" s="594" t="s">
        <v>233</v>
      </c>
      <c r="G2996" s="594">
        <v>679</v>
      </c>
      <c r="H2996" s="594">
        <v>9</v>
      </c>
      <c r="I2996" s="594">
        <v>2</v>
      </c>
      <c r="J2996" s="594">
        <v>72</v>
      </c>
      <c r="K2996" s="590" t="s">
        <v>224</v>
      </c>
      <c r="L2996" s="595">
        <f t="shared" ref="L2996:L3040" si="463">M2996+N2996+O2996+P2996+Q2996</f>
        <v>1502816</v>
      </c>
      <c r="M2996" s="596">
        <f>J2996*20000</f>
        <v>1440000</v>
      </c>
      <c r="N2996" s="597">
        <v>32000</v>
      </c>
      <c r="O2996" s="598"/>
      <c r="P2996" s="597"/>
      <c r="Q2996" s="675">
        <v>30816</v>
      </c>
      <c r="R2996" s="599">
        <f>M2996/J2996</f>
        <v>20000</v>
      </c>
      <c r="S2996" s="594"/>
      <c r="T2996" s="600"/>
      <c r="U2996" s="709"/>
      <c r="V2996" s="601"/>
      <c r="W2996" s="601"/>
      <c r="X2996" s="601"/>
      <c r="Y2996" s="601"/>
      <c r="Z2996" s="601"/>
    </row>
    <row r="2997" spans="1:26" s="75" customFormat="1" ht="37.5" hidden="1">
      <c r="A2997" s="709">
        <f t="shared" ref="A2997:A3012" si="464">A2996+1</f>
        <v>106</v>
      </c>
      <c r="B2997" s="592" t="s">
        <v>2415</v>
      </c>
      <c r="C2997" s="593" t="s">
        <v>217</v>
      </c>
      <c r="D2997" s="594">
        <v>16022</v>
      </c>
      <c r="E2997" s="594">
        <v>3240</v>
      </c>
      <c r="F2997" s="594" t="s">
        <v>233</v>
      </c>
      <c r="G2997" s="594">
        <v>699</v>
      </c>
      <c r="H2997" s="594">
        <v>9</v>
      </c>
      <c r="I2997" s="594">
        <v>2</v>
      </c>
      <c r="J2997" s="594">
        <v>72</v>
      </c>
      <c r="K2997" s="590" t="s">
        <v>366</v>
      </c>
      <c r="L2997" s="595">
        <f t="shared" si="463"/>
        <v>4142250</v>
      </c>
      <c r="M2997" s="596">
        <v>4036000</v>
      </c>
      <c r="N2997" s="597">
        <v>106250</v>
      </c>
      <c r="O2997" s="598"/>
      <c r="P2997" s="597"/>
      <c r="Q2997" s="675"/>
      <c r="R2997" s="599">
        <f>M2997/I2997</f>
        <v>2018000</v>
      </c>
      <c r="S2997" s="594"/>
      <c r="T2997" s="600"/>
      <c r="U2997" s="709"/>
      <c r="V2997" s="601"/>
      <c r="W2997" s="601"/>
      <c r="X2997" s="601"/>
      <c r="Y2997" s="601"/>
      <c r="Z2997" s="601"/>
    </row>
    <row r="2998" spans="1:26" s="75" customFormat="1" hidden="1">
      <c r="A2998" s="709">
        <f t="shared" si="464"/>
        <v>107</v>
      </c>
      <c r="B2998" s="592" t="s">
        <v>2416</v>
      </c>
      <c r="C2998" s="593" t="s">
        <v>217</v>
      </c>
      <c r="D2998" s="650">
        <v>12440</v>
      </c>
      <c r="E2998" s="594">
        <v>9406</v>
      </c>
      <c r="F2998" s="594" t="s">
        <v>233</v>
      </c>
      <c r="G2998" s="594">
        <v>429</v>
      </c>
      <c r="H2998" s="594">
        <v>12</v>
      </c>
      <c r="I2998" s="594">
        <v>1</v>
      </c>
      <c r="J2998" s="594">
        <v>48</v>
      </c>
      <c r="K2998" s="590" t="s">
        <v>224</v>
      </c>
      <c r="L2998" s="595">
        <f t="shared" si="463"/>
        <v>1012544</v>
      </c>
      <c r="M2998" s="596">
        <f>J2998*20000</f>
        <v>960000</v>
      </c>
      <c r="N2998" s="597">
        <v>32000</v>
      </c>
      <c r="O2998" s="598"/>
      <c r="P2998" s="597"/>
      <c r="Q2998" s="675">
        <v>20544</v>
      </c>
      <c r="R2998" s="599">
        <f>M2998/J2998</f>
        <v>20000</v>
      </c>
      <c r="S2998" s="594"/>
      <c r="T2998" s="600"/>
      <c r="U2998" s="709"/>
      <c r="V2998" s="601"/>
      <c r="W2998" s="601"/>
      <c r="X2998" s="601"/>
      <c r="Y2998" s="601"/>
      <c r="Z2998" s="601"/>
    </row>
    <row r="2999" spans="1:26" s="75" customFormat="1" hidden="1">
      <c r="A2999" s="709">
        <f t="shared" si="464"/>
        <v>108</v>
      </c>
      <c r="B2999" s="592" t="s">
        <v>2417</v>
      </c>
      <c r="C2999" s="593" t="s">
        <v>217</v>
      </c>
      <c r="D2999" s="650">
        <v>12440</v>
      </c>
      <c r="E2999" s="594">
        <v>3070</v>
      </c>
      <c r="F2999" s="594" t="s">
        <v>233</v>
      </c>
      <c r="G2999" s="594">
        <v>615</v>
      </c>
      <c r="H2999" s="594">
        <v>9</v>
      </c>
      <c r="I2999" s="594">
        <v>2</v>
      </c>
      <c r="J2999" s="594">
        <v>72</v>
      </c>
      <c r="K2999" s="590" t="s">
        <v>224</v>
      </c>
      <c r="L2999" s="595">
        <f t="shared" si="463"/>
        <v>1502816</v>
      </c>
      <c r="M2999" s="596">
        <f>J2999*20000</f>
        <v>1440000</v>
      </c>
      <c r="N2999" s="597">
        <v>32000</v>
      </c>
      <c r="O2999" s="598"/>
      <c r="P2999" s="597"/>
      <c r="Q2999" s="675">
        <v>30816</v>
      </c>
      <c r="R2999" s="599">
        <f>M2999/J2999</f>
        <v>20000</v>
      </c>
      <c r="S2999" s="594"/>
      <c r="T2999" s="600"/>
      <c r="U2999" s="709"/>
      <c r="V2999" s="601"/>
      <c r="W2999" s="601"/>
      <c r="X2999" s="601"/>
      <c r="Y2999" s="601"/>
      <c r="Z2999" s="601"/>
    </row>
    <row r="3000" spans="1:26" s="75" customFormat="1" ht="37.5" hidden="1">
      <c r="A3000" s="709">
        <f t="shared" si="464"/>
        <v>109</v>
      </c>
      <c r="B3000" s="592" t="s">
        <v>2419</v>
      </c>
      <c r="C3000" s="593" t="s">
        <v>217</v>
      </c>
      <c r="D3000" s="594">
        <v>16972</v>
      </c>
      <c r="E3000" s="594">
        <v>2745</v>
      </c>
      <c r="F3000" s="594" t="s">
        <v>409</v>
      </c>
      <c r="G3000" s="594">
        <v>707.8</v>
      </c>
      <c r="H3000" s="594">
        <v>9</v>
      </c>
      <c r="I3000" s="594">
        <v>2</v>
      </c>
      <c r="J3000" s="594">
        <v>72</v>
      </c>
      <c r="K3000" s="590" t="s">
        <v>237</v>
      </c>
      <c r="L3000" s="595">
        <f t="shared" si="463"/>
        <v>2350912</v>
      </c>
      <c r="M3000" s="596">
        <f>J3000*32000</f>
        <v>2304000</v>
      </c>
      <c r="N3000" s="597"/>
      <c r="O3000" s="598">
        <f t="shared" ref="O3000:O3017" si="465">M3000*0.3%</f>
        <v>6912</v>
      </c>
      <c r="P3000" s="597"/>
      <c r="Q3000" s="675">
        <v>40000</v>
      </c>
      <c r="R3000" s="599">
        <f>M3000/J3000</f>
        <v>32000</v>
      </c>
      <c r="S3000" s="594"/>
      <c r="T3000" s="600"/>
      <c r="U3000" s="709"/>
      <c r="V3000" s="601"/>
      <c r="W3000" s="601"/>
      <c r="X3000" s="601"/>
      <c r="Y3000" s="601"/>
      <c r="Z3000" s="601"/>
    </row>
    <row r="3001" spans="1:26" s="75" customFormat="1" ht="37.5" hidden="1">
      <c r="A3001" s="709">
        <f t="shared" si="464"/>
        <v>110</v>
      </c>
      <c r="B3001" s="592" t="s">
        <v>2420</v>
      </c>
      <c r="C3001" s="593" t="s">
        <v>217</v>
      </c>
      <c r="D3001" s="594">
        <v>25110</v>
      </c>
      <c r="E3001" s="594">
        <v>4118</v>
      </c>
      <c r="F3001" s="594" t="s">
        <v>409</v>
      </c>
      <c r="G3001" s="594">
        <v>1057</v>
      </c>
      <c r="H3001" s="594">
        <v>9</v>
      </c>
      <c r="I3001" s="594">
        <v>3</v>
      </c>
      <c r="J3001" s="594">
        <v>108</v>
      </c>
      <c r="K3001" s="590" t="s">
        <v>237</v>
      </c>
      <c r="L3001" s="595">
        <f t="shared" si="463"/>
        <v>3506368</v>
      </c>
      <c r="M3001" s="596">
        <f>J3001*32000</f>
        <v>3456000</v>
      </c>
      <c r="N3001" s="597"/>
      <c r="O3001" s="598">
        <f t="shared" si="465"/>
        <v>10368</v>
      </c>
      <c r="P3001" s="597"/>
      <c r="Q3001" s="675">
        <v>40000</v>
      </c>
      <c r="R3001" s="599">
        <f>M3001/J3001</f>
        <v>32000</v>
      </c>
      <c r="S3001" s="594"/>
      <c r="T3001" s="600"/>
      <c r="U3001" s="709"/>
      <c r="V3001" s="601"/>
      <c r="W3001" s="601"/>
      <c r="X3001" s="601"/>
      <c r="Y3001" s="601"/>
      <c r="Z3001" s="601"/>
    </row>
    <row r="3002" spans="1:26" s="75" customFormat="1" hidden="1">
      <c r="A3002" s="709">
        <f t="shared" si="464"/>
        <v>111</v>
      </c>
      <c r="B3002" s="592" t="s">
        <v>2421</v>
      </c>
      <c r="C3002" s="593" t="s">
        <v>271</v>
      </c>
      <c r="D3002" s="594">
        <v>52497</v>
      </c>
      <c r="E3002" s="594">
        <v>5535</v>
      </c>
      <c r="F3002" s="594" t="s">
        <v>233</v>
      </c>
      <c r="G3002" s="594">
        <v>1955</v>
      </c>
      <c r="H3002" s="594">
        <v>12</v>
      </c>
      <c r="I3002" s="594">
        <v>5</v>
      </c>
      <c r="J3002" s="594">
        <v>125</v>
      </c>
      <c r="K3002" s="590" t="s">
        <v>33</v>
      </c>
      <c r="L3002" s="595">
        <f t="shared" si="463"/>
        <v>4157816.5</v>
      </c>
      <c r="M3002" s="596">
        <f>G3002*2100</f>
        <v>4105500</v>
      </c>
      <c r="N3002" s="597"/>
      <c r="O3002" s="598">
        <f t="shared" si="465"/>
        <v>12316.5</v>
      </c>
      <c r="P3002" s="597"/>
      <c r="Q3002" s="675">
        <v>40000</v>
      </c>
      <c r="R3002" s="599">
        <f>M3002/G3002</f>
        <v>2100</v>
      </c>
      <c r="S3002" s="594"/>
      <c r="T3002" s="600"/>
      <c r="U3002" s="709"/>
      <c r="V3002" s="601"/>
      <c r="W3002" s="601"/>
      <c r="X3002" s="601"/>
      <c r="Y3002" s="601"/>
      <c r="Z3002" s="601"/>
    </row>
    <row r="3003" spans="1:26" s="75" customFormat="1" ht="37.5" hidden="1">
      <c r="A3003" s="709">
        <f t="shared" si="464"/>
        <v>112</v>
      </c>
      <c r="B3003" s="592" t="s">
        <v>2422</v>
      </c>
      <c r="C3003" s="593" t="s">
        <v>314</v>
      </c>
      <c r="D3003" s="594">
        <v>42688</v>
      </c>
      <c r="E3003" s="594">
        <v>6968</v>
      </c>
      <c r="F3003" s="594" t="s">
        <v>282</v>
      </c>
      <c r="G3003" s="594">
        <v>1582</v>
      </c>
      <c r="H3003" s="594">
        <v>9</v>
      </c>
      <c r="I3003" s="594">
        <v>3</v>
      </c>
      <c r="J3003" s="594">
        <v>108</v>
      </c>
      <c r="K3003" s="590" t="s">
        <v>237</v>
      </c>
      <c r="L3003" s="595">
        <f t="shared" si="463"/>
        <v>3506368</v>
      </c>
      <c r="M3003" s="596">
        <f>J3003*32000</f>
        <v>3456000</v>
      </c>
      <c r="N3003" s="597"/>
      <c r="O3003" s="598">
        <f t="shared" si="465"/>
        <v>10368</v>
      </c>
      <c r="P3003" s="597"/>
      <c r="Q3003" s="675">
        <v>40000</v>
      </c>
      <c r="R3003" s="599">
        <f t="shared" ref="R3003:R3010" si="466">M3003/J3003</f>
        <v>32000</v>
      </c>
      <c r="S3003" s="594"/>
      <c r="T3003" s="600"/>
      <c r="U3003" s="709"/>
      <c r="V3003" s="601"/>
      <c r="W3003" s="601"/>
      <c r="X3003" s="601"/>
      <c r="Y3003" s="601"/>
      <c r="Z3003" s="601"/>
    </row>
    <row r="3004" spans="1:26" s="75" customFormat="1" ht="37.5" hidden="1">
      <c r="A3004" s="709">
        <f t="shared" si="464"/>
        <v>113</v>
      </c>
      <c r="B3004" s="592" t="s">
        <v>2423</v>
      </c>
      <c r="C3004" s="593" t="s">
        <v>229</v>
      </c>
      <c r="D3004" s="594">
        <v>3942</v>
      </c>
      <c r="E3004" s="594">
        <v>774</v>
      </c>
      <c r="F3004" s="594" t="s">
        <v>222</v>
      </c>
      <c r="G3004" s="594">
        <v>756</v>
      </c>
      <c r="H3004" s="594">
        <v>2</v>
      </c>
      <c r="I3004" s="594">
        <v>2</v>
      </c>
      <c r="J3004" s="594">
        <v>24</v>
      </c>
      <c r="K3004" s="590" t="s">
        <v>30</v>
      </c>
      <c r="L3004" s="595">
        <f t="shared" si="463"/>
        <v>641800</v>
      </c>
      <c r="M3004" s="596">
        <f>SUM(J3004*25000)</f>
        <v>600000</v>
      </c>
      <c r="N3004" s="597"/>
      <c r="O3004" s="598">
        <f t="shared" si="465"/>
        <v>1800</v>
      </c>
      <c r="P3004" s="597"/>
      <c r="Q3004" s="675">
        <v>40000</v>
      </c>
      <c r="R3004" s="599">
        <f t="shared" si="466"/>
        <v>25000</v>
      </c>
      <c r="S3004" s="594"/>
      <c r="T3004" s="600"/>
      <c r="U3004" s="709"/>
      <c r="V3004" s="601"/>
      <c r="W3004" s="601"/>
      <c r="X3004" s="601"/>
      <c r="Y3004" s="601"/>
      <c r="Z3004" s="601"/>
    </row>
    <row r="3005" spans="1:26" s="75" customFormat="1" ht="37.5" hidden="1">
      <c r="A3005" s="709">
        <f t="shared" si="464"/>
        <v>114</v>
      </c>
      <c r="B3005" s="592" t="s">
        <v>2424</v>
      </c>
      <c r="C3005" s="593" t="s">
        <v>271</v>
      </c>
      <c r="D3005" s="650">
        <v>6152</v>
      </c>
      <c r="E3005" s="594">
        <v>1376</v>
      </c>
      <c r="F3005" s="594" t="s">
        <v>222</v>
      </c>
      <c r="G3005" s="594">
        <v>573</v>
      </c>
      <c r="H3005" s="594">
        <v>5</v>
      </c>
      <c r="I3005" s="594">
        <v>2</v>
      </c>
      <c r="J3005" s="594">
        <v>40</v>
      </c>
      <c r="K3005" s="590" t="s">
        <v>30</v>
      </c>
      <c r="L3005" s="595">
        <f t="shared" si="463"/>
        <v>1043000</v>
      </c>
      <c r="M3005" s="596">
        <f>J3005*25000</f>
        <v>1000000</v>
      </c>
      <c r="N3005" s="597"/>
      <c r="O3005" s="598">
        <f t="shared" si="465"/>
        <v>3000</v>
      </c>
      <c r="P3005" s="597"/>
      <c r="Q3005" s="675">
        <v>40000</v>
      </c>
      <c r="R3005" s="599">
        <f t="shared" si="466"/>
        <v>25000</v>
      </c>
      <c r="S3005" s="594"/>
      <c r="T3005" s="600"/>
      <c r="U3005" s="709"/>
      <c r="V3005" s="601"/>
      <c r="W3005" s="601"/>
      <c r="X3005" s="601"/>
      <c r="Y3005" s="601"/>
      <c r="Z3005" s="601"/>
    </row>
    <row r="3006" spans="1:26" s="75" customFormat="1" ht="37.5" hidden="1">
      <c r="A3006" s="709">
        <f t="shared" si="464"/>
        <v>115</v>
      </c>
      <c r="B3006" s="592" t="s">
        <v>2425</v>
      </c>
      <c r="C3006" s="593" t="s">
        <v>271</v>
      </c>
      <c r="D3006" s="650">
        <v>6210</v>
      </c>
      <c r="E3006" s="594">
        <v>1376</v>
      </c>
      <c r="F3006" s="594" t="s">
        <v>222</v>
      </c>
      <c r="G3006" s="594">
        <v>576</v>
      </c>
      <c r="H3006" s="594">
        <v>5</v>
      </c>
      <c r="I3006" s="594">
        <v>2</v>
      </c>
      <c r="J3006" s="594">
        <v>40</v>
      </c>
      <c r="K3006" s="590" t="s">
        <v>30</v>
      </c>
      <c r="L3006" s="595">
        <f t="shared" si="463"/>
        <v>1043000</v>
      </c>
      <c r="M3006" s="596">
        <f>J3006*25000</f>
        <v>1000000</v>
      </c>
      <c r="N3006" s="597"/>
      <c r="O3006" s="598">
        <f t="shared" si="465"/>
        <v>3000</v>
      </c>
      <c r="P3006" s="597"/>
      <c r="Q3006" s="675">
        <v>40000</v>
      </c>
      <c r="R3006" s="599">
        <f t="shared" si="466"/>
        <v>25000</v>
      </c>
      <c r="S3006" s="594"/>
      <c r="T3006" s="600"/>
      <c r="U3006" s="709"/>
      <c r="V3006" s="601"/>
      <c r="W3006" s="601"/>
      <c r="X3006" s="601"/>
      <c r="Y3006" s="601"/>
      <c r="Z3006" s="601"/>
    </row>
    <row r="3007" spans="1:26" s="75" customFormat="1" ht="37.5" hidden="1">
      <c r="A3007" s="709">
        <f t="shared" si="464"/>
        <v>116</v>
      </c>
      <c r="B3007" s="592" t="s">
        <v>2426</v>
      </c>
      <c r="C3007" s="593" t="s">
        <v>271</v>
      </c>
      <c r="D3007" s="650">
        <v>6206</v>
      </c>
      <c r="E3007" s="594">
        <v>1376</v>
      </c>
      <c r="F3007" s="594" t="s">
        <v>222</v>
      </c>
      <c r="G3007" s="594">
        <v>576</v>
      </c>
      <c r="H3007" s="594">
        <v>5</v>
      </c>
      <c r="I3007" s="594">
        <v>2</v>
      </c>
      <c r="J3007" s="594">
        <v>40</v>
      </c>
      <c r="K3007" s="590" t="s">
        <v>30</v>
      </c>
      <c r="L3007" s="595">
        <f t="shared" si="463"/>
        <v>1043000</v>
      </c>
      <c r="M3007" s="596">
        <f>J3007*25000</f>
        <v>1000000</v>
      </c>
      <c r="N3007" s="597"/>
      <c r="O3007" s="598">
        <f t="shared" si="465"/>
        <v>3000</v>
      </c>
      <c r="P3007" s="597"/>
      <c r="Q3007" s="675">
        <v>40000</v>
      </c>
      <c r="R3007" s="599">
        <f t="shared" si="466"/>
        <v>25000</v>
      </c>
      <c r="S3007" s="594"/>
      <c r="T3007" s="600"/>
      <c r="U3007" s="709"/>
      <c r="V3007" s="601"/>
      <c r="W3007" s="601"/>
      <c r="X3007" s="601"/>
      <c r="Y3007" s="601"/>
      <c r="Z3007" s="601"/>
    </row>
    <row r="3008" spans="1:26" s="75" customFormat="1" ht="37.5" hidden="1">
      <c r="A3008" s="709">
        <f t="shared" si="464"/>
        <v>117</v>
      </c>
      <c r="B3008" s="592" t="s">
        <v>2427</v>
      </c>
      <c r="C3008" s="593" t="s">
        <v>271</v>
      </c>
      <c r="D3008" s="650">
        <v>12152</v>
      </c>
      <c r="E3008" s="594">
        <v>3030</v>
      </c>
      <c r="F3008" s="594" t="s">
        <v>222</v>
      </c>
      <c r="G3008" s="594">
        <v>1128</v>
      </c>
      <c r="H3008" s="594">
        <v>5</v>
      </c>
      <c r="I3008" s="594">
        <v>4</v>
      </c>
      <c r="J3008" s="594">
        <v>75</v>
      </c>
      <c r="K3008" s="590" t="s">
        <v>30</v>
      </c>
      <c r="L3008" s="595">
        <f t="shared" si="463"/>
        <v>2071075</v>
      </c>
      <c r="M3008" s="596">
        <f>J3008*27000</f>
        <v>2025000</v>
      </c>
      <c r="N3008" s="597"/>
      <c r="O3008" s="598">
        <f t="shared" si="465"/>
        <v>6075</v>
      </c>
      <c r="P3008" s="597"/>
      <c r="Q3008" s="675">
        <v>40000</v>
      </c>
      <c r="R3008" s="599">
        <f t="shared" si="466"/>
        <v>27000</v>
      </c>
      <c r="S3008" s="594"/>
      <c r="T3008" s="600"/>
      <c r="U3008" s="709"/>
      <c r="V3008" s="601"/>
      <c r="W3008" s="601"/>
      <c r="X3008" s="601"/>
      <c r="Y3008" s="601"/>
      <c r="Z3008" s="601"/>
    </row>
    <row r="3009" spans="1:26" s="75" customFormat="1" ht="37.5" hidden="1">
      <c r="A3009" s="709">
        <f t="shared" si="464"/>
        <v>118</v>
      </c>
      <c r="B3009" s="592" t="s">
        <v>2428</v>
      </c>
      <c r="C3009" s="593" t="s">
        <v>271</v>
      </c>
      <c r="D3009" s="650">
        <v>6650</v>
      </c>
      <c r="E3009" s="594">
        <v>1376</v>
      </c>
      <c r="F3009" s="594" t="s">
        <v>222</v>
      </c>
      <c r="G3009" s="594">
        <v>654</v>
      </c>
      <c r="H3009" s="594">
        <v>5</v>
      </c>
      <c r="I3009" s="594">
        <v>2</v>
      </c>
      <c r="J3009" s="594">
        <v>39</v>
      </c>
      <c r="K3009" s="590" t="s">
        <v>30</v>
      </c>
      <c r="L3009" s="595">
        <f t="shared" si="463"/>
        <v>1017925</v>
      </c>
      <c r="M3009" s="596">
        <f>J3009*25000</f>
        <v>975000</v>
      </c>
      <c r="N3009" s="597"/>
      <c r="O3009" s="598">
        <f t="shared" si="465"/>
        <v>2925</v>
      </c>
      <c r="P3009" s="597"/>
      <c r="Q3009" s="675">
        <v>40000</v>
      </c>
      <c r="R3009" s="599">
        <f t="shared" si="466"/>
        <v>25000</v>
      </c>
      <c r="S3009" s="594"/>
      <c r="T3009" s="600"/>
      <c r="U3009" s="709"/>
      <c r="V3009" s="601"/>
      <c r="W3009" s="601"/>
      <c r="X3009" s="601"/>
      <c r="Y3009" s="601"/>
      <c r="Z3009" s="601"/>
    </row>
    <row r="3010" spans="1:26" s="75" customFormat="1" ht="37.5" hidden="1">
      <c r="A3010" s="709">
        <f t="shared" si="464"/>
        <v>119</v>
      </c>
      <c r="B3010" s="592" t="s">
        <v>2429</v>
      </c>
      <c r="C3010" s="593" t="s">
        <v>271</v>
      </c>
      <c r="D3010" s="650">
        <v>10096</v>
      </c>
      <c r="E3010" s="594">
        <v>715</v>
      </c>
      <c r="F3010" s="594" t="s">
        <v>222</v>
      </c>
      <c r="G3010" s="594">
        <v>967</v>
      </c>
      <c r="H3010" s="594">
        <v>4</v>
      </c>
      <c r="I3010" s="594">
        <v>4</v>
      </c>
      <c r="J3010" s="594">
        <v>27</v>
      </c>
      <c r="K3010" s="590" t="s">
        <v>30</v>
      </c>
      <c r="L3010" s="595">
        <f t="shared" si="463"/>
        <v>771187</v>
      </c>
      <c r="M3010" s="596">
        <f>J3010*27000</f>
        <v>729000</v>
      </c>
      <c r="N3010" s="597"/>
      <c r="O3010" s="598">
        <f t="shared" si="465"/>
        <v>2187</v>
      </c>
      <c r="P3010" s="597"/>
      <c r="Q3010" s="675">
        <v>40000</v>
      </c>
      <c r="R3010" s="599">
        <f t="shared" si="466"/>
        <v>27000</v>
      </c>
      <c r="S3010" s="594"/>
      <c r="T3010" s="600"/>
      <c r="U3010" s="709"/>
      <c r="V3010" s="601"/>
      <c r="W3010" s="601"/>
      <c r="X3010" s="601"/>
      <c r="Y3010" s="601"/>
      <c r="Z3010" s="601"/>
    </row>
    <row r="3011" spans="1:26" s="75" customFormat="1" ht="37.5" hidden="1">
      <c r="A3011" s="709">
        <f t="shared" si="464"/>
        <v>120</v>
      </c>
      <c r="B3011" s="592" t="s">
        <v>2430</v>
      </c>
      <c r="C3011" s="593" t="s">
        <v>271</v>
      </c>
      <c r="D3011" s="594">
        <v>13112</v>
      </c>
      <c r="E3011" s="594">
        <v>2690</v>
      </c>
      <c r="F3011" s="594" t="s">
        <v>222</v>
      </c>
      <c r="G3011" s="594">
        <v>1248</v>
      </c>
      <c r="H3011" s="594">
        <v>4</v>
      </c>
      <c r="I3011" s="594">
        <v>4</v>
      </c>
      <c r="J3011" s="594">
        <v>33</v>
      </c>
      <c r="K3011" s="590" t="s">
        <v>374</v>
      </c>
      <c r="L3011" s="595">
        <f t="shared" si="463"/>
        <v>6785175</v>
      </c>
      <c r="M3011" s="596">
        <f>E3011*2500</f>
        <v>6725000</v>
      </c>
      <c r="N3011" s="597"/>
      <c r="O3011" s="598">
        <f t="shared" si="465"/>
        <v>20175</v>
      </c>
      <c r="P3011" s="597"/>
      <c r="Q3011" s="675">
        <v>40000</v>
      </c>
      <c r="R3011" s="599">
        <f>M3011/E3011</f>
        <v>2500</v>
      </c>
      <c r="S3011" s="594"/>
      <c r="T3011" s="600"/>
      <c r="U3011" s="709"/>
      <c r="V3011" s="601"/>
      <c r="W3011" s="601"/>
      <c r="X3011" s="601"/>
      <c r="Y3011" s="601"/>
      <c r="Z3011" s="601"/>
    </row>
    <row r="3012" spans="1:26" s="75" customFormat="1" hidden="1">
      <c r="A3012" s="709">
        <f t="shared" si="464"/>
        <v>121</v>
      </c>
      <c r="B3012" s="592" t="s">
        <v>2431</v>
      </c>
      <c r="C3012" s="593" t="s">
        <v>229</v>
      </c>
      <c r="D3012" s="594">
        <v>1347</v>
      </c>
      <c r="E3012" s="594">
        <v>480</v>
      </c>
      <c r="F3012" s="594" t="s">
        <v>313</v>
      </c>
      <c r="G3012" s="594">
        <v>237</v>
      </c>
      <c r="H3012" s="594">
        <v>2</v>
      </c>
      <c r="I3012" s="594">
        <v>1</v>
      </c>
      <c r="J3012" s="594">
        <v>8</v>
      </c>
      <c r="K3012" s="590" t="s">
        <v>398</v>
      </c>
      <c r="L3012" s="595">
        <f t="shared" si="463"/>
        <v>534122.19999999995</v>
      </c>
      <c r="M3012" s="596">
        <f>SUM(G3012*2200)</f>
        <v>521400</v>
      </c>
      <c r="N3012" s="597"/>
      <c r="O3012" s="598">
        <f t="shared" si="465"/>
        <v>1564.2</v>
      </c>
      <c r="P3012" s="597"/>
      <c r="Q3012" s="675">
        <v>11158</v>
      </c>
      <c r="R3012" s="599">
        <f t="shared" ref="R3012:R3017" si="467">M3012/G3012</f>
        <v>2200</v>
      </c>
      <c r="S3012" s="594"/>
      <c r="T3012" s="600"/>
      <c r="U3012" s="709"/>
      <c r="V3012" s="601"/>
      <c r="W3012" s="601"/>
      <c r="X3012" s="601"/>
      <c r="Y3012" s="601"/>
      <c r="Z3012" s="601"/>
    </row>
    <row r="3013" spans="1:26" s="75" customFormat="1" hidden="1">
      <c r="A3013" s="709">
        <f t="shared" ref="A3013:A3067" si="468">A3012+1</f>
        <v>122</v>
      </c>
      <c r="B3013" s="592" t="s">
        <v>2432</v>
      </c>
      <c r="C3013" s="593" t="s">
        <v>229</v>
      </c>
      <c r="D3013" s="594">
        <v>2831</v>
      </c>
      <c r="E3013" s="594">
        <v>602</v>
      </c>
      <c r="F3013" s="594" t="s">
        <v>222</v>
      </c>
      <c r="G3013" s="594">
        <v>623</v>
      </c>
      <c r="H3013" s="594">
        <v>2</v>
      </c>
      <c r="I3013" s="594">
        <v>2</v>
      </c>
      <c r="J3013" s="594">
        <v>12</v>
      </c>
      <c r="K3013" s="590" t="s">
        <v>398</v>
      </c>
      <c r="L3013" s="595">
        <f t="shared" si="463"/>
        <v>1404042.8</v>
      </c>
      <c r="M3013" s="596">
        <f>SUM(G3013*2200)</f>
        <v>1370600</v>
      </c>
      <c r="N3013" s="597"/>
      <c r="O3013" s="598">
        <f t="shared" si="465"/>
        <v>4111.8</v>
      </c>
      <c r="P3013" s="597"/>
      <c r="Q3013" s="675">
        <v>29331</v>
      </c>
      <c r="R3013" s="599">
        <f t="shared" si="467"/>
        <v>2200</v>
      </c>
      <c r="S3013" s="594"/>
      <c r="T3013" s="600"/>
      <c r="U3013" s="709"/>
      <c r="V3013" s="601"/>
      <c r="W3013" s="601"/>
      <c r="X3013" s="601"/>
      <c r="Y3013" s="601"/>
      <c r="Z3013" s="601"/>
    </row>
    <row r="3014" spans="1:26" s="75" customFormat="1" hidden="1">
      <c r="A3014" s="709">
        <f t="shared" si="468"/>
        <v>123</v>
      </c>
      <c r="B3014" s="592" t="s">
        <v>2433</v>
      </c>
      <c r="C3014" s="593" t="s">
        <v>217</v>
      </c>
      <c r="D3014" s="594">
        <v>27010</v>
      </c>
      <c r="E3014" s="594">
        <v>4693</v>
      </c>
      <c r="F3014" s="594" t="s">
        <v>233</v>
      </c>
      <c r="G3014" s="594">
        <v>1102</v>
      </c>
      <c r="H3014" s="594">
        <v>10</v>
      </c>
      <c r="I3014" s="594">
        <v>2</v>
      </c>
      <c r="J3014" s="594">
        <v>152</v>
      </c>
      <c r="K3014" s="590" t="s">
        <v>33</v>
      </c>
      <c r="L3014" s="595">
        <f t="shared" si="463"/>
        <v>2370666.6</v>
      </c>
      <c r="M3014" s="596">
        <f>G3014*2100</f>
        <v>2314200</v>
      </c>
      <c r="N3014" s="597"/>
      <c r="O3014" s="598">
        <f t="shared" si="465"/>
        <v>6942.6</v>
      </c>
      <c r="P3014" s="597"/>
      <c r="Q3014" s="675">
        <v>49524</v>
      </c>
      <c r="R3014" s="599">
        <f t="shared" si="467"/>
        <v>2100</v>
      </c>
      <c r="S3014" s="594"/>
      <c r="T3014" s="600"/>
      <c r="U3014" s="709"/>
      <c r="V3014" s="601"/>
      <c r="W3014" s="601"/>
      <c r="X3014" s="601"/>
      <c r="Y3014" s="601"/>
      <c r="Z3014" s="601"/>
    </row>
    <row r="3015" spans="1:26" s="75" customFormat="1" hidden="1">
      <c r="A3015" s="709">
        <f t="shared" si="468"/>
        <v>124</v>
      </c>
      <c r="B3015" s="592" t="s">
        <v>2434</v>
      </c>
      <c r="C3015" s="593" t="s">
        <v>217</v>
      </c>
      <c r="D3015" s="594">
        <v>11930</v>
      </c>
      <c r="E3015" s="594">
        <v>2414</v>
      </c>
      <c r="F3015" s="594" t="s">
        <v>233</v>
      </c>
      <c r="G3015" s="594">
        <v>520.70000000000005</v>
      </c>
      <c r="H3015" s="594">
        <v>9</v>
      </c>
      <c r="I3015" s="594">
        <v>1</v>
      </c>
      <c r="J3015" s="594">
        <v>72</v>
      </c>
      <c r="K3015" s="590" t="s">
        <v>33</v>
      </c>
      <c r="L3015" s="595">
        <f t="shared" si="463"/>
        <v>1120150.4099999999</v>
      </c>
      <c r="M3015" s="596">
        <f>G3015*2100</f>
        <v>1093470</v>
      </c>
      <c r="N3015" s="597"/>
      <c r="O3015" s="598">
        <f t="shared" si="465"/>
        <v>3280.41</v>
      </c>
      <c r="P3015" s="597"/>
      <c r="Q3015" s="675">
        <v>23400</v>
      </c>
      <c r="R3015" s="599">
        <f t="shared" si="467"/>
        <v>2100</v>
      </c>
      <c r="S3015" s="594"/>
      <c r="T3015" s="600"/>
      <c r="U3015" s="709"/>
      <c r="V3015" s="601"/>
      <c r="W3015" s="601"/>
      <c r="X3015" s="601"/>
      <c r="Y3015" s="601"/>
      <c r="Z3015" s="601"/>
    </row>
    <row r="3016" spans="1:26" s="75" customFormat="1" hidden="1">
      <c r="A3016" s="709">
        <f t="shared" si="468"/>
        <v>125</v>
      </c>
      <c r="B3016" s="592" t="s">
        <v>2435</v>
      </c>
      <c r="C3016" s="593" t="s">
        <v>217</v>
      </c>
      <c r="D3016" s="594">
        <v>31500</v>
      </c>
      <c r="E3016" s="594">
        <v>2800</v>
      </c>
      <c r="F3016" s="594" t="s">
        <v>233</v>
      </c>
      <c r="G3016" s="594">
        <v>1427</v>
      </c>
      <c r="H3016" s="594">
        <v>9</v>
      </c>
      <c r="I3016" s="594">
        <v>4</v>
      </c>
      <c r="J3016" s="594">
        <v>144</v>
      </c>
      <c r="K3016" s="590" t="s">
        <v>33</v>
      </c>
      <c r="L3016" s="595">
        <f t="shared" si="463"/>
        <v>3045690.1</v>
      </c>
      <c r="M3016" s="596">
        <f>G3016*2100</f>
        <v>2996700</v>
      </c>
      <c r="N3016" s="597"/>
      <c r="O3016" s="598">
        <f t="shared" si="465"/>
        <v>8990.1</v>
      </c>
      <c r="P3016" s="597"/>
      <c r="Q3016" s="675">
        <v>40000</v>
      </c>
      <c r="R3016" s="599">
        <f t="shared" si="467"/>
        <v>2100</v>
      </c>
      <c r="S3016" s="594"/>
      <c r="T3016" s="600"/>
      <c r="U3016" s="709"/>
      <c r="V3016" s="601"/>
      <c r="W3016" s="601"/>
      <c r="X3016" s="601"/>
      <c r="Y3016" s="601"/>
      <c r="Z3016" s="601"/>
    </row>
    <row r="3017" spans="1:26" s="75" customFormat="1" hidden="1">
      <c r="A3017" s="709">
        <f t="shared" si="468"/>
        <v>126</v>
      </c>
      <c r="B3017" s="592" t="s">
        <v>2436</v>
      </c>
      <c r="C3017" s="593" t="s">
        <v>217</v>
      </c>
      <c r="D3017" s="594">
        <v>43505.2</v>
      </c>
      <c r="E3017" s="594">
        <v>7868</v>
      </c>
      <c r="F3017" s="594" t="s">
        <v>233</v>
      </c>
      <c r="G3017" s="594">
        <v>2024</v>
      </c>
      <c r="H3017" s="594">
        <v>9</v>
      </c>
      <c r="I3017" s="594">
        <v>6</v>
      </c>
      <c r="J3017" s="594">
        <v>203</v>
      </c>
      <c r="K3017" s="590" t="s">
        <v>33</v>
      </c>
      <c r="L3017" s="595">
        <f t="shared" si="463"/>
        <v>4303151.2</v>
      </c>
      <c r="M3017" s="596">
        <f>G3017*2100</f>
        <v>4250400</v>
      </c>
      <c r="N3017" s="597"/>
      <c r="O3017" s="598">
        <f t="shared" si="465"/>
        <v>12751.2</v>
      </c>
      <c r="P3017" s="597"/>
      <c r="Q3017" s="675">
        <v>40000</v>
      </c>
      <c r="R3017" s="599">
        <f t="shared" si="467"/>
        <v>2100</v>
      </c>
      <c r="S3017" s="594"/>
      <c r="T3017" s="600"/>
      <c r="U3017" s="709"/>
      <c r="V3017" s="601"/>
      <c r="W3017" s="601"/>
      <c r="X3017" s="601"/>
      <c r="Y3017" s="601"/>
      <c r="Z3017" s="601"/>
    </row>
    <row r="3018" spans="1:26" s="75" customFormat="1" ht="37.5" hidden="1">
      <c r="A3018" s="709">
        <f t="shared" si="468"/>
        <v>127</v>
      </c>
      <c r="B3018" s="592" t="s">
        <v>2437</v>
      </c>
      <c r="C3018" s="593" t="s">
        <v>271</v>
      </c>
      <c r="D3018" s="594">
        <v>11930</v>
      </c>
      <c r="E3018" s="594">
        <v>5114.5</v>
      </c>
      <c r="F3018" s="594" t="s">
        <v>233</v>
      </c>
      <c r="G3018" s="594">
        <v>410.5</v>
      </c>
      <c r="H3018" s="594">
        <v>12</v>
      </c>
      <c r="I3018" s="594">
        <v>2</v>
      </c>
      <c r="J3018" s="594">
        <v>48</v>
      </c>
      <c r="K3018" s="590" t="s">
        <v>366</v>
      </c>
      <c r="L3018" s="595">
        <f t="shared" si="463"/>
        <v>4106250</v>
      </c>
      <c r="M3018" s="596">
        <v>4000000</v>
      </c>
      <c r="N3018" s="597">
        <v>106250</v>
      </c>
      <c r="O3018" s="598"/>
      <c r="P3018" s="597"/>
      <c r="Q3018" s="675"/>
      <c r="R3018" s="599">
        <v>2200000</v>
      </c>
      <c r="S3018" s="594"/>
      <c r="T3018" s="600"/>
      <c r="U3018" s="709"/>
      <c r="V3018" s="601"/>
      <c r="W3018" s="601"/>
      <c r="X3018" s="601"/>
      <c r="Y3018" s="601"/>
      <c r="Z3018" s="601"/>
    </row>
    <row r="3019" spans="1:26" s="75" customFormat="1" ht="37.5" hidden="1">
      <c r="A3019" s="709">
        <f t="shared" si="468"/>
        <v>128</v>
      </c>
      <c r="B3019" s="592" t="s">
        <v>2438</v>
      </c>
      <c r="C3019" s="593" t="s">
        <v>217</v>
      </c>
      <c r="D3019" s="594">
        <v>11964</v>
      </c>
      <c r="E3019" s="594">
        <v>2680</v>
      </c>
      <c r="F3019" s="594" t="s">
        <v>233</v>
      </c>
      <c r="G3019" s="594">
        <v>433</v>
      </c>
      <c r="H3019" s="594">
        <v>12</v>
      </c>
      <c r="I3019" s="594">
        <v>1</v>
      </c>
      <c r="J3019" s="594">
        <v>48</v>
      </c>
      <c r="K3019" s="590" t="s">
        <v>219</v>
      </c>
      <c r="L3019" s="595">
        <f t="shared" si="463"/>
        <v>4142250</v>
      </c>
      <c r="M3019" s="596">
        <v>4036000</v>
      </c>
      <c r="N3019" s="597">
        <v>106250</v>
      </c>
      <c r="O3019" s="598"/>
      <c r="P3019" s="597"/>
      <c r="Q3019" s="675"/>
      <c r="R3019" s="599">
        <v>2200000</v>
      </c>
      <c r="S3019" s="594"/>
      <c r="T3019" s="600"/>
      <c r="U3019" s="709"/>
      <c r="V3019" s="601"/>
      <c r="W3019" s="601"/>
      <c r="X3019" s="601"/>
      <c r="Y3019" s="601"/>
      <c r="Z3019" s="601"/>
    </row>
    <row r="3020" spans="1:26" s="75" customFormat="1" ht="37.5" hidden="1">
      <c r="A3020" s="709">
        <f t="shared" si="468"/>
        <v>129</v>
      </c>
      <c r="B3020" s="592" t="s">
        <v>2440</v>
      </c>
      <c r="C3020" s="593" t="s">
        <v>271</v>
      </c>
      <c r="D3020" s="650">
        <v>12078</v>
      </c>
      <c r="E3020" s="594">
        <v>2480</v>
      </c>
      <c r="F3020" s="594" t="s">
        <v>233</v>
      </c>
      <c r="G3020" s="594">
        <v>427</v>
      </c>
      <c r="H3020" s="594">
        <v>10</v>
      </c>
      <c r="I3020" s="594">
        <v>1</v>
      </c>
      <c r="J3020" s="594">
        <v>48</v>
      </c>
      <c r="K3020" s="590" t="s">
        <v>30</v>
      </c>
      <c r="L3020" s="595">
        <f t="shared" si="463"/>
        <v>1243600</v>
      </c>
      <c r="M3020" s="596">
        <f>J3020*25000</f>
        <v>1200000</v>
      </c>
      <c r="N3020" s="597"/>
      <c r="O3020" s="598">
        <f>M3020*0.3%</f>
        <v>3600</v>
      </c>
      <c r="P3020" s="597"/>
      <c r="Q3020" s="675">
        <v>40000</v>
      </c>
      <c r="R3020" s="599">
        <f>M3020/J3020</f>
        <v>25000</v>
      </c>
      <c r="S3020" s="594"/>
      <c r="T3020" s="600"/>
      <c r="U3020" s="709"/>
      <c r="V3020" s="601"/>
      <c r="W3020" s="601"/>
      <c r="X3020" s="601"/>
      <c r="Y3020" s="601"/>
      <c r="Z3020" s="601"/>
    </row>
    <row r="3021" spans="1:26" s="75" customFormat="1" hidden="1">
      <c r="A3021" s="709">
        <f t="shared" si="468"/>
        <v>130</v>
      </c>
      <c r="B3021" s="592" t="s">
        <v>2441</v>
      </c>
      <c r="C3021" s="593" t="s">
        <v>271</v>
      </c>
      <c r="D3021" s="650">
        <v>11393</v>
      </c>
      <c r="E3021" s="594">
        <v>2200</v>
      </c>
      <c r="F3021" s="594" t="s">
        <v>222</v>
      </c>
      <c r="G3021" s="594">
        <v>1013</v>
      </c>
      <c r="H3021" s="594">
        <v>5</v>
      </c>
      <c r="I3021" s="594">
        <v>3</v>
      </c>
      <c r="J3021" s="594">
        <v>29</v>
      </c>
      <c r="K3021" s="590" t="s">
        <v>224</v>
      </c>
      <c r="L3021" s="595">
        <f t="shared" si="463"/>
        <v>505930</v>
      </c>
      <c r="M3021" s="596">
        <f>J3021*16000</f>
        <v>464000</v>
      </c>
      <c r="N3021" s="597">
        <v>32000</v>
      </c>
      <c r="O3021" s="598"/>
      <c r="P3021" s="597"/>
      <c r="Q3021" s="675">
        <v>9930</v>
      </c>
      <c r="R3021" s="599">
        <f>M3021/J3021</f>
        <v>16000</v>
      </c>
      <c r="S3021" s="594"/>
      <c r="T3021" s="600"/>
      <c r="U3021" s="709"/>
      <c r="V3021" s="601"/>
      <c r="W3021" s="601"/>
      <c r="X3021" s="601"/>
      <c r="Y3021" s="601"/>
      <c r="Z3021" s="601"/>
    </row>
    <row r="3022" spans="1:26" s="75" customFormat="1" hidden="1">
      <c r="A3022" s="709">
        <f t="shared" si="468"/>
        <v>131</v>
      </c>
      <c r="B3022" s="592" t="s">
        <v>2442</v>
      </c>
      <c r="C3022" s="593" t="s">
        <v>271</v>
      </c>
      <c r="D3022" s="650">
        <v>11050</v>
      </c>
      <c r="E3022" s="594">
        <v>2200</v>
      </c>
      <c r="F3022" s="594" t="s">
        <v>222</v>
      </c>
      <c r="G3022" s="594">
        <v>840</v>
      </c>
      <c r="H3022" s="594">
        <v>5</v>
      </c>
      <c r="I3022" s="594">
        <v>3</v>
      </c>
      <c r="J3022" s="594">
        <v>60</v>
      </c>
      <c r="K3022" s="590" t="s">
        <v>224</v>
      </c>
      <c r="L3022" s="595">
        <f t="shared" si="463"/>
        <v>1012544</v>
      </c>
      <c r="M3022" s="596">
        <f>J3022*16000</f>
        <v>960000</v>
      </c>
      <c r="N3022" s="597">
        <v>32000</v>
      </c>
      <c r="O3022" s="598"/>
      <c r="P3022" s="597"/>
      <c r="Q3022" s="675">
        <v>20544</v>
      </c>
      <c r="R3022" s="599">
        <f>M3022/J3022</f>
        <v>16000</v>
      </c>
      <c r="S3022" s="594"/>
      <c r="T3022" s="600"/>
      <c r="U3022" s="709"/>
      <c r="V3022" s="601"/>
      <c r="W3022" s="601"/>
      <c r="X3022" s="601"/>
      <c r="Y3022" s="601"/>
      <c r="Z3022" s="601"/>
    </row>
    <row r="3023" spans="1:26" s="75" customFormat="1" ht="37.5" hidden="1">
      <c r="A3023" s="709">
        <f t="shared" si="468"/>
        <v>132</v>
      </c>
      <c r="B3023" s="592" t="s">
        <v>2443</v>
      </c>
      <c r="C3023" s="593" t="s">
        <v>271</v>
      </c>
      <c r="D3023" s="650">
        <v>9939</v>
      </c>
      <c r="E3023" s="594">
        <v>1971</v>
      </c>
      <c r="F3023" s="594" t="s">
        <v>222</v>
      </c>
      <c r="G3023" s="594">
        <v>1144</v>
      </c>
      <c r="H3023" s="594">
        <v>4</v>
      </c>
      <c r="I3023" s="594">
        <v>4</v>
      </c>
      <c r="J3023" s="594">
        <v>64</v>
      </c>
      <c r="K3023" s="590" t="s">
        <v>30</v>
      </c>
      <c r="L3023" s="1178">
        <f t="shared" si="463"/>
        <v>1773184</v>
      </c>
      <c r="M3023" s="607">
        <v>1728000</v>
      </c>
      <c r="N3023" s="675"/>
      <c r="O3023" s="887">
        <v>5184</v>
      </c>
      <c r="P3023" s="675"/>
      <c r="Q3023" s="675">
        <v>40000</v>
      </c>
      <c r="R3023" s="964">
        <f>M3023/J3023</f>
        <v>27000</v>
      </c>
      <c r="S3023" s="594"/>
      <c r="T3023" s="600"/>
      <c r="U3023" s="709"/>
      <c r="V3023" s="601"/>
      <c r="W3023" s="601"/>
      <c r="X3023" s="601"/>
      <c r="Y3023" s="601"/>
      <c r="Z3023" s="601"/>
    </row>
    <row r="3024" spans="1:26" s="75" customFormat="1" ht="37.5" hidden="1">
      <c r="A3024" s="709">
        <f t="shared" si="468"/>
        <v>133</v>
      </c>
      <c r="B3024" s="592" t="s">
        <v>2444</v>
      </c>
      <c r="C3024" s="593" t="s">
        <v>271</v>
      </c>
      <c r="D3024" s="650">
        <v>10117</v>
      </c>
      <c r="E3024" s="594">
        <v>1971</v>
      </c>
      <c r="F3024" s="594" t="s">
        <v>222</v>
      </c>
      <c r="G3024" s="594">
        <v>1155</v>
      </c>
      <c r="H3024" s="594">
        <v>4</v>
      </c>
      <c r="I3024" s="594">
        <v>4</v>
      </c>
      <c r="J3024" s="594">
        <v>64</v>
      </c>
      <c r="K3024" s="590" t="s">
        <v>30</v>
      </c>
      <c r="L3024" s="595">
        <f t="shared" si="463"/>
        <v>1773184</v>
      </c>
      <c r="M3024" s="596">
        <f>J3024*27000</f>
        <v>1728000</v>
      </c>
      <c r="N3024" s="597"/>
      <c r="O3024" s="598">
        <f>M3024*0.3%</f>
        <v>5184</v>
      </c>
      <c r="P3024" s="597"/>
      <c r="Q3024" s="675">
        <v>40000</v>
      </c>
      <c r="R3024" s="599">
        <f>M3024/J3024</f>
        <v>27000</v>
      </c>
      <c r="S3024" s="594"/>
      <c r="T3024" s="600"/>
      <c r="U3024" s="709"/>
      <c r="V3024" s="601"/>
      <c r="W3024" s="601"/>
      <c r="X3024" s="601"/>
      <c r="Y3024" s="601"/>
      <c r="Z3024" s="601"/>
    </row>
    <row r="3025" spans="1:26" s="75" customFormat="1" hidden="1">
      <c r="A3025" s="709">
        <f t="shared" si="468"/>
        <v>134</v>
      </c>
      <c r="B3025" s="592" t="s">
        <v>2445</v>
      </c>
      <c r="C3025" s="593" t="s">
        <v>217</v>
      </c>
      <c r="D3025" s="594">
        <v>8422</v>
      </c>
      <c r="E3025" s="594">
        <v>2317.09</v>
      </c>
      <c r="F3025" s="594" t="s">
        <v>233</v>
      </c>
      <c r="G3025" s="594">
        <v>403</v>
      </c>
      <c r="H3025" s="594">
        <v>10</v>
      </c>
      <c r="I3025" s="594">
        <v>1</v>
      </c>
      <c r="J3025" s="594">
        <v>44</v>
      </c>
      <c r="K3025" s="590" t="s">
        <v>284</v>
      </c>
      <c r="L3025" s="595">
        <f t="shared" si="463"/>
        <v>9750000</v>
      </c>
      <c r="M3025" s="596">
        <v>9670000</v>
      </c>
      <c r="N3025" s="597">
        <v>40000</v>
      </c>
      <c r="O3025" s="598"/>
      <c r="P3025" s="597"/>
      <c r="Q3025" s="675">
        <v>40000</v>
      </c>
      <c r="R3025" s="599">
        <f>M3025/E3025</f>
        <v>4173.3381094389943</v>
      </c>
      <c r="S3025" s="594"/>
      <c r="T3025" s="600"/>
      <c r="U3025" s="709"/>
      <c r="V3025" s="601"/>
      <c r="W3025" s="601"/>
      <c r="X3025" s="601"/>
      <c r="Y3025" s="601"/>
      <c r="Z3025" s="601"/>
    </row>
    <row r="3026" spans="1:26" s="75" customFormat="1" hidden="1">
      <c r="A3026" s="709">
        <f t="shared" si="468"/>
        <v>135</v>
      </c>
      <c r="B3026" s="592" t="s">
        <v>2446</v>
      </c>
      <c r="C3026" s="593" t="s">
        <v>403</v>
      </c>
      <c r="D3026" s="594">
        <v>2855</v>
      </c>
      <c r="E3026" s="594">
        <v>417</v>
      </c>
      <c r="F3026" s="594" t="s">
        <v>222</v>
      </c>
      <c r="G3026" s="594">
        <v>570</v>
      </c>
      <c r="H3026" s="594">
        <v>2</v>
      </c>
      <c r="I3026" s="594">
        <v>2</v>
      </c>
      <c r="J3026" s="594">
        <v>16</v>
      </c>
      <c r="K3026" s="590" t="s">
        <v>224</v>
      </c>
      <c r="L3026" s="595">
        <f t="shared" si="463"/>
        <v>314163</v>
      </c>
      <c r="M3026" s="596">
        <f>J3026*18000</f>
        <v>288000</v>
      </c>
      <c r="N3026" s="597">
        <v>20000</v>
      </c>
      <c r="O3026" s="598"/>
      <c r="P3026" s="597"/>
      <c r="Q3026" s="675">
        <v>6163</v>
      </c>
      <c r="R3026" s="599">
        <f>M3026/J3026</f>
        <v>18000</v>
      </c>
      <c r="S3026" s="594"/>
      <c r="T3026" s="600"/>
      <c r="U3026" s="709"/>
      <c r="V3026" s="601"/>
      <c r="W3026" s="601"/>
      <c r="X3026" s="601"/>
      <c r="Y3026" s="601"/>
      <c r="Z3026" s="601"/>
    </row>
    <row r="3027" spans="1:26" s="75" customFormat="1" hidden="1">
      <c r="A3027" s="709">
        <f t="shared" si="468"/>
        <v>136</v>
      </c>
      <c r="B3027" s="592" t="s">
        <v>2447</v>
      </c>
      <c r="C3027" s="593" t="s">
        <v>217</v>
      </c>
      <c r="D3027" s="650">
        <v>11612</v>
      </c>
      <c r="E3027" s="594">
        <v>3030</v>
      </c>
      <c r="F3027" s="594" t="s">
        <v>233</v>
      </c>
      <c r="G3027" s="594">
        <v>760.3</v>
      </c>
      <c r="H3027" s="594">
        <v>5</v>
      </c>
      <c r="I3027" s="594">
        <v>4</v>
      </c>
      <c r="J3027" s="594">
        <v>60</v>
      </c>
      <c r="K3027" s="590" t="s">
        <v>224</v>
      </c>
      <c r="L3027" s="595">
        <f t="shared" si="463"/>
        <v>1010544</v>
      </c>
      <c r="M3027" s="596">
        <f>J3027*16000</f>
        <v>960000</v>
      </c>
      <c r="N3027" s="597">
        <v>30000</v>
      </c>
      <c r="O3027" s="598"/>
      <c r="P3027" s="597"/>
      <c r="Q3027" s="675">
        <v>20544</v>
      </c>
      <c r="R3027" s="599">
        <f>M3027/J3027</f>
        <v>16000</v>
      </c>
      <c r="S3027" s="594"/>
      <c r="T3027" s="600"/>
      <c r="U3027" s="709"/>
      <c r="V3027" s="601"/>
      <c r="W3027" s="601"/>
      <c r="X3027" s="601"/>
      <c r="Y3027" s="601"/>
      <c r="Z3027" s="601"/>
    </row>
    <row r="3028" spans="1:26" s="75" customFormat="1" hidden="1">
      <c r="A3028" s="709">
        <f t="shared" si="468"/>
        <v>137</v>
      </c>
      <c r="B3028" s="592" t="s">
        <v>2448</v>
      </c>
      <c r="C3028" s="593" t="s">
        <v>395</v>
      </c>
      <c r="D3028" s="594">
        <v>1489</v>
      </c>
      <c r="E3028" s="594">
        <v>292</v>
      </c>
      <c r="F3028" s="594" t="s">
        <v>222</v>
      </c>
      <c r="G3028" s="594">
        <v>324</v>
      </c>
      <c r="H3028" s="594">
        <v>2</v>
      </c>
      <c r="I3028" s="594">
        <v>2</v>
      </c>
      <c r="J3028" s="594">
        <v>8</v>
      </c>
      <c r="K3028" s="590" t="s">
        <v>224</v>
      </c>
      <c r="L3028" s="595">
        <f t="shared" si="463"/>
        <v>167082</v>
      </c>
      <c r="M3028" s="596">
        <f>J3028*18000</f>
        <v>144000</v>
      </c>
      <c r="N3028" s="597">
        <v>20000</v>
      </c>
      <c r="O3028" s="598"/>
      <c r="P3028" s="597"/>
      <c r="Q3028" s="675">
        <v>3082</v>
      </c>
      <c r="R3028" s="599">
        <f>M3028/J3028</f>
        <v>18000</v>
      </c>
      <c r="S3028" s="594"/>
      <c r="T3028" s="600"/>
      <c r="U3028" s="709"/>
      <c r="V3028" s="601"/>
      <c r="W3028" s="601"/>
      <c r="X3028" s="601"/>
      <c r="Y3028" s="601"/>
      <c r="Z3028" s="601"/>
    </row>
    <row r="3029" spans="1:26" s="75" customFormat="1" hidden="1">
      <c r="A3029" s="709">
        <f t="shared" si="468"/>
        <v>138</v>
      </c>
      <c r="B3029" s="592" t="s">
        <v>2449</v>
      </c>
      <c r="C3029" s="593" t="s">
        <v>396</v>
      </c>
      <c r="D3029" s="594">
        <v>2844</v>
      </c>
      <c r="E3029" s="594">
        <v>295</v>
      </c>
      <c r="F3029" s="594" t="s">
        <v>222</v>
      </c>
      <c r="G3029" s="594">
        <v>569</v>
      </c>
      <c r="H3029" s="594">
        <v>2</v>
      </c>
      <c r="I3029" s="594">
        <v>2</v>
      </c>
      <c r="J3029" s="594">
        <v>16</v>
      </c>
      <c r="K3029" s="590" t="s">
        <v>224</v>
      </c>
      <c r="L3029" s="595">
        <f t="shared" si="463"/>
        <v>314163</v>
      </c>
      <c r="M3029" s="596">
        <f>J3029*18000</f>
        <v>288000</v>
      </c>
      <c r="N3029" s="597">
        <v>20000</v>
      </c>
      <c r="O3029" s="598"/>
      <c r="P3029" s="597"/>
      <c r="Q3029" s="675">
        <v>6163</v>
      </c>
      <c r="R3029" s="599">
        <f>M3029/J3029</f>
        <v>18000</v>
      </c>
      <c r="S3029" s="594"/>
      <c r="T3029" s="600"/>
      <c r="U3029" s="709"/>
      <c r="V3029" s="601"/>
      <c r="W3029" s="601"/>
      <c r="X3029" s="601"/>
      <c r="Y3029" s="601"/>
      <c r="Z3029" s="601"/>
    </row>
    <row r="3030" spans="1:26" s="75" customFormat="1" hidden="1">
      <c r="A3030" s="709">
        <f t="shared" si="468"/>
        <v>139</v>
      </c>
      <c r="B3030" s="592" t="s">
        <v>2450</v>
      </c>
      <c r="C3030" s="593" t="s">
        <v>396</v>
      </c>
      <c r="D3030" s="594">
        <v>2491</v>
      </c>
      <c r="E3030" s="594">
        <v>423</v>
      </c>
      <c r="F3030" s="594" t="s">
        <v>222</v>
      </c>
      <c r="G3030" s="594">
        <v>491</v>
      </c>
      <c r="H3030" s="594">
        <v>2</v>
      </c>
      <c r="I3030" s="594">
        <v>1</v>
      </c>
      <c r="J3030" s="594">
        <v>8</v>
      </c>
      <c r="K3030" s="590" t="s">
        <v>224</v>
      </c>
      <c r="L3030" s="595">
        <f t="shared" si="463"/>
        <v>167082</v>
      </c>
      <c r="M3030" s="596">
        <f>J3030*18000</f>
        <v>144000</v>
      </c>
      <c r="N3030" s="597">
        <v>20000</v>
      </c>
      <c r="O3030" s="598"/>
      <c r="P3030" s="597"/>
      <c r="Q3030" s="675">
        <v>3082</v>
      </c>
      <c r="R3030" s="599">
        <f>M3030/J3030</f>
        <v>18000</v>
      </c>
      <c r="S3030" s="594"/>
      <c r="T3030" s="600"/>
      <c r="U3030" s="709"/>
      <c r="V3030" s="601"/>
      <c r="W3030" s="601"/>
      <c r="X3030" s="601"/>
      <c r="Y3030" s="601"/>
      <c r="Z3030" s="601"/>
    </row>
    <row r="3031" spans="1:26" s="75" customFormat="1" hidden="1">
      <c r="A3031" s="709">
        <f t="shared" si="468"/>
        <v>140</v>
      </c>
      <c r="B3031" s="592" t="s">
        <v>2451</v>
      </c>
      <c r="C3031" s="593" t="s">
        <v>217</v>
      </c>
      <c r="D3031" s="650">
        <v>12381</v>
      </c>
      <c r="E3031" s="594">
        <v>3030</v>
      </c>
      <c r="F3031" s="594" t="s">
        <v>222</v>
      </c>
      <c r="G3031" s="594">
        <v>1140</v>
      </c>
      <c r="H3031" s="594">
        <v>5</v>
      </c>
      <c r="I3031" s="594">
        <v>4</v>
      </c>
      <c r="J3031" s="594">
        <v>80</v>
      </c>
      <c r="K3031" s="590" t="s">
        <v>33</v>
      </c>
      <c r="L3031" s="595">
        <f t="shared" si="463"/>
        <v>3241576</v>
      </c>
      <c r="M3031" s="596">
        <f>G3031*2800</f>
        <v>3192000</v>
      </c>
      <c r="N3031" s="597"/>
      <c r="O3031" s="598">
        <f>M3031*0.3%</f>
        <v>9576</v>
      </c>
      <c r="P3031" s="597"/>
      <c r="Q3031" s="675">
        <v>40000</v>
      </c>
      <c r="R3031" s="599">
        <f>M3031/G3031</f>
        <v>2800</v>
      </c>
      <c r="S3031" s="594"/>
      <c r="T3031" s="600"/>
      <c r="U3031" s="709"/>
      <c r="V3031" s="601"/>
      <c r="W3031" s="601"/>
      <c r="X3031" s="601"/>
      <c r="Y3031" s="601"/>
      <c r="Z3031" s="601"/>
    </row>
    <row r="3032" spans="1:26" s="75" customFormat="1" hidden="1">
      <c r="A3032" s="709">
        <f t="shared" si="468"/>
        <v>141</v>
      </c>
      <c r="B3032" s="592" t="s">
        <v>2452</v>
      </c>
      <c r="C3032" s="593" t="s">
        <v>217</v>
      </c>
      <c r="D3032" s="650">
        <v>12439</v>
      </c>
      <c r="E3032" s="594">
        <v>3030</v>
      </c>
      <c r="F3032" s="594" t="s">
        <v>222</v>
      </c>
      <c r="G3032" s="594">
        <v>1130</v>
      </c>
      <c r="H3032" s="594">
        <v>5</v>
      </c>
      <c r="I3032" s="594">
        <v>4</v>
      </c>
      <c r="J3032" s="594">
        <v>80</v>
      </c>
      <c r="K3032" s="590" t="s">
        <v>33</v>
      </c>
      <c r="L3032" s="595">
        <f t="shared" si="463"/>
        <v>3213492</v>
      </c>
      <c r="M3032" s="596">
        <f>G3032*2800</f>
        <v>3164000</v>
      </c>
      <c r="N3032" s="597"/>
      <c r="O3032" s="598">
        <f>M3032*0.3%</f>
        <v>9492</v>
      </c>
      <c r="P3032" s="597"/>
      <c r="Q3032" s="675">
        <v>40000</v>
      </c>
      <c r="R3032" s="599">
        <f>M3032/G3032</f>
        <v>2800</v>
      </c>
      <c r="S3032" s="594"/>
      <c r="T3032" s="600"/>
      <c r="U3032" s="709"/>
      <c r="V3032" s="601"/>
      <c r="W3032" s="601"/>
      <c r="X3032" s="601"/>
      <c r="Y3032" s="601"/>
      <c r="Z3032" s="601"/>
    </row>
    <row r="3033" spans="1:26" s="75" customFormat="1" hidden="1">
      <c r="A3033" s="709">
        <f t="shared" si="468"/>
        <v>142</v>
      </c>
      <c r="B3033" s="592" t="s">
        <v>2453</v>
      </c>
      <c r="C3033" s="593" t="s">
        <v>217</v>
      </c>
      <c r="D3033" s="650">
        <v>12435</v>
      </c>
      <c r="E3033" s="594">
        <v>3030</v>
      </c>
      <c r="F3033" s="594" t="s">
        <v>222</v>
      </c>
      <c r="G3033" s="594">
        <v>1135</v>
      </c>
      <c r="H3033" s="594">
        <v>5</v>
      </c>
      <c r="I3033" s="594">
        <v>4</v>
      </c>
      <c r="J3033" s="594">
        <v>80</v>
      </c>
      <c r="K3033" s="590" t="s">
        <v>33</v>
      </c>
      <c r="L3033" s="595">
        <f t="shared" si="463"/>
        <v>3227534</v>
      </c>
      <c r="M3033" s="596">
        <f>G3033*2800</f>
        <v>3178000</v>
      </c>
      <c r="N3033" s="597"/>
      <c r="O3033" s="598">
        <f>M3033*0.3%</f>
        <v>9534</v>
      </c>
      <c r="P3033" s="597"/>
      <c r="Q3033" s="675">
        <v>40000</v>
      </c>
      <c r="R3033" s="599">
        <f>M3033/G3033</f>
        <v>2800</v>
      </c>
      <c r="S3033" s="594"/>
      <c r="T3033" s="600"/>
      <c r="U3033" s="709"/>
      <c r="V3033" s="601"/>
      <c r="W3033" s="601"/>
      <c r="X3033" s="601"/>
      <c r="Y3033" s="601"/>
      <c r="Z3033" s="601"/>
    </row>
    <row r="3034" spans="1:26" s="75" customFormat="1" hidden="1">
      <c r="A3034" s="709">
        <f t="shared" si="468"/>
        <v>143</v>
      </c>
      <c r="B3034" s="592" t="s">
        <v>2454</v>
      </c>
      <c r="C3034" s="593" t="s">
        <v>271</v>
      </c>
      <c r="D3034" s="594">
        <v>60106</v>
      </c>
      <c r="E3034" s="594">
        <v>3533</v>
      </c>
      <c r="F3034" s="594" t="s">
        <v>233</v>
      </c>
      <c r="G3034" s="594">
        <v>3720.6</v>
      </c>
      <c r="H3034" s="594">
        <v>9</v>
      </c>
      <c r="I3034" s="594">
        <v>7</v>
      </c>
      <c r="J3034" s="594">
        <v>224</v>
      </c>
      <c r="K3034" s="590" t="s">
        <v>33</v>
      </c>
      <c r="L3034" s="595">
        <f t="shared" si="463"/>
        <v>7876699.7800000003</v>
      </c>
      <c r="M3034" s="596">
        <f>G3034*2100</f>
        <v>7813260</v>
      </c>
      <c r="N3034" s="597"/>
      <c r="O3034" s="598">
        <f>M3034*0.3%</f>
        <v>23439.78</v>
      </c>
      <c r="P3034" s="597"/>
      <c r="Q3034" s="675">
        <v>40000</v>
      </c>
      <c r="R3034" s="599">
        <f>M3034/G3034</f>
        <v>2100</v>
      </c>
      <c r="S3034" s="594"/>
      <c r="T3034" s="600"/>
      <c r="U3034" s="709"/>
      <c r="V3034" s="589"/>
      <c r="W3034" s="601"/>
      <c r="X3034" s="601"/>
      <c r="Y3034" s="601"/>
      <c r="Z3034" s="601"/>
    </row>
    <row r="3035" spans="1:26" s="75" customFormat="1" ht="37.5" hidden="1">
      <c r="A3035" s="709">
        <f t="shared" si="468"/>
        <v>144</v>
      </c>
      <c r="B3035" s="592" t="s">
        <v>2455</v>
      </c>
      <c r="C3035" s="593" t="s">
        <v>344</v>
      </c>
      <c r="D3035" s="650">
        <v>4021</v>
      </c>
      <c r="E3035" s="594">
        <v>580</v>
      </c>
      <c r="F3035" s="594" t="s">
        <v>222</v>
      </c>
      <c r="G3035" s="594">
        <v>556</v>
      </c>
      <c r="H3035" s="594">
        <v>2</v>
      </c>
      <c r="I3035" s="594">
        <v>2</v>
      </c>
      <c r="J3035" s="594">
        <v>12</v>
      </c>
      <c r="K3035" s="590" t="s">
        <v>30</v>
      </c>
      <c r="L3035" s="595">
        <f t="shared" si="463"/>
        <v>340900</v>
      </c>
      <c r="M3035" s="596">
        <f>J3035*25000</f>
        <v>300000</v>
      </c>
      <c r="N3035" s="597"/>
      <c r="O3035" s="598">
        <f>M3035*0.3%</f>
        <v>900</v>
      </c>
      <c r="P3035" s="597"/>
      <c r="Q3035" s="675">
        <v>40000</v>
      </c>
      <c r="R3035" s="599">
        <f>M3035/J3035</f>
        <v>25000</v>
      </c>
      <c r="S3035" s="594"/>
      <c r="T3035" s="600"/>
      <c r="U3035" s="709"/>
      <c r="V3035" s="601"/>
      <c r="W3035" s="601"/>
      <c r="X3035" s="601"/>
      <c r="Y3035" s="601"/>
      <c r="Z3035" s="601"/>
    </row>
    <row r="3036" spans="1:26" s="75" customFormat="1" hidden="1">
      <c r="A3036" s="709">
        <f t="shared" si="468"/>
        <v>145</v>
      </c>
      <c r="B3036" s="592" t="s">
        <v>2456</v>
      </c>
      <c r="C3036" s="593" t="s">
        <v>271</v>
      </c>
      <c r="D3036" s="650">
        <v>6440</v>
      </c>
      <c r="E3036" s="594">
        <v>580</v>
      </c>
      <c r="F3036" s="594" t="s">
        <v>222</v>
      </c>
      <c r="G3036" s="594">
        <v>763</v>
      </c>
      <c r="H3036" s="594">
        <v>3</v>
      </c>
      <c r="I3036" s="594">
        <v>2</v>
      </c>
      <c r="J3036" s="594">
        <v>16</v>
      </c>
      <c r="K3036" s="590" t="s">
        <v>33</v>
      </c>
      <c r="L3036" s="595">
        <f t="shared" si="463"/>
        <v>1719557.8</v>
      </c>
      <c r="M3036" s="596">
        <v>1678600</v>
      </c>
      <c r="N3036" s="597"/>
      <c r="O3036" s="598">
        <v>5035.8</v>
      </c>
      <c r="P3036" s="597"/>
      <c r="Q3036" s="675">
        <v>35922</v>
      </c>
      <c r="R3036" s="599">
        <f>M3036/G3036</f>
        <v>2200</v>
      </c>
      <c r="S3036" s="594"/>
      <c r="T3036" s="600"/>
      <c r="U3036" s="709"/>
      <c r="V3036" s="601"/>
      <c r="W3036" s="601"/>
      <c r="X3036" s="601"/>
      <c r="Y3036" s="601"/>
      <c r="Z3036" s="601"/>
    </row>
    <row r="3037" spans="1:26" s="75" customFormat="1" hidden="1">
      <c r="A3037" s="709">
        <f t="shared" si="468"/>
        <v>146</v>
      </c>
      <c r="B3037" s="592" t="s">
        <v>2458</v>
      </c>
      <c r="C3037" s="593" t="s">
        <v>271</v>
      </c>
      <c r="D3037" s="650">
        <v>6224</v>
      </c>
      <c r="E3037" s="594">
        <v>580</v>
      </c>
      <c r="F3037" s="594" t="s">
        <v>222</v>
      </c>
      <c r="G3037" s="594">
        <v>801</v>
      </c>
      <c r="H3037" s="594">
        <v>3</v>
      </c>
      <c r="I3037" s="594">
        <v>2</v>
      </c>
      <c r="J3037" s="594">
        <v>18</v>
      </c>
      <c r="K3037" s="590" t="s">
        <v>33</v>
      </c>
      <c r="L3037" s="595">
        <f t="shared" si="463"/>
        <v>2297524.4</v>
      </c>
      <c r="M3037" s="596">
        <v>2242800</v>
      </c>
      <c r="N3037" s="597"/>
      <c r="O3037" s="598">
        <v>6728.4000000000005</v>
      </c>
      <c r="P3037" s="597"/>
      <c r="Q3037" s="675">
        <v>47996</v>
      </c>
      <c r="R3037" s="599">
        <f>M3037/G3037</f>
        <v>2800</v>
      </c>
      <c r="S3037" s="594"/>
      <c r="T3037" s="600"/>
      <c r="U3037" s="709"/>
      <c r="V3037" s="601"/>
      <c r="W3037" s="601"/>
      <c r="X3037" s="601"/>
      <c r="Y3037" s="601"/>
      <c r="Z3037" s="601"/>
    </row>
    <row r="3038" spans="1:26" s="75" customFormat="1" hidden="1">
      <c r="A3038" s="709">
        <f t="shared" si="468"/>
        <v>147</v>
      </c>
      <c r="B3038" s="592" t="s">
        <v>2459</v>
      </c>
      <c r="C3038" s="593" t="s">
        <v>271</v>
      </c>
      <c r="D3038" s="594">
        <v>1099</v>
      </c>
      <c r="E3038" s="594">
        <v>287</v>
      </c>
      <c r="F3038" s="594" t="s">
        <v>222</v>
      </c>
      <c r="G3038" s="594">
        <v>371</v>
      </c>
      <c r="H3038" s="594">
        <v>1</v>
      </c>
      <c r="I3038" s="594">
        <v>1</v>
      </c>
      <c r="J3038" s="594">
        <v>6</v>
      </c>
      <c r="K3038" s="590" t="s">
        <v>33</v>
      </c>
      <c r="L3038" s="595">
        <f t="shared" si="463"/>
        <v>836115.6</v>
      </c>
      <c r="M3038" s="596">
        <f>G3038*2200</f>
        <v>816200</v>
      </c>
      <c r="N3038" s="597"/>
      <c r="O3038" s="598">
        <f>M3038*0.3%</f>
        <v>2448.6</v>
      </c>
      <c r="P3038" s="597"/>
      <c r="Q3038" s="675">
        <v>17467</v>
      </c>
      <c r="R3038" s="599">
        <f>M3038/G3038</f>
        <v>2200</v>
      </c>
      <c r="S3038" s="594"/>
      <c r="T3038" s="600"/>
      <c r="U3038" s="709"/>
      <c r="V3038" s="601"/>
      <c r="W3038" s="601"/>
      <c r="X3038" s="601"/>
      <c r="Y3038" s="601"/>
      <c r="Z3038" s="601"/>
    </row>
    <row r="3039" spans="1:26" s="75" customFormat="1" ht="37.5" hidden="1">
      <c r="A3039" s="709">
        <f t="shared" si="468"/>
        <v>148</v>
      </c>
      <c r="B3039" s="1177" t="s">
        <v>2460</v>
      </c>
      <c r="C3039" s="593" t="s">
        <v>217</v>
      </c>
      <c r="D3039" s="618">
        <v>16320</v>
      </c>
      <c r="E3039" s="594">
        <v>2100</v>
      </c>
      <c r="F3039" s="582" t="s">
        <v>233</v>
      </c>
      <c r="G3039" s="618">
        <v>642.4</v>
      </c>
      <c r="H3039" s="650">
        <v>12</v>
      </c>
      <c r="I3039" s="650">
        <v>1</v>
      </c>
      <c r="J3039" s="650">
        <v>77</v>
      </c>
      <c r="K3039" s="590" t="s">
        <v>366</v>
      </c>
      <c r="L3039" s="595">
        <f t="shared" si="463"/>
        <v>4106250</v>
      </c>
      <c r="M3039" s="585">
        <v>4000000</v>
      </c>
      <c r="N3039" s="628">
        <v>106250</v>
      </c>
      <c r="O3039" s="598"/>
      <c r="P3039" s="586"/>
      <c r="Q3039" s="630"/>
      <c r="R3039" s="599">
        <v>2200000</v>
      </c>
      <c r="S3039" s="594"/>
      <c r="T3039" s="600"/>
      <c r="U3039" s="709"/>
      <c r="V3039" s="601"/>
      <c r="W3039" s="601"/>
      <c r="X3039" s="601"/>
      <c r="Y3039" s="601"/>
      <c r="Z3039" s="601"/>
    </row>
    <row r="3040" spans="1:26" s="75" customFormat="1" hidden="1">
      <c r="A3040" s="709">
        <f t="shared" si="468"/>
        <v>149</v>
      </c>
      <c r="B3040" s="592" t="s">
        <v>2461</v>
      </c>
      <c r="C3040" s="593" t="s">
        <v>282</v>
      </c>
      <c r="D3040" s="594">
        <v>35939</v>
      </c>
      <c r="E3040" s="594">
        <v>6117.93</v>
      </c>
      <c r="F3040" s="594" t="s">
        <v>303</v>
      </c>
      <c r="G3040" s="594">
        <v>1502.7</v>
      </c>
      <c r="H3040" s="594">
        <v>9</v>
      </c>
      <c r="I3040" s="594">
        <v>3</v>
      </c>
      <c r="J3040" s="594">
        <v>96</v>
      </c>
      <c r="K3040" s="590" t="s">
        <v>284</v>
      </c>
      <c r="L3040" s="595">
        <f t="shared" si="463"/>
        <v>27615685</v>
      </c>
      <c r="M3040" s="596">
        <f>E3040*4500</f>
        <v>27530685</v>
      </c>
      <c r="N3040" s="597">
        <v>45000</v>
      </c>
      <c r="O3040" s="598"/>
      <c r="P3040" s="597"/>
      <c r="Q3040" s="675">
        <v>40000</v>
      </c>
      <c r="R3040" s="599">
        <f>M3040/E3040</f>
        <v>4500</v>
      </c>
      <c r="S3040" s="594"/>
      <c r="T3040" s="600"/>
      <c r="U3040" s="709"/>
      <c r="V3040" s="601"/>
      <c r="W3040" s="601"/>
      <c r="X3040" s="601"/>
      <c r="Y3040" s="601"/>
      <c r="Z3040" s="601"/>
    </row>
    <row r="3041" spans="1:26" s="75" customFormat="1" hidden="1">
      <c r="A3041" s="709">
        <f t="shared" si="468"/>
        <v>150</v>
      </c>
      <c r="B3041" s="592" t="s">
        <v>2462</v>
      </c>
      <c r="C3041" s="593" t="s">
        <v>406</v>
      </c>
      <c r="D3041" s="594">
        <v>9173</v>
      </c>
      <c r="E3041" s="594">
        <v>977</v>
      </c>
      <c r="F3041" s="594" t="s">
        <v>233</v>
      </c>
      <c r="G3041" s="594">
        <v>397.1</v>
      </c>
      <c r="H3041" s="594">
        <v>9</v>
      </c>
      <c r="I3041" s="594">
        <v>1</v>
      </c>
      <c r="J3041" s="594">
        <v>36</v>
      </c>
      <c r="K3041" s="590" t="s">
        <v>224</v>
      </c>
      <c r="L3041" s="595">
        <f>M3041+N3041+O3041+P3041+Q3041+Q3042+P3042+O3042+N3042+M3042</f>
        <v>2845408</v>
      </c>
      <c r="M3041" s="596">
        <f>J3041*20000</f>
        <v>720000</v>
      </c>
      <c r="N3041" s="597">
        <v>25000</v>
      </c>
      <c r="O3041" s="598"/>
      <c r="P3041" s="597"/>
      <c r="Q3041" s="675">
        <v>15408</v>
      </c>
      <c r="R3041" s="599">
        <f>M3041/J3041</f>
        <v>20000</v>
      </c>
      <c r="S3041" s="594"/>
      <c r="T3041" s="600"/>
      <c r="U3041" s="709"/>
      <c r="V3041" s="601"/>
      <c r="W3041" s="601"/>
      <c r="X3041" s="601"/>
      <c r="Y3041" s="601"/>
      <c r="Z3041" s="601"/>
    </row>
    <row r="3042" spans="1:26" s="134" customFormat="1" ht="37.5" hidden="1">
      <c r="A3042" s="1037"/>
      <c r="B3042" s="994"/>
      <c r="C3042" s="718"/>
      <c r="D3042" s="719"/>
      <c r="E3042" s="719"/>
      <c r="F3042" s="719"/>
      <c r="G3042" s="719"/>
      <c r="H3042" s="719"/>
      <c r="I3042" s="719"/>
      <c r="J3042" s="719"/>
      <c r="K3042" s="991" t="s">
        <v>219</v>
      </c>
      <c r="L3042" s="1179"/>
      <c r="M3042" s="993">
        <v>2000000</v>
      </c>
      <c r="N3042" s="722">
        <v>85000</v>
      </c>
      <c r="O3042" s="963"/>
      <c r="P3042" s="722"/>
      <c r="Q3042" s="722"/>
      <c r="R3042" s="722">
        <f>M3042</f>
        <v>2000000</v>
      </c>
      <c r="S3042" s="1180"/>
      <c r="T3042" s="727"/>
      <c r="U3042" s="727"/>
      <c r="V3042" s="727"/>
      <c r="W3042" s="727"/>
      <c r="X3042" s="727"/>
      <c r="Y3042" s="727"/>
      <c r="Z3042" s="727"/>
    </row>
    <row r="3043" spans="1:26" s="75" customFormat="1" ht="37.5" hidden="1">
      <c r="A3043" s="709">
        <f>A3041+1</f>
        <v>151</v>
      </c>
      <c r="B3043" s="592" t="s">
        <v>2463</v>
      </c>
      <c r="C3043" s="593" t="s">
        <v>271</v>
      </c>
      <c r="D3043" s="594">
        <v>14000</v>
      </c>
      <c r="E3043" s="594">
        <v>2142</v>
      </c>
      <c r="F3043" s="594" t="s">
        <v>233</v>
      </c>
      <c r="G3043" s="594">
        <v>1300</v>
      </c>
      <c r="H3043" s="594">
        <v>5</v>
      </c>
      <c r="I3043" s="594">
        <v>4</v>
      </c>
      <c r="J3043" s="594">
        <v>68</v>
      </c>
      <c r="K3043" s="590" t="s">
        <v>30</v>
      </c>
      <c r="L3043" s="595">
        <f t="shared" ref="L3043:L3067" si="469">M3043+N3043+O3043+P3043+Q3043</f>
        <v>1881508</v>
      </c>
      <c r="M3043" s="596">
        <v>1836000</v>
      </c>
      <c r="N3043" s="597"/>
      <c r="O3043" s="598">
        <v>5508</v>
      </c>
      <c r="P3043" s="597"/>
      <c r="Q3043" s="675">
        <v>40000</v>
      </c>
      <c r="R3043" s="599">
        <f>M3043/J3043</f>
        <v>27000</v>
      </c>
      <c r="S3043" s="594"/>
      <c r="T3043" s="600"/>
      <c r="U3043" s="709"/>
      <c r="V3043" s="601"/>
      <c r="W3043" s="601"/>
      <c r="X3043" s="601"/>
      <c r="Y3043" s="601"/>
      <c r="Z3043" s="601"/>
    </row>
    <row r="3044" spans="1:26" s="75" customFormat="1" hidden="1">
      <c r="A3044" s="709">
        <f t="shared" si="468"/>
        <v>152</v>
      </c>
      <c r="B3044" s="592" t="s">
        <v>2464</v>
      </c>
      <c r="C3044" s="593" t="s">
        <v>217</v>
      </c>
      <c r="D3044" s="594">
        <v>15244</v>
      </c>
      <c r="E3044" s="594">
        <v>3052</v>
      </c>
      <c r="F3044" s="594" t="s">
        <v>233</v>
      </c>
      <c r="G3044" s="594">
        <v>705</v>
      </c>
      <c r="H3044" s="594">
        <v>9</v>
      </c>
      <c r="I3044" s="594">
        <v>2</v>
      </c>
      <c r="J3044" s="594">
        <v>70</v>
      </c>
      <c r="K3044" s="590" t="s">
        <v>224</v>
      </c>
      <c r="L3044" s="595">
        <f t="shared" si="469"/>
        <v>1461960</v>
      </c>
      <c r="M3044" s="596">
        <f>J3044*20000</f>
        <v>1400000</v>
      </c>
      <c r="N3044" s="597">
        <v>32000</v>
      </c>
      <c r="O3044" s="598"/>
      <c r="P3044" s="597"/>
      <c r="Q3044" s="675">
        <v>29960</v>
      </c>
      <c r="R3044" s="599">
        <f>M3044/J3044</f>
        <v>20000</v>
      </c>
      <c r="S3044" s="594"/>
      <c r="T3044" s="600"/>
      <c r="U3044" s="709"/>
      <c r="V3044" s="601"/>
      <c r="W3044" s="601"/>
      <c r="X3044" s="601"/>
      <c r="Y3044" s="601"/>
      <c r="Z3044" s="601"/>
    </row>
    <row r="3045" spans="1:26" s="75" customFormat="1" hidden="1">
      <c r="A3045" s="709">
        <f t="shared" si="468"/>
        <v>153</v>
      </c>
      <c r="B3045" s="592" t="s">
        <v>2467</v>
      </c>
      <c r="C3045" s="593" t="s">
        <v>271</v>
      </c>
      <c r="D3045" s="594">
        <v>45023</v>
      </c>
      <c r="E3045" s="594">
        <v>7515</v>
      </c>
      <c r="F3045" s="594" t="s">
        <v>233</v>
      </c>
      <c r="G3045" s="594">
        <v>1517.9</v>
      </c>
      <c r="H3045" s="594">
        <v>10</v>
      </c>
      <c r="I3045" s="594">
        <v>3</v>
      </c>
      <c r="J3045" s="594">
        <v>199</v>
      </c>
      <c r="K3045" s="590" t="s">
        <v>33</v>
      </c>
      <c r="L3045" s="595">
        <f t="shared" si="469"/>
        <v>3237152.77</v>
      </c>
      <c r="M3045" s="596">
        <f>G3045*2100</f>
        <v>3187590</v>
      </c>
      <c r="N3045" s="597"/>
      <c r="O3045" s="598">
        <f>M3045*0.3%</f>
        <v>9562.77</v>
      </c>
      <c r="P3045" s="597"/>
      <c r="Q3045" s="675">
        <v>40000</v>
      </c>
      <c r="R3045" s="599">
        <f t="shared" ref="R3045:R3051" si="470">M3045/G3045</f>
        <v>2100</v>
      </c>
      <c r="S3045" s="594"/>
      <c r="T3045" s="600"/>
      <c r="U3045" s="709"/>
      <c r="V3045" s="601"/>
      <c r="W3045" s="601"/>
      <c r="X3045" s="601"/>
      <c r="Y3045" s="601"/>
      <c r="Z3045" s="601"/>
    </row>
    <row r="3046" spans="1:26" s="75" customFormat="1" hidden="1">
      <c r="A3046" s="709">
        <f t="shared" si="468"/>
        <v>154</v>
      </c>
      <c r="B3046" s="592" t="s">
        <v>2468</v>
      </c>
      <c r="C3046" s="593" t="s">
        <v>271</v>
      </c>
      <c r="D3046" s="594">
        <v>33143</v>
      </c>
      <c r="E3046" s="594">
        <v>8064</v>
      </c>
      <c r="F3046" s="594" t="s">
        <v>233</v>
      </c>
      <c r="G3046" s="594">
        <v>1154</v>
      </c>
      <c r="H3046" s="594">
        <v>14</v>
      </c>
      <c r="I3046" s="594">
        <v>2</v>
      </c>
      <c r="J3046" s="594">
        <v>117</v>
      </c>
      <c r="K3046" s="590" t="s">
        <v>33</v>
      </c>
      <c r="L3046" s="595">
        <f t="shared" si="469"/>
        <v>2470670.2000000002</v>
      </c>
      <c r="M3046" s="596">
        <f>G3046*2100</f>
        <v>2423400</v>
      </c>
      <c r="N3046" s="597"/>
      <c r="O3046" s="598">
        <f>M3046*0.3%</f>
        <v>7270.2</v>
      </c>
      <c r="P3046" s="597"/>
      <c r="Q3046" s="675">
        <v>40000</v>
      </c>
      <c r="R3046" s="599">
        <f t="shared" si="470"/>
        <v>2100</v>
      </c>
      <c r="S3046" s="594"/>
      <c r="T3046" s="600"/>
      <c r="U3046" s="709"/>
      <c r="V3046" s="601"/>
      <c r="W3046" s="601"/>
      <c r="X3046" s="601"/>
      <c r="Y3046" s="601"/>
      <c r="Z3046" s="601"/>
    </row>
    <row r="3047" spans="1:26" s="75" customFormat="1" hidden="1">
      <c r="A3047" s="709">
        <f t="shared" si="468"/>
        <v>155</v>
      </c>
      <c r="B3047" s="592" t="s">
        <v>2469</v>
      </c>
      <c r="C3047" s="593" t="s">
        <v>271</v>
      </c>
      <c r="D3047" s="594">
        <v>30974</v>
      </c>
      <c r="E3047" s="594">
        <v>2816</v>
      </c>
      <c r="F3047" s="594" t="s">
        <v>233</v>
      </c>
      <c r="G3047" s="594">
        <v>1907.1</v>
      </c>
      <c r="H3047" s="594">
        <v>5</v>
      </c>
      <c r="I3047" s="594">
        <v>8</v>
      </c>
      <c r="J3047" s="594">
        <v>155</v>
      </c>
      <c r="K3047" s="590" t="s">
        <v>252</v>
      </c>
      <c r="L3047" s="595">
        <f t="shared" si="469"/>
        <v>5796300</v>
      </c>
      <c r="M3047" s="596">
        <f>G3047*3000</f>
        <v>5721300</v>
      </c>
      <c r="N3047" s="597">
        <v>35000</v>
      </c>
      <c r="O3047" s="598"/>
      <c r="P3047" s="597"/>
      <c r="Q3047" s="675">
        <v>40000</v>
      </c>
      <c r="R3047" s="582">
        <f t="shared" si="470"/>
        <v>3000</v>
      </c>
      <c r="S3047" s="594"/>
      <c r="T3047" s="600"/>
      <c r="U3047" s="709"/>
      <c r="V3047" s="601"/>
      <c r="W3047" s="601"/>
      <c r="X3047" s="601"/>
      <c r="Y3047" s="601"/>
      <c r="Z3047" s="601"/>
    </row>
    <row r="3048" spans="1:26" s="75" customFormat="1" hidden="1">
      <c r="A3048" s="709">
        <f t="shared" si="468"/>
        <v>156</v>
      </c>
      <c r="B3048" s="592" t="s">
        <v>2470</v>
      </c>
      <c r="C3048" s="593" t="s">
        <v>217</v>
      </c>
      <c r="D3048" s="594">
        <v>5546</v>
      </c>
      <c r="E3048" s="594">
        <v>1128</v>
      </c>
      <c r="F3048" s="594" t="s">
        <v>222</v>
      </c>
      <c r="G3048" s="594">
        <v>826</v>
      </c>
      <c r="H3048" s="594">
        <v>3</v>
      </c>
      <c r="I3048" s="594">
        <v>3</v>
      </c>
      <c r="J3048" s="594">
        <v>36</v>
      </c>
      <c r="K3048" s="590" t="s">
        <v>33</v>
      </c>
      <c r="L3048" s="595">
        <f t="shared" si="469"/>
        <v>2369232.4</v>
      </c>
      <c r="M3048" s="596">
        <f>G3048*2800</f>
        <v>2312800</v>
      </c>
      <c r="N3048" s="597"/>
      <c r="O3048" s="598">
        <f>M3048*0.3%</f>
        <v>6938.4000000000005</v>
      </c>
      <c r="P3048" s="597"/>
      <c r="Q3048" s="675">
        <v>49494</v>
      </c>
      <c r="R3048" s="599">
        <f t="shared" si="470"/>
        <v>2800</v>
      </c>
      <c r="S3048" s="594"/>
      <c r="T3048" s="600"/>
      <c r="U3048" s="709"/>
      <c r="V3048" s="601"/>
      <c r="W3048" s="601"/>
      <c r="X3048" s="601"/>
      <c r="Y3048" s="601"/>
      <c r="Z3048" s="601"/>
    </row>
    <row r="3049" spans="1:26" s="75" customFormat="1" hidden="1">
      <c r="A3049" s="709">
        <f t="shared" si="468"/>
        <v>157</v>
      </c>
      <c r="B3049" s="592" t="s">
        <v>2471</v>
      </c>
      <c r="C3049" s="593" t="s">
        <v>217</v>
      </c>
      <c r="D3049" s="594">
        <v>5479</v>
      </c>
      <c r="E3049" s="594">
        <v>1118</v>
      </c>
      <c r="F3049" s="594" t="s">
        <v>222</v>
      </c>
      <c r="G3049" s="594">
        <v>833</v>
      </c>
      <c r="H3049" s="594">
        <v>3</v>
      </c>
      <c r="I3049" s="594">
        <v>3</v>
      </c>
      <c r="J3049" s="594">
        <v>36</v>
      </c>
      <c r="K3049" s="590" t="s">
        <v>33</v>
      </c>
      <c r="L3049" s="595">
        <f t="shared" si="469"/>
        <v>2389310.2000000002</v>
      </c>
      <c r="M3049" s="596">
        <f>G3049*2800</f>
        <v>2332400</v>
      </c>
      <c r="N3049" s="597"/>
      <c r="O3049" s="598">
        <f>M3049*0.3%</f>
        <v>6997.2</v>
      </c>
      <c r="P3049" s="597"/>
      <c r="Q3049" s="675">
        <v>49913</v>
      </c>
      <c r="R3049" s="599">
        <f t="shared" si="470"/>
        <v>2800</v>
      </c>
      <c r="S3049" s="594"/>
      <c r="T3049" s="600"/>
      <c r="U3049" s="709"/>
      <c r="V3049" s="601"/>
      <c r="W3049" s="601"/>
      <c r="X3049" s="601"/>
      <c r="Y3049" s="601"/>
      <c r="Z3049" s="601"/>
    </row>
    <row r="3050" spans="1:26" s="75" customFormat="1" hidden="1">
      <c r="A3050" s="709">
        <f t="shared" si="468"/>
        <v>158</v>
      </c>
      <c r="B3050" s="592" t="s">
        <v>2472</v>
      </c>
      <c r="C3050" s="593" t="s">
        <v>314</v>
      </c>
      <c r="D3050" s="594">
        <v>6206</v>
      </c>
      <c r="E3050" s="594">
        <v>1206</v>
      </c>
      <c r="F3050" s="594" t="s">
        <v>233</v>
      </c>
      <c r="G3050" s="594">
        <v>759</v>
      </c>
      <c r="H3050" s="594">
        <v>5</v>
      </c>
      <c r="I3050" s="594">
        <v>1</v>
      </c>
      <c r="J3050" s="594">
        <v>20</v>
      </c>
      <c r="K3050" s="590" t="s">
        <v>33</v>
      </c>
      <c r="L3050" s="595">
        <f t="shared" si="469"/>
        <v>1632790.7</v>
      </c>
      <c r="M3050" s="596">
        <v>1593900</v>
      </c>
      <c r="N3050" s="597"/>
      <c r="O3050" s="598">
        <v>4781.7</v>
      </c>
      <c r="P3050" s="597"/>
      <c r="Q3050" s="675">
        <v>34109</v>
      </c>
      <c r="R3050" s="599">
        <f t="shared" si="470"/>
        <v>2100</v>
      </c>
      <c r="S3050" s="594"/>
      <c r="T3050" s="600"/>
      <c r="U3050" s="709"/>
      <c r="V3050" s="601"/>
      <c r="W3050" s="601"/>
      <c r="X3050" s="601"/>
      <c r="Y3050" s="601"/>
      <c r="Z3050" s="601"/>
    </row>
    <row r="3051" spans="1:26" s="75" customFormat="1" hidden="1">
      <c r="A3051" s="709">
        <f t="shared" si="468"/>
        <v>159</v>
      </c>
      <c r="B3051" s="592" t="s">
        <v>2473</v>
      </c>
      <c r="C3051" s="593" t="s">
        <v>271</v>
      </c>
      <c r="D3051" s="594">
        <v>7652</v>
      </c>
      <c r="E3051" s="594">
        <v>1216.5999999999999</v>
      </c>
      <c r="F3051" s="594" t="s">
        <v>233</v>
      </c>
      <c r="G3051" s="594">
        <v>635</v>
      </c>
      <c r="H3051" s="594">
        <v>7</v>
      </c>
      <c r="I3051" s="594">
        <v>1</v>
      </c>
      <c r="J3051" s="594">
        <v>110</v>
      </c>
      <c r="K3051" s="590" t="s">
        <v>33</v>
      </c>
      <c r="L3051" s="595">
        <f t="shared" si="469"/>
        <v>1366037.5</v>
      </c>
      <c r="M3051" s="596">
        <f>G3051*2100</f>
        <v>1333500</v>
      </c>
      <c r="N3051" s="597"/>
      <c r="O3051" s="598">
        <f>M3051*0.3%</f>
        <v>4000.5</v>
      </c>
      <c r="P3051" s="597"/>
      <c r="Q3051" s="675">
        <v>28537</v>
      </c>
      <c r="R3051" s="599">
        <f t="shared" si="470"/>
        <v>2100</v>
      </c>
      <c r="S3051" s="594"/>
      <c r="T3051" s="600"/>
      <c r="U3051" s="709"/>
      <c r="V3051" s="601"/>
      <c r="W3051" s="601"/>
      <c r="X3051" s="601"/>
      <c r="Y3051" s="601"/>
      <c r="Z3051" s="601"/>
    </row>
    <row r="3052" spans="1:26" s="75" customFormat="1" ht="37.5" hidden="1">
      <c r="A3052" s="709">
        <f t="shared" si="468"/>
        <v>160</v>
      </c>
      <c r="B3052" s="592" t="s">
        <v>2474</v>
      </c>
      <c r="C3052" s="593" t="s">
        <v>217</v>
      </c>
      <c r="D3052" s="594">
        <v>12376</v>
      </c>
      <c r="E3052" s="594">
        <v>2957</v>
      </c>
      <c r="F3052" s="594" t="s">
        <v>233</v>
      </c>
      <c r="G3052" s="594">
        <v>396</v>
      </c>
      <c r="H3052" s="594">
        <v>12</v>
      </c>
      <c r="I3052" s="594">
        <v>1</v>
      </c>
      <c r="J3052" s="594">
        <v>48</v>
      </c>
      <c r="K3052" s="590" t="s">
        <v>219</v>
      </c>
      <c r="L3052" s="595">
        <f t="shared" si="469"/>
        <v>4106250</v>
      </c>
      <c r="M3052" s="596">
        <v>4000000</v>
      </c>
      <c r="N3052" s="597">
        <v>106250</v>
      </c>
      <c r="O3052" s="598"/>
      <c r="P3052" s="597"/>
      <c r="Q3052" s="675"/>
      <c r="R3052" s="599">
        <v>2200000</v>
      </c>
      <c r="S3052" s="594"/>
      <c r="T3052" s="600"/>
      <c r="U3052" s="709"/>
      <c r="V3052" s="601"/>
      <c r="W3052" s="601"/>
      <c r="X3052" s="601"/>
      <c r="Y3052" s="601"/>
      <c r="Z3052" s="601"/>
    </row>
    <row r="3053" spans="1:26" s="75" customFormat="1" ht="37.5" hidden="1">
      <c r="A3053" s="709">
        <f t="shared" si="468"/>
        <v>161</v>
      </c>
      <c r="B3053" s="592" t="s">
        <v>2475</v>
      </c>
      <c r="C3053" s="593" t="s">
        <v>217</v>
      </c>
      <c r="D3053" s="594">
        <v>16012</v>
      </c>
      <c r="E3053" s="594">
        <v>2950</v>
      </c>
      <c r="F3053" s="594" t="s">
        <v>233</v>
      </c>
      <c r="G3053" s="594">
        <v>708</v>
      </c>
      <c r="H3053" s="594">
        <v>9</v>
      </c>
      <c r="I3053" s="594">
        <v>2</v>
      </c>
      <c r="J3053" s="594">
        <v>68</v>
      </c>
      <c r="K3053" s="590" t="s">
        <v>366</v>
      </c>
      <c r="L3053" s="595">
        <f t="shared" si="469"/>
        <v>4106250</v>
      </c>
      <c r="M3053" s="596">
        <v>4000000</v>
      </c>
      <c r="N3053" s="597">
        <v>106250</v>
      </c>
      <c r="O3053" s="598"/>
      <c r="P3053" s="597"/>
      <c r="Q3053" s="675"/>
      <c r="R3053" s="582">
        <f>M3053/I3053</f>
        <v>2000000</v>
      </c>
      <c r="S3053" s="594"/>
      <c r="T3053" s="600"/>
      <c r="U3053" s="709"/>
      <c r="V3053" s="601"/>
      <c r="W3053" s="601"/>
      <c r="X3053" s="601"/>
      <c r="Y3053" s="601"/>
      <c r="Z3053" s="601"/>
    </row>
    <row r="3054" spans="1:26" s="75" customFormat="1" hidden="1">
      <c r="A3054" s="709">
        <f t="shared" si="468"/>
        <v>162</v>
      </c>
      <c r="B3054" s="592" t="s">
        <v>2476</v>
      </c>
      <c r="C3054" s="593" t="s">
        <v>271</v>
      </c>
      <c r="D3054" s="594">
        <v>2267</v>
      </c>
      <c r="E3054" s="594">
        <v>550.1</v>
      </c>
      <c r="F3054" s="594" t="s">
        <v>222</v>
      </c>
      <c r="G3054" s="594">
        <v>445</v>
      </c>
      <c r="H3054" s="594">
        <v>2</v>
      </c>
      <c r="I3054" s="594">
        <v>2</v>
      </c>
      <c r="J3054" s="594">
        <v>8</v>
      </c>
      <c r="K3054" s="590" t="s">
        <v>224</v>
      </c>
      <c r="L3054" s="595">
        <f t="shared" si="469"/>
        <v>174082</v>
      </c>
      <c r="M3054" s="596">
        <f>J3054*18000</f>
        <v>144000</v>
      </c>
      <c r="N3054" s="597">
        <v>27000</v>
      </c>
      <c r="O3054" s="598"/>
      <c r="P3054" s="597"/>
      <c r="Q3054" s="675">
        <v>3082</v>
      </c>
      <c r="R3054" s="599">
        <f>M3054/J3054</f>
        <v>18000</v>
      </c>
      <c r="S3054" s="594"/>
      <c r="T3054" s="600"/>
      <c r="U3054" s="709"/>
      <c r="V3054" s="601"/>
      <c r="W3054" s="601"/>
      <c r="X3054" s="601"/>
      <c r="Y3054" s="601"/>
      <c r="Z3054" s="601"/>
    </row>
    <row r="3055" spans="1:26" s="75" customFormat="1" hidden="1">
      <c r="A3055" s="709">
        <f t="shared" si="468"/>
        <v>163</v>
      </c>
      <c r="B3055" s="592" t="s">
        <v>2477</v>
      </c>
      <c r="C3055" s="593" t="s">
        <v>271</v>
      </c>
      <c r="D3055" s="594">
        <v>13224</v>
      </c>
      <c r="E3055" s="594">
        <v>2760</v>
      </c>
      <c r="F3055" s="594" t="s">
        <v>222</v>
      </c>
      <c r="G3055" s="594">
        <v>1217.5</v>
      </c>
      <c r="H3055" s="594">
        <v>5</v>
      </c>
      <c r="I3055" s="594">
        <v>4</v>
      </c>
      <c r="J3055" s="594">
        <v>70</v>
      </c>
      <c r="K3055" s="590" t="s">
        <v>33</v>
      </c>
      <c r="L3055" s="595">
        <f t="shared" si="469"/>
        <v>3459227</v>
      </c>
      <c r="M3055" s="596">
        <f>G3055*2800</f>
        <v>3409000</v>
      </c>
      <c r="N3055" s="597"/>
      <c r="O3055" s="598">
        <f>M3055*0.3%</f>
        <v>10227</v>
      </c>
      <c r="P3055" s="597"/>
      <c r="Q3055" s="675">
        <v>40000</v>
      </c>
      <c r="R3055" s="599">
        <f>M3055/G3055</f>
        <v>2800</v>
      </c>
      <c r="S3055" s="594"/>
      <c r="T3055" s="600"/>
      <c r="U3055" s="709"/>
      <c r="V3055" s="601"/>
      <c r="W3055" s="601"/>
      <c r="X3055" s="601"/>
      <c r="Y3055" s="601"/>
      <c r="Z3055" s="601"/>
    </row>
    <row r="3056" spans="1:26" s="75" customFormat="1" ht="37.5" hidden="1">
      <c r="A3056" s="709">
        <f t="shared" si="468"/>
        <v>164</v>
      </c>
      <c r="B3056" s="592" t="s">
        <v>2478</v>
      </c>
      <c r="C3056" s="593" t="s">
        <v>217</v>
      </c>
      <c r="D3056" s="594">
        <v>16165</v>
      </c>
      <c r="E3056" s="594">
        <v>11020</v>
      </c>
      <c r="F3056" s="594" t="s">
        <v>233</v>
      </c>
      <c r="G3056" s="594">
        <v>964</v>
      </c>
      <c r="H3056" s="594">
        <v>5</v>
      </c>
      <c r="I3056" s="594">
        <v>4</v>
      </c>
      <c r="J3056" s="594">
        <v>64</v>
      </c>
      <c r="K3056" s="590" t="s">
        <v>30</v>
      </c>
      <c r="L3056" s="595">
        <f t="shared" si="469"/>
        <v>1770163</v>
      </c>
      <c r="M3056" s="596">
        <v>1728000</v>
      </c>
      <c r="N3056" s="597"/>
      <c r="O3056" s="598">
        <v>5184</v>
      </c>
      <c r="P3056" s="597"/>
      <c r="Q3056" s="675">
        <v>36979</v>
      </c>
      <c r="R3056" s="599">
        <f>M3056/J3056</f>
        <v>27000</v>
      </c>
      <c r="S3056" s="594"/>
      <c r="T3056" s="600"/>
      <c r="U3056" s="709"/>
      <c r="V3056" s="601"/>
      <c r="W3056" s="601"/>
      <c r="X3056" s="601"/>
      <c r="Y3056" s="601"/>
      <c r="Z3056" s="601"/>
    </row>
    <row r="3057" spans="1:26" s="75" customFormat="1" ht="37.5" hidden="1">
      <c r="A3057" s="709">
        <f>A3056+1</f>
        <v>165</v>
      </c>
      <c r="B3057" s="1177" t="s">
        <v>2479</v>
      </c>
      <c r="C3057" s="593" t="s">
        <v>271</v>
      </c>
      <c r="D3057" s="582">
        <v>27869</v>
      </c>
      <c r="E3057" s="582">
        <v>6800</v>
      </c>
      <c r="F3057" s="582" t="s">
        <v>233</v>
      </c>
      <c r="G3057" s="582">
        <v>736</v>
      </c>
      <c r="H3057" s="602">
        <v>12</v>
      </c>
      <c r="I3057" s="602">
        <v>1</v>
      </c>
      <c r="J3057" s="582">
        <v>45</v>
      </c>
      <c r="K3057" s="590" t="s">
        <v>366</v>
      </c>
      <c r="L3057" s="595">
        <f t="shared" si="469"/>
        <v>2085000</v>
      </c>
      <c r="M3057" s="585">
        <v>2000000</v>
      </c>
      <c r="N3057" s="628">
        <v>85000</v>
      </c>
      <c r="O3057" s="598"/>
      <c r="P3057" s="586"/>
      <c r="Q3057" s="630"/>
      <c r="R3057" s="599">
        <v>2200000</v>
      </c>
      <c r="S3057" s="594"/>
      <c r="T3057" s="600"/>
      <c r="U3057" s="709"/>
      <c r="V3057" s="601"/>
      <c r="W3057" s="601"/>
      <c r="X3057" s="601"/>
      <c r="Y3057" s="601"/>
      <c r="Z3057" s="601"/>
    </row>
    <row r="3058" spans="1:26" s="75" customFormat="1" hidden="1">
      <c r="A3058" s="709">
        <f t="shared" si="468"/>
        <v>166</v>
      </c>
      <c r="B3058" s="592" t="s">
        <v>2480</v>
      </c>
      <c r="C3058" s="593" t="s">
        <v>271</v>
      </c>
      <c r="D3058" s="594">
        <v>30527</v>
      </c>
      <c r="E3058" s="594">
        <v>5256.3</v>
      </c>
      <c r="F3058" s="594" t="s">
        <v>233</v>
      </c>
      <c r="G3058" s="594">
        <v>2530</v>
      </c>
      <c r="H3058" s="594">
        <v>5</v>
      </c>
      <c r="I3058" s="594">
        <v>10</v>
      </c>
      <c r="J3058" s="594">
        <v>147</v>
      </c>
      <c r="K3058" s="590" t="s">
        <v>33</v>
      </c>
      <c r="L3058" s="595">
        <f t="shared" si="469"/>
        <v>5368939</v>
      </c>
      <c r="M3058" s="596">
        <v>5313000</v>
      </c>
      <c r="N3058" s="597"/>
      <c r="O3058" s="598">
        <v>15939</v>
      </c>
      <c r="P3058" s="597"/>
      <c r="Q3058" s="675">
        <v>40000</v>
      </c>
      <c r="R3058" s="599">
        <f>M3058/G3058</f>
        <v>2100</v>
      </c>
      <c r="S3058" s="594"/>
      <c r="T3058" s="600"/>
      <c r="U3058" s="709"/>
      <c r="V3058" s="601"/>
      <c r="W3058" s="601"/>
      <c r="X3058" s="601"/>
      <c r="Y3058" s="601"/>
      <c r="Z3058" s="601"/>
    </row>
    <row r="3059" spans="1:26" s="75" customFormat="1" ht="37.5" hidden="1">
      <c r="A3059" s="709">
        <f t="shared" si="468"/>
        <v>167</v>
      </c>
      <c r="B3059" s="592" t="s">
        <v>2482</v>
      </c>
      <c r="C3059" s="593" t="s">
        <v>396</v>
      </c>
      <c r="D3059" s="594">
        <v>2613</v>
      </c>
      <c r="E3059" s="594">
        <v>544</v>
      </c>
      <c r="F3059" s="594" t="s">
        <v>222</v>
      </c>
      <c r="G3059" s="594">
        <v>480</v>
      </c>
      <c r="H3059" s="594">
        <v>3</v>
      </c>
      <c r="I3059" s="594">
        <v>1</v>
      </c>
      <c r="J3059" s="594">
        <v>8</v>
      </c>
      <c r="K3059" s="590" t="s">
        <v>237</v>
      </c>
      <c r="L3059" s="595">
        <f t="shared" si="469"/>
        <v>240600</v>
      </c>
      <c r="M3059" s="596">
        <f>J3059*25000</f>
        <v>200000</v>
      </c>
      <c r="N3059" s="597"/>
      <c r="O3059" s="598">
        <f>M3059*0.3%</f>
        <v>600</v>
      </c>
      <c r="P3059" s="597"/>
      <c r="Q3059" s="675">
        <v>40000</v>
      </c>
      <c r="R3059" s="599">
        <f>M3059/J3059</f>
        <v>25000</v>
      </c>
      <c r="S3059" s="594"/>
      <c r="T3059" s="600"/>
      <c r="U3059" s="709"/>
      <c r="V3059" s="601"/>
      <c r="W3059" s="601"/>
      <c r="X3059" s="601"/>
      <c r="Y3059" s="601"/>
      <c r="Z3059" s="601"/>
    </row>
    <row r="3060" spans="1:26" s="75" customFormat="1" ht="37.5" hidden="1">
      <c r="A3060" s="709">
        <f t="shared" si="468"/>
        <v>168</v>
      </c>
      <c r="B3060" s="592" t="s">
        <v>2483</v>
      </c>
      <c r="C3060" s="593" t="s">
        <v>396</v>
      </c>
      <c r="D3060" s="594">
        <v>3124</v>
      </c>
      <c r="E3060" s="594">
        <v>544</v>
      </c>
      <c r="F3060" s="594" t="s">
        <v>222</v>
      </c>
      <c r="G3060" s="594">
        <v>452</v>
      </c>
      <c r="H3060" s="594">
        <v>3</v>
      </c>
      <c r="I3060" s="594">
        <v>1</v>
      </c>
      <c r="J3060" s="594">
        <v>10</v>
      </c>
      <c r="K3060" s="590" t="s">
        <v>237</v>
      </c>
      <c r="L3060" s="595">
        <f t="shared" si="469"/>
        <v>290750</v>
      </c>
      <c r="M3060" s="596">
        <f>J3060*25000</f>
        <v>250000</v>
      </c>
      <c r="N3060" s="597"/>
      <c r="O3060" s="598">
        <f>M3060*0.3%</f>
        <v>750</v>
      </c>
      <c r="P3060" s="597"/>
      <c r="Q3060" s="675">
        <v>40000</v>
      </c>
      <c r="R3060" s="599">
        <f>M3060/J3060</f>
        <v>25000</v>
      </c>
      <c r="S3060" s="594"/>
      <c r="T3060" s="600"/>
      <c r="U3060" s="709"/>
      <c r="V3060" s="601"/>
      <c r="W3060" s="601"/>
      <c r="X3060" s="601"/>
      <c r="Y3060" s="601"/>
      <c r="Z3060" s="601"/>
    </row>
    <row r="3061" spans="1:26" s="75" customFormat="1" ht="37.5" hidden="1">
      <c r="A3061" s="709">
        <f t="shared" si="468"/>
        <v>169</v>
      </c>
      <c r="B3061" s="592" t="s">
        <v>2484</v>
      </c>
      <c r="C3061" s="593" t="s">
        <v>271</v>
      </c>
      <c r="D3061" s="594">
        <v>11507</v>
      </c>
      <c r="E3061" s="594">
        <v>1100</v>
      </c>
      <c r="F3061" s="594" t="s">
        <v>233</v>
      </c>
      <c r="G3061" s="594">
        <v>476</v>
      </c>
      <c r="H3061" s="594">
        <v>9</v>
      </c>
      <c r="I3061" s="594">
        <v>1</v>
      </c>
      <c r="J3061" s="594">
        <v>54</v>
      </c>
      <c r="K3061" s="590" t="s">
        <v>366</v>
      </c>
      <c r="L3061" s="595">
        <f t="shared" si="469"/>
        <v>2085000</v>
      </c>
      <c r="M3061" s="596">
        <v>2000000</v>
      </c>
      <c r="N3061" s="597">
        <v>85000</v>
      </c>
      <c r="O3061" s="598"/>
      <c r="P3061" s="597"/>
      <c r="Q3061" s="675"/>
      <c r="R3061" s="582">
        <f>M3061/I3061</f>
        <v>2000000</v>
      </c>
      <c r="S3061" s="594"/>
      <c r="T3061" s="600"/>
      <c r="U3061" s="709"/>
      <c r="V3061" s="601"/>
      <c r="W3061" s="601"/>
      <c r="X3061" s="601"/>
      <c r="Y3061" s="601"/>
      <c r="Z3061" s="601"/>
    </row>
    <row r="3062" spans="1:26" s="75" customFormat="1" hidden="1">
      <c r="A3062" s="709">
        <f t="shared" si="468"/>
        <v>170</v>
      </c>
      <c r="B3062" s="592" t="s">
        <v>2485</v>
      </c>
      <c r="C3062" s="593" t="s">
        <v>217</v>
      </c>
      <c r="D3062" s="594">
        <v>12326</v>
      </c>
      <c r="E3062" s="594">
        <v>1600</v>
      </c>
      <c r="F3062" s="594" t="s">
        <v>222</v>
      </c>
      <c r="G3062" s="594">
        <v>1137</v>
      </c>
      <c r="H3062" s="594">
        <v>5</v>
      </c>
      <c r="I3062" s="594">
        <v>4</v>
      </c>
      <c r="J3062" s="594">
        <v>80</v>
      </c>
      <c r="K3062" s="590" t="s">
        <v>33</v>
      </c>
      <c r="L3062" s="595">
        <f t="shared" si="469"/>
        <v>4031438.5</v>
      </c>
      <c r="M3062" s="596">
        <f>G3062*3500</f>
        <v>3979500</v>
      </c>
      <c r="N3062" s="597"/>
      <c r="O3062" s="598">
        <f>M3062*0.3%</f>
        <v>11938.5</v>
      </c>
      <c r="P3062" s="597"/>
      <c r="Q3062" s="675">
        <v>40000</v>
      </c>
      <c r="R3062" s="599">
        <f>M3062/G3062</f>
        <v>3500</v>
      </c>
      <c r="S3062" s="594"/>
      <c r="T3062" s="600"/>
      <c r="U3062" s="709"/>
      <c r="V3062" s="601"/>
      <c r="W3062" s="601"/>
      <c r="X3062" s="601"/>
      <c r="Y3062" s="601"/>
      <c r="Z3062" s="601"/>
    </row>
    <row r="3063" spans="1:26" s="75" customFormat="1" hidden="1">
      <c r="A3063" s="709">
        <f t="shared" si="468"/>
        <v>171</v>
      </c>
      <c r="B3063" s="592" t="s">
        <v>2486</v>
      </c>
      <c r="C3063" s="593" t="s">
        <v>271</v>
      </c>
      <c r="D3063" s="650">
        <v>10820</v>
      </c>
      <c r="E3063" s="594">
        <v>2200</v>
      </c>
      <c r="F3063" s="594" t="s">
        <v>222</v>
      </c>
      <c r="G3063" s="594">
        <v>950</v>
      </c>
      <c r="H3063" s="594">
        <v>5</v>
      </c>
      <c r="I3063" s="594">
        <v>3</v>
      </c>
      <c r="J3063" s="594">
        <v>60</v>
      </c>
      <c r="K3063" s="590" t="s">
        <v>224</v>
      </c>
      <c r="L3063" s="595">
        <f t="shared" si="469"/>
        <v>1012544</v>
      </c>
      <c r="M3063" s="596">
        <f>J3063*16000</f>
        <v>960000</v>
      </c>
      <c r="N3063" s="597">
        <v>32000</v>
      </c>
      <c r="O3063" s="598"/>
      <c r="P3063" s="597"/>
      <c r="Q3063" s="675">
        <v>20544</v>
      </c>
      <c r="R3063" s="599">
        <f>M3063/J3063</f>
        <v>16000</v>
      </c>
      <c r="S3063" s="594"/>
      <c r="T3063" s="600"/>
      <c r="U3063" s="709"/>
      <c r="V3063" s="601"/>
      <c r="W3063" s="601"/>
      <c r="X3063" s="601"/>
      <c r="Y3063" s="601"/>
      <c r="Z3063" s="601"/>
    </row>
    <row r="3064" spans="1:26" s="75" customFormat="1" hidden="1">
      <c r="A3064" s="709">
        <f t="shared" si="468"/>
        <v>172</v>
      </c>
      <c r="B3064" s="592" t="s">
        <v>2487</v>
      </c>
      <c r="C3064" s="593" t="s">
        <v>271</v>
      </c>
      <c r="D3064" s="650">
        <v>7075</v>
      </c>
      <c r="E3064" s="594">
        <v>2094</v>
      </c>
      <c r="F3064" s="594" t="s">
        <v>233</v>
      </c>
      <c r="G3064" s="594">
        <v>312.10000000000002</v>
      </c>
      <c r="H3064" s="594">
        <v>9</v>
      </c>
      <c r="I3064" s="594">
        <v>1</v>
      </c>
      <c r="J3064" s="594">
        <v>20</v>
      </c>
      <c r="K3064" s="590" t="s">
        <v>224</v>
      </c>
      <c r="L3064" s="595">
        <f t="shared" si="469"/>
        <v>361848</v>
      </c>
      <c r="M3064" s="596">
        <v>320000</v>
      </c>
      <c r="N3064" s="597">
        <v>35000</v>
      </c>
      <c r="O3064" s="598"/>
      <c r="P3064" s="597"/>
      <c r="Q3064" s="675">
        <v>6848.0000000000009</v>
      </c>
      <c r="R3064" s="599">
        <f>M3064/J3064</f>
        <v>16000</v>
      </c>
      <c r="S3064" s="594"/>
      <c r="T3064" s="600"/>
      <c r="U3064" s="709"/>
      <c r="V3064" s="601"/>
      <c r="W3064" s="601"/>
      <c r="X3064" s="601"/>
      <c r="Y3064" s="601"/>
      <c r="Z3064" s="601"/>
    </row>
    <row r="3065" spans="1:26" s="75" customFormat="1" hidden="1">
      <c r="A3065" s="709">
        <f t="shared" si="468"/>
        <v>173</v>
      </c>
      <c r="B3065" s="592" t="s">
        <v>2488</v>
      </c>
      <c r="C3065" s="593" t="s">
        <v>217</v>
      </c>
      <c r="D3065" s="594">
        <v>14246</v>
      </c>
      <c r="E3065" s="594">
        <v>2348</v>
      </c>
      <c r="F3065" s="594" t="s">
        <v>222</v>
      </c>
      <c r="G3065" s="594">
        <v>1135</v>
      </c>
      <c r="H3065" s="594">
        <v>5</v>
      </c>
      <c r="I3065" s="594">
        <v>4</v>
      </c>
      <c r="J3065" s="594">
        <v>80</v>
      </c>
      <c r="K3065" s="590" t="s">
        <v>33</v>
      </c>
      <c r="L3065" s="595">
        <f t="shared" si="469"/>
        <v>4024417.5</v>
      </c>
      <c r="M3065" s="596">
        <f>G3065*3500</f>
        <v>3972500</v>
      </c>
      <c r="N3065" s="597"/>
      <c r="O3065" s="598">
        <f>M3065*0.3%</f>
        <v>11917.5</v>
      </c>
      <c r="P3065" s="597"/>
      <c r="Q3065" s="675">
        <v>40000</v>
      </c>
      <c r="R3065" s="599">
        <f>M3065/G3065</f>
        <v>3500</v>
      </c>
      <c r="S3065" s="594"/>
      <c r="T3065" s="600"/>
      <c r="U3065" s="709"/>
      <c r="V3065" s="601"/>
      <c r="W3065" s="601"/>
      <c r="X3065" s="601"/>
      <c r="Y3065" s="601"/>
      <c r="Z3065" s="601"/>
    </row>
    <row r="3066" spans="1:26" s="75" customFormat="1" hidden="1">
      <c r="A3066" s="709">
        <f t="shared" si="468"/>
        <v>174</v>
      </c>
      <c r="B3066" s="592" t="s">
        <v>2489</v>
      </c>
      <c r="C3066" s="593" t="s">
        <v>217</v>
      </c>
      <c r="D3066" s="594">
        <v>14450</v>
      </c>
      <c r="E3066" s="594">
        <v>2437</v>
      </c>
      <c r="F3066" s="594" t="s">
        <v>222</v>
      </c>
      <c r="G3066" s="594">
        <v>1140</v>
      </c>
      <c r="H3066" s="594">
        <v>5</v>
      </c>
      <c r="I3066" s="594">
        <v>4</v>
      </c>
      <c r="J3066" s="594">
        <v>80</v>
      </c>
      <c r="K3066" s="590" t="s">
        <v>33</v>
      </c>
      <c r="L3066" s="595">
        <f t="shared" si="469"/>
        <v>4041970</v>
      </c>
      <c r="M3066" s="596">
        <f>G3066*3500</f>
        <v>3990000</v>
      </c>
      <c r="N3066" s="597"/>
      <c r="O3066" s="598">
        <f>M3066*0.3%</f>
        <v>11970</v>
      </c>
      <c r="P3066" s="597"/>
      <c r="Q3066" s="675">
        <v>40000</v>
      </c>
      <c r="R3066" s="599">
        <f>M3066/G3066</f>
        <v>3500</v>
      </c>
      <c r="S3066" s="594"/>
      <c r="T3066" s="600"/>
      <c r="U3066" s="709"/>
      <c r="V3066" s="601"/>
      <c r="W3066" s="601"/>
      <c r="X3066" s="601"/>
      <c r="Y3066" s="601"/>
      <c r="Z3066" s="601"/>
    </row>
    <row r="3067" spans="1:26" s="75" customFormat="1" hidden="1">
      <c r="A3067" s="709">
        <f t="shared" si="468"/>
        <v>175</v>
      </c>
      <c r="B3067" s="592" t="s">
        <v>2490</v>
      </c>
      <c r="C3067" s="593" t="s">
        <v>217</v>
      </c>
      <c r="D3067" s="594">
        <v>14169</v>
      </c>
      <c r="E3067" s="594">
        <v>2406</v>
      </c>
      <c r="F3067" s="594" t="s">
        <v>222</v>
      </c>
      <c r="G3067" s="594">
        <v>1145</v>
      </c>
      <c r="H3067" s="594">
        <v>5</v>
      </c>
      <c r="I3067" s="594">
        <v>4</v>
      </c>
      <c r="J3067" s="594">
        <v>80</v>
      </c>
      <c r="K3067" s="590" t="s">
        <v>33</v>
      </c>
      <c r="L3067" s="595">
        <f t="shared" si="469"/>
        <v>4059522.5</v>
      </c>
      <c r="M3067" s="596">
        <f>G3067*3500</f>
        <v>4007500</v>
      </c>
      <c r="N3067" s="597"/>
      <c r="O3067" s="598">
        <f>M3067*0.3%</f>
        <v>12022.5</v>
      </c>
      <c r="P3067" s="597"/>
      <c r="Q3067" s="675">
        <v>40000</v>
      </c>
      <c r="R3067" s="599">
        <f>M3067/G3067</f>
        <v>3500</v>
      </c>
      <c r="S3067" s="594"/>
      <c r="T3067" s="600"/>
      <c r="U3067" s="709"/>
      <c r="V3067" s="601"/>
      <c r="W3067" s="601"/>
      <c r="X3067" s="601"/>
      <c r="Y3067" s="601"/>
      <c r="Z3067" s="601"/>
    </row>
    <row r="3068" spans="1:26" s="75" customFormat="1" hidden="1">
      <c r="A3068" s="709">
        <f t="shared" ref="A3068:A3128" si="471">A3067+1</f>
        <v>176</v>
      </c>
      <c r="B3068" s="592" t="s">
        <v>2491</v>
      </c>
      <c r="C3068" s="593" t="s">
        <v>217</v>
      </c>
      <c r="D3068" s="594">
        <v>18060</v>
      </c>
      <c r="E3068" s="594">
        <v>3510</v>
      </c>
      <c r="F3068" s="594" t="s">
        <v>233</v>
      </c>
      <c r="G3068" s="594">
        <v>1124.0999999999999</v>
      </c>
      <c r="H3068" s="594">
        <v>9</v>
      </c>
      <c r="I3068" s="594">
        <v>4</v>
      </c>
      <c r="J3068" s="594">
        <v>143</v>
      </c>
      <c r="K3068" s="590" t="s">
        <v>33</v>
      </c>
      <c r="L3068" s="595">
        <f>M3068+N3068+O3068+P3068+Q3068+Q3069+P3069+O3069+N3069+M3069</f>
        <v>10556441.83</v>
      </c>
      <c r="M3068" s="596">
        <f>G3068*2100</f>
        <v>2360610</v>
      </c>
      <c r="N3068" s="597"/>
      <c r="O3068" s="598">
        <f>M3068*0.3%</f>
        <v>7081.83</v>
      </c>
      <c r="P3068" s="597"/>
      <c r="Q3068" s="675">
        <v>40000</v>
      </c>
      <c r="R3068" s="599">
        <f>M3068/G3068</f>
        <v>2100</v>
      </c>
      <c r="S3068" s="594"/>
      <c r="T3068" s="600"/>
      <c r="U3068" s="709"/>
      <c r="V3068" s="601"/>
      <c r="W3068" s="601"/>
      <c r="X3068" s="601"/>
      <c r="Y3068" s="601"/>
      <c r="Z3068" s="601"/>
    </row>
    <row r="3069" spans="1:26" s="134" customFormat="1" ht="37.5" hidden="1">
      <c r="A3069" s="1037"/>
      <c r="B3069" s="994"/>
      <c r="C3069" s="718"/>
      <c r="D3069" s="719"/>
      <c r="E3069" s="719"/>
      <c r="F3069" s="719"/>
      <c r="G3069" s="719"/>
      <c r="H3069" s="719"/>
      <c r="I3069" s="719"/>
      <c r="J3069" s="719"/>
      <c r="K3069" s="720" t="s">
        <v>219</v>
      </c>
      <c r="L3069" s="1181"/>
      <c r="M3069" s="993">
        <v>8000000</v>
      </c>
      <c r="N3069" s="722">
        <v>148750</v>
      </c>
      <c r="O3069" s="963"/>
      <c r="P3069" s="722"/>
      <c r="Q3069" s="722"/>
      <c r="R3069" s="722">
        <f>M3069/I3068</f>
        <v>2000000</v>
      </c>
      <c r="S3069" s="1180"/>
      <c r="T3069" s="727"/>
      <c r="U3069" s="727"/>
      <c r="V3069" s="727"/>
      <c r="W3069" s="727"/>
      <c r="X3069" s="727"/>
      <c r="Y3069" s="727"/>
      <c r="Z3069" s="727"/>
    </row>
    <row r="3070" spans="1:26" s="75" customFormat="1" ht="37.5" hidden="1">
      <c r="A3070" s="709">
        <f>A3068+1</f>
        <v>177</v>
      </c>
      <c r="B3070" s="592" t="s">
        <v>2492</v>
      </c>
      <c r="C3070" s="593" t="s">
        <v>217</v>
      </c>
      <c r="D3070" s="594">
        <v>38359</v>
      </c>
      <c r="E3070" s="594">
        <v>2580</v>
      </c>
      <c r="F3070" s="594" t="s">
        <v>233</v>
      </c>
      <c r="G3070" s="594">
        <v>454.5</v>
      </c>
      <c r="H3070" s="594">
        <v>9</v>
      </c>
      <c r="I3070" s="594">
        <v>2</v>
      </c>
      <c r="J3070" s="594">
        <v>72</v>
      </c>
      <c r="K3070" s="590" t="s">
        <v>219</v>
      </c>
      <c r="L3070" s="595">
        <f t="shared" ref="L3070:L3098" si="472">M3070+N3070+O3070+P3070+Q3070</f>
        <v>4142250</v>
      </c>
      <c r="M3070" s="596">
        <v>4036000</v>
      </c>
      <c r="N3070" s="597">
        <v>106250</v>
      </c>
      <c r="O3070" s="598"/>
      <c r="P3070" s="597"/>
      <c r="Q3070" s="675"/>
      <c r="R3070" s="582">
        <f>M3070/I3070</f>
        <v>2018000</v>
      </c>
      <c r="S3070" s="594"/>
      <c r="T3070" s="600"/>
      <c r="U3070" s="709"/>
      <c r="V3070" s="601"/>
      <c r="W3070" s="601"/>
      <c r="X3070" s="601"/>
      <c r="Y3070" s="601"/>
      <c r="Z3070" s="601"/>
    </row>
    <row r="3071" spans="1:26" s="75" customFormat="1" hidden="1">
      <c r="A3071" s="709">
        <f t="shared" si="471"/>
        <v>178</v>
      </c>
      <c r="B3071" s="592" t="s">
        <v>2493</v>
      </c>
      <c r="C3071" s="593" t="s">
        <v>271</v>
      </c>
      <c r="D3071" s="594">
        <v>20568</v>
      </c>
      <c r="E3071" s="594">
        <v>4472.2</v>
      </c>
      <c r="F3071" s="594" t="s">
        <v>230</v>
      </c>
      <c r="G3071" s="594">
        <v>2167</v>
      </c>
      <c r="H3071" s="594">
        <v>4</v>
      </c>
      <c r="I3071" s="594">
        <v>6</v>
      </c>
      <c r="J3071" s="594">
        <v>55</v>
      </c>
      <c r="K3071" s="590" t="s">
        <v>33</v>
      </c>
      <c r="L3071" s="595">
        <f t="shared" si="472"/>
        <v>7647253.5</v>
      </c>
      <c r="M3071" s="596">
        <f>G3071*3500</f>
        <v>7584500</v>
      </c>
      <c r="N3071" s="597"/>
      <c r="O3071" s="598">
        <f>M3071*0.3%</f>
        <v>22753.5</v>
      </c>
      <c r="P3071" s="597"/>
      <c r="Q3071" s="675">
        <v>40000</v>
      </c>
      <c r="R3071" s="599">
        <f>M3071/G3071</f>
        <v>3500</v>
      </c>
      <c r="S3071" s="594"/>
      <c r="T3071" s="600"/>
      <c r="U3071" s="709"/>
      <c r="V3071" s="601"/>
      <c r="W3071" s="601"/>
      <c r="X3071" s="601"/>
      <c r="Y3071" s="601"/>
      <c r="Z3071" s="601"/>
    </row>
    <row r="3072" spans="1:26" s="75" customFormat="1" hidden="1">
      <c r="A3072" s="709">
        <f t="shared" si="471"/>
        <v>179</v>
      </c>
      <c r="B3072" s="592" t="s">
        <v>2494</v>
      </c>
      <c r="C3072" s="593" t="s">
        <v>271</v>
      </c>
      <c r="D3072" s="650">
        <v>12479</v>
      </c>
      <c r="E3072" s="594">
        <v>1200</v>
      </c>
      <c r="F3072" s="594" t="s">
        <v>222</v>
      </c>
      <c r="G3072" s="594">
        <v>964</v>
      </c>
      <c r="H3072" s="594">
        <v>4</v>
      </c>
      <c r="I3072" s="594">
        <v>3</v>
      </c>
      <c r="J3072" s="594">
        <v>29</v>
      </c>
      <c r="K3072" s="590" t="s">
        <v>224</v>
      </c>
      <c r="L3072" s="595">
        <f t="shared" si="472"/>
        <v>505930</v>
      </c>
      <c r="M3072" s="596">
        <f>J3072*16000</f>
        <v>464000</v>
      </c>
      <c r="N3072" s="597">
        <v>32000</v>
      </c>
      <c r="O3072" s="598"/>
      <c r="P3072" s="597"/>
      <c r="Q3072" s="675">
        <v>9930</v>
      </c>
      <c r="R3072" s="599">
        <f>M3072/J3072</f>
        <v>16000</v>
      </c>
      <c r="S3072" s="594"/>
      <c r="T3072" s="600"/>
      <c r="U3072" s="709"/>
      <c r="V3072" s="601"/>
      <c r="W3072" s="601"/>
      <c r="X3072" s="601"/>
      <c r="Y3072" s="601"/>
      <c r="Z3072" s="601"/>
    </row>
    <row r="3073" spans="1:26" s="75" customFormat="1" hidden="1">
      <c r="A3073" s="709">
        <f t="shared" si="471"/>
        <v>180</v>
      </c>
      <c r="B3073" s="592" t="s">
        <v>2495</v>
      </c>
      <c r="C3073" s="593" t="s">
        <v>344</v>
      </c>
      <c r="D3073" s="650">
        <v>2955</v>
      </c>
      <c r="E3073" s="594">
        <v>540</v>
      </c>
      <c r="F3073" s="594" t="s">
        <v>222</v>
      </c>
      <c r="G3073" s="594">
        <v>469</v>
      </c>
      <c r="H3073" s="594">
        <v>2</v>
      </c>
      <c r="I3073" s="594">
        <v>1</v>
      </c>
      <c r="J3073" s="594">
        <v>8</v>
      </c>
      <c r="K3073" s="590" t="s">
        <v>224</v>
      </c>
      <c r="L3073" s="595">
        <f t="shared" si="472"/>
        <v>179082</v>
      </c>
      <c r="M3073" s="596">
        <f>J3073*18000</f>
        <v>144000</v>
      </c>
      <c r="N3073" s="597">
        <v>32000</v>
      </c>
      <c r="O3073" s="598"/>
      <c r="P3073" s="597"/>
      <c r="Q3073" s="675">
        <v>3082</v>
      </c>
      <c r="R3073" s="599">
        <f>M3073/J3073</f>
        <v>18000</v>
      </c>
      <c r="S3073" s="594"/>
      <c r="T3073" s="600"/>
      <c r="U3073" s="709"/>
      <c r="V3073" s="601"/>
      <c r="W3073" s="601"/>
      <c r="X3073" s="601"/>
      <c r="Y3073" s="601"/>
      <c r="Z3073" s="601"/>
    </row>
    <row r="3074" spans="1:26" s="75" customFormat="1" hidden="1">
      <c r="A3074" s="709">
        <f t="shared" si="471"/>
        <v>181</v>
      </c>
      <c r="B3074" s="592" t="s">
        <v>2496</v>
      </c>
      <c r="C3074" s="593" t="s">
        <v>344</v>
      </c>
      <c r="D3074" s="650">
        <v>2955</v>
      </c>
      <c r="E3074" s="594">
        <v>540</v>
      </c>
      <c r="F3074" s="594" t="s">
        <v>222</v>
      </c>
      <c r="G3074" s="594">
        <v>469</v>
      </c>
      <c r="H3074" s="594">
        <v>2</v>
      </c>
      <c r="I3074" s="594">
        <v>1</v>
      </c>
      <c r="J3074" s="594">
        <v>8</v>
      </c>
      <c r="K3074" s="590" t="s">
        <v>224</v>
      </c>
      <c r="L3074" s="595">
        <f t="shared" si="472"/>
        <v>179082</v>
      </c>
      <c r="M3074" s="596">
        <f>J3074*18000</f>
        <v>144000</v>
      </c>
      <c r="N3074" s="597">
        <v>32000</v>
      </c>
      <c r="O3074" s="598"/>
      <c r="P3074" s="597"/>
      <c r="Q3074" s="675">
        <v>3082</v>
      </c>
      <c r="R3074" s="599">
        <f>M3074/J3074</f>
        <v>18000</v>
      </c>
      <c r="S3074" s="594"/>
      <c r="T3074" s="600"/>
      <c r="U3074" s="709"/>
      <c r="V3074" s="601"/>
      <c r="W3074" s="601"/>
      <c r="X3074" s="601"/>
      <c r="Y3074" s="601"/>
      <c r="Z3074" s="601"/>
    </row>
    <row r="3075" spans="1:26" s="75" customFormat="1" hidden="1">
      <c r="A3075" s="709">
        <f t="shared" si="471"/>
        <v>182</v>
      </c>
      <c r="B3075" s="592" t="s">
        <v>2497</v>
      </c>
      <c r="C3075" s="593" t="s">
        <v>271</v>
      </c>
      <c r="D3075" s="594">
        <v>13896</v>
      </c>
      <c r="E3075" s="594">
        <v>2263</v>
      </c>
      <c r="F3075" s="594" t="s">
        <v>233</v>
      </c>
      <c r="G3075" s="594">
        <v>960</v>
      </c>
      <c r="H3075" s="594">
        <v>5</v>
      </c>
      <c r="I3075" s="594">
        <v>4</v>
      </c>
      <c r="J3075" s="594">
        <v>56</v>
      </c>
      <c r="K3075" s="590" t="s">
        <v>33</v>
      </c>
      <c r="L3075" s="595">
        <f t="shared" si="472"/>
        <v>2065190</v>
      </c>
      <c r="M3075" s="596">
        <f>G3075*2100</f>
        <v>2016000</v>
      </c>
      <c r="N3075" s="597"/>
      <c r="O3075" s="598">
        <f>M3075*0.3%</f>
        <v>6048</v>
      </c>
      <c r="P3075" s="597"/>
      <c r="Q3075" s="675">
        <v>43142</v>
      </c>
      <c r="R3075" s="599">
        <f>M3075/G3075</f>
        <v>2100</v>
      </c>
      <c r="S3075" s="594"/>
      <c r="T3075" s="600"/>
      <c r="U3075" s="709"/>
      <c r="V3075" s="601"/>
      <c r="W3075" s="601"/>
      <c r="X3075" s="601"/>
      <c r="Y3075" s="601"/>
      <c r="Z3075" s="601"/>
    </row>
    <row r="3076" spans="1:26" s="75" customFormat="1" hidden="1">
      <c r="A3076" s="709">
        <f t="shared" si="471"/>
        <v>183</v>
      </c>
      <c r="B3076" s="592" t="s">
        <v>2498</v>
      </c>
      <c r="C3076" s="593" t="s">
        <v>217</v>
      </c>
      <c r="D3076" s="594">
        <v>12301</v>
      </c>
      <c r="E3076" s="594">
        <v>1700</v>
      </c>
      <c r="F3076" s="594" t="s">
        <v>222</v>
      </c>
      <c r="G3076" s="594">
        <v>959</v>
      </c>
      <c r="H3076" s="594">
        <v>5</v>
      </c>
      <c r="I3076" s="594">
        <v>4</v>
      </c>
      <c r="J3076" s="594">
        <v>80</v>
      </c>
      <c r="K3076" s="590" t="s">
        <v>33</v>
      </c>
      <c r="L3076" s="595">
        <f t="shared" si="472"/>
        <v>3406569.5</v>
      </c>
      <c r="M3076" s="596">
        <f>G3076*3500</f>
        <v>3356500</v>
      </c>
      <c r="N3076" s="597"/>
      <c r="O3076" s="598">
        <f>M3076*0.3%</f>
        <v>10069.5</v>
      </c>
      <c r="P3076" s="597"/>
      <c r="Q3076" s="675">
        <v>40000</v>
      </c>
      <c r="R3076" s="599">
        <f>M3076/G3076</f>
        <v>3500</v>
      </c>
      <c r="S3076" s="594"/>
      <c r="T3076" s="600"/>
      <c r="U3076" s="709"/>
      <c r="V3076" s="601"/>
      <c r="W3076" s="601"/>
      <c r="X3076" s="601"/>
      <c r="Y3076" s="601"/>
      <c r="Z3076" s="601"/>
    </row>
    <row r="3077" spans="1:26" s="75" customFormat="1" hidden="1">
      <c r="A3077" s="709">
        <f t="shared" si="471"/>
        <v>184</v>
      </c>
      <c r="B3077" s="592" t="s">
        <v>2499</v>
      </c>
      <c r="C3077" s="593" t="s">
        <v>271</v>
      </c>
      <c r="D3077" s="594">
        <v>14778</v>
      </c>
      <c r="E3077" s="594">
        <v>3867</v>
      </c>
      <c r="F3077" s="594" t="s">
        <v>222</v>
      </c>
      <c r="G3077" s="594">
        <v>1397.8</v>
      </c>
      <c r="H3077" s="594">
        <v>4</v>
      </c>
      <c r="I3077" s="594">
        <v>4</v>
      </c>
      <c r="J3077" s="594">
        <v>35</v>
      </c>
      <c r="K3077" s="590" t="s">
        <v>224</v>
      </c>
      <c r="L3077" s="595">
        <f t="shared" si="472"/>
        <v>598984</v>
      </c>
      <c r="M3077" s="596">
        <f>J3077*16000</f>
        <v>560000</v>
      </c>
      <c r="N3077" s="597">
        <v>27000</v>
      </c>
      <c r="O3077" s="598"/>
      <c r="P3077" s="597"/>
      <c r="Q3077" s="675">
        <v>11984</v>
      </c>
      <c r="R3077" s="599">
        <f>M3077/J3077</f>
        <v>16000</v>
      </c>
      <c r="S3077" s="594"/>
      <c r="T3077" s="600"/>
      <c r="U3077" s="709"/>
      <c r="V3077" s="601"/>
      <c r="W3077" s="601"/>
      <c r="X3077" s="601"/>
      <c r="Y3077" s="601"/>
      <c r="Z3077" s="601"/>
    </row>
    <row r="3078" spans="1:26" s="75" customFormat="1" hidden="1">
      <c r="A3078" s="709">
        <f t="shared" si="471"/>
        <v>185</v>
      </c>
      <c r="B3078" s="592" t="s">
        <v>2502</v>
      </c>
      <c r="C3078" s="593" t="s">
        <v>271</v>
      </c>
      <c r="D3078" s="594">
        <v>26457</v>
      </c>
      <c r="E3078" s="594">
        <v>3000</v>
      </c>
      <c r="F3078" s="594" t="s">
        <v>399</v>
      </c>
      <c r="G3078" s="594">
        <v>376</v>
      </c>
      <c r="H3078" s="594">
        <v>17</v>
      </c>
      <c r="I3078" s="594">
        <v>1</v>
      </c>
      <c r="J3078" s="594">
        <v>44</v>
      </c>
      <c r="K3078" s="590" t="s">
        <v>38</v>
      </c>
      <c r="L3078" s="595">
        <f t="shared" si="472"/>
        <v>7562500</v>
      </c>
      <c r="M3078" s="596">
        <f>E3078*2500</f>
        <v>7500000</v>
      </c>
      <c r="N3078" s="597"/>
      <c r="O3078" s="598">
        <f>M3078*0.3%</f>
        <v>22500</v>
      </c>
      <c r="P3078" s="597"/>
      <c r="Q3078" s="597">
        <v>40000</v>
      </c>
      <c r="R3078" s="599">
        <f>M3078/E3078</f>
        <v>2500</v>
      </c>
      <c r="S3078" s="594"/>
      <c r="T3078" s="600"/>
      <c r="U3078" s="709"/>
      <c r="V3078" s="601"/>
      <c r="W3078" s="601"/>
      <c r="X3078" s="601"/>
      <c r="Y3078" s="601"/>
      <c r="Z3078" s="601"/>
    </row>
    <row r="3079" spans="1:26" s="75" customFormat="1" hidden="1">
      <c r="A3079" s="709">
        <f t="shared" si="471"/>
        <v>186</v>
      </c>
      <c r="B3079" s="592" t="s">
        <v>2503</v>
      </c>
      <c r="C3079" s="593" t="s">
        <v>271</v>
      </c>
      <c r="D3079" s="594">
        <v>43736</v>
      </c>
      <c r="E3079" s="594">
        <v>5686</v>
      </c>
      <c r="F3079" s="594" t="s">
        <v>230</v>
      </c>
      <c r="G3079" s="594">
        <v>1887</v>
      </c>
      <c r="H3079" s="594">
        <v>10</v>
      </c>
      <c r="I3079" s="594">
        <v>2</v>
      </c>
      <c r="J3079" s="594">
        <v>55</v>
      </c>
      <c r="K3079" s="590" t="s">
        <v>33</v>
      </c>
      <c r="L3079" s="595">
        <f t="shared" si="472"/>
        <v>4014588.1</v>
      </c>
      <c r="M3079" s="596">
        <f>G3079*2100</f>
        <v>3962700</v>
      </c>
      <c r="N3079" s="597"/>
      <c r="O3079" s="598">
        <f>M3079*0.3%</f>
        <v>11888.1</v>
      </c>
      <c r="P3079" s="597"/>
      <c r="Q3079" s="597">
        <v>40000</v>
      </c>
      <c r="R3079" s="599">
        <f>M3079/G3079</f>
        <v>2100</v>
      </c>
      <c r="S3079" s="594"/>
      <c r="T3079" s="600"/>
      <c r="U3079" s="709"/>
      <c r="V3079" s="601"/>
      <c r="W3079" s="601"/>
      <c r="X3079" s="601"/>
      <c r="Y3079" s="601"/>
      <c r="Z3079" s="601"/>
    </row>
    <row r="3080" spans="1:26" s="75" customFormat="1" hidden="1">
      <c r="A3080" s="709">
        <f t="shared" si="471"/>
        <v>187</v>
      </c>
      <c r="B3080" s="592" t="s">
        <v>2504</v>
      </c>
      <c r="C3080" s="593" t="s">
        <v>271</v>
      </c>
      <c r="D3080" s="594">
        <v>18439</v>
      </c>
      <c r="E3080" s="594">
        <v>3090</v>
      </c>
      <c r="F3080" s="594" t="s">
        <v>233</v>
      </c>
      <c r="G3080" s="594">
        <v>1110.8</v>
      </c>
      <c r="H3080" s="594">
        <v>5</v>
      </c>
      <c r="I3080" s="594">
        <v>5</v>
      </c>
      <c r="J3080" s="594">
        <v>70</v>
      </c>
      <c r="K3080" s="590" t="s">
        <v>224</v>
      </c>
      <c r="L3080" s="595">
        <f t="shared" si="472"/>
        <v>1178968</v>
      </c>
      <c r="M3080" s="596">
        <f>J3080*16000</f>
        <v>1120000</v>
      </c>
      <c r="N3080" s="597">
        <v>35000</v>
      </c>
      <c r="O3080" s="598"/>
      <c r="P3080" s="597"/>
      <c r="Q3080" s="597">
        <v>23968</v>
      </c>
      <c r="R3080" s="599">
        <f t="shared" ref="R3080:R3086" si="473">M3080/J3080</f>
        <v>16000</v>
      </c>
      <c r="S3080" s="594"/>
      <c r="T3080" s="600"/>
      <c r="U3080" s="709"/>
      <c r="V3080" s="601"/>
      <c r="W3080" s="601"/>
      <c r="X3080" s="601"/>
      <c r="Y3080" s="601"/>
      <c r="Z3080" s="601"/>
    </row>
    <row r="3081" spans="1:26" s="75" customFormat="1" ht="37.5" hidden="1">
      <c r="A3081" s="709">
        <f t="shared" si="471"/>
        <v>188</v>
      </c>
      <c r="B3081" s="592" t="s">
        <v>2505</v>
      </c>
      <c r="C3081" s="593" t="s">
        <v>217</v>
      </c>
      <c r="D3081" s="594">
        <v>36164</v>
      </c>
      <c r="E3081" s="594">
        <v>4900</v>
      </c>
      <c r="F3081" s="594" t="s">
        <v>233</v>
      </c>
      <c r="G3081" s="594">
        <v>1597</v>
      </c>
      <c r="H3081" s="594">
        <v>9</v>
      </c>
      <c r="I3081" s="594">
        <v>4</v>
      </c>
      <c r="J3081" s="594">
        <v>144</v>
      </c>
      <c r="K3081" s="590" t="s">
        <v>30</v>
      </c>
      <c r="L3081" s="595">
        <f t="shared" si="472"/>
        <v>4661824</v>
      </c>
      <c r="M3081" s="596">
        <f>J3081*32000</f>
        <v>4608000</v>
      </c>
      <c r="N3081" s="597"/>
      <c r="O3081" s="598">
        <f t="shared" ref="O3081:O3088" si="474">M3081*0.3%</f>
        <v>13824</v>
      </c>
      <c r="P3081" s="597"/>
      <c r="Q3081" s="597">
        <v>40000</v>
      </c>
      <c r="R3081" s="599">
        <f t="shared" si="473"/>
        <v>32000</v>
      </c>
      <c r="S3081" s="594"/>
      <c r="T3081" s="600"/>
      <c r="U3081" s="709"/>
      <c r="V3081" s="601"/>
      <c r="W3081" s="601"/>
      <c r="X3081" s="601"/>
      <c r="Y3081" s="601"/>
      <c r="Z3081" s="601"/>
    </row>
    <row r="3082" spans="1:26" s="75" customFormat="1" ht="37.5" hidden="1">
      <c r="A3082" s="709">
        <f t="shared" si="471"/>
        <v>189</v>
      </c>
      <c r="B3082" s="592" t="s">
        <v>2506</v>
      </c>
      <c r="C3082" s="593" t="s">
        <v>217</v>
      </c>
      <c r="D3082" s="650">
        <v>4856</v>
      </c>
      <c r="E3082" s="594">
        <v>1284</v>
      </c>
      <c r="F3082" s="594" t="s">
        <v>230</v>
      </c>
      <c r="G3082" s="594">
        <v>447.7</v>
      </c>
      <c r="H3082" s="594">
        <v>5</v>
      </c>
      <c r="I3082" s="594">
        <v>2</v>
      </c>
      <c r="J3082" s="594">
        <v>30</v>
      </c>
      <c r="K3082" s="590" t="s">
        <v>30</v>
      </c>
      <c r="L3082" s="595">
        <f t="shared" si="472"/>
        <v>792250</v>
      </c>
      <c r="M3082" s="596">
        <f>J3082*25000</f>
        <v>750000</v>
      </c>
      <c r="N3082" s="597"/>
      <c r="O3082" s="598">
        <f t="shared" si="474"/>
        <v>2250</v>
      </c>
      <c r="P3082" s="597"/>
      <c r="Q3082" s="597">
        <v>40000</v>
      </c>
      <c r="R3082" s="599">
        <f t="shared" si="473"/>
        <v>25000</v>
      </c>
      <c r="S3082" s="594"/>
      <c r="T3082" s="600"/>
      <c r="U3082" s="709"/>
      <c r="V3082" s="601"/>
      <c r="W3082" s="601"/>
      <c r="X3082" s="601"/>
      <c r="Y3082" s="601"/>
      <c r="Z3082" s="601"/>
    </row>
    <row r="3083" spans="1:26" s="75" customFormat="1" ht="37.5" hidden="1">
      <c r="A3083" s="709">
        <f t="shared" si="471"/>
        <v>190</v>
      </c>
      <c r="B3083" s="592" t="s">
        <v>2507</v>
      </c>
      <c r="C3083" s="593" t="s">
        <v>396</v>
      </c>
      <c r="D3083" s="594">
        <v>4105</v>
      </c>
      <c r="E3083" s="594">
        <v>870</v>
      </c>
      <c r="F3083" s="594" t="s">
        <v>222</v>
      </c>
      <c r="G3083" s="594">
        <v>772</v>
      </c>
      <c r="H3083" s="594">
        <v>2</v>
      </c>
      <c r="I3083" s="594">
        <v>2</v>
      </c>
      <c r="J3083" s="594">
        <v>12</v>
      </c>
      <c r="K3083" s="590" t="s">
        <v>237</v>
      </c>
      <c r="L3083" s="595">
        <f t="shared" si="472"/>
        <v>340900</v>
      </c>
      <c r="M3083" s="596">
        <f>J3083*25000</f>
        <v>300000</v>
      </c>
      <c r="N3083" s="597"/>
      <c r="O3083" s="598">
        <f t="shared" si="474"/>
        <v>900</v>
      </c>
      <c r="P3083" s="597"/>
      <c r="Q3083" s="597">
        <v>40000</v>
      </c>
      <c r="R3083" s="599">
        <f t="shared" si="473"/>
        <v>25000</v>
      </c>
      <c r="S3083" s="594"/>
      <c r="T3083" s="600"/>
      <c r="U3083" s="709"/>
      <c r="V3083" s="601"/>
      <c r="W3083" s="601"/>
      <c r="X3083" s="601"/>
      <c r="Y3083" s="601"/>
      <c r="Z3083" s="601"/>
    </row>
    <row r="3084" spans="1:26" s="75" customFormat="1" ht="37.5" hidden="1">
      <c r="A3084" s="709">
        <f t="shared" si="471"/>
        <v>191</v>
      </c>
      <c r="B3084" s="592" t="s">
        <v>2508</v>
      </c>
      <c r="C3084" s="593" t="s">
        <v>396</v>
      </c>
      <c r="D3084" s="594">
        <v>3851</v>
      </c>
      <c r="E3084" s="594">
        <v>860</v>
      </c>
      <c r="F3084" s="594" t="s">
        <v>222</v>
      </c>
      <c r="G3084" s="594">
        <v>789</v>
      </c>
      <c r="H3084" s="594">
        <v>2</v>
      </c>
      <c r="I3084" s="594">
        <v>2</v>
      </c>
      <c r="J3084" s="594">
        <v>12</v>
      </c>
      <c r="K3084" s="590" t="s">
        <v>237</v>
      </c>
      <c r="L3084" s="595">
        <f t="shared" si="472"/>
        <v>340900</v>
      </c>
      <c r="M3084" s="596">
        <f>J3084*25000</f>
        <v>300000</v>
      </c>
      <c r="N3084" s="597"/>
      <c r="O3084" s="598">
        <f t="shared" si="474"/>
        <v>900</v>
      </c>
      <c r="P3084" s="597"/>
      <c r="Q3084" s="597">
        <v>40000</v>
      </c>
      <c r="R3084" s="599">
        <f t="shared" si="473"/>
        <v>25000</v>
      </c>
      <c r="S3084" s="594"/>
      <c r="T3084" s="600"/>
      <c r="U3084" s="709"/>
      <c r="V3084" s="601"/>
      <c r="W3084" s="601"/>
      <c r="X3084" s="601"/>
      <c r="Y3084" s="601"/>
      <c r="Z3084" s="601"/>
    </row>
    <row r="3085" spans="1:26" s="75" customFormat="1" ht="37.5" hidden="1">
      <c r="A3085" s="709">
        <f t="shared" si="471"/>
        <v>192</v>
      </c>
      <c r="B3085" s="592" t="s">
        <v>2509</v>
      </c>
      <c r="C3085" s="593" t="s">
        <v>292</v>
      </c>
      <c r="D3085" s="594">
        <v>2512</v>
      </c>
      <c r="E3085" s="594">
        <v>498</v>
      </c>
      <c r="F3085" s="594" t="s">
        <v>222</v>
      </c>
      <c r="G3085" s="594">
        <v>491</v>
      </c>
      <c r="H3085" s="594">
        <v>2</v>
      </c>
      <c r="I3085" s="594">
        <v>2</v>
      </c>
      <c r="J3085" s="594">
        <v>16</v>
      </c>
      <c r="K3085" s="590" t="s">
        <v>404</v>
      </c>
      <c r="L3085" s="595">
        <f t="shared" si="472"/>
        <v>441200</v>
      </c>
      <c r="M3085" s="596">
        <v>400000</v>
      </c>
      <c r="N3085" s="597"/>
      <c r="O3085" s="598">
        <f t="shared" si="474"/>
        <v>1200</v>
      </c>
      <c r="P3085" s="597"/>
      <c r="Q3085" s="597">
        <v>40000</v>
      </c>
      <c r="R3085" s="599">
        <f t="shared" si="473"/>
        <v>25000</v>
      </c>
      <c r="S3085" s="594"/>
      <c r="T3085" s="600"/>
      <c r="U3085" s="709"/>
      <c r="V3085" s="601"/>
      <c r="W3085" s="601"/>
      <c r="X3085" s="601"/>
      <c r="Y3085" s="601"/>
      <c r="Z3085" s="601"/>
    </row>
    <row r="3086" spans="1:26" s="75" customFormat="1" ht="37.5" hidden="1">
      <c r="A3086" s="709">
        <f t="shared" si="471"/>
        <v>193</v>
      </c>
      <c r="B3086" s="592" t="s">
        <v>2510</v>
      </c>
      <c r="C3086" s="593" t="s">
        <v>292</v>
      </c>
      <c r="D3086" s="594">
        <v>2368</v>
      </c>
      <c r="E3086" s="594">
        <v>498</v>
      </c>
      <c r="F3086" s="594" t="s">
        <v>222</v>
      </c>
      <c r="G3086" s="594">
        <v>487</v>
      </c>
      <c r="H3086" s="594">
        <v>2</v>
      </c>
      <c r="I3086" s="594">
        <v>2</v>
      </c>
      <c r="J3086" s="594">
        <v>16</v>
      </c>
      <c r="K3086" s="590" t="s">
        <v>404</v>
      </c>
      <c r="L3086" s="595">
        <f t="shared" si="472"/>
        <v>441200</v>
      </c>
      <c r="M3086" s="596">
        <v>400000</v>
      </c>
      <c r="N3086" s="597"/>
      <c r="O3086" s="598">
        <f t="shared" si="474"/>
        <v>1200</v>
      </c>
      <c r="P3086" s="597"/>
      <c r="Q3086" s="597">
        <v>40000</v>
      </c>
      <c r="R3086" s="599">
        <f t="shared" si="473"/>
        <v>25000</v>
      </c>
      <c r="S3086" s="594"/>
      <c r="T3086" s="600"/>
      <c r="U3086" s="709"/>
      <c r="V3086" s="601"/>
      <c r="W3086" s="601"/>
      <c r="X3086" s="601"/>
      <c r="Y3086" s="601"/>
      <c r="Z3086" s="601"/>
    </row>
    <row r="3087" spans="1:26" s="75" customFormat="1" hidden="1">
      <c r="A3087" s="709">
        <f t="shared" si="471"/>
        <v>194</v>
      </c>
      <c r="B3087" s="592" t="s">
        <v>2511</v>
      </c>
      <c r="C3087" s="593" t="s">
        <v>217</v>
      </c>
      <c r="D3087" s="594">
        <v>18271</v>
      </c>
      <c r="E3087" s="594">
        <v>3360</v>
      </c>
      <c r="F3087" s="594" t="s">
        <v>222</v>
      </c>
      <c r="G3087" s="594">
        <v>1672</v>
      </c>
      <c r="H3087" s="594">
        <v>5</v>
      </c>
      <c r="I3087" s="594">
        <v>6</v>
      </c>
      <c r="J3087" s="594">
        <v>120</v>
      </c>
      <c r="K3087" s="590" t="s">
        <v>33</v>
      </c>
      <c r="L3087" s="595">
        <f t="shared" si="472"/>
        <v>5909556</v>
      </c>
      <c r="M3087" s="596">
        <f>G3087*3500</f>
        <v>5852000</v>
      </c>
      <c r="N3087" s="597"/>
      <c r="O3087" s="598">
        <f t="shared" si="474"/>
        <v>17556</v>
      </c>
      <c r="P3087" s="597"/>
      <c r="Q3087" s="597">
        <v>40000</v>
      </c>
      <c r="R3087" s="599">
        <f>M3087/G3087</f>
        <v>3500</v>
      </c>
      <c r="S3087" s="594"/>
      <c r="T3087" s="600"/>
      <c r="U3087" s="709"/>
      <c r="V3087" s="601"/>
      <c r="W3087" s="601"/>
      <c r="X3087" s="601"/>
      <c r="Y3087" s="601"/>
      <c r="Z3087" s="601"/>
    </row>
    <row r="3088" spans="1:26" s="75" customFormat="1" hidden="1">
      <c r="A3088" s="709">
        <f t="shared" si="471"/>
        <v>195</v>
      </c>
      <c r="B3088" s="592" t="s">
        <v>2512</v>
      </c>
      <c r="C3088" s="593" t="s">
        <v>271</v>
      </c>
      <c r="D3088" s="594">
        <v>12223</v>
      </c>
      <c r="E3088" s="594">
        <v>2741.7000000000003</v>
      </c>
      <c r="F3088" s="594" t="s">
        <v>222</v>
      </c>
      <c r="G3088" s="594">
        <v>1160</v>
      </c>
      <c r="H3088" s="594">
        <v>5</v>
      </c>
      <c r="I3088" s="594">
        <v>4</v>
      </c>
      <c r="J3088" s="594">
        <v>78</v>
      </c>
      <c r="K3088" s="590" t="s">
        <v>33</v>
      </c>
      <c r="L3088" s="595">
        <f t="shared" si="472"/>
        <v>4112180</v>
      </c>
      <c r="M3088" s="596">
        <f>G3088*3500</f>
        <v>4060000</v>
      </c>
      <c r="N3088" s="597"/>
      <c r="O3088" s="598">
        <f t="shared" si="474"/>
        <v>12180</v>
      </c>
      <c r="P3088" s="597"/>
      <c r="Q3088" s="597">
        <v>40000</v>
      </c>
      <c r="R3088" s="599">
        <f>M3088/G3088</f>
        <v>3500</v>
      </c>
      <c r="S3088" s="594"/>
      <c r="T3088" s="600"/>
      <c r="U3088" s="709"/>
      <c r="V3088" s="601"/>
      <c r="W3088" s="601"/>
      <c r="X3088" s="601"/>
      <c r="Y3088" s="601"/>
      <c r="Z3088" s="601"/>
    </row>
    <row r="3089" spans="1:26" s="75" customFormat="1" hidden="1">
      <c r="A3089" s="709">
        <f t="shared" si="471"/>
        <v>196</v>
      </c>
      <c r="B3089" s="592" t="s">
        <v>2513</v>
      </c>
      <c r="C3089" s="593" t="s">
        <v>271</v>
      </c>
      <c r="D3089" s="650">
        <v>2344</v>
      </c>
      <c r="E3089" s="594">
        <v>560</v>
      </c>
      <c r="F3089" s="594" t="s">
        <v>222</v>
      </c>
      <c r="G3089" s="594">
        <v>464</v>
      </c>
      <c r="H3089" s="594">
        <v>2</v>
      </c>
      <c r="I3089" s="594">
        <v>1</v>
      </c>
      <c r="J3089" s="594">
        <v>10</v>
      </c>
      <c r="K3089" s="590" t="s">
        <v>224</v>
      </c>
      <c r="L3089" s="595">
        <f t="shared" si="472"/>
        <v>215852</v>
      </c>
      <c r="M3089" s="596">
        <f>J3089*18000</f>
        <v>180000</v>
      </c>
      <c r="N3089" s="597">
        <v>32000</v>
      </c>
      <c r="O3089" s="598"/>
      <c r="P3089" s="597"/>
      <c r="Q3089" s="597">
        <v>3852</v>
      </c>
      <c r="R3089" s="599">
        <f>M3089/J3089</f>
        <v>18000</v>
      </c>
      <c r="S3089" s="594"/>
      <c r="T3089" s="600"/>
      <c r="U3089" s="709"/>
      <c r="V3089" s="601"/>
      <c r="W3089" s="601"/>
      <c r="X3089" s="601"/>
      <c r="Y3089" s="601"/>
      <c r="Z3089" s="601"/>
    </row>
    <row r="3090" spans="1:26" s="75" customFormat="1" hidden="1">
      <c r="A3090" s="709">
        <f t="shared" si="471"/>
        <v>197</v>
      </c>
      <c r="B3090" s="592" t="s">
        <v>2514</v>
      </c>
      <c r="C3090" s="593" t="s">
        <v>271</v>
      </c>
      <c r="D3090" s="650">
        <v>6011</v>
      </c>
      <c r="E3090" s="594">
        <v>796</v>
      </c>
      <c r="F3090" s="594" t="s">
        <v>222</v>
      </c>
      <c r="G3090" s="594">
        <v>685</v>
      </c>
      <c r="H3090" s="594">
        <v>2</v>
      </c>
      <c r="I3090" s="594">
        <v>3</v>
      </c>
      <c r="J3090" s="594">
        <v>14</v>
      </c>
      <c r="K3090" s="590" t="s">
        <v>224</v>
      </c>
      <c r="L3090" s="595">
        <f t="shared" si="472"/>
        <v>289393</v>
      </c>
      <c r="M3090" s="596">
        <f>J3090*18000</f>
        <v>252000</v>
      </c>
      <c r="N3090" s="597">
        <v>32000</v>
      </c>
      <c r="O3090" s="598"/>
      <c r="P3090" s="597"/>
      <c r="Q3090" s="597">
        <v>5393</v>
      </c>
      <c r="R3090" s="599">
        <f>M3090/J3090</f>
        <v>18000</v>
      </c>
      <c r="S3090" s="594"/>
      <c r="T3090" s="600"/>
      <c r="U3090" s="709"/>
      <c r="V3090" s="601"/>
      <c r="W3090" s="601"/>
      <c r="X3090" s="601"/>
      <c r="Y3090" s="601"/>
      <c r="Z3090" s="601"/>
    </row>
    <row r="3091" spans="1:26" s="75" customFormat="1" hidden="1">
      <c r="A3091" s="709">
        <f t="shared" si="471"/>
        <v>198</v>
      </c>
      <c r="B3091" s="592" t="s">
        <v>2515</v>
      </c>
      <c r="C3091" s="593" t="s">
        <v>271</v>
      </c>
      <c r="D3091" s="650">
        <v>2422</v>
      </c>
      <c r="E3091" s="594">
        <v>520</v>
      </c>
      <c r="F3091" s="594" t="s">
        <v>222</v>
      </c>
      <c r="G3091" s="594">
        <v>498</v>
      </c>
      <c r="H3091" s="594">
        <v>2</v>
      </c>
      <c r="I3091" s="594">
        <v>1</v>
      </c>
      <c r="J3091" s="594">
        <v>8</v>
      </c>
      <c r="K3091" s="590" t="s">
        <v>224</v>
      </c>
      <c r="L3091" s="595">
        <f t="shared" si="472"/>
        <v>179082</v>
      </c>
      <c r="M3091" s="596">
        <f>J3091*18000</f>
        <v>144000</v>
      </c>
      <c r="N3091" s="597">
        <v>32000</v>
      </c>
      <c r="O3091" s="598"/>
      <c r="P3091" s="597"/>
      <c r="Q3091" s="597">
        <v>3082</v>
      </c>
      <c r="R3091" s="599">
        <f>M3091/J3091</f>
        <v>18000</v>
      </c>
      <c r="S3091" s="594"/>
      <c r="T3091" s="600"/>
      <c r="U3091" s="709"/>
      <c r="V3091" s="601"/>
      <c r="W3091" s="601"/>
      <c r="X3091" s="601"/>
      <c r="Y3091" s="601"/>
      <c r="Z3091" s="601"/>
    </row>
    <row r="3092" spans="1:26" s="75" customFormat="1" ht="37.5" hidden="1">
      <c r="A3092" s="709">
        <f t="shared" si="471"/>
        <v>199</v>
      </c>
      <c r="B3092" s="592" t="s">
        <v>2516</v>
      </c>
      <c r="C3092" s="593" t="s">
        <v>271</v>
      </c>
      <c r="D3092" s="594">
        <v>19731</v>
      </c>
      <c r="E3092" s="594">
        <v>3502</v>
      </c>
      <c r="F3092" s="594" t="s">
        <v>233</v>
      </c>
      <c r="G3092" s="594">
        <v>510</v>
      </c>
      <c r="H3092" s="594">
        <v>12</v>
      </c>
      <c r="I3092" s="594">
        <v>1</v>
      </c>
      <c r="J3092" s="594">
        <v>68</v>
      </c>
      <c r="K3092" s="590" t="s">
        <v>366</v>
      </c>
      <c r="L3092" s="595">
        <f t="shared" si="472"/>
        <v>4106250</v>
      </c>
      <c r="M3092" s="596">
        <v>4000000</v>
      </c>
      <c r="N3092" s="597">
        <v>106250</v>
      </c>
      <c r="O3092" s="598"/>
      <c r="P3092" s="597"/>
      <c r="Q3092" s="597"/>
      <c r="R3092" s="599">
        <v>2200000</v>
      </c>
      <c r="S3092" s="594"/>
      <c r="T3092" s="600"/>
      <c r="U3092" s="709"/>
      <c r="V3092" s="601"/>
      <c r="W3092" s="601"/>
      <c r="X3092" s="601"/>
      <c r="Y3092" s="601"/>
      <c r="Z3092" s="601"/>
    </row>
    <row r="3093" spans="1:26" s="75" customFormat="1" hidden="1">
      <c r="A3093" s="709">
        <f t="shared" si="471"/>
        <v>200</v>
      </c>
      <c r="B3093" s="592" t="s">
        <v>2517</v>
      </c>
      <c r="C3093" s="593" t="s">
        <v>292</v>
      </c>
      <c r="D3093" s="594">
        <v>2994</v>
      </c>
      <c r="E3093" s="594">
        <v>607.9</v>
      </c>
      <c r="F3093" s="594" t="s">
        <v>251</v>
      </c>
      <c r="G3093" s="594">
        <v>662</v>
      </c>
      <c r="H3093" s="594">
        <v>2</v>
      </c>
      <c r="I3093" s="594">
        <v>2</v>
      </c>
      <c r="J3093" s="594">
        <v>16</v>
      </c>
      <c r="K3093" s="590" t="s">
        <v>224</v>
      </c>
      <c r="L3093" s="595">
        <f t="shared" si="472"/>
        <v>319163</v>
      </c>
      <c r="M3093" s="596">
        <f>J3093*18000</f>
        <v>288000</v>
      </c>
      <c r="N3093" s="597">
        <v>25000</v>
      </c>
      <c r="O3093" s="598"/>
      <c r="P3093" s="597"/>
      <c r="Q3093" s="597">
        <v>6163</v>
      </c>
      <c r="R3093" s="599">
        <f>M3093/J3093</f>
        <v>18000</v>
      </c>
      <c r="S3093" s="594"/>
      <c r="T3093" s="600"/>
      <c r="U3093" s="709"/>
      <c r="V3093" s="601"/>
      <c r="W3093" s="601"/>
      <c r="X3093" s="601"/>
      <c r="Y3093" s="601"/>
      <c r="Z3093" s="601"/>
    </row>
    <row r="3094" spans="1:26" s="75" customFormat="1" ht="37.5" hidden="1">
      <c r="A3094" s="709">
        <f t="shared" si="471"/>
        <v>201</v>
      </c>
      <c r="B3094" s="592" t="s">
        <v>2518</v>
      </c>
      <c r="C3094" s="593" t="s">
        <v>292</v>
      </c>
      <c r="D3094" s="594">
        <v>2414</v>
      </c>
      <c r="E3094" s="594">
        <v>498</v>
      </c>
      <c r="F3094" s="594" t="s">
        <v>222</v>
      </c>
      <c r="G3094" s="594">
        <v>491</v>
      </c>
      <c r="H3094" s="594">
        <v>2</v>
      </c>
      <c r="I3094" s="594">
        <v>2</v>
      </c>
      <c r="J3094" s="594">
        <v>16</v>
      </c>
      <c r="K3094" s="590" t="s">
        <v>404</v>
      </c>
      <c r="L3094" s="595">
        <f t="shared" si="472"/>
        <v>441200</v>
      </c>
      <c r="M3094" s="596">
        <v>400000</v>
      </c>
      <c r="N3094" s="597"/>
      <c r="O3094" s="598">
        <f>M3094*0.3%</f>
        <v>1200</v>
      </c>
      <c r="P3094" s="597"/>
      <c r="Q3094" s="597">
        <v>40000</v>
      </c>
      <c r="R3094" s="599">
        <f>M3094/J3094</f>
        <v>25000</v>
      </c>
      <c r="S3094" s="594"/>
      <c r="T3094" s="600"/>
      <c r="U3094" s="709"/>
      <c r="V3094" s="601"/>
      <c r="W3094" s="601"/>
      <c r="X3094" s="601"/>
      <c r="Y3094" s="601"/>
      <c r="Z3094" s="601"/>
    </row>
    <row r="3095" spans="1:26" s="75" customFormat="1" ht="37.5" hidden="1">
      <c r="A3095" s="709">
        <f t="shared" si="471"/>
        <v>202</v>
      </c>
      <c r="B3095" s="592" t="s">
        <v>2519</v>
      </c>
      <c r="C3095" s="593" t="s">
        <v>292</v>
      </c>
      <c r="D3095" s="594">
        <v>2486</v>
      </c>
      <c r="E3095" s="594">
        <v>563</v>
      </c>
      <c r="F3095" s="594" t="s">
        <v>222</v>
      </c>
      <c r="G3095" s="594">
        <v>432</v>
      </c>
      <c r="H3095" s="594">
        <v>2</v>
      </c>
      <c r="I3095" s="594">
        <v>2</v>
      </c>
      <c r="J3095" s="594">
        <v>16</v>
      </c>
      <c r="K3095" s="590" t="s">
        <v>404</v>
      </c>
      <c r="L3095" s="595">
        <f t="shared" si="472"/>
        <v>441200</v>
      </c>
      <c r="M3095" s="596">
        <v>400000</v>
      </c>
      <c r="N3095" s="597"/>
      <c r="O3095" s="598">
        <f>M3095*0.3%</f>
        <v>1200</v>
      </c>
      <c r="P3095" s="597"/>
      <c r="Q3095" s="597">
        <v>40000</v>
      </c>
      <c r="R3095" s="599">
        <f>M3095/J3095</f>
        <v>25000</v>
      </c>
      <c r="S3095" s="594"/>
      <c r="T3095" s="600"/>
      <c r="U3095" s="709"/>
      <c r="V3095" s="601"/>
      <c r="W3095" s="601"/>
      <c r="X3095" s="601"/>
      <c r="Y3095" s="601"/>
      <c r="Z3095" s="601"/>
    </row>
    <row r="3096" spans="1:26" s="75" customFormat="1" hidden="1">
      <c r="A3096" s="709">
        <f t="shared" si="471"/>
        <v>203</v>
      </c>
      <c r="B3096" s="592" t="s">
        <v>2520</v>
      </c>
      <c r="C3096" s="593" t="s">
        <v>271</v>
      </c>
      <c r="D3096" s="650">
        <v>3004</v>
      </c>
      <c r="E3096" s="594">
        <v>580</v>
      </c>
      <c r="F3096" s="594" t="s">
        <v>222</v>
      </c>
      <c r="G3096" s="594">
        <v>532</v>
      </c>
      <c r="H3096" s="594">
        <v>2</v>
      </c>
      <c r="I3096" s="594">
        <v>2</v>
      </c>
      <c r="J3096" s="594">
        <v>12</v>
      </c>
      <c r="K3096" s="590" t="s">
        <v>224</v>
      </c>
      <c r="L3096" s="595">
        <f t="shared" si="472"/>
        <v>252622</v>
      </c>
      <c r="M3096" s="596">
        <f>J3096*18000</f>
        <v>216000</v>
      </c>
      <c r="N3096" s="597">
        <v>32000</v>
      </c>
      <c r="O3096" s="598"/>
      <c r="P3096" s="597"/>
      <c r="Q3096" s="597">
        <v>4622</v>
      </c>
      <c r="R3096" s="599">
        <f>M3096/J3096</f>
        <v>18000</v>
      </c>
      <c r="S3096" s="594"/>
      <c r="T3096" s="600"/>
      <c r="U3096" s="709"/>
      <c r="V3096" s="601"/>
      <c r="W3096" s="601"/>
      <c r="X3096" s="601"/>
      <c r="Y3096" s="601"/>
      <c r="Z3096" s="601"/>
    </row>
    <row r="3097" spans="1:26" s="75" customFormat="1" hidden="1">
      <c r="A3097" s="709">
        <f t="shared" si="471"/>
        <v>204</v>
      </c>
      <c r="B3097" s="592" t="s">
        <v>2521</v>
      </c>
      <c r="C3097" s="593" t="s">
        <v>271</v>
      </c>
      <c r="D3097" s="594">
        <v>69800</v>
      </c>
      <c r="E3097" s="594">
        <v>4925</v>
      </c>
      <c r="F3097" s="594" t="s">
        <v>233</v>
      </c>
      <c r="G3097" s="594">
        <v>1302</v>
      </c>
      <c r="H3097" s="594">
        <v>14</v>
      </c>
      <c r="I3097" s="594">
        <v>1</v>
      </c>
      <c r="J3097" s="594">
        <v>75</v>
      </c>
      <c r="K3097" s="590" t="s">
        <v>33</v>
      </c>
      <c r="L3097" s="595">
        <f t="shared" si="472"/>
        <v>2782402.6</v>
      </c>
      <c r="M3097" s="596">
        <f>G3097*2100</f>
        <v>2734200</v>
      </c>
      <c r="N3097" s="597"/>
      <c r="O3097" s="598">
        <f>M3097*0.3%</f>
        <v>8202.6</v>
      </c>
      <c r="P3097" s="597"/>
      <c r="Q3097" s="597">
        <v>40000</v>
      </c>
      <c r="R3097" s="599">
        <f>M3097/G3097</f>
        <v>2100</v>
      </c>
      <c r="S3097" s="594"/>
      <c r="T3097" s="600"/>
      <c r="U3097" s="709"/>
      <c r="V3097" s="601"/>
      <c r="W3097" s="601"/>
      <c r="X3097" s="601"/>
      <c r="Y3097" s="601"/>
      <c r="Z3097" s="601"/>
    </row>
    <row r="3098" spans="1:26" s="75" customFormat="1" ht="37.5" hidden="1">
      <c r="A3098" s="709">
        <f t="shared" si="471"/>
        <v>205</v>
      </c>
      <c r="B3098" s="592" t="s">
        <v>2523</v>
      </c>
      <c r="C3098" s="593" t="s">
        <v>271</v>
      </c>
      <c r="D3098" s="594">
        <v>23910</v>
      </c>
      <c r="E3098" s="594">
        <v>1956</v>
      </c>
      <c r="F3098" s="594" t="s">
        <v>233</v>
      </c>
      <c r="G3098" s="594">
        <v>978.1</v>
      </c>
      <c r="H3098" s="594">
        <v>9</v>
      </c>
      <c r="I3098" s="594">
        <v>2</v>
      </c>
      <c r="J3098" s="594">
        <v>203</v>
      </c>
      <c r="K3098" s="590" t="s">
        <v>366</v>
      </c>
      <c r="L3098" s="595">
        <f t="shared" si="472"/>
        <v>4106250</v>
      </c>
      <c r="M3098" s="596">
        <v>4000000</v>
      </c>
      <c r="N3098" s="597">
        <v>106250</v>
      </c>
      <c r="O3098" s="598"/>
      <c r="P3098" s="597"/>
      <c r="Q3098" s="675"/>
      <c r="R3098" s="582">
        <f>M3098/I3098</f>
        <v>2000000</v>
      </c>
      <c r="S3098" s="594"/>
      <c r="T3098" s="600"/>
      <c r="U3098" s="709"/>
      <c r="V3098" s="601"/>
      <c r="W3098" s="601"/>
      <c r="X3098" s="601"/>
      <c r="Y3098" s="601"/>
      <c r="Z3098" s="601"/>
    </row>
    <row r="3099" spans="1:26" s="75" customFormat="1" hidden="1">
      <c r="A3099" s="709">
        <f t="shared" si="471"/>
        <v>206</v>
      </c>
      <c r="B3099" s="592" t="s">
        <v>2524</v>
      </c>
      <c r="C3099" s="593" t="s">
        <v>271</v>
      </c>
      <c r="D3099" s="650">
        <v>12440</v>
      </c>
      <c r="E3099" s="594">
        <v>3030</v>
      </c>
      <c r="F3099" s="594" t="s">
        <v>222</v>
      </c>
      <c r="G3099" s="594">
        <v>974</v>
      </c>
      <c r="H3099" s="594">
        <v>5</v>
      </c>
      <c r="I3099" s="594">
        <v>4</v>
      </c>
      <c r="J3099" s="594">
        <v>80</v>
      </c>
      <c r="K3099" s="590" t="s">
        <v>33</v>
      </c>
      <c r="L3099" s="595">
        <f>M3099+N3099+O3099+P3099+Q3099+M3100+N3100+O3100+P3100+Q3100</f>
        <v>7393743.5999999996</v>
      </c>
      <c r="M3099" s="596">
        <f>G3099*2800</f>
        <v>2727200</v>
      </c>
      <c r="N3099" s="597"/>
      <c r="O3099" s="598">
        <f>M3099*0.3%</f>
        <v>8181.6</v>
      </c>
      <c r="P3099" s="597"/>
      <c r="Q3099" s="675">
        <v>58362</v>
      </c>
      <c r="R3099" s="599">
        <f>M3099/G3099</f>
        <v>2800</v>
      </c>
      <c r="S3099" s="594"/>
      <c r="T3099" s="600"/>
      <c r="U3099" s="709"/>
      <c r="V3099" s="601"/>
      <c r="W3099" s="601"/>
      <c r="X3099" s="601"/>
      <c r="Y3099" s="601"/>
      <c r="Z3099" s="601"/>
    </row>
    <row r="3100" spans="1:26" s="75" customFormat="1" hidden="1">
      <c r="A3100" s="709"/>
      <c r="B3100" s="592"/>
      <c r="C3100" s="593"/>
      <c r="D3100" s="650"/>
      <c r="E3100" s="594"/>
      <c r="F3100" s="594"/>
      <c r="G3100" s="594"/>
      <c r="H3100" s="594"/>
      <c r="I3100" s="594"/>
      <c r="J3100" s="594"/>
      <c r="K3100" s="720" t="s">
        <v>38</v>
      </c>
      <c r="L3100" s="992"/>
      <c r="M3100" s="962">
        <v>4545000</v>
      </c>
      <c r="N3100" s="722"/>
      <c r="O3100" s="963">
        <v>25000</v>
      </c>
      <c r="P3100" s="722"/>
      <c r="Q3100" s="722">
        <v>30000</v>
      </c>
      <c r="R3100" s="599">
        <f>M3100/E3099</f>
        <v>1500</v>
      </c>
      <c r="S3100" s="594"/>
      <c r="T3100" s="600"/>
      <c r="U3100" s="709"/>
      <c r="V3100" s="601"/>
      <c r="W3100" s="601"/>
      <c r="X3100" s="601"/>
      <c r="Y3100" s="601"/>
      <c r="Z3100" s="601"/>
    </row>
    <row r="3101" spans="1:26" s="75" customFormat="1" hidden="1">
      <c r="A3101" s="709">
        <f>A3099+1</f>
        <v>207</v>
      </c>
      <c r="B3101" s="674" t="s">
        <v>2525</v>
      </c>
      <c r="C3101" s="700" t="s">
        <v>271</v>
      </c>
      <c r="D3101" s="708">
        <v>36411</v>
      </c>
      <c r="E3101" s="708">
        <v>6808</v>
      </c>
      <c r="F3101" s="643" t="s">
        <v>222</v>
      </c>
      <c r="G3101" s="708">
        <v>4042</v>
      </c>
      <c r="H3101" s="708">
        <v>4</v>
      </c>
      <c r="I3101" s="708">
        <v>11</v>
      </c>
      <c r="J3101" s="708">
        <v>120</v>
      </c>
      <c r="K3101" s="606" t="s">
        <v>33</v>
      </c>
      <c r="L3101" s="595">
        <f>M3101+N3101+O3101+P3101+Q3101+M3102+N3102+O3102+P3102+Q3102</f>
        <v>22599378</v>
      </c>
      <c r="M3101" s="611">
        <v>12256000</v>
      </c>
      <c r="N3101" s="586"/>
      <c r="O3101" s="587">
        <v>36378</v>
      </c>
      <c r="P3101" s="586"/>
      <c r="Q3101" s="675">
        <v>40000</v>
      </c>
      <c r="R3101" s="582">
        <f>M3101/G3101</f>
        <v>3032.1622958931221</v>
      </c>
      <c r="S3101" s="594"/>
      <c r="T3101" s="600"/>
      <c r="U3101" s="709"/>
      <c r="V3101" s="601"/>
      <c r="W3101" s="601"/>
      <c r="X3101" s="601"/>
      <c r="Y3101" s="601"/>
      <c r="Z3101" s="601"/>
    </row>
    <row r="3102" spans="1:26" s="75" customFormat="1" hidden="1">
      <c r="A3102" s="709"/>
      <c r="B3102" s="592"/>
      <c r="C3102" s="593"/>
      <c r="D3102" s="650"/>
      <c r="E3102" s="594"/>
      <c r="F3102" s="594"/>
      <c r="G3102" s="594"/>
      <c r="H3102" s="594"/>
      <c r="I3102" s="594"/>
      <c r="J3102" s="594"/>
      <c r="K3102" s="720" t="s">
        <v>38</v>
      </c>
      <c r="L3102" s="992"/>
      <c r="M3102" s="962">
        <v>10212000</v>
      </c>
      <c r="N3102" s="722"/>
      <c r="O3102" s="963">
        <v>25000</v>
      </c>
      <c r="P3102" s="722"/>
      <c r="Q3102" s="722">
        <v>30000</v>
      </c>
      <c r="R3102" s="599">
        <f>M3102/E3101</f>
        <v>1500</v>
      </c>
      <c r="S3102" s="594"/>
      <c r="T3102" s="600"/>
      <c r="U3102" s="709"/>
      <c r="V3102" s="601"/>
      <c r="W3102" s="601"/>
      <c r="X3102" s="601"/>
      <c r="Y3102" s="601"/>
      <c r="Z3102" s="601"/>
    </row>
    <row r="3103" spans="1:26" s="75" customFormat="1" hidden="1">
      <c r="A3103" s="709">
        <f>A3101+1</f>
        <v>208</v>
      </c>
      <c r="B3103" s="592" t="s">
        <v>2526</v>
      </c>
      <c r="C3103" s="593" t="s">
        <v>271</v>
      </c>
      <c r="D3103" s="650">
        <v>10252</v>
      </c>
      <c r="E3103" s="594">
        <v>580</v>
      </c>
      <c r="F3103" s="594" t="s">
        <v>222</v>
      </c>
      <c r="G3103" s="594">
        <v>997</v>
      </c>
      <c r="H3103" s="594">
        <v>4</v>
      </c>
      <c r="I3103" s="594">
        <v>3</v>
      </c>
      <c r="J3103" s="594">
        <v>18</v>
      </c>
      <c r="K3103" s="590" t="s">
        <v>224</v>
      </c>
      <c r="L3103" s="595">
        <f>M3103+N3103+O3103+P3103+Q3103</f>
        <v>326163</v>
      </c>
      <c r="M3103" s="596">
        <f>J3103*16000</f>
        <v>288000</v>
      </c>
      <c r="N3103" s="597">
        <v>32000</v>
      </c>
      <c r="O3103" s="598"/>
      <c r="P3103" s="597"/>
      <c r="Q3103" s="675">
        <v>6163</v>
      </c>
      <c r="R3103" s="599">
        <f>M3103/J3103</f>
        <v>16000</v>
      </c>
      <c r="S3103" s="594"/>
      <c r="T3103" s="600"/>
      <c r="U3103" s="709"/>
      <c r="V3103" s="601"/>
      <c r="W3103" s="601"/>
      <c r="X3103" s="601"/>
      <c r="Y3103" s="601"/>
      <c r="Z3103" s="601"/>
    </row>
    <row r="3104" spans="1:26" s="75" customFormat="1" hidden="1">
      <c r="A3104" s="709">
        <f t="shared" si="471"/>
        <v>209</v>
      </c>
      <c r="B3104" s="592" t="s">
        <v>2527</v>
      </c>
      <c r="C3104" s="593" t="s">
        <v>271</v>
      </c>
      <c r="D3104" s="594">
        <v>24898</v>
      </c>
      <c r="E3104" s="594">
        <v>5516</v>
      </c>
      <c r="F3104" s="594" t="s">
        <v>222</v>
      </c>
      <c r="G3104" s="594">
        <v>3110</v>
      </c>
      <c r="H3104" s="594">
        <v>5</v>
      </c>
      <c r="I3104" s="594">
        <v>9</v>
      </c>
      <c r="J3104" s="594">
        <v>94</v>
      </c>
      <c r="K3104" s="590" t="s">
        <v>33</v>
      </c>
      <c r="L3104" s="595">
        <f>M3104+N3104+O3104+P3104+Q3104+M3105+N3105+O3105+P3105+Q3105</f>
        <v>19286655</v>
      </c>
      <c r="M3104" s="596">
        <f>G3104*3500</f>
        <v>10885000</v>
      </c>
      <c r="N3104" s="597"/>
      <c r="O3104" s="598">
        <f>M3104*0.3%</f>
        <v>32655</v>
      </c>
      <c r="P3104" s="597"/>
      <c r="Q3104" s="675">
        <v>40000</v>
      </c>
      <c r="R3104" s="599">
        <f>M3104/G3104</f>
        <v>3500</v>
      </c>
      <c r="S3104" s="594"/>
      <c r="T3104" s="600"/>
      <c r="U3104" s="709"/>
      <c r="V3104" s="601"/>
      <c r="W3104" s="601"/>
      <c r="X3104" s="601"/>
      <c r="Y3104" s="601"/>
      <c r="Z3104" s="601"/>
    </row>
    <row r="3105" spans="1:26" s="75" customFormat="1" hidden="1">
      <c r="A3105" s="709"/>
      <c r="B3105" s="592"/>
      <c r="C3105" s="593"/>
      <c r="D3105" s="650"/>
      <c r="E3105" s="594"/>
      <c r="F3105" s="594"/>
      <c r="G3105" s="594"/>
      <c r="H3105" s="594"/>
      <c r="I3105" s="594"/>
      <c r="J3105" s="594"/>
      <c r="K3105" s="720" t="s">
        <v>38</v>
      </c>
      <c r="L3105" s="992"/>
      <c r="M3105" s="962">
        <v>8274000</v>
      </c>
      <c r="N3105" s="722"/>
      <c r="O3105" s="963">
        <v>25000</v>
      </c>
      <c r="P3105" s="722"/>
      <c r="Q3105" s="722">
        <v>30000</v>
      </c>
      <c r="R3105" s="599">
        <f>M3105/E3104</f>
        <v>1500</v>
      </c>
      <c r="S3105" s="594"/>
      <c r="T3105" s="600"/>
      <c r="U3105" s="709"/>
      <c r="V3105" s="601"/>
      <c r="W3105" s="601"/>
      <c r="X3105" s="601"/>
      <c r="Y3105" s="601"/>
      <c r="Z3105" s="601"/>
    </row>
    <row r="3106" spans="1:26" s="75" customFormat="1" hidden="1">
      <c r="A3106" s="709">
        <f>A3104+1</f>
        <v>210</v>
      </c>
      <c r="B3106" s="592" t="s">
        <v>2528</v>
      </c>
      <c r="C3106" s="593" t="s">
        <v>271</v>
      </c>
      <c r="D3106" s="650">
        <v>12962</v>
      </c>
      <c r="E3106" s="594">
        <v>3030</v>
      </c>
      <c r="F3106" s="594" t="s">
        <v>222</v>
      </c>
      <c r="G3106" s="594">
        <v>1139</v>
      </c>
      <c r="H3106" s="594">
        <v>5</v>
      </c>
      <c r="I3106" s="594">
        <v>4</v>
      </c>
      <c r="J3106" s="594">
        <v>75</v>
      </c>
      <c r="K3106" s="590" t="s">
        <v>33</v>
      </c>
      <c r="L3106" s="595">
        <f t="shared" ref="L3106:L3148" si="475">M3106+N3106+O3106+P3106+Q3106</f>
        <v>3238767.6</v>
      </c>
      <c r="M3106" s="596">
        <f>G3106*2800</f>
        <v>3189200</v>
      </c>
      <c r="N3106" s="597"/>
      <c r="O3106" s="598">
        <f>M3106*0.3%</f>
        <v>9567.6</v>
      </c>
      <c r="P3106" s="597"/>
      <c r="Q3106" s="675">
        <v>40000</v>
      </c>
      <c r="R3106" s="599">
        <f>M3106/G3106</f>
        <v>2800</v>
      </c>
      <c r="S3106" s="594"/>
      <c r="T3106" s="600"/>
      <c r="U3106" s="709"/>
      <c r="V3106" s="601"/>
      <c r="W3106" s="601"/>
      <c r="X3106" s="601"/>
      <c r="Y3106" s="601"/>
      <c r="Z3106" s="601"/>
    </row>
    <row r="3107" spans="1:26" s="75" customFormat="1" ht="37.5" hidden="1">
      <c r="A3107" s="709">
        <f t="shared" si="471"/>
        <v>211</v>
      </c>
      <c r="B3107" s="592" t="s">
        <v>2529</v>
      </c>
      <c r="C3107" s="593" t="s">
        <v>271</v>
      </c>
      <c r="D3107" s="650">
        <v>11246</v>
      </c>
      <c r="E3107" s="594">
        <f>1920</f>
        <v>1920</v>
      </c>
      <c r="F3107" s="594" t="s">
        <v>222</v>
      </c>
      <c r="G3107" s="594">
        <v>1147</v>
      </c>
      <c r="H3107" s="594">
        <v>4</v>
      </c>
      <c r="I3107" s="594">
        <v>4</v>
      </c>
      <c r="J3107" s="594">
        <v>63</v>
      </c>
      <c r="K3107" s="590" t="s">
        <v>30</v>
      </c>
      <c r="L3107" s="595">
        <f t="shared" si="475"/>
        <v>1746103</v>
      </c>
      <c r="M3107" s="596">
        <f>J3107*27000</f>
        <v>1701000</v>
      </c>
      <c r="N3107" s="597"/>
      <c r="O3107" s="598">
        <f>M3107*0.3%</f>
        <v>5103</v>
      </c>
      <c r="P3107" s="597"/>
      <c r="Q3107" s="675">
        <v>40000</v>
      </c>
      <c r="R3107" s="599">
        <f t="shared" ref="R3107:R3113" si="476">M3107/J3107</f>
        <v>27000</v>
      </c>
      <c r="S3107" s="594"/>
      <c r="T3107" s="600"/>
      <c r="U3107" s="709"/>
      <c r="V3107" s="601"/>
      <c r="W3107" s="601"/>
      <c r="X3107" s="601"/>
      <c r="Y3107" s="601"/>
      <c r="Z3107" s="601"/>
    </row>
    <row r="3108" spans="1:26" s="75" customFormat="1" hidden="1">
      <c r="A3108" s="709">
        <f t="shared" si="471"/>
        <v>212</v>
      </c>
      <c r="B3108" s="592" t="s">
        <v>2530</v>
      </c>
      <c r="C3108" s="593" t="s">
        <v>344</v>
      </c>
      <c r="D3108" s="650">
        <v>2011</v>
      </c>
      <c r="E3108" s="594">
        <v>540</v>
      </c>
      <c r="F3108" s="594" t="s">
        <v>222</v>
      </c>
      <c r="G3108" s="594">
        <v>326</v>
      </c>
      <c r="H3108" s="594">
        <v>2</v>
      </c>
      <c r="I3108" s="594">
        <v>1</v>
      </c>
      <c r="J3108" s="594">
        <v>8</v>
      </c>
      <c r="K3108" s="590" t="s">
        <v>224</v>
      </c>
      <c r="L3108" s="595">
        <f t="shared" si="475"/>
        <v>179082</v>
      </c>
      <c r="M3108" s="596">
        <f>J3108*18000</f>
        <v>144000</v>
      </c>
      <c r="N3108" s="597">
        <v>32000</v>
      </c>
      <c r="O3108" s="598"/>
      <c r="P3108" s="597"/>
      <c r="Q3108" s="675">
        <v>3082</v>
      </c>
      <c r="R3108" s="599">
        <f t="shared" si="476"/>
        <v>18000</v>
      </c>
      <c r="S3108" s="594"/>
      <c r="T3108" s="600"/>
      <c r="U3108" s="709"/>
      <c r="V3108" s="601"/>
      <c r="W3108" s="601"/>
      <c r="X3108" s="601"/>
      <c r="Y3108" s="601"/>
      <c r="Z3108" s="601"/>
    </row>
    <row r="3109" spans="1:26" s="75" customFormat="1" hidden="1">
      <c r="A3109" s="709">
        <f t="shared" si="471"/>
        <v>213</v>
      </c>
      <c r="B3109" s="592" t="s">
        <v>2531</v>
      </c>
      <c r="C3109" s="593" t="s">
        <v>344</v>
      </c>
      <c r="D3109" s="650">
        <v>3482</v>
      </c>
      <c r="E3109" s="594">
        <v>796</v>
      </c>
      <c r="F3109" s="594" t="s">
        <v>222</v>
      </c>
      <c r="G3109" s="594">
        <v>675</v>
      </c>
      <c r="H3109" s="594">
        <v>2</v>
      </c>
      <c r="I3109" s="594">
        <v>3</v>
      </c>
      <c r="J3109" s="594">
        <v>14</v>
      </c>
      <c r="K3109" s="590" t="s">
        <v>224</v>
      </c>
      <c r="L3109" s="595">
        <f t="shared" si="475"/>
        <v>289393</v>
      </c>
      <c r="M3109" s="596">
        <f>J3109*18000</f>
        <v>252000</v>
      </c>
      <c r="N3109" s="597">
        <v>32000</v>
      </c>
      <c r="O3109" s="598"/>
      <c r="P3109" s="597"/>
      <c r="Q3109" s="675">
        <v>5393</v>
      </c>
      <c r="R3109" s="599">
        <f t="shared" si="476"/>
        <v>18000</v>
      </c>
      <c r="S3109" s="594"/>
      <c r="T3109" s="600"/>
      <c r="U3109" s="709"/>
      <c r="V3109" s="601"/>
      <c r="W3109" s="601"/>
      <c r="X3109" s="601"/>
      <c r="Y3109" s="601"/>
      <c r="Z3109" s="601"/>
    </row>
    <row r="3110" spans="1:26" s="75" customFormat="1" hidden="1">
      <c r="A3110" s="709">
        <f t="shared" si="471"/>
        <v>214</v>
      </c>
      <c r="B3110" s="592" t="s">
        <v>2532</v>
      </c>
      <c r="C3110" s="593" t="s">
        <v>344</v>
      </c>
      <c r="D3110" s="650">
        <v>5128</v>
      </c>
      <c r="E3110" s="594">
        <v>796</v>
      </c>
      <c r="F3110" s="594" t="s">
        <v>222</v>
      </c>
      <c r="G3110" s="594">
        <v>998</v>
      </c>
      <c r="H3110" s="594">
        <v>2</v>
      </c>
      <c r="I3110" s="594">
        <v>3</v>
      </c>
      <c r="J3110" s="594">
        <v>18</v>
      </c>
      <c r="K3110" s="590" t="s">
        <v>224</v>
      </c>
      <c r="L3110" s="595">
        <f t="shared" si="475"/>
        <v>362934</v>
      </c>
      <c r="M3110" s="596">
        <f>J3110*18000</f>
        <v>324000</v>
      </c>
      <c r="N3110" s="597">
        <v>32000</v>
      </c>
      <c r="O3110" s="598"/>
      <c r="P3110" s="597"/>
      <c r="Q3110" s="675">
        <v>6934</v>
      </c>
      <c r="R3110" s="599">
        <f t="shared" si="476"/>
        <v>18000</v>
      </c>
      <c r="S3110" s="594"/>
      <c r="T3110" s="600"/>
      <c r="U3110" s="709"/>
      <c r="V3110" s="601"/>
      <c r="W3110" s="601"/>
      <c r="X3110" s="601"/>
      <c r="Y3110" s="601"/>
      <c r="Z3110" s="601"/>
    </row>
    <row r="3111" spans="1:26" s="75" customFormat="1" ht="37.5" hidden="1">
      <c r="A3111" s="709">
        <f t="shared" si="471"/>
        <v>215</v>
      </c>
      <c r="B3111" s="592" t="s">
        <v>2533</v>
      </c>
      <c r="C3111" s="593" t="s">
        <v>271</v>
      </c>
      <c r="D3111" s="650">
        <v>8735</v>
      </c>
      <c r="E3111" s="594">
        <v>720</v>
      </c>
      <c r="F3111" s="594" t="s">
        <v>222</v>
      </c>
      <c r="G3111" s="594">
        <v>1128</v>
      </c>
      <c r="H3111" s="594">
        <v>3</v>
      </c>
      <c r="I3111" s="594">
        <v>4</v>
      </c>
      <c r="J3111" s="594">
        <v>30</v>
      </c>
      <c r="K3111" s="590" t="s">
        <v>30</v>
      </c>
      <c r="L3111" s="595">
        <f t="shared" si="475"/>
        <v>852430</v>
      </c>
      <c r="M3111" s="596">
        <f>J3111*27000</f>
        <v>810000</v>
      </c>
      <c r="N3111" s="597"/>
      <c r="O3111" s="598">
        <f>M3111*0.3%</f>
        <v>2430</v>
      </c>
      <c r="P3111" s="597"/>
      <c r="Q3111" s="675">
        <v>40000</v>
      </c>
      <c r="R3111" s="599">
        <f t="shared" si="476"/>
        <v>27000</v>
      </c>
      <c r="S3111" s="594"/>
      <c r="T3111" s="600"/>
      <c r="U3111" s="709"/>
      <c r="V3111" s="601"/>
      <c r="W3111" s="601"/>
      <c r="X3111" s="601"/>
      <c r="Y3111" s="601"/>
      <c r="Z3111" s="601"/>
    </row>
    <row r="3112" spans="1:26" s="75" customFormat="1" hidden="1">
      <c r="A3112" s="709">
        <f t="shared" si="471"/>
        <v>216</v>
      </c>
      <c r="B3112" s="592" t="s">
        <v>2534</v>
      </c>
      <c r="C3112" s="593" t="s">
        <v>271</v>
      </c>
      <c r="D3112" s="650">
        <v>3542</v>
      </c>
      <c r="E3112" s="594">
        <v>570</v>
      </c>
      <c r="F3112" s="594" t="s">
        <v>222</v>
      </c>
      <c r="G3112" s="594">
        <v>609</v>
      </c>
      <c r="H3112" s="594">
        <v>2</v>
      </c>
      <c r="I3112" s="594">
        <v>2</v>
      </c>
      <c r="J3112" s="594">
        <v>11</v>
      </c>
      <c r="K3112" s="590" t="s">
        <v>224</v>
      </c>
      <c r="L3112" s="595">
        <f t="shared" si="475"/>
        <v>234237</v>
      </c>
      <c r="M3112" s="596">
        <f>J3112*18000</f>
        <v>198000</v>
      </c>
      <c r="N3112" s="597">
        <v>32000</v>
      </c>
      <c r="O3112" s="598"/>
      <c r="P3112" s="597"/>
      <c r="Q3112" s="675">
        <v>4237</v>
      </c>
      <c r="R3112" s="599">
        <f t="shared" si="476"/>
        <v>18000</v>
      </c>
      <c r="S3112" s="594"/>
      <c r="T3112" s="600"/>
      <c r="U3112" s="709"/>
      <c r="V3112" s="601"/>
      <c r="W3112" s="601"/>
      <c r="X3112" s="601"/>
      <c r="Y3112" s="601"/>
      <c r="Z3112" s="601"/>
    </row>
    <row r="3113" spans="1:26" s="75" customFormat="1" ht="37.5" hidden="1">
      <c r="A3113" s="709">
        <f t="shared" si="471"/>
        <v>217</v>
      </c>
      <c r="B3113" s="592" t="s">
        <v>2535</v>
      </c>
      <c r="C3113" s="593" t="s">
        <v>271</v>
      </c>
      <c r="D3113" s="650">
        <v>4691</v>
      </c>
      <c r="E3113" s="594">
        <v>720</v>
      </c>
      <c r="F3113" s="594" t="s">
        <v>222</v>
      </c>
      <c r="G3113" s="594">
        <v>609</v>
      </c>
      <c r="H3113" s="594">
        <v>3</v>
      </c>
      <c r="I3113" s="594">
        <v>2</v>
      </c>
      <c r="J3113" s="594">
        <v>18</v>
      </c>
      <c r="K3113" s="590" t="s">
        <v>30</v>
      </c>
      <c r="L3113" s="595">
        <f t="shared" si="475"/>
        <v>491350</v>
      </c>
      <c r="M3113" s="596">
        <f>J3113*25000</f>
        <v>450000</v>
      </c>
      <c r="N3113" s="597"/>
      <c r="O3113" s="598">
        <f>M3113*0.3%</f>
        <v>1350</v>
      </c>
      <c r="P3113" s="597"/>
      <c r="Q3113" s="675">
        <v>40000</v>
      </c>
      <c r="R3113" s="599">
        <f t="shared" si="476"/>
        <v>25000</v>
      </c>
      <c r="S3113" s="594"/>
      <c r="T3113" s="600"/>
      <c r="U3113" s="709"/>
      <c r="V3113" s="601"/>
      <c r="W3113" s="601"/>
      <c r="X3113" s="601"/>
      <c r="Y3113" s="601"/>
      <c r="Z3113" s="601"/>
    </row>
    <row r="3114" spans="1:26" s="75" customFormat="1" hidden="1">
      <c r="A3114" s="709">
        <f t="shared" si="471"/>
        <v>218</v>
      </c>
      <c r="B3114" s="592" t="s">
        <v>2536</v>
      </c>
      <c r="C3114" s="593" t="s">
        <v>271</v>
      </c>
      <c r="D3114" s="594">
        <v>37482</v>
      </c>
      <c r="E3114" s="594">
        <v>5092.8599999999997</v>
      </c>
      <c r="F3114" s="594" t="s">
        <v>233</v>
      </c>
      <c r="G3114" s="594">
        <v>1928</v>
      </c>
      <c r="H3114" s="594">
        <v>9</v>
      </c>
      <c r="I3114" s="594">
        <v>4</v>
      </c>
      <c r="J3114" s="594">
        <v>134</v>
      </c>
      <c r="K3114" s="590" t="s">
        <v>33</v>
      </c>
      <c r="L3114" s="595">
        <f t="shared" si="475"/>
        <v>4100946.4</v>
      </c>
      <c r="M3114" s="596">
        <f>G3114*2100</f>
        <v>4048800</v>
      </c>
      <c r="N3114" s="597"/>
      <c r="O3114" s="598">
        <f>M3114*0.3%</f>
        <v>12146.4</v>
      </c>
      <c r="P3114" s="597"/>
      <c r="Q3114" s="675">
        <v>40000</v>
      </c>
      <c r="R3114" s="599">
        <f>M3114/G3114</f>
        <v>2100</v>
      </c>
      <c r="S3114" s="594"/>
      <c r="T3114" s="600"/>
      <c r="U3114" s="709"/>
      <c r="V3114" s="601"/>
      <c r="W3114" s="601"/>
      <c r="X3114" s="601"/>
      <c r="Y3114" s="601"/>
      <c r="Z3114" s="601"/>
    </row>
    <row r="3115" spans="1:26" s="75" customFormat="1" hidden="1">
      <c r="A3115" s="709">
        <f t="shared" si="471"/>
        <v>219</v>
      </c>
      <c r="B3115" s="592" t="s">
        <v>2537</v>
      </c>
      <c r="C3115" s="593" t="s">
        <v>314</v>
      </c>
      <c r="D3115" s="594">
        <v>1348</v>
      </c>
      <c r="E3115" s="594">
        <v>594</v>
      </c>
      <c r="F3115" s="594" t="s">
        <v>222</v>
      </c>
      <c r="G3115" s="594">
        <v>560</v>
      </c>
      <c r="H3115" s="594">
        <v>2</v>
      </c>
      <c r="I3115" s="594">
        <v>1</v>
      </c>
      <c r="J3115" s="594">
        <v>8</v>
      </c>
      <c r="K3115" s="590" t="s">
        <v>33</v>
      </c>
      <c r="L3115" s="595">
        <f t="shared" si="475"/>
        <v>1606259</v>
      </c>
      <c r="M3115" s="596">
        <f>G3115*2800</f>
        <v>1568000</v>
      </c>
      <c r="N3115" s="597"/>
      <c r="O3115" s="598">
        <f>M3115*0.3%</f>
        <v>4704</v>
      </c>
      <c r="P3115" s="597"/>
      <c r="Q3115" s="675">
        <v>33555</v>
      </c>
      <c r="R3115" s="599">
        <f>M3115/G3115</f>
        <v>2800</v>
      </c>
      <c r="S3115" s="594"/>
      <c r="T3115" s="600"/>
      <c r="U3115" s="709"/>
      <c r="V3115" s="601"/>
      <c r="W3115" s="601"/>
      <c r="X3115" s="601"/>
      <c r="Y3115" s="601"/>
      <c r="Z3115" s="601"/>
    </row>
    <row r="3116" spans="1:26" s="75" customFormat="1" hidden="1">
      <c r="A3116" s="709">
        <f t="shared" si="471"/>
        <v>220</v>
      </c>
      <c r="B3116" s="592" t="s">
        <v>2538</v>
      </c>
      <c r="C3116" s="593" t="s">
        <v>314</v>
      </c>
      <c r="D3116" s="594">
        <v>2712</v>
      </c>
      <c r="E3116" s="594">
        <v>654</v>
      </c>
      <c r="F3116" s="594" t="s">
        <v>222</v>
      </c>
      <c r="G3116" s="594">
        <v>476</v>
      </c>
      <c r="H3116" s="594">
        <v>2</v>
      </c>
      <c r="I3116" s="594">
        <v>2</v>
      </c>
      <c r="J3116" s="594">
        <v>8</v>
      </c>
      <c r="K3116" s="590" t="s">
        <v>33</v>
      </c>
      <c r="L3116" s="595">
        <f t="shared" si="475"/>
        <v>1365320.4</v>
      </c>
      <c r="M3116" s="596">
        <f>G3116*2800</f>
        <v>1332800</v>
      </c>
      <c r="N3116" s="597"/>
      <c r="O3116" s="598">
        <f>M3116*0.3%</f>
        <v>3998.4</v>
      </c>
      <c r="P3116" s="597"/>
      <c r="Q3116" s="675">
        <v>28522</v>
      </c>
      <c r="R3116" s="599">
        <f>M3116/G3116</f>
        <v>2800</v>
      </c>
      <c r="S3116" s="594"/>
      <c r="T3116" s="600"/>
      <c r="U3116" s="709"/>
      <c r="V3116" s="601"/>
      <c r="W3116" s="601"/>
      <c r="X3116" s="601"/>
      <c r="Y3116" s="601"/>
      <c r="Z3116" s="601"/>
    </row>
    <row r="3117" spans="1:26" s="75" customFormat="1" hidden="1">
      <c r="A3117" s="709">
        <f t="shared" si="471"/>
        <v>221</v>
      </c>
      <c r="B3117" s="592" t="s">
        <v>2539</v>
      </c>
      <c r="C3117" s="593" t="s">
        <v>314</v>
      </c>
      <c r="D3117" s="594">
        <v>3235</v>
      </c>
      <c r="E3117" s="594">
        <v>711</v>
      </c>
      <c r="F3117" s="594" t="s">
        <v>230</v>
      </c>
      <c r="G3117" s="594">
        <v>328</v>
      </c>
      <c r="H3117" s="594">
        <v>2</v>
      </c>
      <c r="I3117" s="594">
        <v>1</v>
      </c>
      <c r="J3117" s="594">
        <v>24</v>
      </c>
      <c r="K3117" s="590" t="s">
        <v>33</v>
      </c>
      <c r="L3117" s="595">
        <f t="shared" si="475"/>
        <v>940809.2</v>
      </c>
      <c r="M3117" s="596">
        <f>G3117*2800</f>
        <v>918400</v>
      </c>
      <c r="N3117" s="597"/>
      <c r="O3117" s="598">
        <f>M3117*0.3%</f>
        <v>2755.2000000000003</v>
      </c>
      <c r="P3117" s="597"/>
      <c r="Q3117" s="675">
        <v>19654</v>
      </c>
      <c r="R3117" s="599">
        <f>M3117/G3117</f>
        <v>2800</v>
      </c>
      <c r="S3117" s="594"/>
      <c r="T3117" s="600"/>
      <c r="U3117" s="709"/>
      <c r="V3117" s="601"/>
      <c r="W3117" s="601"/>
      <c r="X3117" s="601"/>
      <c r="Y3117" s="601"/>
      <c r="Z3117" s="601"/>
    </row>
    <row r="3118" spans="1:26" s="75" customFormat="1" hidden="1">
      <c r="A3118" s="709">
        <f t="shared" si="471"/>
        <v>222</v>
      </c>
      <c r="B3118" s="592" t="s">
        <v>2540</v>
      </c>
      <c r="C3118" s="593" t="s">
        <v>239</v>
      </c>
      <c r="D3118" s="594">
        <v>1946</v>
      </c>
      <c r="E3118" s="594">
        <v>463</v>
      </c>
      <c r="F3118" s="594" t="s">
        <v>222</v>
      </c>
      <c r="G3118" s="594">
        <v>376</v>
      </c>
      <c r="H3118" s="594">
        <v>2</v>
      </c>
      <c r="I3118" s="594">
        <v>1</v>
      </c>
      <c r="J3118" s="594">
        <v>8</v>
      </c>
      <c r="K3118" s="590" t="s">
        <v>224</v>
      </c>
      <c r="L3118" s="595">
        <f t="shared" si="475"/>
        <v>162082</v>
      </c>
      <c r="M3118" s="596">
        <f>J3118*18000</f>
        <v>144000</v>
      </c>
      <c r="N3118" s="597">
        <v>15000</v>
      </c>
      <c r="O3118" s="598"/>
      <c r="P3118" s="597"/>
      <c r="Q3118" s="675">
        <v>3082</v>
      </c>
      <c r="R3118" s="599">
        <f>M3118/J3118</f>
        <v>18000</v>
      </c>
      <c r="S3118" s="594"/>
      <c r="T3118" s="600"/>
      <c r="U3118" s="709"/>
      <c r="V3118" s="601"/>
      <c r="W3118" s="601"/>
      <c r="X3118" s="601"/>
      <c r="Y3118" s="601"/>
      <c r="Z3118" s="601"/>
    </row>
    <row r="3119" spans="1:26" s="75" customFormat="1" hidden="1">
      <c r="A3119" s="709">
        <f t="shared" si="471"/>
        <v>223</v>
      </c>
      <c r="B3119" s="592" t="s">
        <v>2541</v>
      </c>
      <c r="C3119" s="593" t="s">
        <v>239</v>
      </c>
      <c r="D3119" s="594">
        <v>1855</v>
      </c>
      <c r="E3119" s="594">
        <v>444</v>
      </c>
      <c r="F3119" s="594" t="s">
        <v>222</v>
      </c>
      <c r="G3119" s="594">
        <v>369</v>
      </c>
      <c r="H3119" s="594">
        <v>2</v>
      </c>
      <c r="I3119" s="594">
        <v>1</v>
      </c>
      <c r="J3119" s="594">
        <v>8</v>
      </c>
      <c r="K3119" s="590" t="s">
        <v>224</v>
      </c>
      <c r="L3119" s="595">
        <f t="shared" si="475"/>
        <v>162082</v>
      </c>
      <c r="M3119" s="596">
        <f>J3119*18000</f>
        <v>144000</v>
      </c>
      <c r="N3119" s="597">
        <v>15000</v>
      </c>
      <c r="O3119" s="598"/>
      <c r="P3119" s="597"/>
      <c r="Q3119" s="675">
        <v>3082</v>
      </c>
      <c r="R3119" s="599">
        <f>M3119/J3119</f>
        <v>18000</v>
      </c>
      <c r="S3119" s="594"/>
      <c r="T3119" s="600"/>
      <c r="U3119" s="709"/>
      <c r="V3119" s="601"/>
      <c r="W3119" s="601"/>
      <c r="X3119" s="601"/>
      <c r="Y3119" s="601"/>
      <c r="Z3119" s="601"/>
    </row>
    <row r="3120" spans="1:26" s="75" customFormat="1" hidden="1">
      <c r="A3120" s="709">
        <f t="shared" si="471"/>
        <v>224</v>
      </c>
      <c r="B3120" s="592" t="s">
        <v>2542</v>
      </c>
      <c r="C3120" s="593" t="s">
        <v>271</v>
      </c>
      <c r="D3120" s="594">
        <v>14088</v>
      </c>
      <c r="E3120" s="594">
        <v>2320</v>
      </c>
      <c r="F3120" s="594" t="s">
        <v>222</v>
      </c>
      <c r="G3120" s="594">
        <v>1028</v>
      </c>
      <c r="H3120" s="594">
        <v>5</v>
      </c>
      <c r="I3120" s="594">
        <v>4</v>
      </c>
      <c r="J3120" s="594">
        <v>75</v>
      </c>
      <c r="K3120" s="590" t="s">
        <v>224</v>
      </c>
      <c r="L3120" s="595">
        <f t="shared" si="475"/>
        <v>1252680</v>
      </c>
      <c r="M3120" s="596">
        <f>J3120*16000</f>
        <v>1200000</v>
      </c>
      <c r="N3120" s="597">
        <v>27000</v>
      </c>
      <c r="O3120" s="598"/>
      <c r="P3120" s="597"/>
      <c r="Q3120" s="675">
        <v>25680</v>
      </c>
      <c r="R3120" s="599">
        <f>M3120/J3120</f>
        <v>16000</v>
      </c>
      <c r="S3120" s="594"/>
      <c r="T3120" s="600"/>
      <c r="U3120" s="709"/>
      <c r="V3120" s="601"/>
      <c r="W3120" s="601"/>
      <c r="X3120" s="601"/>
      <c r="Y3120" s="601"/>
      <c r="Z3120" s="601"/>
    </row>
    <row r="3121" spans="1:26" s="75" customFormat="1" hidden="1">
      <c r="A3121" s="709">
        <f t="shared" si="471"/>
        <v>225</v>
      </c>
      <c r="B3121" s="592" t="s">
        <v>2543</v>
      </c>
      <c r="C3121" s="593" t="s">
        <v>271</v>
      </c>
      <c r="D3121" s="594">
        <v>13466</v>
      </c>
      <c r="E3121" s="594">
        <v>2450</v>
      </c>
      <c r="F3121" s="594" t="s">
        <v>233</v>
      </c>
      <c r="G3121" s="594">
        <v>973</v>
      </c>
      <c r="H3121" s="594">
        <v>5</v>
      </c>
      <c r="I3121" s="594">
        <v>4</v>
      </c>
      <c r="J3121" s="594">
        <v>64</v>
      </c>
      <c r="K3121" s="590" t="s">
        <v>224</v>
      </c>
      <c r="L3121" s="595">
        <f t="shared" si="475"/>
        <v>1072914</v>
      </c>
      <c r="M3121" s="596">
        <f>J3121*16000</f>
        <v>1024000</v>
      </c>
      <c r="N3121" s="597">
        <v>27000</v>
      </c>
      <c r="O3121" s="598"/>
      <c r="P3121" s="597"/>
      <c r="Q3121" s="675">
        <v>21914</v>
      </c>
      <c r="R3121" s="599">
        <f>M3121/J3121</f>
        <v>16000</v>
      </c>
      <c r="S3121" s="594"/>
      <c r="T3121" s="600"/>
      <c r="U3121" s="709"/>
      <c r="V3121" s="601"/>
      <c r="W3121" s="601"/>
      <c r="X3121" s="601"/>
      <c r="Y3121" s="601"/>
      <c r="Z3121" s="601"/>
    </row>
    <row r="3122" spans="1:26" s="75" customFormat="1" hidden="1">
      <c r="A3122" s="709">
        <f t="shared" si="471"/>
        <v>226</v>
      </c>
      <c r="B3122" s="592" t="s">
        <v>2544</v>
      </c>
      <c r="C3122" s="593" t="s">
        <v>271</v>
      </c>
      <c r="D3122" s="594">
        <v>29942</v>
      </c>
      <c r="E3122" s="594">
        <v>4795</v>
      </c>
      <c r="F3122" s="594" t="s">
        <v>233</v>
      </c>
      <c r="G3122" s="594">
        <v>960</v>
      </c>
      <c r="H3122" s="594">
        <v>15</v>
      </c>
      <c r="I3122" s="594">
        <v>1</v>
      </c>
      <c r="J3122" s="594">
        <v>44</v>
      </c>
      <c r="K3122" s="590" t="s">
        <v>33</v>
      </c>
      <c r="L3122" s="595">
        <f t="shared" si="475"/>
        <v>2065190</v>
      </c>
      <c r="M3122" s="596">
        <f>G3122*2100</f>
        <v>2016000</v>
      </c>
      <c r="N3122" s="597"/>
      <c r="O3122" s="598">
        <f>M3122*0.3%</f>
        <v>6048</v>
      </c>
      <c r="P3122" s="597"/>
      <c r="Q3122" s="675">
        <v>43142</v>
      </c>
      <c r="R3122" s="599">
        <f>M3122/G3122</f>
        <v>2100</v>
      </c>
      <c r="S3122" s="594"/>
      <c r="T3122" s="600"/>
      <c r="U3122" s="709"/>
      <c r="V3122" s="601"/>
      <c r="W3122" s="601"/>
      <c r="X3122" s="601"/>
      <c r="Y3122" s="601"/>
      <c r="Z3122" s="601"/>
    </row>
    <row r="3123" spans="1:26" s="75" customFormat="1" hidden="1">
      <c r="A3123" s="709">
        <f t="shared" si="471"/>
        <v>227</v>
      </c>
      <c r="B3123" s="592" t="s">
        <v>2545</v>
      </c>
      <c r="C3123" s="593" t="s">
        <v>229</v>
      </c>
      <c r="D3123" s="594">
        <v>2811</v>
      </c>
      <c r="E3123" s="594">
        <v>334</v>
      </c>
      <c r="F3123" s="594" t="s">
        <v>222</v>
      </c>
      <c r="G3123" s="594">
        <v>608.5</v>
      </c>
      <c r="H3123" s="594">
        <v>2</v>
      </c>
      <c r="I3123" s="594">
        <v>2</v>
      </c>
      <c r="J3123" s="594">
        <v>24</v>
      </c>
      <c r="K3123" s="590" t="s">
        <v>33</v>
      </c>
      <c r="L3123" s="595">
        <f t="shared" si="475"/>
        <v>1371364.1</v>
      </c>
      <c r="M3123" s="596">
        <f>SUM(G3123*2200)</f>
        <v>1338700</v>
      </c>
      <c r="N3123" s="597"/>
      <c r="O3123" s="598">
        <f>M3123*0.3%</f>
        <v>4016.1</v>
      </c>
      <c r="P3123" s="597"/>
      <c r="Q3123" s="675">
        <v>28648</v>
      </c>
      <c r="R3123" s="599">
        <f>M3123/G3123</f>
        <v>2200</v>
      </c>
      <c r="S3123" s="594"/>
      <c r="T3123" s="600"/>
      <c r="U3123" s="709"/>
      <c r="V3123" s="601"/>
      <c r="W3123" s="601"/>
      <c r="X3123" s="601"/>
      <c r="Y3123" s="601"/>
      <c r="Z3123" s="601"/>
    </row>
    <row r="3124" spans="1:26" s="75" customFormat="1" hidden="1">
      <c r="A3124" s="709">
        <f t="shared" si="471"/>
        <v>228</v>
      </c>
      <c r="B3124" s="592" t="s">
        <v>2546</v>
      </c>
      <c r="C3124" s="593" t="s">
        <v>406</v>
      </c>
      <c r="D3124" s="594">
        <v>19913</v>
      </c>
      <c r="E3124" s="594">
        <v>1436</v>
      </c>
      <c r="F3124" s="594" t="s">
        <v>407</v>
      </c>
      <c r="G3124" s="594">
        <v>1349.9</v>
      </c>
      <c r="H3124" s="594">
        <v>5</v>
      </c>
      <c r="I3124" s="594">
        <v>6</v>
      </c>
      <c r="J3124" s="594">
        <v>90</v>
      </c>
      <c r="K3124" s="590" t="s">
        <v>224</v>
      </c>
      <c r="L3124" s="595">
        <f t="shared" si="475"/>
        <v>1495816</v>
      </c>
      <c r="M3124" s="596">
        <f>J3124*16000</f>
        <v>1440000</v>
      </c>
      <c r="N3124" s="597">
        <v>25000</v>
      </c>
      <c r="O3124" s="598"/>
      <c r="P3124" s="597"/>
      <c r="Q3124" s="597">
        <v>30816</v>
      </c>
      <c r="R3124" s="599">
        <f>M3124/J3124</f>
        <v>16000</v>
      </c>
      <c r="S3124" s="594"/>
      <c r="T3124" s="600"/>
      <c r="U3124" s="709"/>
      <c r="V3124" s="601"/>
      <c r="W3124" s="601"/>
      <c r="X3124" s="601"/>
      <c r="Y3124" s="601"/>
      <c r="Z3124" s="601"/>
    </row>
    <row r="3125" spans="1:26" s="75" customFormat="1" hidden="1">
      <c r="A3125" s="709">
        <f t="shared" si="471"/>
        <v>229</v>
      </c>
      <c r="B3125" s="592" t="s">
        <v>2547</v>
      </c>
      <c r="C3125" s="593" t="s">
        <v>229</v>
      </c>
      <c r="D3125" s="594">
        <v>2973</v>
      </c>
      <c r="E3125" s="594">
        <v>334</v>
      </c>
      <c r="F3125" s="594" t="s">
        <v>222</v>
      </c>
      <c r="G3125" s="594">
        <v>797.1</v>
      </c>
      <c r="H3125" s="594">
        <v>2</v>
      </c>
      <c r="I3125" s="594">
        <v>3</v>
      </c>
      <c r="J3125" s="594">
        <v>20</v>
      </c>
      <c r="K3125" s="590" t="s">
        <v>33</v>
      </c>
      <c r="L3125" s="595">
        <f t="shared" si="475"/>
        <v>1796407.86</v>
      </c>
      <c r="M3125" s="596">
        <f>SUM(G3125*2200)</f>
        <v>1753620</v>
      </c>
      <c r="N3125" s="597"/>
      <c r="O3125" s="598">
        <f t="shared" ref="O3125:O3138" si="477">M3125*0.3%</f>
        <v>5260.86</v>
      </c>
      <c r="P3125" s="597"/>
      <c r="Q3125" s="597">
        <v>37527</v>
      </c>
      <c r="R3125" s="599">
        <f t="shared" ref="R3125:R3131" si="478">M3125/G3125</f>
        <v>2200</v>
      </c>
      <c r="S3125" s="594"/>
      <c r="T3125" s="600"/>
      <c r="U3125" s="709"/>
      <c r="V3125" s="601"/>
      <c r="W3125" s="601"/>
      <c r="X3125" s="601"/>
      <c r="Y3125" s="601"/>
      <c r="Z3125" s="601"/>
    </row>
    <row r="3126" spans="1:26" s="75" customFormat="1" hidden="1">
      <c r="A3126" s="709">
        <f t="shared" si="471"/>
        <v>230</v>
      </c>
      <c r="B3126" s="592" t="s">
        <v>2548</v>
      </c>
      <c r="C3126" s="593" t="s">
        <v>229</v>
      </c>
      <c r="D3126" s="594">
        <v>3024</v>
      </c>
      <c r="E3126" s="594">
        <v>334</v>
      </c>
      <c r="F3126" s="594" t="s">
        <v>222</v>
      </c>
      <c r="G3126" s="594">
        <v>1151.4000000000001</v>
      </c>
      <c r="H3126" s="594">
        <v>2</v>
      </c>
      <c r="I3126" s="594">
        <v>2</v>
      </c>
      <c r="J3126" s="594">
        <v>30</v>
      </c>
      <c r="K3126" s="590" t="s">
        <v>33</v>
      </c>
      <c r="L3126" s="595">
        <f t="shared" si="475"/>
        <v>2580679.2400000002</v>
      </c>
      <c r="M3126" s="596">
        <f>SUM(G3126*2200)</f>
        <v>2533080</v>
      </c>
      <c r="N3126" s="597"/>
      <c r="O3126" s="598">
        <f t="shared" si="477"/>
        <v>7599.24</v>
      </c>
      <c r="P3126" s="597"/>
      <c r="Q3126" s="597">
        <v>40000</v>
      </c>
      <c r="R3126" s="599">
        <f t="shared" si="478"/>
        <v>2200</v>
      </c>
      <c r="S3126" s="594"/>
      <c r="T3126" s="600"/>
      <c r="U3126" s="709"/>
      <c r="V3126" s="601"/>
      <c r="W3126" s="601"/>
      <c r="X3126" s="601"/>
      <c r="Y3126" s="601"/>
      <c r="Z3126" s="601"/>
    </row>
    <row r="3127" spans="1:26" s="75" customFormat="1" hidden="1">
      <c r="A3127" s="709">
        <f t="shared" si="471"/>
        <v>231</v>
      </c>
      <c r="B3127" s="592" t="s">
        <v>2549</v>
      </c>
      <c r="C3127" s="593" t="s">
        <v>217</v>
      </c>
      <c r="D3127" s="594">
        <v>37626</v>
      </c>
      <c r="E3127" s="594">
        <v>4380</v>
      </c>
      <c r="F3127" s="594" t="s">
        <v>233</v>
      </c>
      <c r="G3127" s="594">
        <v>1147.5</v>
      </c>
      <c r="H3127" s="594">
        <v>9</v>
      </c>
      <c r="I3127" s="594">
        <v>4</v>
      </c>
      <c r="J3127" s="594">
        <v>144</v>
      </c>
      <c r="K3127" s="590" t="s">
        <v>33</v>
      </c>
      <c r="L3127" s="595">
        <f t="shared" si="475"/>
        <v>2468548.25</v>
      </c>
      <c r="M3127" s="596">
        <f>G3127*2100</f>
        <v>2409750</v>
      </c>
      <c r="N3127" s="597"/>
      <c r="O3127" s="598">
        <f t="shared" si="477"/>
        <v>7229.25</v>
      </c>
      <c r="P3127" s="597"/>
      <c r="Q3127" s="597">
        <v>51569</v>
      </c>
      <c r="R3127" s="599">
        <f t="shared" si="478"/>
        <v>2100</v>
      </c>
      <c r="S3127" s="594"/>
      <c r="T3127" s="600"/>
      <c r="U3127" s="709"/>
      <c r="V3127" s="601"/>
      <c r="W3127" s="601"/>
      <c r="X3127" s="601"/>
      <c r="Y3127" s="601"/>
      <c r="Z3127" s="601"/>
    </row>
    <row r="3128" spans="1:26" s="75" customFormat="1" hidden="1">
      <c r="A3128" s="709">
        <f t="shared" si="471"/>
        <v>232</v>
      </c>
      <c r="B3128" s="592" t="s">
        <v>2550</v>
      </c>
      <c r="C3128" s="593" t="s">
        <v>408</v>
      </c>
      <c r="D3128" s="594">
        <v>7667</v>
      </c>
      <c r="E3128" s="594">
        <v>1613</v>
      </c>
      <c r="F3128" s="594" t="s">
        <v>233</v>
      </c>
      <c r="G3128" s="594">
        <v>602.4</v>
      </c>
      <c r="H3128" s="594">
        <v>5</v>
      </c>
      <c r="I3128" s="594">
        <v>3</v>
      </c>
      <c r="J3128" s="594">
        <v>45</v>
      </c>
      <c r="K3128" s="590" t="s">
        <v>33</v>
      </c>
      <c r="L3128" s="595">
        <f t="shared" si="475"/>
        <v>1295907.1200000001</v>
      </c>
      <c r="M3128" s="596">
        <f>SUM(G3128*2100)</f>
        <v>1265040</v>
      </c>
      <c r="N3128" s="597"/>
      <c r="O3128" s="598">
        <f t="shared" si="477"/>
        <v>3795.12</v>
      </c>
      <c r="P3128" s="597"/>
      <c r="Q3128" s="597">
        <v>27072</v>
      </c>
      <c r="R3128" s="599">
        <f t="shared" si="478"/>
        <v>2100</v>
      </c>
      <c r="S3128" s="594"/>
      <c r="T3128" s="600"/>
      <c r="U3128" s="709"/>
      <c r="V3128" s="601"/>
      <c r="W3128" s="601"/>
      <c r="X3128" s="601"/>
      <c r="Y3128" s="601"/>
      <c r="Z3128" s="601"/>
    </row>
    <row r="3129" spans="1:26" s="75" customFormat="1" hidden="1">
      <c r="A3129" s="709">
        <f t="shared" ref="A3129:A3182" si="479">A3128+1</f>
        <v>233</v>
      </c>
      <c r="B3129" s="592" t="s">
        <v>2551</v>
      </c>
      <c r="C3129" s="593" t="s">
        <v>408</v>
      </c>
      <c r="D3129" s="594">
        <v>7761</v>
      </c>
      <c r="E3129" s="594">
        <v>1613</v>
      </c>
      <c r="F3129" s="594" t="s">
        <v>233</v>
      </c>
      <c r="G3129" s="594">
        <v>609.70000000000005</v>
      </c>
      <c r="H3129" s="594">
        <v>5</v>
      </c>
      <c r="I3129" s="594">
        <v>3</v>
      </c>
      <c r="J3129" s="594">
        <v>45</v>
      </c>
      <c r="K3129" s="590" t="s">
        <v>33</v>
      </c>
      <c r="L3129" s="595">
        <f t="shared" si="475"/>
        <v>1311611.1100000001</v>
      </c>
      <c r="M3129" s="596">
        <f>SUM(G3129*2100)</f>
        <v>1280370</v>
      </c>
      <c r="N3129" s="597"/>
      <c r="O3129" s="598">
        <f t="shared" si="477"/>
        <v>3841.11</v>
      </c>
      <c r="P3129" s="597"/>
      <c r="Q3129" s="597">
        <v>27400</v>
      </c>
      <c r="R3129" s="599">
        <f t="shared" si="478"/>
        <v>2100</v>
      </c>
      <c r="S3129" s="594"/>
      <c r="T3129" s="600"/>
      <c r="U3129" s="709"/>
      <c r="V3129" s="601"/>
      <c r="W3129" s="601"/>
      <c r="X3129" s="601"/>
      <c r="Y3129" s="601"/>
      <c r="Z3129" s="601"/>
    </row>
    <row r="3130" spans="1:26" s="75" customFormat="1" hidden="1">
      <c r="A3130" s="709">
        <f t="shared" si="479"/>
        <v>234</v>
      </c>
      <c r="B3130" s="592" t="s">
        <v>2552</v>
      </c>
      <c r="C3130" s="593" t="s">
        <v>408</v>
      </c>
      <c r="D3130" s="594">
        <v>17426</v>
      </c>
      <c r="E3130" s="594">
        <v>3030</v>
      </c>
      <c r="F3130" s="594" t="s">
        <v>233</v>
      </c>
      <c r="G3130" s="594">
        <v>1322</v>
      </c>
      <c r="H3130" s="594">
        <v>5</v>
      </c>
      <c r="I3130" s="594">
        <v>4</v>
      </c>
      <c r="J3130" s="594">
        <v>80</v>
      </c>
      <c r="K3130" s="590" t="s">
        <v>33</v>
      </c>
      <c r="L3130" s="595">
        <f t="shared" si="475"/>
        <v>2824528.6</v>
      </c>
      <c r="M3130" s="596">
        <f>SUM(G3130*2100)</f>
        <v>2776200</v>
      </c>
      <c r="N3130" s="597"/>
      <c r="O3130" s="598">
        <f t="shared" si="477"/>
        <v>8328.6</v>
      </c>
      <c r="P3130" s="597"/>
      <c r="Q3130" s="597">
        <v>40000</v>
      </c>
      <c r="R3130" s="599">
        <f t="shared" si="478"/>
        <v>2100</v>
      </c>
      <c r="S3130" s="594"/>
      <c r="T3130" s="600"/>
      <c r="U3130" s="709"/>
      <c r="V3130" s="601"/>
      <c r="W3130" s="601"/>
      <c r="X3130" s="601"/>
      <c r="Y3130" s="601"/>
      <c r="Z3130" s="601"/>
    </row>
    <row r="3131" spans="1:26" s="75" customFormat="1" hidden="1">
      <c r="A3131" s="709">
        <f t="shared" si="479"/>
        <v>235</v>
      </c>
      <c r="B3131" s="592" t="s">
        <v>2553</v>
      </c>
      <c r="C3131" s="593" t="s">
        <v>408</v>
      </c>
      <c r="D3131" s="594">
        <v>17426</v>
      </c>
      <c r="E3131" s="594">
        <v>3030</v>
      </c>
      <c r="F3131" s="594" t="s">
        <v>233</v>
      </c>
      <c r="G3131" s="594">
        <v>1322</v>
      </c>
      <c r="H3131" s="594">
        <v>5</v>
      </c>
      <c r="I3131" s="594">
        <v>4</v>
      </c>
      <c r="J3131" s="594">
        <v>80</v>
      </c>
      <c r="K3131" s="590" t="s">
        <v>33</v>
      </c>
      <c r="L3131" s="595">
        <f t="shared" si="475"/>
        <v>2824528.6</v>
      </c>
      <c r="M3131" s="596">
        <f>SUM(G3131*2100)</f>
        <v>2776200</v>
      </c>
      <c r="N3131" s="597"/>
      <c r="O3131" s="598">
        <f t="shared" si="477"/>
        <v>8328.6</v>
      </c>
      <c r="P3131" s="597"/>
      <c r="Q3131" s="597">
        <v>40000</v>
      </c>
      <c r="R3131" s="599">
        <f t="shared" si="478"/>
        <v>2100</v>
      </c>
      <c r="S3131" s="594"/>
      <c r="T3131" s="600"/>
      <c r="U3131" s="709"/>
      <c r="V3131" s="601"/>
      <c r="W3131" s="601"/>
      <c r="X3131" s="601"/>
      <c r="Y3131" s="601"/>
      <c r="Z3131" s="601"/>
    </row>
    <row r="3132" spans="1:26" s="75" customFormat="1" hidden="1">
      <c r="A3132" s="709">
        <f t="shared" si="479"/>
        <v>236</v>
      </c>
      <c r="B3132" s="592" t="s">
        <v>2554</v>
      </c>
      <c r="C3132" s="593" t="s">
        <v>271</v>
      </c>
      <c r="D3132" s="594">
        <v>18067</v>
      </c>
      <c r="E3132" s="594">
        <v>3375</v>
      </c>
      <c r="F3132" s="594" t="s">
        <v>230</v>
      </c>
      <c r="G3132" s="594">
        <v>1538</v>
      </c>
      <c r="H3132" s="594">
        <v>4</v>
      </c>
      <c r="I3132" s="594">
        <v>6</v>
      </c>
      <c r="J3132" s="594">
        <v>47</v>
      </c>
      <c r="K3132" s="590" t="s">
        <v>38</v>
      </c>
      <c r="L3132" s="595">
        <f t="shared" si="475"/>
        <v>8502812.5</v>
      </c>
      <c r="M3132" s="596">
        <f>E3132*2500</f>
        <v>8437500</v>
      </c>
      <c r="N3132" s="597"/>
      <c r="O3132" s="598">
        <f t="shared" si="477"/>
        <v>25312.5</v>
      </c>
      <c r="P3132" s="597"/>
      <c r="Q3132" s="597">
        <v>40000</v>
      </c>
      <c r="R3132" s="599">
        <f>M3132/E3132</f>
        <v>2500</v>
      </c>
      <c r="S3132" s="594"/>
      <c r="T3132" s="600"/>
      <c r="U3132" s="709"/>
      <c r="V3132" s="601"/>
      <c r="W3132" s="601"/>
      <c r="X3132" s="601"/>
      <c r="Y3132" s="601"/>
      <c r="Z3132" s="601"/>
    </row>
    <row r="3133" spans="1:26" s="75" customFormat="1" ht="37.5" hidden="1">
      <c r="A3133" s="709">
        <f t="shared" si="479"/>
        <v>237</v>
      </c>
      <c r="B3133" s="592" t="s">
        <v>2555</v>
      </c>
      <c r="C3133" s="593" t="s">
        <v>271</v>
      </c>
      <c r="D3133" s="650">
        <v>2979</v>
      </c>
      <c r="E3133" s="594">
        <v>520</v>
      </c>
      <c r="F3133" s="594" t="s">
        <v>230</v>
      </c>
      <c r="G3133" s="594">
        <v>472.7</v>
      </c>
      <c r="H3133" s="594">
        <v>2</v>
      </c>
      <c r="I3133" s="594">
        <v>1</v>
      </c>
      <c r="J3133" s="594">
        <v>10</v>
      </c>
      <c r="K3133" s="590" t="s">
        <v>30</v>
      </c>
      <c r="L3133" s="595">
        <f t="shared" si="475"/>
        <v>290750</v>
      </c>
      <c r="M3133" s="596">
        <f>J3133*25000</f>
        <v>250000</v>
      </c>
      <c r="N3133" s="597"/>
      <c r="O3133" s="598">
        <f t="shared" si="477"/>
        <v>750</v>
      </c>
      <c r="P3133" s="597"/>
      <c r="Q3133" s="597">
        <v>40000</v>
      </c>
      <c r="R3133" s="599">
        <f>M3133/J3133</f>
        <v>25000</v>
      </c>
      <c r="S3133" s="594"/>
      <c r="T3133" s="600"/>
      <c r="U3133" s="709"/>
      <c r="V3133" s="601"/>
      <c r="W3133" s="601"/>
      <c r="X3133" s="601"/>
      <c r="Y3133" s="601"/>
      <c r="Z3133" s="601"/>
    </row>
    <row r="3134" spans="1:26" s="75" customFormat="1" hidden="1">
      <c r="A3134" s="709">
        <f t="shared" si="479"/>
        <v>238</v>
      </c>
      <c r="B3134" s="592" t="s">
        <v>2556</v>
      </c>
      <c r="C3134" s="593" t="s">
        <v>271</v>
      </c>
      <c r="D3134" s="650">
        <v>4602</v>
      </c>
      <c r="E3134" s="594">
        <v>1123.8</v>
      </c>
      <c r="F3134" s="594" t="s">
        <v>222</v>
      </c>
      <c r="G3134" s="594">
        <v>612</v>
      </c>
      <c r="H3134" s="594">
        <v>3</v>
      </c>
      <c r="I3134" s="594">
        <v>2</v>
      </c>
      <c r="J3134" s="594">
        <v>27</v>
      </c>
      <c r="K3134" s="590" t="s">
        <v>246</v>
      </c>
      <c r="L3134" s="595">
        <f t="shared" si="475"/>
        <v>2187319.66</v>
      </c>
      <c r="M3134" s="596">
        <f>E3134*1900</f>
        <v>2135220</v>
      </c>
      <c r="N3134" s="597"/>
      <c r="O3134" s="598">
        <f t="shared" si="477"/>
        <v>6405.66</v>
      </c>
      <c r="P3134" s="597"/>
      <c r="Q3134" s="597">
        <v>45694</v>
      </c>
      <c r="R3134" s="599">
        <f>M3134/E3134</f>
        <v>1900</v>
      </c>
      <c r="S3134" s="594"/>
      <c r="T3134" s="600"/>
      <c r="U3134" s="709"/>
      <c r="V3134" s="601"/>
      <c r="W3134" s="601"/>
      <c r="X3134" s="601"/>
      <c r="Y3134" s="601"/>
      <c r="Z3134" s="601"/>
    </row>
    <row r="3135" spans="1:26" s="75" customFormat="1" hidden="1">
      <c r="A3135" s="709">
        <f t="shared" si="479"/>
        <v>239</v>
      </c>
      <c r="B3135" s="592" t="s">
        <v>2557</v>
      </c>
      <c r="C3135" s="593" t="s">
        <v>271</v>
      </c>
      <c r="D3135" s="650">
        <v>4772</v>
      </c>
      <c r="E3135" s="594">
        <v>1123.8</v>
      </c>
      <c r="F3135" s="594" t="s">
        <v>222</v>
      </c>
      <c r="G3135" s="594">
        <v>678</v>
      </c>
      <c r="H3135" s="594">
        <v>3</v>
      </c>
      <c r="I3135" s="594">
        <v>2</v>
      </c>
      <c r="J3135" s="594">
        <v>27</v>
      </c>
      <c r="K3135" s="590" t="s">
        <v>33</v>
      </c>
      <c r="L3135" s="595">
        <f t="shared" si="475"/>
        <v>1944721.2</v>
      </c>
      <c r="M3135" s="596">
        <f>G3135*2800</f>
        <v>1898400</v>
      </c>
      <c r="N3135" s="597"/>
      <c r="O3135" s="598">
        <f t="shared" si="477"/>
        <v>5695.2</v>
      </c>
      <c r="P3135" s="597"/>
      <c r="Q3135" s="597">
        <v>40626</v>
      </c>
      <c r="R3135" s="599">
        <f>M3135/G3135</f>
        <v>2800</v>
      </c>
      <c r="S3135" s="594"/>
      <c r="T3135" s="600"/>
      <c r="U3135" s="709"/>
      <c r="V3135" s="601"/>
      <c r="W3135" s="601"/>
      <c r="X3135" s="601"/>
      <c r="Y3135" s="601"/>
      <c r="Z3135" s="601"/>
    </row>
    <row r="3136" spans="1:26" s="75" customFormat="1" hidden="1">
      <c r="A3136" s="709">
        <f t="shared" si="479"/>
        <v>240</v>
      </c>
      <c r="B3136" s="592" t="s">
        <v>2558</v>
      </c>
      <c r="C3136" s="593" t="s">
        <v>271</v>
      </c>
      <c r="D3136" s="650">
        <v>4559</v>
      </c>
      <c r="E3136" s="594">
        <v>1123.8</v>
      </c>
      <c r="F3136" s="594" t="s">
        <v>222</v>
      </c>
      <c r="G3136" s="594">
        <v>674</v>
      </c>
      <c r="H3136" s="594">
        <v>3</v>
      </c>
      <c r="I3136" s="594">
        <v>2</v>
      </c>
      <c r="J3136" s="594">
        <v>27</v>
      </c>
      <c r="K3136" s="590" t="s">
        <v>33</v>
      </c>
      <c r="L3136" s="595">
        <f t="shared" si="475"/>
        <v>1933247.6</v>
      </c>
      <c r="M3136" s="596">
        <f>G3136*2800</f>
        <v>1887200</v>
      </c>
      <c r="N3136" s="597"/>
      <c r="O3136" s="598">
        <f t="shared" si="477"/>
        <v>5661.6</v>
      </c>
      <c r="P3136" s="597"/>
      <c r="Q3136" s="597">
        <v>40386</v>
      </c>
      <c r="R3136" s="599">
        <f>M3136/G3136</f>
        <v>2800</v>
      </c>
      <c r="S3136" s="594"/>
      <c r="T3136" s="600"/>
      <c r="U3136" s="709"/>
      <c r="V3136" s="601"/>
      <c r="W3136" s="601"/>
      <c r="X3136" s="601"/>
      <c r="Y3136" s="601"/>
      <c r="Z3136" s="601"/>
    </row>
    <row r="3137" spans="1:26" s="75" customFormat="1" hidden="1">
      <c r="A3137" s="709">
        <f t="shared" si="479"/>
        <v>241</v>
      </c>
      <c r="B3137" s="592" t="s">
        <v>2559</v>
      </c>
      <c r="C3137" s="593" t="s">
        <v>217</v>
      </c>
      <c r="D3137" s="594">
        <v>43747.72</v>
      </c>
      <c r="E3137" s="594">
        <v>7693</v>
      </c>
      <c r="F3137" s="594" t="s">
        <v>233</v>
      </c>
      <c r="G3137" s="594">
        <v>2022</v>
      </c>
      <c r="H3137" s="594">
        <v>9</v>
      </c>
      <c r="I3137" s="594">
        <v>6</v>
      </c>
      <c r="J3137" s="594">
        <v>216</v>
      </c>
      <c r="K3137" s="590" t="s">
        <v>33</v>
      </c>
      <c r="L3137" s="595">
        <f t="shared" si="475"/>
        <v>4349807.5999999996</v>
      </c>
      <c r="M3137" s="596">
        <f>G3137*2100</f>
        <v>4246200</v>
      </c>
      <c r="N3137" s="597"/>
      <c r="O3137" s="598">
        <f t="shared" si="477"/>
        <v>12738.6</v>
      </c>
      <c r="P3137" s="597"/>
      <c r="Q3137" s="597">
        <v>90869</v>
      </c>
      <c r="R3137" s="599">
        <f>M3137/G3137</f>
        <v>2100</v>
      </c>
      <c r="S3137" s="594"/>
      <c r="T3137" s="600"/>
      <c r="U3137" s="709"/>
      <c r="V3137" s="601"/>
      <c r="W3137" s="601"/>
      <c r="X3137" s="601"/>
      <c r="Y3137" s="601"/>
      <c r="Z3137" s="601"/>
    </row>
    <row r="3138" spans="1:26" s="75" customFormat="1" hidden="1">
      <c r="A3138" s="709">
        <f t="shared" si="479"/>
        <v>242</v>
      </c>
      <c r="B3138" s="592" t="s">
        <v>2561</v>
      </c>
      <c r="C3138" s="593" t="s">
        <v>217</v>
      </c>
      <c r="D3138" s="594">
        <v>29941</v>
      </c>
      <c r="E3138" s="594">
        <v>6161.76</v>
      </c>
      <c r="F3138" s="594" t="s">
        <v>233</v>
      </c>
      <c r="G3138" s="594">
        <v>1420</v>
      </c>
      <c r="H3138" s="594">
        <v>9</v>
      </c>
      <c r="I3138" s="594">
        <v>4</v>
      </c>
      <c r="J3138" s="594">
        <v>140</v>
      </c>
      <c r="K3138" s="590" t="s">
        <v>33</v>
      </c>
      <c r="L3138" s="595">
        <f t="shared" si="475"/>
        <v>3030946</v>
      </c>
      <c r="M3138" s="596">
        <f>G3138*2100</f>
        <v>2982000</v>
      </c>
      <c r="N3138" s="597"/>
      <c r="O3138" s="598">
        <f t="shared" si="477"/>
        <v>8946</v>
      </c>
      <c r="P3138" s="597"/>
      <c r="Q3138" s="597">
        <v>40000</v>
      </c>
      <c r="R3138" s="599">
        <f>M3138/G3138</f>
        <v>2100</v>
      </c>
      <c r="S3138" s="594"/>
      <c r="T3138" s="600"/>
      <c r="U3138" s="709"/>
      <c r="V3138" s="601"/>
      <c r="W3138" s="601"/>
      <c r="X3138" s="601"/>
      <c r="Y3138" s="601"/>
      <c r="Z3138" s="601"/>
    </row>
    <row r="3139" spans="1:26" s="75" customFormat="1" hidden="1">
      <c r="A3139" s="709">
        <f t="shared" si="479"/>
        <v>243</v>
      </c>
      <c r="B3139" s="592" t="s">
        <v>2562</v>
      </c>
      <c r="C3139" s="593" t="s">
        <v>271</v>
      </c>
      <c r="D3139" s="594">
        <v>8243</v>
      </c>
      <c r="E3139" s="594">
        <v>2302.3000000000002</v>
      </c>
      <c r="F3139" s="594" t="s">
        <v>230</v>
      </c>
      <c r="G3139" s="594">
        <v>741</v>
      </c>
      <c r="H3139" s="594">
        <v>6</v>
      </c>
      <c r="I3139" s="594">
        <v>2</v>
      </c>
      <c r="J3139" s="594">
        <v>20</v>
      </c>
      <c r="K3139" s="590" t="s">
        <v>380</v>
      </c>
      <c r="L3139" s="595">
        <f t="shared" si="475"/>
        <v>7925000</v>
      </c>
      <c r="M3139" s="596">
        <v>7840000</v>
      </c>
      <c r="N3139" s="597">
        <v>45000</v>
      </c>
      <c r="O3139" s="598"/>
      <c r="P3139" s="597"/>
      <c r="Q3139" s="597">
        <v>40000</v>
      </c>
      <c r="R3139" s="599">
        <f>M3139/E3139</f>
        <v>3405.2903618121009</v>
      </c>
      <c r="S3139" s="594"/>
      <c r="T3139" s="600"/>
      <c r="U3139" s="709"/>
      <c r="V3139" s="601"/>
      <c r="W3139" s="601"/>
      <c r="X3139" s="601"/>
      <c r="Y3139" s="601"/>
      <c r="Z3139" s="601"/>
    </row>
    <row r="3140" spans="1:26" s="75" customFormat="1" hidden="1">
      <c r="A3140" s="709">
        <f t="shared" si="479"/>
        <v>244</v>
      </c>
      <c r="B3140" s="592" t="s">
        <v>2564</v>
      </c>
      <c r="C3140" s="593" t="s">
        <v>271</v>
      </c>
      <c r="D3140" s="594">
        <v>102002</v>
      </c>
      <c r="E3140" s="594">
        <v>12600</v>
      </c>
      <c r="F3140" s="594" t="s">
        <v>233</v>
      </c>
      <c r="G3140" s="594">
        <v>3828.1</v>
      </c>
      <c r="H3140" s="594">
        <v>10</v>
      </c>
      <c r="I3140" s="594">
        <v>8</v>
      </c>
      <c r="J3140" s="594">
        <v>290</v>
      </c>
      <c r="K3140" s="590" t="s">
        <v>380</v>
      </c>
      <c r="L3140" s="595">
        <f t="shared" si="475"/>
        <v>56785000</v>
      </c>
      <c r="M3140" s="596">
        <f>E3140*4500</f>
        <v>56700000</v>
      </c>
      <c r="N3140" s="597">
        <v>45000</v>
      </c>
      <c r="O3140" s="598"/>
      <c r="P3140" s="597"/>
      <c r="Q3140" s="597">
        <v>40000</v>
      </c>
      <c r="R3140" s="599">
        <f>M3140/E3140</f>
        <v>4500</v>
      </c>
      <c r="S3140" s="594"/>
      <c r="T3140" s="600"/>
      <c r="U3140" s="709"/>
      <c r="V3140" s="601"/>
      <c r="W3140" s="601"/>
      <c r="X3140" s="601"/>
      <c r="Y3140" s="601"/>
      <c r="Z3140" s="601"/>
    </row>
    <row r="3141" spans="1:26" s="75" customFormat="1" hidden="1">
      <c r="A3141" s="709">
        <f t="shared" si="479"/>
        <v>245</v>
      </c>
      <c r="B3141" s="592" t="s">
        <v>2565</v>
      </c>
      <c r="C3141" s="593" t="s">
        <v>271</v>
      </c>
      <c r="D3141" s="594">
        <v>10434</v>
      </c>
      <c r="E3141" s="594">
        <v>1530</v>
      </c>
      <c r="F3141" s="594" t="s">
        <v>222</v>
      </c>
      <c r="G3141" s="594">
        <v>907.5</v>
      </c>
      <c r="H3141" s="594">
        <v>5</v>
      </c>
      <c r="I3141" s="594">
        <v>3</v>
      </c>
      <c r="J3141" s="594">
        <v>61</v>
      </c>
      <c r="K3141" s="590" t="s">
        <v>33</v>
      </c>
      <c r="L3141" s="595">
        <f t="shared" si="475"/>
        <v>3225778.75</v>
      </c>
      <c r="M3141" s="596">
        <f>G3141*3500</f>
        <v>3176250</v>
      </c>
      <c r="N3141" s="597"/>
      <c r="O3141" s="598">
        <f>M3141*0.3%</f>
        <v>9528.75</v>
      </c>
      <c r="P3141" s="597"/>
      <c r="Q3141" s="597">
        <v>40000</v>
      </c>
      <c r="R3141" s="599">
        <f>M3141/G3141</f>
        <v>3500</v>
      </c>
      <c r="S3141" s="594"/>
      <c r="T3141" s="600"/>
      <c r="U3141" s="709"/>
      <c r="V3141" s="601"/>
      <c r="W3141" s="601"/>
      <c r="X3141" s="601"/>
      <c r="Y3141" s="601"/>
      <c r="Z3141" s="601"/>
    </row>
    <row r="3142" spans="1:26" s="75" customFormat="1" ht="37.5" hidden="1">
      <c r="A3142" s="709">
        <f t="shared" si="479"/>
        <v>246</v>
      </c>
      <c r="B3142" s="1177" t="s">
        <v>2566</v>
      </c>
      <c r="C3142" s="593" t="s">
        <v>271</v>
      </c>
      <c r="D3142" s="594">
        <v>26544</v>
      </c>
      <c r="E3142" s="594">
        <v>3320</v>
      </c>
      <c r="F3142" s="594" t="s">
        <v>233</v>
      </c>
      <c r="G3142" s="1182">
        <v>414.4</v>
      </c>
      <c r="H3142" s="594">
        <v>12</v>
      </c>
      <c r="I3142" s="594">
        <v>1</v>
      </c>
      <c r="J3142" s="664">
        <v>78</v>
      </c>
      <c r="K3142" s="590" t="s">
        <v>366</v>
      </c>
      <c r="L3142" s="595">
        <f t="shared" si="475"/>
        <v>4142250</v>
      </c>
      <c r="M3142" s="596">
        <v>4036000</v>
      </c>
      <c r="N3142" s="686">
        <v>106250</v>
      </c>
      <c r="O3142" s="598"/>
      <c r="P3142" s="597"/>
      <c r="Q3142" s="597"/>
      <c r="R3142" s="599">
        <v>2200000</v>
      </c>
      <c r="S3142" s="594"/>
      <c r="T3142" s="600"/>
      <c r="U3142" s="709"/>
      <c r="V3142" s="601"/>
      <c r="W3142" s="601"/>
      <c r="X3142" s="601"/>
      <c r="Y3142" s="601"/>
      <c r="Z3142" s="601"/>
    </row>
    <row r="3143" spans="1:26" s="75" customFormat="1" hidden="1">
      <c r="A3143" s="709">
        <f>A3142+1</f>
        <v>247</v>
      </c>
      <c r="B3143" s="592" t="s">
        <v>2569</v>
      </c>
      <c r="C3143" s="593" t="s">
        <v>271</v>
      </c>
      <c r="D3143" s="594">
        <v>4564</v>
      </c>
      <c r="E3143" s="594">
        <v>1234</v>
      </c>
      <c r="F3143" s="594" t="s">
        <v>222</v>
      </c>
      <c r="G3143" s="594">
        <v>699</v>
      </c>
      <c r="H3143" s="594">
        <v>3</v>
      </c>
      <c r="I3143" s="594">
        <v>3</v>
      </c>
      <c r="J3143" s="594">
        <v>34</v>
      </c>
      <c r="K3143" s="590" t="s">
        <v>224</v>
      </c>
      <c r="L3143" s="595">
        <f t="shared" si="475"/>
        <v>582642</v>
      </c>
      <c r="M3143" s="596">
        <f>J3143*16000</f>
        <v>544000</v>
      </c>
      <c r="N3143" s="597">
        <v>27000</v>
      </c>
      <c r="O3143" s="598"/>
      <c r="P3143" s="597"/>
      <c r="Q3143" s="597">
        <v>11642</v>
      </c>
      <c r="R3143" s="599">
        <f>M3143/J3143</f>
        <v>16000</v>
      </c>
      <c r="S3143" s="594"/>
      <c r="T3143" s="600"/>
      <c r="U3143" s="709"/>
      <c r="V3143" s="601"/>
      <c r="W3143" s="601"/>
      <c r="X3143" s="601"/>
      <c r="Y3143" s="601"/>
      <c r="Z3143" s="601"/>
    </row>
    <row r="3144" spans="1:26" s="75" customFormat="1" hidden="1">
      <c r="A3144" s="709">
        <f t="shared" si="479"/>
        <v>248</v>
      </c>
      <c r="B3144" s="592" t="s">
        <v>2570</v>
      </c>
      <c r="C3144" s="593" t="s">
        <v>271</v>
      </c>
      <c r="D3144" s="594">
        <v>6993</v>
      </c>
      <c r="E3144" s="594">
        <v>3990</v>
      </c>
      <c r="F3144" s="594" t="s">
        <v>230</v>
      </c>
      <c r="G3144" s="594">
        <v>375</v>
      </c>
      <c r="H3144" s="594">
        <v>6</v>
      </c>
      <c r="I3144" s="594">
        <v>1</v>
      </c>
      <c r="J3144" s="594">
        <v>22</v>
      </c>
      <c r="K3144" s="590" t="s">
        <v>33</v>
      </c>
      <c r="L3144" s="595">
        <f t="shared" si="475"/>
        <v>1075620</v>
      </c>
      <c r="M3144" s="596">
        <f>G3144*2800</f>
        <v>1050000</v>
      </c>
      <c r="N3144" s="597"/>
      <c r="O3144" s="598">
        <f>M3144*0.3%</f>
        <v>3150</v>
      </c>
      <c r="P3144" s="597"/>
      <c r="Q3144" s="597">
        <v>22470</v>
      </c>
      <c r="R3144" s="599">
        <f>M3144/G3144</f>
        <v>2800</v>
      </c>
      <c r="S3144" s="594"/>
      <c r="T3144" s="600"/>
      <c r="U3144" s="709"/>
      <c r="V3144" s="601"/>
      <c r="W3144" s="601"/>
      <c r="X3144" s="601"/>
      <c r="Y3144" s="601"/>
      <c r="Z3144" s="601"/>
    </row>
    <row r="3145" spans="1:26" s="75" customFormat="1" hidden="1">
      <c r="A3145" s="709">
        <f t="shared" si="479"/>
        <v>249</v>
      </c>
      <c r="B3145" s="592" t="s">
        <v>2571</v>
      </c>
      <c r="C3145" s="593" t="s">
        <v>271</v>
      </c>
      <c r="D3145" s="594">
        <v>3348</v>
      </c>
      <c r="E3145" s="594">
        <v>692</v>
      </c>
      <c r="F3145" s="594" t="s">
        <v>222</v>
      </c>
      <c r="G3145" s="594">
        <v>659.9</v>
      </c>
      <c r="H3145" s="594">
        <v>2</v>
      </c>
      <c r="I3145" s="594">
        <v>2</v>
      </c>
      <c r="J3145" s="594">
        <v>12</v>
      </c>
      <c r="K3145" s="590" t="s">
        <v>224</v>
      </c>
      <c r="L3145" s="595">
        <f t="shared" si="475"/>
        <v>247622</v>
      </c>
      <c r="M3145" s="596">
        <f>J3145*18000</f>
        <v>216000</v>
      </c>
      <c r="N3145" s="597">
        <v>27000</v>
      </c>
      <c r="O3145" s="598"/>
      <c r="P3145" s="597"/>
      <c r="Q3145" s="597">
        <v>4622</v>
      </c>
      <c r="R3145" s="599">
        <f>M3145/J3145</f>
        <v>18000</v>
      </c>
      <c r="S3145" s="594"/>
      <c r="T3145" s="600"/>
      <c r="U3145" s="709"/>
      <c r="V3145" s="601"/>
      <c r="W3145" s="601"/>
      <c r="X3145" s="601"/>
      <c r="Y3145" s="601"/>
      <c r="Z3145" s="601"/>
    </row>
    <row r="3146" spans="1:26" s="75" customFormat="1" hidden="1">
      <c r="A3146" s="709">
        <f t="shared" si="479"/>
        <v>250</v>
      </c>
      <c r="B3146" s="592" t="s">
        <v>2572</v>
      </c>
      <c r="C3146" s="593" t="s">
        <v>271</v>
      </c>
      <c r="D3146" s="594">
        <v>3371</v>
      </c>
      <c r="E3146" s="594">
        <v>692</v>
      </c>
      <c r="F3146" s="594" t="s">
        <v>222</v>
      </c>
      <c r="G3146" s="594">
        <v>653.9</v>
      </c>
      <c r="H3146" s="594">
        <v>2</v>
      </c>
      <c r="I3146" s="594">
        <v>2</v>
      </c>
      <c r="J3146" s="594">
        <v>12</v>
      </c>
      <c r="K3146" s="590" t="s">
        <v>224</v>
      </c>
      <c r="L3146" s="595">
        <f t="shared" si="475"/>
        <v>247622</v>
      </c>
      <c r="M3146" s="596">
        <f>J3146*18000</f>
        <v>216000</v>
      </c>
      <c r="N3146" s="597">
        <v>27000</v>
      </c>
      <c r="O3146" s="598"/>
      <c r="P3146" s="597"/>
      <c r="Q3146" s="597">
        <v>4622</v>
      </c>
      <c r="R3146" s="599">
        <f>M3146/J3146</f>
        <v>18000</v>
      </c>
      <c r="S3146" s="594"/>
      <c r="T3146" s="600"/>
      <c r="U3146" s="709"/>
      <c r="V3146" s="601"/>
      <c r="W3146" s="601"/>
      <c r="X3146" s="601"/>
      <c r="Y3146" s="601"/>
      <c r="Z3146" s="601"/>
    </row>
    <row r="3147" spans="1:26" s="75" customFormat="1" hidden="1">
      <c r="A3147" s="709">
        <f t="shared" si="479"/>
        <v>251</v>
      </c>
      <c r="B3147" s="592" t="s">
        <v>2573</v>
      </c>
      <c r="C3147" s="593" t="s">
        <v>271</v>
      </c>
      <c r="D3147" s="594">
        <v>3498</v>
      </c>
      <c r="E3147" s="594">
        <v>692</v>
      </c>
      <c r="F3147" s="594" t="s">
        <v>222</v>
      </c>
      <c r="G3147" s="594">
        <v>668.7</v>
      </c>
      <c r="H3147" s="594">
        <v>2</v>
      </c>
      <c r="I3147" s="594">
        <v>2</v>
      </c>
      <c r="J3147" s="594">
        <v>12</v>
      </c>
      <c r="K3147" s="590" t="s">
        <v>224</v>
      </c>
      <c r="L3147" s="595">
        <f t="shared" si="475"/>
        <v>247622</v>
      </c>
      <c r="M3147" s="596">
        <f>J3147*18000</f>
        <v>216000</v>
      </c>
      <c r="N3147" s="597">
        <v>27000</v>
      </c>
      <c r="O3147" s="598"/>
      <c r="P3147" s="597"/>
      <c r="Q3147" s="597">
        <v>4622</v>
      </c>
      <c r="R3147" s="599">
        <f>M3147/J3147</f>
        <v>18000</v>
      </c>
      <c r="S3147" s="594"/>
      <c r="T3147" s="600"/>
      <c r="U3147" s="709"/>
      <c r="V3147" s="601"/>
      <c r="W3147" s="601"/>
      <c r="X3147" s="601"/>
      <c r="Y3147" s="601"/>
      <c r="Z3147" s="601"/>
    </row>
    <row r="3148" spans="1:26" s="75" customFormat="1" hidden="1">
      <c r="A3148" s="709">
        <f t="shared" si="479"/>
        <v>252</v>
      </c>
      <c r="B3148" s="592" t="s">
        <v>2574</v>
      </c>
      <c r="C3148" s="593" t="s">
        <v>271</v>
      </c>
      <c r="D3148" s="594">
        <v>24554</v>
      </c>
      <c r="E3148" s="594">
        <v>3430</v>
      </c>
      <c r="F3148" s="594" t="s">
        <v>399</v>
      </c>
      <c r="G3148" s="594">
        <v>350</v>
      </c>
      <c r="H3148" s="594">
        <v>16</v>
      </c>
      <c r="I3148" s="594">
        <v>1</v>
      </c>
      <c r="J3148" s="594">
        <v>79</v>
      </c>
      <c r="K3148" s="590" t="s">
        <v>33</v>
      </c>
      <c r="L3148" s="595">
        <f t="shared" si="475"/>
        <v>1147328</v>
      </c>
      <c r="M3148" s="596">
        <f>G3148*3200</f>
        <v>1120000</v>
      </c>
      <c r="N3148" s="597"/>
      <c r="O3148" s="598">
        <f>M3148*0.3%</f>
        <v>3360</v>
      </c>
      <c r="P3148" s="597"/>
      <c r="Q3148" s="597">
        <v>23968</v>
      </c>
      <c r="R3148" s="599">
        <f>M3148/G3148</f>
        <v>3200</v>
      </c>
      <c r="S3148" s="594"/>
      <c r="T3148" s="600"/>
      <c r="U3148" s="709"/>
      <c r="V3148" s="601"/>
      <c r="W3148" s="601"/>
      <c r="X3148" s="601"/>
      <c r="Y3148" s="601"/>
      <c r="Z3148" s="601"/>
    </row>
    <row r="3149" spans="1:26" s="75" customFormat="1" hidden="1">
      <c r="A3149" s="709">
        <f t="shared" si="479"/>
        <v>253</v>
      </c>
      <c r="B3149" s="592" t="s">
        <v>2575</v>
      </c>
      <c r="C3149" s="593" t="s">
        <v>271</v>
      </c>
      <c r="D3149" s="594">
        <v>17344</v>
      </c>
      <c r="E3149" s="594">
        <v>3860</v>
      </c>
      <c r="F3149" s="594" t="s">
        <v>233</v>
      </c>
      <c r="G3149" s="594">
        <v>860</v>
      </c>
      <c r="H3149" s="594">
        <v>9</v>
      </c>
      <c r="I3149" s="594">
        <v>2</v>
      </c>
      <c r="J3149" s="594">
        <v>90</v>
      </c>
      <c r="K3149" s="590" t="s">
        <v>224</v>
      </c>
      <c r="L3149" s="595">
        <v>2220582</v>
      </c>
      <c r="M3149" s="596">
        <v>2130000</v>
      </c>
      <c r="N3149" s="597">
        <v>45000</v>
      </c>
      <c r="O3149" s="598"/>
      <c r="P3149" s="597"/>
      <c r="Q3149" s="597">
        <v>45582</v>
      </c>
      <c r="R3149" s="599">
        <f>M3149/J3149</f>
        <v>23666.666666666668</v>
      </c>
      <c r="S3149" s="594"/>
      <c r="T3149" s="600"/>
      <c r="U3149" s="709"/>
      <c r="V3149" s="589"/>
      <c r="W3149" s="601"/>
      <c r="X3149" s="601"/>
      <c r="Y3149" s="601"/>
      <c r="Z3149" s="601"/>
    </row>
    <row r="3150" spans="1:26" s="75" customFormat="1" hidden="1">
      <c r="A3150" s="709">
        <f t="shared" si="479"/>
        <v>254</v>
      </c>
      <c r="B3150" s="592" t="s">
        <v>2576</v>
      </c>
      <c r="C3150" s="593" t="s">
        <v>271</v>
      </c>
      <c r="D3150" s="594">
        <v>14034</v>
      </c>
      <c r="E3150" s="594">
        <v>2440</v>
      </c>
      <c r="F3150" s="594" t="s">
        <v>222</v>
      </c>
      <c r="G3150" s="594">
        <v>1065</v>
      </c>
      <c r="H3150" s="594">
        <v>5</v>
      </c>
      <c r="I3150" s="594">
        <v>4</v>
      </c>
      <c r="J3150" s="594">
        <v>79</v>
      </c>
      <c r="K3150" s="590" t="s">
        <v>224</v>
      </c>
      <c r="L3150" s="595">
        <f t="shared" ref="L3150:L3192" si="480">M3150+N3150+O3150+P3150+Q3150</f>
        <v>1826878.23</v>
      </c>
      <c r="M3150" s="596">
        <v>1754335.23</v>
      </c>
      <c r="N3150" s="597">
        <v>35000</v>
      </c>
      <c r="O3150" s="598"/>
      <c r="P3150" s="597"/>
      <c r="Q3150" s="597">
        <v>37543</v>
      </c>
      <c r="R3150" s="599">
        <f>M3150/J3150</f>
        <v>22206.775063291137</v>
      </c>
      <c r="S3150" s="594"/>
      <c r="T3150" s="600"/>
      <c r="U3150" s="709"/>
      <c r="V3150" s="601"/>
      <c r="W3150" s="601"/>
      <c r="X3150" s="601"/>
      <c r="Y3150" s="601"/>
      <c r="Z3150" s="601"/>
    </row>
    <row r="3151" spans="1:26" s="75" customFormat="1" hidden="1">
      <c r="A3151" s="709">
        <f t="shared" si="479"/>
        <v>255</v>
      </c>
      <c r="B3151" s="592" t="s">
        <v>2578</v>
      </c>
      <c r="C3151" s="593" t="s">
        <v>217</v>
      </c>
      <c r="D3151" s="594">
        <v>12565</v>
      </c>
      <c r="E3151" s="594">
        <v>2860</v>
      </c>
      <c r="F3151" s="594" t="s">
        <v>233</v>
      </c>
      <c r="G3151" s="594">
        <v>414.4</v>
      </c>
      <c r="H3151" s="594">
        <v>12</v>
      </c>
      <c r="I3151" s="594">
        <v>1</v>
      </c>
      <c r="J3151" s="594">
        <v>48</v>
      </c>
      <c r="K3151" s="590" t="s">
        <v>33</v>
      </c>
      <c r="L3151" s="595">
        <f t="shared" si="480"/>
        <v>891473.72</v>
      </c>
      <c r="M3151" s="596">
        <f>G3151*2100</f>
        <v>870240</v>
      </c>
      <c r="N3151" s="597"/>
      <c r="O3151" s="598">
        <f>M3151*0.3%</f>
        <v>2610.7200000000003</v>
      </c>
      <c r="P3151" s="597"/>
      <c r="Q3151" s="597">
        <v>18623</v>
      </c>
      <c r="R3151" s="599">
        <f>M3151/G3151</f>
        <v>2100</v>
      </c>
      <c r="S3151" s="594"/>
      <c r="T3151" s="600"/>
      <c r="U3151" s="709"/>
      <c r="V3151" s="601"/>
      <c r="W3151" s="601"/>
      <c r="X3151" s="601"/>
      <c r="Y3151" s="601"/>
      <c r="Z3151" s="601"/>
    </row>
    <row r="3152" spans="1:26" s="75" customFormat="1" hidden="1">
      <c r="A3152" s="709">
        <f t="shared" si="479"/>
        <v>256</v>
      </c>
      <c r="B3152" s="592" t="s">
        <v>2579</v>
      </c>
      <c r="C3152" s="593" t="s">
        <v>217</v>
      </c>
      <c r="D3152" s="594">
        <v>12664</v>
      </c>
      <c r="E3152" s="594">
        <v>2860</v>
      </c>
      <c r="F3152" s="594" t="s">
        <v>233</v>
      </c>
      <c r="G3152" s="594">
        <v>425</v>
      </c>
      <c r="H3152" s="594">
        <v>12</v>
      </c>
      <c r="I3152" s="594">
        <v>1</v>
      </c>
      <c r="J3152" s="594">
        <v>48</v>
      </c>
      <c r="K3152" s="590" t="s">
        <v>33</v>
      </c>
      <c r="L3152" s="595">
        <f t="shared" si="480"/>
        <v>914277.5</v>
      </c>
      <c r="M3152" s="596">
        <f>G3152*2100</f>
        <v>892500</v>
      </c>
      <c r="N3152" s="597"/>
      <c r="O3152" s="598">
        <f>M3152*0.3%</f>
        <v>2677.5</v>
      </c>
      <c r="P3152" s="597"/>
      <c r="Q3152" s="597">
        <v>19100</v>
      </c>
      <c r="R3152" s="599">
        <f>M3152/G3152</f>
        <v>2100</v>
      </c>
      <c r="S3152" s="594"/>
      <c r="T3152" s="600"/>
      <c r="U3152" s="709"/>
      <c r="V3152" s="601"/>
      <c r="W3152" s="601"/>
      <c r="X3152" s="601"/>
      <c r="Y3152" s="601"/>
      <c r="Z3152" s="601"/>
    </row>
    <row r="3153" spans="1:26" s="75" customFormat="1" hidden="1">
      <c r="A3153" s="709">
        <f t="shared" si="479"/>
        <v>257</v>
      </c>
      <c r="B3153" s="592" t="s">
        <v>2580</v>
      </c>
      <c r="C3153" s="593" t="s">
        <v>217</v>
      </c>
      <c r="D3153" s="594">
        <v>12388</v>
      </c>
      <c r="E3153" s="594">
        <v>2860</v>
      </c>
      <c r="F3153" s="594" t="s">
        <v>233</v>
      </c>
      <c r="G3153" s="594">
        <v>378</v>
      </c>
      <c r="H3153" s="594">
        <v>12</v>
      </c>
      <c r="I3153" s="594">
        <v>1</v>
      </c>
      <c r="J3153" s="594">
        <v>48</v>
      </c>
      <c r="K3153" s="590" t="s">
        <v>33</v>
      </c>
      <c r="L3153" s="595">
        <f t="shared" si="480"/>
        <v>813168.4</v>
      </c>
      <c r="M3153" s="596">
        <f>G3153*2100</f>
        <v>793800</v>
      </c>
      <c r="N3153" s="597"/>
      <c r="O3153" s="598">
        <f>M3153*0.3%</f>
        <v>2381.4</v>
      </c>
      <c r="P3153" s="597"/>
      <c r="Q3153" s="597">
        <v>16987</v>
      </c>
      <c r="R3153" s="599">
        <f>M3153/G3153</f>
        <v>2100</v>
      </c>
      <c r="S3153" s="594"/>
      <c r="T3153" s="600"/>
      <c r="U3153" s="709"/>
      <c r="V3153" s="601"/>
      <c r="W3153" s="601"/>
      <c r="X3153" s="601"/>
      <c r="Y3153" s="601"/>
      <c r="Z3153" s="601"/>
    </row>
    <row r="3154" spans="1:26" s="75" customFormat="1" ht="37.5" hidden="1">
      <c r="A3154" s="709">
        <f t="shared" si="479"/>
        <v>258</v>
      </c>
      <c r="B3154" s="592" t="s">
        <v>2581</v>
      </c>
      <c r="C3154" s="593" t="s">
        <v>271</v>
      </c>
      <c r="D3154" s="594">
        <v>22463</v>
      </c>
      <c r="E3154" s="594">
        <v>4380</v>
      </c>
      <c r="F3154" s="594" t="s">
        <v>233</v>
      </c>
      <c r="G3154" s="594">
        <v>825</v>
      </c>
      <c r="H3154" s="594">
        <v>9</v>
      </c>
      <c r="I3154" s="594">
        <v>2</v>
      </c>
      <c r="J3154" s="594">
        <v>79</v>
      </c>
      <c r="K3154" s="590" t="s">
        <v>30</v>
      </c>
      <c r="L3154" s="595">
        <f t="shared" si="480"/>
        <v>2575584</v>
      </c>
      <c r="M3154" s="596">
        <v>2528000</v>
      </c>
      <c r="N3154" s="597"/>
      <c r="O3154" s="598">
        <v>7584</v>
      </c>
      <c r="P3154" s="597"/>
      <c r="Q3154" s="597">
        <v>40000</v>
      </c>
      <c r="R3154" s="599">
        <f>M3154/J3154</f>
        <v>32000</v>
      </c>
      <c r="S3154" s="594"/>
      <c r="T3154" s="600"/>
      <c r="U3154" s="709"/>
      <c r="V3154" s="601"/>
      <c r="W3154" s="601"/>
      <c r="X3154" s="601"/>
      <c r="Y3154" s="601"/>
      <c r="Z3154" s="601"/>
    </row>
    <row r="3155" spans="1:26" s="75" customFormat="1" hidden="1">
      <c r="A3155" s="709">
        <f t="shared" si="479"/>
        <v>259</v>
      </c>
      <c r="B3155" s="592" t="s">
        <v>2582</v>
      </c>
      <c r="C3155" s="593" t="s">
        <v>217</v>
      </c>
      <c r="D3155" s="594">
        <v>17262</v>
      </c>
      <c r="E3155" s="594">
        <v>3371</v>
      </c>
      <c r="F3155" s="594" t="s">
        <v>233</v>
      </c>
      <c r="G3155" s="594">
        <v>678.1</v>
      </c>
      <c r="H3155" s="594">
        <v>10</v>
      </c>
      <c r="I3155" s="594">
        <v>2</v>
      </c>
      <c r="J3155" s="594">
        <v>80</v>
      </c>
      <c r="K3155" s="590" t="s">
        <v>33</v>
      </c>
      <c r="L3155" s="595">
        <f t="shared" si="480"/>
        <v>1458756.03</v>
      </c>
      <c r="M3155" s="596">
        <f>G3155*2100</f>
        <v>1424010</v>
      </c>
      <c r="N3155" s="597"/>
      <c r="O3155" s="598">
        <f>M3155*0.3%</f>
        <v>4272.03</v>
      </c>
      <c r="P3155" s="597"/>
      <c r="Q3155" s="597">
        <v>30474</v>
      </c>
      <c r="R3155" s="599">
        <f>M3155/G3155</f>
        <v>2100</v>
      </c>
      <c r="S3155" s="594"/>
      <c r="T3155" s="600"/>
      <c r="U3155" s="709"/>
      <c r="V3155" s="601"/>
      <c r="W3155" s="601"/>
      <c r="X3155" s="601"/>
      <c r="Y3155" s="601"/>
      <c r="Z3155" s="601"/>
    </row>
    <row r="3156" spans="1:26" s="75" customFormat="1" hidden="1">
      <c r="A3156" s="709">
        <f t="shared" si="479"/>
        <v>260</v>
      </c>
      <c r="B3156" s="592" t="s">
        <v>2583</v>
      </c>
      <c r="C3156" s="593" t="s">
        <v>271</v>
      </c>
      <c r="D3156" s="1183">
        <v>11020</v>
      </c>
      <c r="E3156" s="594">
        <v>1971</v>
      </c>
      <c r="F3156" s="594" t="s">
        <v>222</v>
      </c>
      <c r="G3156" s="594">
        <v>1134</v>
      </c>
      <c r="H3156" s="594">
        <v>4</v>
      </c>
      <c r="I3156" s="594">
        <v>4</v>
      </c>
      <c r="J3156" s="594">
        <v>38</v>
      </c>
      <c r="K3156" s="590" t="s">
        <v>224</v>
      </c>
      <c r="L3156" s="595">
        <f t="shared" si="480"/>
        <v>651011</v>
      </c>
      <c r="M3156" s="596">
        <f>J3156*16000</f>
        <v>608000</v>
      </c>
      <c r="N3156" s="597">
        <v>30000</v>
      </c>
      <c r="O3156" s="598"/>
      <c r="P3156" s="597"/>
      <c r="Q3156" s="597">
        <v>13011</v>
      </c>
      <c r="R3156" s="599">
        <f>M3156/J3156</f>
        <v>16000</v>
      </c>
      <c r="S3156" s="594"/>
      <c r="T3156" s="600"/>
      <c r="U3156" s="709"/>
      <c r="V3156" s="601"/>
      <c r="W3156" s="601"/>
      <c r="X3156" s="601"/>
      <c r="Y3156" s="601"/>
      <c r="Z3156" s="601"/>
    </row>
    <row r="3157" spans="1:26" s="75" customFormat="1" ht="37.5" hidden="1">
      <c r="A3157" s="709">
        <f t="shared" si="479"/>
        <v>261</v>
      </c>
      <c r="B3157" s="592" t="s">
        <v>2584</v>
      </c>
      <c r="C3157" s="593" t="s">
        <v>271</v>
      </c>
      <c r="D3157" s="650">
        <v>21655</v>
      </c>
      <c r="E3157" s="594">
        <v>4772</v>
      </c>
      <c r="F3157" s="594" t="s">
        <v>230</v>
      </c>
      <c r="G3157" s="594">
        <v>3000</v>
      </c>
      <c r="H3157" s="594">
        <v>5</v>
      </c>
      <c r="I3157" s="594">
        <v>8</v>
      </c>
      <c r="J3157" s="594">
        <v>92</v>
      </c>
      <c r="K3157" s="590" t="s">
        <v>30</v>
      </c>
      <c r="L3157" s="595">
        <f t="shared" si="480"/>
        <v>2531452</v>
      </c>
      <c r="M3157" s="596">
        <f>J3157*27000</f>
        <v>2484000</v>
      </c>
      <c r="N3157" s="597"/>
      <c r="O3157" s="598">
        <f>M3157*0.3%</f>
        <v>7452</v>
      </c>
      <c r="P3157" s="597"/>
      <c r="Q3157" s="597">
        <v>40000</v>
      </c>
      <c r="R3157" s="599">
        <f>M3157/J3157</f>
        <v>27000</v>
      </c>
      <c r="S3157" s="594"/>
      <c r="T3157" s="600"/>
      <c r="U3157" s="709"/>
      <c r="V3157" s="601"/>
      <c r="W3157" s="601"/>
      <c r="X3157" s="601"/>
      <c r="Y3157" s="601"/>
      <c r="Z3157" s="601"/>
    </row>
    <row r="3158" spans="1:26" s="75" customFormat="1" hidden="1">
      <c r="A3158" s="709">
        <f t="shared" si="479"/>
        <v>262</v>
      </c>
      <c r="B3158" s="592" t="s">
        <v>2585</v>
      </c>
      <c r="C3158" s="593" t="s">
        <v>396</v>
      </c>
      <c r="D3158" s="594">
        <v>4341</v>
      </c>
      <c r="E3158" s="594">
        <v>497</v>
      </c>
      <c r="F3158" s="594" t="s">
        <v>251</v>
      </c>
      <c r="G3158" s="594">
        <v>712.7</v>
      </c>
      <c r="H3158" s="594">
        <v>2</v>
      </c>
      <c r="I3158" s="594">
        <v>2</v>
      </c>
      <c r="J3158" s="594">
        <v>18</v>
      </c>
      <c r="K3158" s="590" t="s">
        <v>224</v>
      </c>
      <c r="L3158" s="595">
        <f t="shared" si="480"/>
        <v>350934</v>
      </c>
      <c r="M3158" s="596">
        <f>J3158*18000</f>
        <v>324000</v>
      </c>
      <c r="N3158" s="597">
        <v>20000</v>
      </c>
      <c r="O3158" s="598"/>
      <c r="P3158" s="597"/>
      <c r="Q3158" s="597">
        <v>6934</v>
      </c>
      <c r="R3158" s="599">
        <f>M3158/J3158</f>
        <v>18000</v>
      </c>
      <c r="S3158" s="594"/>
      <c r="T3158" s="600"/>
      <c r="U3158" s="709"/>
      <c r="V3158" s="601"/>
      <c r="W3158" s="601"/>
      <c r="X3158" s="601"/>
      <c r="Y3158" s="601"/>
      <c r="Z3158" s="601"/>
    </row>
    <row r="3159" spans="1:26" s="75" customFormat="1" hidden="1">
      <c r="A3159" s="709">
        <f t="shared" si="479"/>
        <v>263</v>
      </c>
      <c r="B3159" s="592" t="s">
        <v>2586</v>
      </c>
      <c r="C3159" s="593" t="s">
        <v>396</v>
      </c>
      <c r="D3159" s="594">
        <v>2917</v>
      </c>
      <c r="E3159" s="594">
        <v>340</v>
      </c>
      <c r="F3159" s="594" t="s">
        <v>251</v>
      </c>
      <c r="G3159" s="594">
        <v>531</v>
      </c>
      <c r="H3159" s="594">
        <v>2</v>
      </c>
      <c r="I3159" s="594">
        <v>1</v>
      </c>
      <c r="J3159" s="594">
        <v>12</v>
      </c>
      <c r="K3159" s="590" t="s">
        <v>224</v>
      </c>
      <c r="L3159" s="595">
        <f t="shared" si="480"/>
        <v>240622</v>
      </c>
      <c r="M3159" s="596">
        <f>J3159*18000</f>
        <v>216000</v>
      </c>
      <c r="N3159" s="597">
        <v>20000</v>
      </c>
      <c r="O3159" s="598"/>
      <c r="P3159" s="597"/>
      <c r="Q3159" s="597">
        <v>4622</v>
      </c>
      <c r="R3159" s="599">
        <f>M3159/J3159</f>
        <v>18000</v>
      </c>
      <c r="S3159" s="594"/>
      <c r="T3159" s="600"/>
      <c r="U3159" s="709"/>
      <c r="V3159" s="601"/>
      <c r="W3159" s="601"/>
      <c r="X3159" s="601"/>
      <c r="Y3159" s="601"/>
      <c r="Z3159" s="601"/>
    </row>
    <row r="3160" spans="1:26" s="75" customFormat="1" ht="37.5" hidden="1">
      <c r="A3160" s="709">
        <f t="shared" si="479"/>
        <v>264</v>
      </c>
      <c r="B3160" s="1177" t="s">
        <v>2587</v>
      </c>
      <c r="C3160" s="593" t="s">
        <v>217</v>
      </c>
      <c r="D3160" s="594">
        <v>13270</v>
      </c>
      <c r="E3160" s="593">
        <v>2250</v>
      </c>
      <c r="F3160" s="594" t="s">
        <v>233</v>
      </c>
      <c r="G3160" s="1182">
        <v>510</v>
      </c>
      <c r="H3160" s="594">
        <v>9</v>
      </c>
      <c r="I3160" s="594">
        <v>1</v>
      </c>
      <c r="J3160" s="664">
        <v>72</v>
      </c>
      <c r="K3160" s="590" t="s">
        <v>366</v>
      </c>
      <c r="L3160" s="595">
        <f t="shared" si="480"/>
        <v>2103000</v>
      </c>
      <c r="M3160" s="596">
        <v>2018000</v>
      </c>
      <c r="N3160" s="686">
        <v>85000</v>
      </c>
      <c r="O3160" s="598"/>
      <c r="P3160" s="597"/>
      <c r="Q3160" s="586"/>
      <c r="R3160" s="599">
        <f>M3160/I3160</f>
        <v>2018000</v>
      </c>
      <c r="S3160" s="594"/>
      <c r="T3160" s="600"/>
      <c r="U3160" s="709"/>
      <c r="V3160" s="601"/>
      <c r="W3160" s="601"/>
      <c r="X3160" s="601"/>
      <c r="Y3160" s="601"/>
      <c r="Z3160" s="601"/>
    </row>
    <row r="3161" spans="1:26" s="75" customFormat="1" ht="37.5" hidden="1">
      <c r="A3161" s="709">
        <f t="shared" si="479"/>
        <v>265</v>
      </c>
      <c r="B3161" s="592" t="s">
        <v>2588</v>
      </c>
      <c r="C3161" s="593" t="s">
        <v>271</v>
      </c>
      <c r="D3161" s="594">
        <v>2911</v>
      </c>
      <c r="E3161" s="594">
        <v>615</v>
      </c>
      <c r="F3161" s="594" t="s">
        <v>230</v>
      </c>
      <c r="G3161" s="594">
        <v>362</v>
      </c>
      <c r="H3161" s="594">
        <v>5</v>
      </c>
      <c r="I3161" s="594">
        <v>1</v>
      </c>
      <c r="J3161" s="594">
        <v>12</v>
      </c>
      <c r="K3161" s="590" t="s">
        <v>30</v>
      </c>
      <c r="L3161" s="595">
        <f t="shared" si="480"/>
        <v>364972</v>
      </c>
      <c r="M3161" s="596">
        <f>J3161*27000</f>
        <v>324000</v>
      </c>
      <c r="N3161" s="597"/>
      <c r="O3161" s="598">
        <f>M3161*0.3%</f>
        <v>972</v>
      </c>
      <c r="P3161" s="597"/>
      <c r="Q3161" s="597">
        <v>40000</v>
      </c>
      <c r="R3161" s="599">
        <f>M3161/J3161</f>
        <v>27000</v>
      </c>
      <c r="S3161" s="594"/>
      <c r="T3161" s="600"/>
      <c r="U3161" s="709"/>
      <c r="V3161" s="601"/>
      <c r="W3161" s="601"/>
      <c r="X3161" s="601"/>
      <c r="Y3161" s="601"/>
      <c r="Z3161" s="601"/>
    </row>
    <row r="3162" spans="1:26" s="75" customFormat="1" hidden="1">
      <c r="A3162" s="709">
        <f t="shared" si="479"/>
        <v>266</v>
      </c>
      <c r="B3162" s="592" t="s">
        <v>2589</v>
      </c>
      <c r="C3162" s="593" t="s">
        <v>217</v>
      </c>
      <c r="D3162" s="594">
        <v>22801</v>
      </c>
      <c r="E3162" s="594">
        <v>3863</v>
      </c>
      <c r="F3162" s="594" t="s">
        <v>233</v>
      </c>
      <c r="G3162" s="594">
        <v>720</v>
      </c>
      <c r="H3162" s="594">
        <v>12</v>
      </c>
      <c r="I3162" s="594">
        <v>2</v>
      </c>
      <c r="J3162" s="594">
        <v>96</v>
      </c>
      <c r="K3162" s="590" t="s">
        <v>33</v>
      </c>
      <c r="L3162" s="595">
        <f t="shared" si="480"/>
        <v>1548893</v>
      </c>
      <c r="M3162" s="596">
        <f>G3162*2100</f>
        <v>1512000</v>
      </c>
      <c r="N3162" s="597"/>
      <c r="O3162" s="598">
        <f>M3162*0.3%</f>
        <v>4536</v>
      </c>
      <c r="P3162" s="597"/>
      <c r="Q3162" s="597">
        <v>32357</v>
      </c>
      <c r="R3162" s="599">
        <f>M3162/G3162</f>
        <v>2100</v>
      </c>
      <c r="S3162" s="594"/>
      <c r="T3162" s="600"/>
      <c r="U3162" s="709"/>
      <c r="V3162" s="601"/>
      <c r="W3162" s="601"/>
      <c r="X3162" s="601"/>
      <c r="Y3162" s="601"/>
      <c r="Z3162" s="601"/>
    </row>
    <row r="3163" spans="1:26" s="75" customFormat="1" hidden="1">
      <c r="A3163" s="709">
        <f t="shared" si="479"/>
        <v>267</v>
      </c>
      <c r="B3163" s="592" t="s">
        <v>2590</v>
      </c>
      <c r="C3163" s="593" t="s">
        <v>217</v>
      </c>
      <c r="D3163" s="594">
        <v>23224</v>
      </c>
      <c r="E3163" s="594">
        <v>3863</v>
      </c>
      <c r="F3163" s="594" t="s">
        <v>222</v>
      </c>
      <c r="G3163" s="594">
        <v>718</v>
      </c>
      <c r="H3163" s="594">
        <v>12</v>
      </c>
      <c r="I3163" s="594">
        <v>2</v>
      </c>
      <c r="J3163" s="594">
        <v>96</v>
      </c>
      <c r="K3163" s="590" t="s">
        <v>224</v>
      </c>
      <c r="L3163" s="595">
        <f t="shared" si="480"/>
        <v>1993088</v>
      </c>
      <c r="M3163" s="596">
        <f>J3163*20000</f>
        <v>1920000</v>
      </c>
      <c r="N3163" s="597">
        <v>32000</v>
      </c>
      <c r="O3163" s="598"/>
      <c r="P3163" s="597"/>
      <c r="Q3163" s="597">
        <v>41088</v>
      </c>
      <c r="R3163" s="599">
        <f>M3163/J3163</f>
        <v>20000</v>
      </c>
      <c r="S3163" s="594"/>
      <c r="T3163" s="600"/>
      <c r="U3163" s="709"/>
      <c r="V3163" s="601"/>
      <c r="W3163" s="601"/>
      <c r="X3163" s="601"/>
      <c r="Y3163" s="601"/>
      <c r="Z3163" s="601"/>
    </row>
    <row r="3164" spans="1:26" s="75" customFormat="1" ht="37.5" hidden="1">
      <c r="A3164" s="709">
        <f t="shared" si="479"/>
        <v>268</v>
      </c>
      <c r="B3164" s="1177" t="s">
        <v>2591</v>
      </c>
      <c r="C3164" s="593" t="s">
        <v>217</v>
      </c>
      <c r="D3164" s="594">
        <v>16012</v>
      </c>
      <c r="E3164" s="593">
        <v>3750</v>
      </c>
      <c r="F3164" s="594" t="s">
        <v>233</v>
      </c>
      <c r="G3164" s="1182" t="s">
        <v>411</v>
      </c>
      <c r="H3164" s="594">
        <v>9</v>
      </c>
      <c r="I3164" s="594">
        <v>2</v>
      </c>
      <c r="J3164" s="664">
        <v>72</v>
      </c>
      <c r="K3164" s="590" t="s">
        <v>366</v>
      </c>
      <c r="L3164" s="595">
        <f t="shared" si="480"/>
        <v>4142250</v>
      </c>
      <c r="M3164" s="596">
        <v>4036000</v>
      </c>
      <c r="N3164" s="686">
        <v>106250</v>
      </c>
      <c r="O3164" s="598"/>
      <c r="P3164" s="597"/>
      <c r="Q3164" s="597"/>
      <c r="R3164" s="599">
        <f>M3164/I3164</f>
        <v>2018000</v>
      </c>
      <c r="S3164" s="594"/>
      <c r="T3164" s="600"/>
      <c r="U3164" s="709"/>
      <c r="V3164" s="601"/>
      <c r="W3164" s="601"/>
      <c r="X3164" s="601"/>
      <c r="Y3164" s="601"/>
      <c r="Z3164" s="601"/>
    </row>
    <row r="3165" spans="1:26" s="75" customFormat="1" ht="37.5" hidden="1">
      <c r="A3165" s="709">
        <f t="shared" si="479"/>
        <v>269</v>
      </c>
      <c r="B3165" s="592" t="s">
        <v>2592</v>
      </c>
      <c r="C3165" s="593" t="s">
        <v>217</v>
      </c>
      <c r="D3165" s="594">
        <v>23392</v>
      </c>
      <c r="E3165" s="594">
        <v>4536</v>
      </c>
      <c r="F3165" s="594" t="s">
        <v>233</v>
      </c>
      <c r="G3165" s="594">
        <v>1009</v>
      </c>
      <c r="H3165" s="594">
        <v>9</v>
      </c>
      <c r="I3165" s="594">
        <v>3</v>
      </c>
      <c r="J3165" s="594">
        <v>108</v>
      </c>
      <c r="K3165" s="590" t="s">
        <v>219</v>
      </c>
      <c r="L3165" s="595">
        <f t="shared" si="480"/>
        <v>6127500</v>
      </c>
      <c r="M3165" s="596">
        <v>6000000</v>
      </c>
      <c r="N3165" s="597">
        <v>127500</v>
      </c>
      <c r="O3165" s="598"/>
      <c r="P3165" s="597"/>
      <c r="Q3165" s="597"/>
      <c r="R3165" s="599">
        <f>M3165/I3165</f>
        <v>2000000</v>
      </c>
      <c r="S3165" s="594"/>
      <c r="T3165" s="600"/>
      <c r="U3165" s="709" t="s">
        <v>3597</v>
      </c>
      <c r="V3165" s="601"/>
      <c r="W3165" s="601"/>
      <c r="X3165" s="601"/>
      <c r="Y3165" s="601"/>
      <c r="Z3165" s="601"/>
    </row>
    <row r="3166" spans="1:26" s="75" customFormat="1" hidden="1">
      <c r="A3166" s="709">
        <f t="shared" si="479"/>
        <v>270</v>
      </c>
      <c r="B3166" s="592" t="s">
        <v>2593</v>
      </c>
      <c r="C3166" s="593" t="s">
        <v>217</v>
      </c>
      <c r="D3166" s="594">
        <v>31304</v>
      </c>
      <c r="E3166" s="594">
        <v>5183</v>
      </c>
      <c r="F3166" s="594" t="s">
        <v>233</v>
      </c>
      <c r="G3166" s="594">
        <v>1366</v>
      </c>
      <c r="H3166" s="594">
        <v>9</v>
      </c>
      <c r="I3166" s="594">
        <v>4</v>
      </c>
      <c r="J3166" s="594">
        <v>144</v>
      </c>
      <c r="K3166" s="590" t="s">
        <v>234</v>
      </c>
      <c r="L3166" s="595">
        <f t="shared" si="480"/>
        <v>2917205.8</v>
      </c>
      <c r="M3166" s="596">
        <f>G3166*2100</f>
        <v>2868600</v>
      </c>
      <c r="N3166" s="597"/>
      <c r="O3166" s="598">
        <f t="shared" ref="O3166:O3174" si="481">M3166*0.3%</f>
        <v>8605.7999999999993</v>
      </c>
      <c r="P3166" s="597"/>
      <c r="Q3166" s="597">
        <v>40000</v>
      </c>
      <c r="R3166" s="599">
        <f>M3166/G3166</f>
        <v>2100</v>
      </c>
      <c r="S3166" s="594"/>
      <c r="T3166" s="600"/>
      <c r="U3166" s="709"/>
      <c r="V3166" s="601"/>
      <c r="W3166" s="601"/>
      <c r="X3166" s="601"/>
      <c r="Y3166" s="601"/>
      <c r="Z3166" s="601"/>
    </row>
    <row r="3167" spans="1:26" s="75" customFormat="1" ht="37.5" hidden="1">
      <c r="A3167" s="709">
        <f t="shared" si="479"/>
        <v>271</v>
      </c>
      <c r="B3167" s="592" t="s">
        <v>2594</v>
      </c>
      <c r="C3167" s="593" t="s">
        <v>271</v>
      </c>
      <c r="D3167" s="594">
        <v>25899</v>
      </c>
      <c r="E3167" s="594">
        <v>3625</v>
      </c>
      <c r="F3167" s="594" t="s">
        <v>233</v>
      </c>
      <c r="G3167" s="594">
        <v>1277</v>
      </c>
      <c r="H3167" s="594">
        <v>10</v>
      </c>
      <c r="I3167" s="594">
        <v>3</v>
      </c>
      <c r="J3167" s="594">
        <v>116</v>
      </c>
      <c r="K3167" s="590" t="s">
        <v>30</v>
      </c>
      <c r="L3167" s="595">
        <f t="shared" si="480"/>
        <v>3763136</v>
      </c>
      <c r="M3167" s="596">
        <f>J3167*32000</f>
        <v>3712000</v>
      </c>
      <c r="N3167" s="597"/>
      <c r="O3167" s="598">
        <f t="shared" si="481"/>
        <v>11136</v>
      </c>
      <c r="P3167" s="597"/>
      <c r="Q3167" s="597">
        <v>40000</v>
      </c>
      <c r="R3167" s="599">
        <f>M3167/J3167</f>
        <v>32000</v>
      </c>
      <c r="S3167" s="594"/>
      <c r="T3167" s="600"/>
      <c r="U3167" s="709"/>
      <c r="V3167" s="601"/>
      <c r="W3167" s="601"/>
      <c r="X3167" s="601"/>
      <c r="Y3167" s="601"/>
      <c r="Z3167" s="601"/>
    </row>
    <row r="3168" spans="1:26" s="75" customFormat="1" hidden="1">
      <c r="A3168" s="709">
        <f t="shared" si="479"/>
        <v>272</v>
      </c>
      <c r="B3168" s="592" t="s">
        <v>2595</v>
      </c>
      <c r="C3168" s="593" t="s">
        <v>217</v>
      </c>
      <c r="D3168" s="594">
        <v>25970</v>
      </c>
      <c r="E3168" s="594">
        <v>4580</v>
      </c>
      <c r="F3168" s="594" t="s">
        <v>233</v>
      </c>
      <c r="G3168" s="594">
        <v>1020</v>
      </c>
      <c r="H3168" s="594">
        <v>10</v>
      </c>
      <c r="I3168" s="594">
        <v>3</v>
      </c>
      <c r="J3168" s="594">
        <v>116</v>
      </c>
      <c r="K3168" s="590" t="s">
        <v>33</v>
      </c>
      <c r="L3168" s="595">
        <f t="shared" si="480"/>
        <v>2194265</v>
      </c>
      <c r="M3168" s="596">
        <f>G3168*2100</f>
        <v>2142000</v>
      </c>
      <c r="N3168" s="597"/>
      <c r="O3168" s="598">
        <f t="shared" si="481"/>
        <v>6426</v>
      </c>
      <c r="P3168" s="597"/>
      <c r="Q3168" s="597">
        <v>45839</v>
      </c>
      <c r="R3168" s="599">
        <f>M3168/G3168</f>
        <v>2100</v>
      </c>
      <c r="S3168" s="594"/>
      <c r="T3168" s="600"/>
      <c r="U3168" s="709"/>
      <c r="V3168" s="601"/>
      <c r="W3168" s="601"/>
      <c r="X3168" s="601"/>
      <c r="Y3168" s="601"/>
      <c r="Z3168" s="601"/>
    </row>
    <row r="3169" spans="1:26" s="75" customFormat="1" hidden="1">
      <c r="A3169" s="709">
        <f t="shared" si="479"/>
        <v>273</v>
      </c>
      <c r="B3169" s="592" t="s">
        <v>2596</v>
      </c>
      <c r="C3169" s="593" t="s">
        <v>217</v>
      </c>
      <c r="D3169" s="594">
        <v>14006</v>
      </c>
      <c r="E3169" s="594">
        <v>2511</v>
      </c>
      <c r="F3169" s="594" t="s">
        <v>222</v>
      </c>
      <c r="G3169" s="594">
        <v>1117</v>
      </c>
      <c r="H3169" s="594">
        <v>5</v>
      </c>
      <c r="I3169" s="594">
        <v>5</v>
      </c>
      <c r="J3169" s="594">
        <v>100</v>
      </c>
      <c r="K3169" s="590" t="s">
        <v>38</v>
      </c>
      <c r="L3169" s="595">
        <f t="shared" si="480"/>
        <v>4372856.0999999996</v>
      </c>
      <c r="M3169" s="596">
        <f>E3169*1700</f>
        <v>4268700</v>
      </c>
      <c r="N3169" s="597"/>
      <c r="O3169" s="598">
        <f t="shared" si="481"/>
        <v>12806.1</v>
      </c>
      <c r="P3169" s="597"/>
      <c r="Q3169" s="597">
        <v>91350</v>
      </c>
      <c r="R3169" s="599">
        <f>M3169/E3169</f>
        <v>1700</v>
      </c>
      <c r="S3169" s="594"/>
      <c r="T3169" s="600"/>
      <c r="U3169" s="709"/>
      <c r="V3169" s="601"/>
      <c r="W3169" s="601"/>
      <c r="X3169" s="601"/>
      <c r="Y3169" s="601"/>
      <c r="Z3169" s="601"/>
    </row>
    <row r="3170" spans="1:26" s="75" customFormat="1" hidden="1">
      <c r="A3170" s="709">
        <f t="shared" si="479"/>
        <v>274</v>
      </c>
      <c r="B3170" s="592" t="s">
        <v>2597</v>
      </c>
      <c r="C3170" s="593" t="s">
        <v>271</v>
      </c>
      <c r="D3170" s="594">
        <v>16717</v>
      </c>
      <c r="E3170" s="594">
        <v>3280</v>
      </c>
      <c r="F3170" s="594" t="s">
        <v>222</v>
      </c>
      <c r="G3170" s="594">
        <v>1339.7</v>
      </c>
      <c r="H3170" s="594">
        <v>5</v>
      </c>
      <c r="I3170" s="594">
        <v>5</v>
      </c>
      <c r="J3170" s="594">
        <v>91</v>
      </c>
      <c r="K3170" s="590" t="s">
        <v>33</v>
      </c>
      <c r="L3170" s="595">
        <f t="shared" si="480"/>
        <v>4743016.8499999996</v>
      </c>
      <c r="M3170" s="596">
        <f>G3170*3500</f>
        <v>4688950</v>
      </c>
      <c r="N3170" s="597"/>
      <c r="O3170" s="598">
        <f t="shared" si="481"/>
        <v>14066.85</v>
      </c>
      <c r="P3170" s="597"/>
      <c r="Q3170" s="597">
        <v>40000</v>
      </c>
      <c r="R3170" s="599">
        <f t="shared" ref="R3170:R3177" si="482">M3170/G3170</f>
        <v>3500</v>
      </c>
      <c r="S3170" s="594"/>
      <c r="T3170" s="600"/>
      <c r="U3170" s="709"/>
      <c r="V3170" s="601"/>
      <c r="W3170" s="601"/>
      <c r="X3170" s="601"/>
      <c r="Y3170" s="601"/>
      <c r="Z3170" s="601"/>
    </row>
    <row r="3171" spans="1:26" s="75" customFormat="1" hidden="1">
      <c r="A3171" s="709">
        <f t="shared" si="479"/>
        <v>275</v>
      </c>
      <c r="B3171" s="592" t="s">
        <v>2598</v>
      </c>
      <c r="C3171" s="593" t="s">
        <v>239</v>
      </c>
      <c r="D3171" s="594">
        <v>3024</v>
      </c>
      <c r="E3171" s="594">
        <v>211</v>
      </c>
      <c r="F3171" s="594" t="s">
        <v>222</v>
      </c>
      <c r="G3171" s="594">
        <v>612.29999999999995</v>
      </c>
      <c r="H3171" s="594">
        <v>2</v>
      </c>
      <c r="I3171" s="594">
        <v>2</v>
      </c>
      <c r="J3171" s="594">
        <v>12</v>
      </c>
      <c r="K3171" s="590" t="s">
        <v>33</v>
      </c>
      <c r="L3171" s="595">
        <f t="shared" si="480"/>
        <v>1756272.3199999998</v>
      </c>
      <c r="M3171" s="596">
        <f>G3171*2800</f>
        <v>1714439.9999999998</v>
      </c>
      <c r="N3171" s="597"/>
      <c r="O3171" s="598">
        <f t="shared" si="481"/>
        <v>5143.32</v>
      </c>
      <c r="P3171" s="597"/>
      <c r="Q3171" s="597">
        <v>36689</v>
      </c>
      <c r="R3171" s="599">
        <f t="shared" si="482"/>
        <v>2800</v>
      </c>
      <c r="S3171" s="594"/>
      <c r="T3171" s="600"/>
      <c r="U3171" s="709"/>
      <c r="V3171" s="601"/>
      <c r="W3171" s="601"/>
      <c r="X3171" s="601"/>
      <c r="Y3171" s="601"/>
      <c r="Z3171" s="601"/>
    </row>
    <row r="3172" spans="1:26" s="75" customFormat="1" hidden="1">
      <c r="A3172" s="709">
        <f t="shared" si="479"/>
        <v>276</v>
      </c>
      <c r="B3172" s="592" t="s">
        <v>2599</v>
      </c>
      <c r="C3172" s="593" t="s">
        <v>217</v>
      </c>
      <c r="D3172" s="594">
        <v>22878</v>
      </c>
      <c r="E3172" s="594">
        <v>5724</v>
      </c>
      <c r="F3172" s="594" t="s">
        <v>233</v>
      </c>
      <c r="G3172" s="594">
        <v>816.4</v>
      </c>
      <c r="H3172" s="594">
        <v>12</v>
      </c>
      <c r="I3172" s="594">
        <v>2</v>
      </c>
      <c r="J3172" s="594">
        <v>96</v>
      </c>
      <c r="K3172" s="590" t="s">
        <v>33</v>
      </c>
      <c r="L3172" s="595">
        <f t="shared" si="480"/>
        <v>1756272.32</v>
      </c>
      <c r="M3172" s="596">
        <f>G3172*2100</f>
        <v>1714440</v>
      </c>
      <c r="N3172" s="597"/>
      <c r="O3172" s="598">
        <f t="shared" si="481"/>
        <v>5143.32</v>
      </c>
      <c r="P3172" s="597"/>
      <c r="Q3172" s="597">
        <v>36689</v>
      </c>
      <c r="R3172" s="599">
        <f t="shared" si="482"/>
        <v>2100</v>
      </c>
      <c r="S3172" s="594"/>
      <c r="T3172" s="600"/>
      <c r="U3172" s="709"/>
      <c r="V3172" s="601"/>
      <c r="W3172" s="601"/>
      <c r="X3172" s="601"/>
      <c r="Y3172" s="601"/>
      <c r="Z3172" s="601"/>
    </row>
    <row r="3173" spans="1:26" s="75" customFormat="1" hidden="1">
      <c r="A3173" s="709">
        <f t="shared" si="479"/>
        <v>277</v>
      </c>
      <c r="B3173" s="592" t="s">
        <v>2600</v>
      </c>
      <c r="C3173" s="593" t="s">
        <v>217</v>
      </c>
      <c r="D3173" s="594">
        <v>24560</v>
      </c>
      <c r="E3173" s="594">
        <v>3402</v>
      </c>
      <c r="F3173" s="594" t="s">
        <v>233</v>
      </c>
      <c r="G3173" s="594">
        <v>1765</v>
      </c>
      <c r="H3173" s="594">
        <v>9</v>
      </c>
      <c r="I3173" s="594">
        <v>3</v>
      </c>
      <c r="J3173" s="594">
        <v>99</v>
      </c>
      <c r="K3173" s="590" t="s">
        <v>33</v>
      </c>
      <c r="L3173" s="595">
        <f t="shared" si="480"/>
        <v>3796938.5</v>
      </c>
      <c r="M3173" s="596">
        <f>G3173*2100</f>
        <v>3706500</v>
      </c>
      <c r="N3173" s="597"/>
      <c r="O3173" s="598">
        <f t="shared" si="481"/>
        <v>11119.5</v>
      </c>
      <c r="P3173" s="597"/>
      <c r="Q3173" s="597">
        <v>79319</v>
      </c>
      <c r="R3173" s="599">
        <f t="shared" si="482"/>
        <v>2100</v>
      </c>
      <c r="S3173" s="594"/>
      <c r="T3173" s="600"/>
      <c r="U3173" s="709"/>
      <c r="V3173" s="601"/>
      <c r="W3173" s="601"/>
      <c r="X3173" s="601"/>
      <c r="Y3173" s="601"/>
      <c r="Z3173" s="601"/>
    </row>
    <row r="3174" spans="1:26" s="75" customFormat="1" hidden="1">
      <c r="A3174" s="709">
        <f t="shared" si="479"/>
        <v>278</v>
      </c>
      <c r="B3174" s="592" t="s">
        <v>2601</v>
      </c>
      <c r="C3174" s="593" t="s">
        <v>217</v>
      </c>
      <c r="D3174" s="594">
        <v>24834</v>
      </c>
      <c r="E3174" s="594">
        <v>3424</v>
      </c>
      <c r="F3174" s="594" t="s">
        <v>233</v>
      </c>
      <c r="G3174" s="594">
        <v>1325.6</v>
      </c>
      <c r="H3174" s="594">
        <v>9</v>
      </c>
      <c r="I3174" s="594">
        <v>2</v>
      </c>
      <c r="J3174" s="594">
        <v>73</v>
      </c>
      <c r="K3174" s="590" t="s">
        <v>33</v>
      </c>
      <c r="L3174" s="595">
        <f t="shared" si="480"/>
        <v>2851683.28</v>
      </c>
      <c r="M3174" s="596">
        <f>G3174*2100</f>
        <v>2783760</v>
      </c>
      <c r="N3174" s="597"/>
      <c r="O3174" s="598">
        <f t="shared" si="481"/>
        <v>8351.2800000000007</v>
      </c>
      <c r="P3174" s="597"/>
      <c r="Q3174" s="597">
        <v>59572</v>
      </c>
      <c r="R3174" s="599">
        <f t="shared" si="482"/>
        <v>2100</v>
      </c>
      <c r="S3174" s="594"/>
      <c r="T3174" s="600"/>
      <c r="U3174" s="709"/>
      <c r="V3174" s="601"/>
      <c r="W3174" s="601"/>
      <c r="X3174" s="601"/>
      <c r="Y3174" s="601"/>
      <c r="Z3174" s="601"/>
    </row>
    <row r="3175" spans="1:26" s="75" customFormat="1" hidden="1">
      <c r="A3175" s="709">
        <f t="shared" si="479"/>
        <v>279</v>
      </c>
      <c r="B3175" s="592" t="s">
        <v>2602</v>
      </c>
      <c r="C3175" s="593" t="s">
        <v>217</v>
      </c>
      <c r="D3175" s="594">
        <v>69617.7</v>
      </c>
      <c r="E3175" s="594">
        <v>8050</v>
      </c>
      <c r="F3175" s="594" t="s">
        <v>233</v>
      </c>
      <c r="G3175" s="594">
        <v>2775.43</v>
      </c>
      <c r="H3175" s="594">
        <v>9</v>
      </c>
      <c r="I3175" s="594">
        <v>7</v>
      </c>
      <c r="J3175" s="594">
        <v>298</v>
      </c>
      <c r="K3175" s="590" t="s">
        <v>33</v>
      </c>
      <c r="L3175" s="595">
        <f t="shared" si="480"/>
        <v>5885888.21</v>
      </c>
      <c r="M3175" s="596">
        <f>G3175*2100</f>
        <v>5828403</v>
      </c>
      <c r="N3175" s="597"/>
      <c r="O3175" s="598">
        <v>17485.21</v>
      </c>
      <c r="P3175" s="597"/>
      <c r="Q3175" s="597">
        <v>40000</v>
      </c>
      <c r="R3175" s="599">
        <f t="shared" si="482"/>
        <v>2100</v>
      </c>
      <c r="S3175" s="594"/>
      <c r="T3175" s="600"/>
      <c r="U3175" s="709"/>
      <c r="V3175" s="601"/>
      <c r="W3175" s="601"/>
      <c r="X3175" s="601"/>
      <c r="Y3175" s="601"/>
      <c r="Z3175" s="601"/>
    </row>
    <row r="3176" spans="1:26" s="75" customFormat="1" hidden="1">
      <c r="A3176" s="709">
        <f t="shared" si="479"/>
        <v>280</v>
      </c>
      <c r="B3176" s="592" t="s">
        <v>2604</v>
      </c>
      <c r="C3176" s="593" t="s">
        <v>217</v>
      </c>
      <c r="D3176" s="594">
        <v>12500</v>
      </c>
      <c r="E3176" s="594">
        <v>2590</v>
      </c>
      <c r="F3176" s="594" t="s">
        <v>222</v>
      </c>
      <c r="G3176" s="594">
        <v>1140</v>
      </c>
      <c r="H3176" s="594">
        <v>5</v>
      </c>
      <c r="I3176" s="594">
        <v>4</v>
      </c>
      <c r="J3176" s="594">
        <v>80</v>
      </c>
      <c r="K3176" s="590" t="s">
        <v>33</v>
      </c>
      <c r="L3176" s="595">
        <f t="shared" si="480"/>
        <v>4041970</v>
      </c>
      <c r="M3176" s="596">
        <f>G3176*3500</f>
        <v>3990000</v>
      </c>
      <c r="N3176" s="597"/>
      <c r="O3176" s="598">
        <f>M3176*0.3%</f>
        <v>11970</v>
      </c>
      <c r="P3176" s="597"/>
      <c r="Q3176" s="597">
        <v>40000</v>
      </c>
      <c r="R3176" s="599">
        <f t="shared" si="482"/>
        <v>3500</v>
      </c>
      <c r="S3176" s="594"/>
      <c r="T3176" s="600"/>
      <c r="U3176" s="709"/>
      <c r="V3176" s="601"/>
      <c r="W3176" s="601"/>
      <c r="X3176" s="601"/>
      <c r="Y3176" s="601"/>
      <c r="Z3176" s="601"/>
    </row>
    <row r="3177" spans="1:26" s="75" customFormat="1" hidden="1">
      <c r="A3177" s="709">
        <f t="shared" si="479"/>
        <v>281</v>
      </c>
      <c r="B3177" s="592" t="s">
        <v>2605</v>
      </c>
      <c r="C3177" s="593" t="s">
        <v>217</v>
      </c>
      <c r="D3177" s="594">
        <v>12578</v>
      </c>
      <c r="E3177" s="594">
        <v>2611</v>
      </c>
      <c r="F3177" s="594" t="s">
        <v>222</v>
      </c>
      <c r="G3177" s="594">
        <v>1138</v>
      </c>
      <c r="H3177" s="594">
        <v>5</v>
      </c>
      <c r="I3177" s="594">
        <v>4</v>
      </c>
      <c r="J3177" s="594">
        <v>80</v>
      </c>
      <c r="K3177" s="590" t="s">
        <v>33</v>
      </c>
      <c r="L3177" s="595">
        <f t="shared" si="480"/>
        <v>4034949</v>
      </c>
      <c r="M3177" s="596">
        <f>G3177*3500</f>
        <v>3983000</v>
      </c>
      <c r="N3177" s="597"/>
      <c r="O3177" s="598">
        <f>M3177*0.3%</f>
        <v>11949</v>
      </c>
      <c r="P3177" s="597"/>
      <c r="Q3177" s="597">
        <v>40000</v>
      </c>
      <c r="R3177" s="599">
        <f t="shared" si="482"/>
        <v>3500</v>
      </c>
      <c r="S3177" s="594"/>
      <c r="T3177" s="600"/>
      <c r="U3177" s="709"/>
      <c r="V3177" s="601"/>
      <c r="W3177" s="601"/>
      <c r="X3177" s="601"/>
      <c r="Y3177" s="601"/>
      <c r="Z3177" s="601"/>
    </row>
    <row r="3178" spans="1:26" s="75" customFormat="1" ht="37.5" hidden="1">
      <c r="A3178" s="709">
        <f t="shared" si="479"/>
        <v>282</v>
      </c>
      <c r="B3178" s="592" t="s">
        <v>2606</v>
      </c>
      <c r="C3178" s="593" t="s">
        <v>396</v>
      </c>
      <c r="D3178" s="594">
        <v>2552</v>
      </c>
      <c r="E3178" s="594">
        <v>640</v>
      </c>
      <c r="F3178" s="594" t="s">
        <v>222</v>
      </c>
      <c r="G3178" s="594">
        <v>527</v>
      </c>
      <c r="H3178" s="594">
        <v>2</v>
      </c>
      <c r="I3178" s="594">
        <v>1</v>
      </c>
      <c r="J3178" s="594">
        <v>12</v>
      </c>
      <c r="K3178" s="590" t="s">
        <v>237</v>
      </c>
      <c r="L3178" s="595">
        <f t="shared" si="480"/>
        <v>340900</v>
      </c>
      <c r="M3178" s="596">
        <f>J3178*25000</f>
        <v>300000</v>
      </c>
      <c r="N3178" s="597"/>
      <c r="O3178" s="598">
        <f>M3178*0.3%</f>
        <v>900</v>
      </c>
      <c r="P3178" s="597"/>
      <c r="Q3178" s="597">
        <v>40000</v>
      </c>
      <c r="R3178" s="599">
        <f>M3178/J3178</f>
        <v>25000</v>
      </c>
      <c r="S3178" s="594"/>
      <c r="T3178" s="600"/>
      <c r="U3178" s="709"/>
      <c r="V3178" s="601"/>
      <c r="W3178" s="601"/>
      <c r="X3178" s="601"/>
      <c r="Y3178" s="601"/>
      <c r="Z3178" s="601"/>
    </row>
    <row r="3179" spans="1:26" s="75" customFormat="1" ht="37.5" hidden="1">
      <c r="A3179" s="709">
        <f t="shared" si="479"/>
        <v>283</v>
      </c>
      <c r="B3179" s="592" t="s">
        <v>2607</v>
      </c>
      <c r="C3179" s="593" t="s">
        <v>396</v>
      </c>
      <c r="D3179" s="594">
        <v>2597</v>
      </c>
      <c r="E3179" s="594">
        <v>593</v>
      </c>
      <c r="F3179" s="594" t="s">
        <v>222</v>
      </c>
      <c r="G3179" s="594">
        <v>465</v>
      </c>
      <c r="H3179" s="594">
        <v>2</v>
      </c>
      <c r="I3179" s="594">
        <v>1</v>
      </c>
      <c r="J3179" s="594">
        <v>12</v>
      </c>
      <c r="K3179" s="590" t="s">
        <v>237</v>
      </c>
      <c r="L3179" s="595">
        <f t="shared" si="480"/>
        <v>340900</v>
      </c>
      <c r="M3179" s="596">
        <f>J3179*25000</f>
        <v>300000</v>
      </c>
      <c r="N3179" s="597"/>
      <c r="O3179" s="598">
        <f>M3179*0.3%</f>
        <v>900</v>
      </c>
      <c r="P3179" s="597"/>
      <c r="Q3179" s="597">
        <v>40000</v>
      </c>
      <c r="R3179" s="599">
        <f>M3179/J3179</f>
        <v>25000</v>
      </c>
      <c r="S3179" s="594"/>
      <c r="T3179" s="600"/>
      <c r="U3179" s="709"/>
      <c r="V3179" s="601"/>
      <c r="W3179" s="601"/>
      <c r="X3179" s="601"/>
      <c r="Y3179" s="601"/>
      <c r="Z3179" s="601"/>
    </row>
    <row r="3180" spans="1:26" s="75" customFormat="1" ht="37.5" hidden="1">
      <c r="A3180" s="709">
        <f t="shared" si="479"/>
        <v>284</v>
      </c>
      <c r="B3180" s="592" t="s">
        <v>2608</v>
      </c>
      <c r="C3180" s="593" t="s">
        <v>405</v>
      </c>
      <c r="D3180" s="594">
        <v>2361</v>
      </c>
      <c r="E3180" s="594">
        <v>562</v>
      </c>
      <c r="F3180" s="594" t="s">
        <v>222</v>
      </c>
      <c r="G3180" s="594">
        <v>465</v>
      </c>
      <c r="H3180" s="594">
        <v>2</v>
      </c>
      <c r="I3180" s="594">
        <v>1</v>
      </c>
      <c r="J3180" s="594">
        <v>12</v>
      </c>
      <c r="K3180" s="590" t="s">
        <v>237</v>
      </c>
      <c r="L3180" s="595">
        <f t="shared" si="480"/>
        <v>340900</v>
      </c>
      <c r="M3180" s="596">
        <f>J3180*25000</f>
        <v>300000</v>
      </c>
      <c r="N3180" s="597"/>
      <c r="O3180" s="598">
        <f>M3180*0.3%</f>
        <v>900</v>
      </c>
      <c r="P3180" s="597"/>
      <c r="Q3180" s="597">
        <v>40000</v>
      </c>
      <c r="R3180" s="599">
        <f>M3180/J3180</f>
        <v>25000</v>
      </c>
      <c r="S3180" s="594"/>
      <c r="T3180" s="600"/>
      <c r="U3180" s="709"/>
      <c r="V3180" s="601"/>
      <c r="W3180" s="601"/>
      <c r="X3180" s="601"/>
      <c r="Y3180" s="601"/>
      <c r="Z3180" s="601"/>
    </row>
    <row r="3181" spans="1:26" s="75" customFormat="1" hidden="1">
      <c r="A3181" s="709">
        <f t="shared" si="479"/>
        <v>285</v>
      </c>
      <c r="B3181" s="592" t="s">
        <v>2609</v>
      </c>
      <c r="C3181" s="593" t="s">
        <v>271</v>
      </c>
      <c r="D3181" s="650">
        <v>4008</v>
      </c>
      <c r="E3181" s="594">
        <v>1123.8</v>
      </c>
      <c r="F3181" s="594" t="s">
        <v>222</v>
      </c>
      <c r="G3181" s="594">
        <v>667.3</v>
      </c>
      <c r="H3181" s="594">
        <v>3</v>
      </c>
      <c r="I3181" s="594">
        <v>3</v>
      </c>
      <c r="J3181" s="594">
        <v>18</v>
      </c>
      <c r="K3181" s="590" t="s">
        <v>238</v>
      </c>
      <c r="L3181" s="595">
        <f t="shared" si="480"/>
        <v>531400</v>
      </c>
      <c r="M3181" s="596">
        <f>J3181*27000</f>
        <v>486000</v>
      </c>
      <c r="N3181" s="597">
        <v>35000</v>
      </c>
      <c r="O3181" s="598"/>
      <c r="P3181" s="597"/>
      <c r="Q3181" s="597">
        <v>10400</v>
      </c>
      <c r="R3181" s="599">
        <f>M3181/J3181</f>
        <v>27000</v>
      </c>
      <c r="S3181" s="594"/>
      <c r="T3181" s="600"/>
      <c r="U3181" s="709"/>
      <c r="V3181" s="601"/>
      <c r="W3181" s="601"/>
      <c r="X3181" s="601"/>
      <c r="Y3181" s="601"/>
      <c r="Z3181" s="601"/>
    </row>
    <row r="3182" spans="1:26" s="75" customFormat="1" ht="37.5" hidden="1">
      <c r="A3182" s="709">
        <f t="shared" si="479"/>
        <v>286</v>
      </c>
      <c r="B3182" s="592" t="s">
        <v>2610</v>
      </c>
      <c r="C3182" s="593" t="s">
        <v>217</v>
      </c>
      <c r="D3182" s="594">
        <v>16511</v>
      </c>
      <c r="E3182" s="594">
        <v>2600</v>
      </c>
      <c r="F3182" s="594" t="s">
        <v>233</v>
      </c>
      <c r="G3182" s="594">
        <v>708</v>
      </c>
      <c r="H3182" s="594">
        <v>9</v>
      </c>
      <c r="I3182" s="594">
        <v>2</v>
      </c>
      <c r="J3182" s="594">
        <v>72</v>
      </c>
      <c r="K3182" s="590" t="s">
        <v>366</v>
      </c>
      <c r="L3182" s="595">
        <f t="shared" si="480"/>
        <v>4106250</v>
      </c>
      <c r="M3182" s="596">
        <v>4000000</v>
      </c>
      <c r="N3182" s="597">
        <v>106250</v>
      </c>
      <c r="O3182" s="598"/>
      <c r="P3182" s="597"/>
      <c r="Q3182" s="597"/>
      <c r="R3182" s="582">
        <f>M3182/I3182</f>
        <v>2000000</v>
      </c>
      <c r="S3182" s="594"/>
      <c r="T3182" s="600"/>
      <c r="U3182" s="709"/>
      <c r="V3182" s="601"/>
      <c r="W3182" s="601"/>
      <c r="X3182" s="601"/>
      <c r="Y3182" s="601"/>
      <c r="Z3182" s="601"/>
    </row>
    <row r="3183" spans="1:26" s="75" customFormat="1" ht="37.5" hidden="1">
      <c r="A3183" s="709">
        <f t="shared" ref="A3183:A3203" si="483">A3182+1</f>
        <v>287</v>
      </c>
      <c r="B3183" s="592" t="s">
        <v>2611</v>
      </c>
      <c r="C3183" s="593" t="s">
        <v>217</v>
      </c>
      <c r="D3183" s="594">
        <v>17080</v>
      </c>
      <c r="E3183" s="594">
        <v>5411.2</v>
      </c>
      <c r="F3183" s="594" t="s">
        <v>233</v>
      </c>
      <c r="G3183" s="594">
        <v>687.4</v>
      </c>
      <c r="H3183" s="594">
        <v>9</v>
      </c>
      <c r="I3183" s="594">
        <v>2</v>
      </c>
      <c r="J3183" s="594">
        <v>75</v>
      </c>
      <c r="K3183" s="590" t="s">
        <v>366</v>
      </c>
      <c r="L3183" s="595">
        <f t="shared" si="480"/>
        <v>4106250</v>
      </c>
      <c r="M3183" s="596">
        <v>4000000</v>
      </c>
      <c r="N3183" s="597">
        <v>106250</v>
      </c>
      <c r="O3183" s="598"/>
      <c r="P3183" s="597"/>
      <c r="Q3183" s="597"/>
      <c r="R3183" s="582">
        <f>M3183/I3183</f>
        <v>2000000</v>
      </c>
      <c r="S3183" s="594"/>
      <c r="T3183" s="600"/>
      <c r="U3183" s="709"/>
      <c r="V3183" s="601"/>
      <c r="W3183" s="601"/>
      <c r="X3183" s="601"/>
      <c r="Y3183" s="601"/>
      <c r="Z3183" s="601"/>
    </row>
    <row r="3184" spans="1:26" s="75" customFormat="1" hidden="1">
      <c r="A3184" s="709">
        <f t="shared" si="483"/>
        <v>288</v>
      </c>
      <c r="B3184" s="592" t="s">
        <v>2612</v>
      </c>
      <c r="C3184" s="593" t="s">
        <v>271</v>
      </c>
      <c r="D3184" s="594">
        <v>5433</v>
      </c>
      <c r="E3184" s="594">
        <v>1145</v>
      </c>
      <c r="F3184" s="594" t="s">
        <v>233</v>
      </c>
      <c r="G3184" s="594">
        <v>579</v>
      </c>
      <c r="H3184" s="594">
        <v>4</v>
      </c>
      <c r="I3184" s="594">
        <v>2</v>
      </c>
      <c r="J3184" s="594">
        <v>32</v>
      </c>
      <c r="K3184" s="590" t="s">
        <v>380</v>
      </c>
      <c r="L3184" s="595">
        <f t="shared" si="480"/>
        <v>3965000</v>
      </c>
      <c r="M3184" s="596">
        <v>3880000</v>
      </c>
      <c r="N3184" s="597">
        <v>45000</v>
      </c>
      <c r="O3184" s="598"/>
      <c r="P3184" s="597"/>
      <c r="Q3184" s="597">
        <v>40000</v>
      </c>
      <c r="R3184" s="599">
        <f>M3184/E3184</f>
        <v>3388.6462882096071</v>
      </c>
      <c r="S3184" s="594"/>
      <c r="T3184" s="600"/>
      <c r="U3184" s="709"/>
      <c r="V3184" s="601"/>
      <c r="W3184" s="601"/>
      <c r="X3184" s="601"/>
      <c r="Y3184" s="601"/>
      <c r="Z3184" s="601"/>
    </row>
    <row r="3185" spans="1:26" s="75" customFormat="1" hidden="1">
      <c r="A3185" s="709">
        <f t="shared" si="483"/>
        <v>289</v>
      </c>
      <c r="B3185" s="592" t="s">
        <v>2613</v>
      </c>
      <c r="C3185" s="593" t="s">
        <v>239</v>
      </c>
      <c r="D3185" s="594">
        <v>1778</v>
      </c>
      <c r="E3185" s="594">
        <v>526</v>
      </c>
      <c r="F3185" s="594" t="s">
        <v>222</v>
      </c>
      <c r="G3185" s="594">
        <v>354</v>
      </c>
      <c r="H3185" s="594">
        <v>2</v>
      </c>
      <c r="I3185" s="594">
        <v>1</v>
      </c>
      <c r="J3185" s="594">
        <v>8</v>
      </c>
      <c r="K3185" s="590" t="s">
        <v>33</v>
      </c>
      <c r="L3185" s="595">
        <f t="shared" si="480"/>
        <v>1015385.6</v>
      </c>
      <c r="M3185" s="596">
        <f>G3185*2800</f>
        <v>991200</v>
      </c>
      <c r="N3185" s="597"/>
      <c r="O3185" s="598">
        <f>M3185*0.3%</f>
        <v>2973.6</v>
      </c>
      <c r="P3185" s="597"/>
      <c r="Q3185" s="597">
        <v>21212</v>
      </c>
      <c r="R3185" s="599">
        <f>M3185/G3185</f>
        <v>2800</v>
      </c>
      <c r="S3185" s="594"/>
      <c r="T3185" s="600"/>
      <c r="U3185" s="709"/>
      <c r="V3185" s="601"/>
      <c r="W3185" s="601"/>
      <c r="X3185" s="601"/>
      <c r="Y3185" s="601"/>
      <c r="Z3185" s="601"/>
    </row>
    <row r="3186" spans="1:26" s="75" customFormat="1" hidden="1">
      <c r="A3186" s="709">
        <f t="shared" si="483"/>
        <v>290</v>
      </c>
      <c r="B3186" s="592" t="s">
        <v>2614</v>
      </c>
      <c r="C3186" s="593" t="s">
        <v>271</v>
      </c>
      <c r="D3186" s="594">
        <v>6212</v>
      </c>
      <c r="E3186" s="594">
        <v>1234</v>
      </c>
      <c r="F3186" s="594" t="s">
        <v>222</v>
      </c>
      <c r="G3186" s="594">
        <v>883</v>
      </c>
      <c r="H3186" s="594">
        <v>3</v>
      </c>
      <c r="I3186" s="594">
        <v>3</v>
      </c>
      <c r="J3186" s="594">
        <v>35</v>
      </c>
      <c r="K3186" s="590" t="s">
        <v>224</v>
      </c>
      <c r="L3186" s="595">
        <f t="shared" si="480"/>
        <v>598984</v>
      </c>
      <c r="M3186" s="596">
        <f>J3186*16000</f>
        <v>560000</v>
      </c>
      <c r="N3186" s="597">
        <v>27000</v>
      </c>
      <c r="O3186" s="598"/>
      <c r="P3186" s="597"/>
      <c r="Q3186" s="597">
        <v>11984</v>
      </c>
      <c r="R3186" s="599">
        <f>M3186/J3186</f>
        <v>16000</v>
      </c>
      <c r="S3186" s="594"/>
      <c r="T3186" s="600"/>
      <c r="U3186" s="709"/>
      <c r="V3186" s="601"/>
      <c r="W3186" s="601"/>
      <c r="X3186" s="601"/>
      <c r="Y3186" s="601"/>
      <c r="Z3186" s="601"/>
    </row>
    <row r="3187" spans="1:26" s="75" customFormat="1" hidden="1">
      <c r="A3187" s="709">
        <f t="shared" si="483"/>
        <v>291</v>
      </c>
      <c r="B3187" s="592" t="s">
        <v>2615</v>
      </c>
      <c r="C3187" s="593" t="s">
        <v>271</v>
      </c>
      <c r="D3187" s="594">
        <v>3841</v>
      </c>
      <c r="E3187" s="594">
        <v>824</v>
      </c>
      <c r="F3187" s="594" t="s">
        <v>222</v>
      </c>
      <c r="G3187" s="594">
        <v>580</v>
      </c>
      <c r="H3187" s="594">
        <v>3</v>
      </c>
      <c r="I3187" s="594">
        <v>2</v>
      </c>
      <c r="J3187" s="594">
        <v>21</v>
      </c>
      <c r="K3187" s="590" t="s">
        <v>224</v>
      </c>
      <c r="L3187" s="595">
        <f t="shared" si="480"/>
        <v>370190</v>
      </c>
      <c r="M3187" s="596">
        <f>J3187*16000</f>
        <v>336000</v>
      </c>
      <c r="N3187" s="597">
        <v>27000</v>
      </c>
      <c r="O3187" s="598"/>
      <c r="P3187" s="597"/>
      <c r="Q3187" s="597">
        <v>7190</v>
      </c>
      <c r="R3187" s="599">
        <f>M3187/J3187</f>
        <v>16000</v>
      </c>
      <c r="S3187" s="594"/>
      <c r="T3187" s="600"/>
      <c r="U3187" s="709"/>
      <c r="V3187" s="601"/>
      <c r="W3187" s="601"/>
      <c r="X3187" s="601"/>
      <c r="Y3187" s="601"/>
      <c r="Z3187" s="601"/>
    </row>
    <row r="3188" spans="1:26" s="75" customFormat="1" hidden="1">
      <c r="A3188" s="709">
        <f t="shared" si="483"/>
        <v>292</v>
      </c>
      <c r="B3188" s="592" t="s">
        <v>2616</v>
      </c>
      <c r="C3188" s="593" t="s">
        <v>292</v>
      </c>
      <c r="D3188" s="594">
        <v>3973</v>
      </c>
      <c r="E3188" s="594">
        <v>761</v>
      </c>
      <c r="F3188" s="594" t="s">
        <v>251</v>
      </c>
      <c r="G3188" s="594">
        <v>896</v>
      </c>
      <c r="H3188" s="594">
        <v>2</v>
      </c>
      <c r="I3188" s="594">
        <v>3</v>
      </c>
      <c r="J3188" s="594">
        <v>22</v>
      </c>
      <c r="K3188" s="590" t="s">
        <v>33</v>
      </c>
      <c r="L3188" s="595">
        <f t="shared" si="480"/>
        <v>2019297.6</v>
      </c>
      <c r="M3188" s="596">
        <f>G3188*2200</f>
        <v>1971200</v>
      </c>
      <c r="N3188" s="597"/>
      <c r="O3188" s="598">
        <f>M3188*0.3%</f>
        <v>5913.6</v>
      </c>
      <c r="P3188" s="597"/>
      <c r="Q3188" s="597">
        <v>42184</v>
      </c>
      <c r="R3188" s="599">
        <f>M3188/G3188</f>
        <v>2200</v>
      </c>
      <c r="S3188" s="594"/>
      <c r="T3188" s="600"/>
      <c r="U3188" s="709"/>
      <c r="V3188" s="601"/>
      <c r="W3188" s="601"/>
      <c r="X3188" s="601"/>
      <c r="Y3188" s="601"/>
      <c r="Z3188" s="601"/>
    </row>
    <row r="3189" spans="1:26" s="75" customFormat="1" hidden="1">
      <c r="A3189" s="709">
        <f t="shared" si="483"/>
        <v>293</v>
      </c>
      <c r="B3189" s="592" t="s">
        <v>2617</v>
      </c>
      <c r="C3189" s="593" t="s">
        <v>292</v>
      </c>
      <c r="D3189" s="594">
        <v>3030</v>
      </c>
      <c r="E3189" s="594">
        <v>444</v>
      </c>
      <c r="F3189" s="594" t="s">
        <v>222</v>
      </c>
      <c r="G3189" s="594">
        <v>521</v>
      </c>
      <c r="H3189" s="594">
        <v>2</v>
      </c>
      <c r="I3189" s="594">
        <v>2</v>
      </c>
      <c r="J3189" s="594">
        <v>12</v>
      </c>
      <c r="K3189" s="590" t="s">
        <v>224</v>
      </c>
      <c r="L3189" s="595">
        <f t="shared" si="480"/>
        <v>240622</v>
      </c>
      <c r="M3189" s="596">
        <f>J3189*18000</f>
        <v>216000</v>
      </c>
      <c r="N3189" s="597">
        <v>20000</v>
      </c>
      <c r="O3189" s="598"/>
      <c r="P3189" s="597"/>
      <c r="Q3189" s="597">
        <v>4622</v>
      </c>
      <c r="R3189" s="599">
        <f>M3189/J3189</f>
        <v>18000</v>
      </c>
      <c r="S3189" s="594"/>
      <c r="T3189" s="600"/>
      <c r="U3189" s="709"/>
      <c r="V3189" s="601"/>
      <c r="W3189" s="601"/>
      <c r="X3189" s="601"/>
      <c r="Y3189" s="601"/>
      <c r="Z3189" s="601"/>
    </row>
    <row r="3190" spans="1:26" s="75" customFormat="1" hidden="1">
      <c r="A3190" s="709">
        <f t="shared" si="483"/>
        <v>294</v>
      </c>
      <c r="B3190" s="592" t="s">
        <v>2618</v>
      </c>
      <c r="C3190" s="593" t="s">
        <v>271</v>
      </c>
      <c r="D3190" s="594">
        <v>8727</v>
      </c>
      <c r="E3190" s="594">
        <v>1461</v>
      </c>
      <c r="F3190" s="594" t="s">
        <v>251</v>
      </c>
      <c r="G3190" s="594">
        <v>585</v>
      </c>
      <c r="H3190" s="594">
        <v>5</v>
      </c>
      <c r="I3190" s="594">
        <v>2</v>
      </c>
      <c r="J3190" s="594">
        <v>40</v>
      </c>
      <c r="K3190" s="590" t="s">
        <v>224</v>
      </c>
      <c r="L3190" s="595">
        <f t="shared" si="480"/>
        <v>678696</v>
      </c>
      <c r="M3190" s="596">
        <f>J3190*16000</f>
        <v>640000</v>
      </c>
      <c r="N3190" s="597">
        <v>25000</v>
      </c>
      <c r="O3190" s="598"/>
      <c r="P3190" s="597"/>
      <c r="Q3190" s="597">
        <v>13696</v>
      </c>
      <c r="R3190" s="599">
        <f>M3190/J3190</f>
        <v>16000</v>
      </c>
      <c r="S3190" s="594"/>
      <c r="T3190" s="600"/>
      <c r="U3190" s="709"/>
      <c r="V3190" s="601"/>
      <c r="W3190" s="601"/>
      <c r="X3190" s="601"/>
      <c r="Y3190" s="601"/>
      <c r="Z3190" s="601"/>
    </row>
    <row r="3191" spans="1:26" s="75" customFormat="1" hidden="1">
      <c r="A3191" s="709">
        <f t="shared" si="483"/>
        <v>295</v>
      </c>
      <c r="B3191" s="592" t="s">
        <v>2619</v>
      </c>
      <c r="C3191" s="593" t="s">
        <v>217</v>
      </c>
      <c r="D3191" s="594">
        <v>17426</v>
      </c>
      <c r="E3191" s="594">
        <v>2710</v>
      </c>
      <c r="F3191" s="594" t="s">
        <v>251</v>
      </c>
      <c r="G3191" s="594">
        <v>1235</v>
      </c>
      <c r="H3191" s="594">
        <v>5</v>
      </c>
      <c r="I3191" s="594">
        <v>4</v>
      </c>
      <c r="J3191" s="594">
        <v>80</v>
      </c>
      <c r="K3191" s="590" t="s">
        <v>226</v>
      </c>
      <c r="L3191" s="595">
        <f t="shared" si="480"/>
        <v>12270000</v>
      </c>
      <c r="M3191" s="596">
        <v>12195000</v>
      </c>
      <c r="N3191" s="597">
        <v>35000</v>
      </c>
      <c r="O3191" s="598"/>
      <c r="P3191" s="597"/>
      <c r="Q3191" s="597">
        <v>40000</v>
      </c>
      <c r="R3191" s="599">
        <f>M3191/E3191</f>
        <v>4500</v>
      </c>
      <c r="S3191" s="594"/>
      <c r="T3191" s="600"/>
      <c r="U3191" s="709"/>
      <c r="V3191" s="601"/>
      <c r="W3191" s="601"/>
      <c r="X3191" s="601"/>
      <c r="Y3191" s="601"/>
      <c r="Z3191" s="601"/>
    </row>
    <row r="3192" spans="1:26" s="75" customFormat="1" ht="37.5" hidden="1">
      <c r="A3192" s="709">
        <f t="shared" si="483"/>
        <v>296</v>
      </c>
      <c r="B3192" s="592" t="s">
        <v>2620</v>
      </c>
      <c r="C3192" s="593" t="s">
        <v>217</v>
      </c>
      <c r="D3192" s="650">
        <v>11859</v>
      </c>
      <c r="E3192" s="594">
        <v>2200</v>
      </c>
      <c r="F3192" s="594" t="s">
        <v>251</v>
      </c>
      <c r="G3192" s="594">
        <v>836</v>
      </c>
      <c r="H3192" s="594">
        <v>5</v>
      </c>
      <c r="I3192" s="594">
        <v>3</v>
      </c>
      <c r="J3192" s="594">
        <v>60</v>
      </c>
      <c r="K3192" s="590" t="s">
        <v>30</v>
      </c>
      <c r="L3192" s="595">
        <f t="shared" si="480"/>
        <v>1664860</v>
      </c>
      <c r="M3192" s="596">
        <f>J3192*27000</f>
        <v>1620000</v>
      </c>
      <c r="N3192" s="597"/>
      <c r="O3192" s="598">
        <f>M3192*0.3%</f>
        <v>4860</v>
      </c>
      <c r="P3192" s="597"/>
      <c r="Q3192" s="597">
        <v>40000</v>
      </c>
      <c r="R3192" s="599">
        <f>M3192/J3192</f>
        <v>27000</v>
      </c>
      <c r="S3192" s="594"/>
      <c r="T3192" s="600"/>
      <c r="U3192" s="709"/>
      <c r="V3192" s="601"/>
      <c r="W3192" s="601"/>
      <c r="X3192" s="601"/>
      <c r="Y3192" s="601"/>
      <c r="Z3192" s="601"/>
    </row>
    <row r="3193" spans="1:26" s="75" customFormat="1" hidden="1">
      <c r="A3193" s="1355">
        <f t="shared" si="483"/>
        <v>297</v>
      </c>
      <c r="B3193" s="592" t="s">
        <v>1669</v>
      </c>
      <c r="C3193" s="593" t="s">
        <v>217</v>
      </c>
      <c r="D3193" s="650">
        <v>12440</v>
      </c>
      <c r="E3193" s="594">
        <v>3120</v>
      </c>
      <c r="F3193" s="594" t="s">
        <v>233</v>
      </c>
      <c r="G3193" s="594">
        <v>816</v>
      </c>
      <c r="H3193" s="594">
        <v>9</v>
      </c>
      <c r="I3193" s="594">
        <v>2</v>
      </c>
      <c r="J3193" s="594">
        <v>72</v>
      </c>
      <c r="K3193" s="590" t="s">
        <v>33</v>
      </c>
      <c r="L3193" s="1357">
        <f>SUBTOTAL(9,M3193:Q3194)</f>
        <v>15596625.800000001</v>
      </c>
      <c r="M3193" s="596">
        <f>G3193*2100</f>
        <v>1713600</v>
      </c>
      <c r="N3193" s="597"/>
      <c r="O3193" s="598">
        <f>M3193*0.3%</f>
        <v>5140.8</v>
      </c>
      <c r="P3193" s="597"/>
      <c r="Q3193" s="597">
        <v>36671</v>
      </c>
      <c r="R3193" s="599">
        <f>M3193/G3193</f>
        <v>2100</v>
      </c>
      <c r="S3193" s="594"/>
      <c r="T3193" s="600"/>
      <c r="U3193" s="709"/>
      <c r="V3193" s="601"/>
      <c r="W3193" s="601"/>
      <c r="X3193" s="601"/>
      <c r="Y3193" s="601"/>
      <c r="Z3193" s="601"/>
    </row>
    <row r="3194" spans="1:26" s="136" customFormat="1" ht="37.5" hidden="1">
      <c r="A3194" s="1355"/>
      <c r="B3194" s="961"/>
      <c r="C3194" s="718" t="s">
        <v>217</v>
      </c>
      <c r="D3194" s="719">
        <v>17273</v>
      </c>
      <c r="E3194" s="719">
        <v>3062</v>
      </c>
      <c r="F3194" s="719" t="s">
        <v>233</v>
      </c>
      <c r="G3194" s="719">
        <v>816</v>
      </c>
      <c r="H3194" s="719">
        <v>9</v>
      </c>
      <c r="I3194" s="719">
        <v>2</v>
      </c>
      <c r="J3194" s="719">
        <v>72</v>
      </c>
      <c r="K3194" s="720" t="s">
        <v>370</v>
      </c>
      <c r="L3194" s="1357"/>
      <c r="M3194" s="962">
        <v>13779000</v>
      </c>
      <c r="N3194" s="722">
        <v>32514</v>
      </c>
      <c r="O3194" s="963"/>
      <c r="P3194" s="722"/>
      <c r="Q3194" s="722">
        <v>29700</v>
      </c>
      <c r="R3194" s="724">
        <f>M3194/E3194</f>
        <v>4500</v>
      </c>
      <c r="S3194" s="725">
        <f>L3194-M3194-N3194-O3194-P3194-Q3194</f>
        <v>-13841214</v>
      </c>
      <c r="T3194" s="726"/>
      <c r="U3194" s="965"/>
      <c r="V3194" s="965"/>
      <c r="W3194" s="727"/>
      <c r="X3194" s="727"/>
      <c r="Y3194" s="727"/>
      <c r="Z3194" s="727"/>
    </row>
    <row r="3195" spans="1:26" s="75" customFormat="1" hidden="1">
      <c r="A3195" s="709">
        <f>A3193+1</f>
        <v>298</v>
      </c>
      <c r="B3195" s="592" t="s">
        <v>2621</v>
      </c>
      <c r="C3195" s="593" t="s">
        <v>217</v>
      </c>
      <c r="D3195" s="673">
        <v>19913</v>
      </c>
      <c r="E3195" s="594">
        <v>4155</v>
      </c>
      <c r="F3195" s="594" t="s">
        <v>251</v>
      </c>
      <c r="G3195" s="594">
        <v>1984</v>
      </c>
      <c r="H3195" s="594">
        <v>5</v>
      </c>
      <c r="I3195" s="594">
        <v>7</v>
      </c>
      <c r="J3195" s="594">
        <v>140</v>
      </c>
      <c r="K3195" s="590" t="s">
        <v>33</v>
      </c>
      <c r="L3195" s="595">
        <f t="shared" ref="L3195:L3202" si="484">M3195+N3195+O3195+P3195+Q3195</f>
        <v>5611865.5999999996</v>
      </c>
      <c r="M3195" s="596">
        <f>G3195*2800</f>
        <v>5555200</v>
      </c>
      <c r="N3195" s="597"/>
      <c r="O3195" s="598">
        <f>M3195*0.3%</f>
        <v>16665.599999999999</v>
      </c>
      <c r="P3195" s="597"/>
      <c r="Q3195" s="597">
        <v>40000</v>
      </c>
      <c r="R3195" s="599">
        <f>M3195/G3195</f>
        <v>2800</v>
      </c>
      <c r="S3195" s="594"/>
      <c r="T3195" s="600"/>
      <c r="U3195" s="709"/>
      <c r="V3195" s="601"/>
      <c r="W3195" s="601"/>
      <c r="X3195" s="601"/>
      <c r="Y3195" s="601"/>
      <c r="Z3195" s="601"/>
    </row>
    <row r="3196" spans="1:26" s="75" customFormat="1" hidden="1">
      <c r="A3196" s="709">
        <f t="shared" si="483"/>
        <v>299</v>
      </c>
      <c r="B3196" s="592" t="s">
        <v>2622</v>
      </c>
      <c r="C3196" s="593" t="s">
        <v>217</v>
      </c>
      <c r="D3196" s="594">
        <v>17426</v>
      </c>
      <c r="E3196" s="594">
        <v>2620</v>
      </c>
      <c r="F3196" s="594" t="s">
        <v>251</v>
      </c>
      <c r="G3196" s="594">
        <v>1148</v>
      </c>
      <c r="H3196" s="594">
        <v>5</v>
      </c>
      <c r="I3196" s="594">
        <v>4</v>
      </c>
      <c r="J3196" s="594">
        <v>80</v>
      </c>
      <c r="K3196" s="590" t="s">
        <v>224</v>
      </c>
      <c r="L3196" s="595">
        <f t="shared" si="484"/>
        <v>1339392</v>
      </c>
      <c r="M3196" s="596">
        <f>J3196*16000</f>
        <v>1280000</v>
      </c>
      <c r="N3196" s="597">
        <v>32000</v>
      </c>
      <c r="O3196" s="598"/>
      <c r="P3196" s="597"/>
      <c r="Q3196" s="597">
        <v>27392</v>
      </c>
      <c r="R3196" s="599">
        <f>M3196/J3196</f>
        <v>16000</v>
      </c>
      <c r="S3196" s="594"/>
      <c r="T3196" s="600"/>
      <c r="U3196" s="709"/>
      <c r="V3196" s="601"/>
      <c r="W3196" s="601"/>
      <c r="X3196" s="601"/>
      <c r="Y3196" s="601"/>
      <c r="Z3196" s="601"/>
    </row>
    <row r="3197" spans="1:26" s="75" customFormat="1" hidden="1">
      <c r="A3197" s="709">
        <f t="shared" si="483"/>
        <v>300</v>
      </c>
      <c r="B3197" s="592" t="s">
        <v>2623</v>
      </c>
      <c r="C3197" s="593" t="s">
        <v>217</v>
      </c>
      <c r="D3197" s="594">
        <v>17426</v>
      </c>
      <c r="E3197" s="594">
        <v>5350</v>
      </c>
      <c r="F3197" s="594" t="s">
        <v>251</v>
      </c>
      <c r="G3197" s="594">
        <v>2268</v>
      </c>
      <c r="H3197" s="594">
        <v>5</v>
      </c>
      <c r="I3197" s="594">
        <v>8</v>
      </c>
      <c r="J3197" s="594">
        <v>160</v>
      </c>
      <c r="K3197" s="590" t="s">
        <v>33</v>
      </c>
      <c r="L3197" s="595">
        <f t="shared" si="484"/>
        <v>6409451.2000000002</v>
      </c>
      <c r="M3197" s="596">
        <f>G3197*2800</f>
        <v>6350400</v>
      </c>
      <c r="N3197" s="597"/>
      <c r="O3197" s="598">
        <f t="shared" ref="O3197:O3203" si="485">M3197*0.3%</f>
        <v>19051.2</v>
      </c>
      <c r="P3197" s="597"/>
      <c r="Q3197" s="597">
        <v>40000</v>
      </c>
      <c r="R3197" s="599">
        <f>M3197/G3197</f>
        <v>2800</v>
      </c>
      <c r="S3197" s="594"/>
      <c r="T3197" s="600"/>
      <c r="U3197" s="709"/>
      <c r="V3197" s="601"/>
      <c r="W3197" s="601"/>
      <c r="X3197" s="601"/>
      <c r="Y3197" s="601"/>
      <c r="Z3197" s="601"/>
    </row>
    <row r="3198" spans="1:26" s="75" customFormat="1" hidden="1">
      <c r="A3198" s="709">
        <f t="shared" si="483"/>
        <v>301</v>
      </c>
      <c r="B3198" s="592" t="s">
        <v>2625</v>
      </c>
      <c r="C3198" s="593" t="s">
        <v>271</v>
      </c>
      <c r="D3198" s="594">
        <v>21780</v>
      </c>
      <c r="E3198" s="594">
        <v>3115</v>
      </c>
      <c r="F3198" s="594" t="s">
        <v>222</v>
      </c>
      <c r="G3198" s="594">
        <v>1883</v>
      </c>
      <c r="H3198" s="594">
        <v>5</v>
      </c>
      <c r="I3198" s="594">
        <v>3</v>
      </c>
      <c r="J3198" s="594">
        <v>54</v>
      </c>
      <c r="K3198" s="590" t="s">
        <v>33</v>
      </c>
      <c r="L3198" s="595">
        <f t="shared" si="484"/>
        <v>6650271.5</v>
      </c>
      <c r="M3198" s="596">
        <f>G3198*3500</f>
        <v>6590500</v>
      </c>
      <c r="N3198" s="597"/>
      <c r="O3198" s="598">
        <f t="shared" si="485"/>
        <v>19771.5</v>
      </c>
      <c r="P3198" s="597"/>
      <c r="Q3198" s="597">
        <v>40000</v>
      </c>
      <c r="R3198" s="599">
        <f>M3198/G3198</f>
        <v>3500</v>
      </c>
      <c r="S3198" s="594"/>
      <c r="T3198" s="600"/>
      <c r="U3198" s="709"/>
      <c r="V3198" s="601"/>
      <c r="W3198" s="601"/>
      <c r="X3198" s="601"/>
      <c r="Y3198" s="601"/>
      <c r="Z3198" s="601"/>
    </row>
    <row r="3199" spans="1:26" s="75" customFormat="1" ht="37.5" hidden="1">
      <c r="A3199" s="709">
        <f t="shared" si="483"/>
        <v>302</v>
      </c>
      <c r="B3199" s="592" t="s">
        <v>2626</v>
      </c>
      <c r="C3199" s="593" t="s">
        <v>271</v>
      </c>
      <c r="D3199" s="594">
        <v>13565</v>
      </c>
      <c r="E3199" s="594">
        <v>2338</v>
      </c>
      <c r="F3199" s="594" t="s">
        <v>222</v>
      </c>
      <c r="G3199" s="594">
        <v>1229</v>
      </c>
      <c r="H3199" s="594">
        <v>4</v>
      </c>
      <c r="I3199" s="594">
        <v>3</v>
      </c>
      <c r="J3199" s="594">
        <v>30</v>
      </c>
      <c r="K3199" s="590" t="s">
        <v>374</v>
      </c>
      <c r="L3199" s="595">
        <f t="shared" si="484"/>
        <v>5902535</v>
      </c>
      <c r="M3199" s="596">
        <f>E3199*2500</f>
        <v>5845000</v>
      </c>
      <c r="N3199" s="597"/>
      <c r="O3199" s="598">
        <f t="shared" si="485"/>
        <v>17535</v>
      </c>
      <c r="P3199" s="597"/>
      <c r="Q3199" s="597">
        <v>40000</v>
      </c>
      <c r="R3199" s="599">
        <f>M3199/E3199</f>
        <v>2500</v>
      </c>
      <c r="S3199" s="594"/>
      <c r="T3199" s="600"/>
      <c r="U3199" s="709"/>
      <c r="V3199" s="601"/>
      <c r="W3199" s="601"/>
      <c r="X3199" s="601"/>
      <c r="Y3199" s="601"/>
      <c r="Z3199" s="601"/>
    </row>
    <row r="3200" spans="1:26" s="75" customFormat="1" hidden="1">
      <c r="A3200" s="709">
        <f t="shared" si="483"/>
        <v>303</v>
      </c>
      <c r="B3200" s="592" t="s">
        <v>2627</v>
      </c>
      <c r="C3200" s="593" t="s">
        <v>271</v>
      </c>
      <c r="D3200" s="594">
        <v>27121</v>
      </c>
      <c r="E3200" s="594">
        <v>4429</v>
      </c>
      <c r="F3200" s="594" t="s">
        <v>222</v>
      </c>
      <c r="G3200" s="594">
        <v>2070.4</v>
      </c>
      <c r="H3200" s="594">
        <v>5</v>
      </c>
      <c r="I3200" s="594">
        <v>5</v>
      </c>
      <c r="J3200" s="594">
        <v>87</v>
      </c>
      <c r="K3200" s="590" t="s">
        <v>33</v>
      </c>
      <c r="L3200" s="595">
        <f t="shared" si="484"/>
        <v>7308139.2000000002</v>
      </c>
      <c r="M3200" s="596">
        <f>G3200*3500</f>
        <v>7246400</v>
      </c>
      <c r="N3200" s="597"/>
      <c r="O3200" s="598">
        <f t="shared" si="485"/>
        <v>21739.200000000001</v>
      </c>
      <c r="P3200" s="597"/>
      <c r="Q3200" s="597">
        <v>40000</v>
      </c>
      <c r="R3200" s="599">
        <f>M3200/G3200</f>
        <v>3500</v>
      </c>
      <c r="S3200" s="594"/>
      <c r="T3200" s="600"/>
      <c r="U3200" s="709"/>
      <c r="V3200" s="601"/>
      <c r="W3200" s="601"/>
      <c r="X3200" s="601"/>
      <c r="Y3200" s="601"/>
      <c r="Z3200" s="601"/>
    </row>
    <row r="3201" spans="1:26" s="75" customFormat="1" hidden="1">
      <c r="A3201" s="709">
        <f t="shared" si="483"/>
        <v>304</v>
      </c>
      <c r="B3201" s="592" t="s">
        <v>2628</v>
      </c>
      <c r="C3201" s="593" t="s">
        <v>271</v>
      </c>
      <c r="D3201" s="594">
        <v>17876</v>
      </c>
      <c r="E3201" s="594">
        <v>3115</v>
      </c>
      <c r="F3201" s="594" t="s">
        <v>222</v>
      </c>
      <c r="G3201" s="594">
        <v>1648</v>
      </c>
      <c r="H3201" s="594">
        <v>5</v>
      </c>
      <c r="I3201" s="594">
        <v>6</v>
      </c>
      <c r="J3201" s="594">
        <v>99</v>
      </c>
      <c r="K3201" s="590" t="s">
        <v>33</v>
      </c>
      <c r="L3201" s="595">
        <f t="shared" si="484"/>
        <v>5825304</v>
      </c>
      <c r="M3201" s="596">
        <f>G3201*3500</f>
        <v>5768000</v>
      </c>
      <c r="N3201" s="597"/>
      <c r="O3201" s="598">
        <f t="shared" si="485"/>
        <v>17304</v>
      </c>
      <c r="P3201" s="597"/>
      <c r="Q3201" s="597">
        <v>40000</v>
      </c>
      <c r="R3201" s="599">
        <f>M3201/G3201</f>
        <v>3500</v>
      </c>
      <c r="S3201" s="594"/>
      <c r="T3201" s="600"/>
      <c r="U3201" s="709"/>
      <c r="V3201" s="601"/>
      <c r="W3201" s="601"/>
      <c r="X3201" s="601"/>
      <c r="Y3201" s="601"/>
      <c r="Z3201" s="601"/>
    </row>
    <row r="3202" spans="1:26" s="75" customFormat="1" hidden="1">
      <c r="A3202" s="709">
        <f t="shared" si="483"/>
        <v>305</v>
      </c>
      <c r="B3202" s="592" t="s">
        <v>2629</v>
      </c>
      <c r="C3202" s="593" t="s">
        <v>271</v>
      </c>
      <c r="D3202" s="594">
        <v>62035</v>
      </c>
      <c r="E3202" s="594">
        <v>8000</v>
      </c>
      <c r="F3202" s="594" t="s">
        <v>222</v>
      </c>
      <c r="G3202" s="594">
        <v>2712.1</v>
      </c>
      <c r="H3202" s="594">
        <v>5</v>
      </c>
      <c r="I3202" s="594">
        <v>7</v>
      </c>
      <c r="J3202" s="594">
        <v>183</v>
      </c>
      <c r="K3202" s="590" t="s">
        <v>33</v>
      </c>
      <c r="L3202" s="595">
        <f t="shared" si="484"/>
        <v>7622680</v>
      </c>
      <c r="M3202" s="596">
        <v>7560000</v>
      </c>
      <c r="N3202" s="597"/>
      <c r="O3202" s="598">
        <f t="shared" si="485"/>
        <v>22680</v>
      </c>
      <c r="P3202" s="597"/>
      <c r="Q3202" s="597">
        <v>40000</v>
      </c>
      <c r="R3202" s="599">
        <f>M3202/G3202</f>
        <v>2787.5078352568121</v>
      </c>
      <c r="S3202" s="594"/>
      <c r="T3202" s="600"/>
      <c r="U3202" s="709"/>
      <c r="V3202" s="601"/>
      <c r="W3202" s="601"/>
      <c r="X3202" s="601"/>
      <c r="Y3202" s="601"/>
      <c r="Z3202" s="601"/>
    </row>
    <row r="3203" spans="1:26" s="75" customFormat="1" hidden="1">
      <c r="A3203" s="1355">
        <f t="shared" si="483"/>
        <v>306</v>
      </c>
      <c r="B3203" s="592" t="s">
        <v>2630</v>
      </c>
      <c r="C3203" s="593" t="s">
        <v>271</v>
      </c>
      <c r="D3203" s="594">
        <v>1194</v>
      </c>
      <c r="E3203" s="594">
        <v>1720</v>
      </c>
      <c r="F3203" s="594" t="s">
        <v>222</v>
      </c>
      <c r="G3203" s="594">
        <v>902</v>
      </c>
      <c r="H3203" s="594">
        <v>5</v>
      </c>
      <c r="I3203" s="594">
        <v>3</v>
      </c>
      <c r="J3203" s="594">
        <v>60</v>
      </c>
      <c r="K3203" s="590" t="s">
        <v>33</v>
      </c>
      <c r="L3203" s="1357">
        <f>SUBTOTAL(9,M3203:Q3204)</f>
        <v>8167541</v>
      </c>
      <c r="M3203" s="596">
        <f>G3203*3500</f>
        <v>3157000</v>
      </c>
      <c r="N3203" s="597"/>
      <c r="O3203" s="598">
        <f t="shared" si="485"/>
        <v>9471</v>
      </c>
      <c r="P3203" s="597"/>
      <c r="Q3203" s="597">
        <v>67560</v>
      </c>
      <c r="R3203" s="599">
        <f>M3203/G3203</f>
        <v>3500</v>
      </c>
      <c r="S3203" s="594"/>
      <c r="T3203" s="600"/>
      <c r="U3203" s="709"/>
      <c r="V3203" s="601"/>
      <c r="W3203" s="601"/>
      <c r="X3203" s="601"/>
      <c r="Y3203" s="601"/>
      <c r="Z3203" s="601"/>
    </row>
    <row r="3204" spans="1:26" s="75" customFormat="1" hidden="1">
      <c r="A3204" s="1355"/>
      <c r="B3204" s="592"/>
      <c r="C3204" s="593"/>
      <c r="D3204" s="594"/>
      <c r="E3204" s="594"/>
      <c r="F3204" s="594"/>
      <c r="G3204" s="594"/>
      <c r="H3204" s="594"/>
      <c r="I3204" s="594"/>
      <c r="J3204" s="594"/>
      <c r="K3204" s="590" t="s">
        <v>38</v>
      </c>
      <c r="L3204" s="1357"/>
      <c r="M3204" s="596">
        <v>4816000</v>
      </c>
      <c r="N3204" s="597"/>
      <c r="O3204" s="598">
        <v>14448</v>
      </c>
      <c r="P3204" s="597"/>
      <c r="Q3204" s="597">
        <v>103062</v>
      </c>
      <c r="R3204" s="599">
        <f>M3204/E3203</f>
        <v>2800</v>
      </c>
      <c r="S3204" s="594"/>
      <c r="T3204" s="600"/>
      <c r="U3204" s="709"/>
      <c r="V3204" s="601"/>
      <c r="W3204" s="601"/>
      <c r="X3204" s="601"/>
      <c r="Y3204" s="601"/>
      <c r="Z3204" s="601"/>
    </row>
    <row r="3205" spans="1:26" s="75" customFormat="1" hidden="1">
      <c r="A3205" s="709">
        <v>307</v>
      </c>
      <c r="B3205" s="592" t="s">
        <v>2632</v>
      </c>
      <c r="C3205" s="593" t="s">
        <v>271</v>
      </c>
      <c r="D3205" s="594">
        <v>12584</v>
      </c>
      <c r="E3205" s="594">
        <v>2180</v>
      </c>
      <c r="F3205" s="594" t="s">
        <v>222</v>
      </c>
      <c r="G3205" s="594">
        <v>1142</v>
      </c>
      <c r="H3205" s="594">
        <v>5</v>
      </c>
      <c r="I3205" s="594">
        <v>4</v>
      </c>
      <c r="J3205" s="594">
        <v>80</v>
      </c>
      <c r="K3205" s="590" t="s">
        <v>33</v>
      </c>
      <c r="L3205" s="595">
        <f t="shared" ref="L3205:L3225" si="486">M3205+N3205+O3205+P3205+Q3205</f>
        <v>4094527</v>
      </c>
      <c r="M3205" s="596">
        <f>G3205*3500</f>
        <v>3997000</v>
      </c>
      <c r="N3205" s="597"/>
      <c r="O3205" s="598">
        <f>M3205*0.3%</f>
        <v>11991</v>
      </c>
      <c r="P3205" s="597"/>
      <c r="Q3205" s="597">
        <v>85536</v>
      </c>
      <c r="R3205" s="599">
        <f>M3205/G3205</f>
        <v>3500</v>
      </c>
      <c r="S3205" s="594"/>
      <c r="T3205" s="600"/>
      <c r="U3205" s="709"/>
      <c r="V3205" s="601"/>
      <c r="W3205" s="601"/>
      <c r="X3205" s="601"/>
      <c r="Y3205" s="601"/>
      <c r="Z3205" s="601"/>
    </row>
    <row r="3206" spans="1:26" s="75" customFormat="1" hidden="1">
      <c r="A3206" s="709">
        <f t="shared" ref="A3206:A3225" si="487">A3205+1</f>
        <v>308</v>
      </c>
      <c r="B3206" s="592" t="s">
        <v>2633</v>
      </c>
      <c r="C3206" s="593" t="s">
        <v>271</v>
      </c>
      <c r="D3206" s="594">
        <v>12798</v>
      </c>
      <c r="E3206" s="594">
        <v>2180</v>
      </c>
      <c r="F3206" s="594" t="s">
        <v>222</v>
      </c>
      <c r="G3206" s="594">
        <v>1125</v>
      </c>
      <c r="H3206" s="594">
        <v>5</v>
      </c>
      <c r="I3206" s="594">
        <v>4</v>
      </c>
      <c r="J3206" s="594">
        <v>79</v>
      </c>
      <c r="K3206" s="590" t="s">
        <v>33</v>
      </c>
      <c r="L3206" s="595">
        <f t="shared" si="486"/>
        <v>4033575.5</v>
      </c>
      <c r="M3206" s="596">
        <f>G3206*3500</f>
        <v>3937500</v>
      </c>
      <c r="N3206" s="597"/>
      <c r="O3206" s="598">
        <f>M3206*0.3%</f>
        <v>11812.5</v>
      </c>
      <c r="P3206" s="597"/>
      <c r="Q3206" s="597">
        <v>84263</v>
      </c>
      <c r="R3206" s="599">
        <f>M3206/G3206</f>
        <v>3500</v>
      </c>
      <c r="S3206" s="594"/>
      <c r="T3206" s="600"/>
      <c r="U3206" s="709"/>
      <c r="V3206" s="601"/>
      <c r="W3206" s="601"/>
      <c r="X3206" s="601"/>
      <c r="Y3206" s="601"/>
      <c r="Z3206" s="601"/>
    </row>
    <row r="3207" spans="1:26" s="75" customFormat="1" ht="37.5" hidden="1">
      <c r="A3207" s="709">
        <f t="shared" si="487"/>
        <v>309</v>
      </c>
      <c r="B3207" s="592" t="s">
        <v>2634</v>
      </c>
      <c r="C3207" s="593" t="s">
        <v>271</v>
      </c>
      <c r="D3207" s="594">
        <v>12623</v>
      </c>
      <c r="E3207" s="594">
        <v>2606</v>
      </c>
      <c r="F3207" s="594" t="s">
        <v>233</v>
      </c>
      <c r="G3207" s="594">
        <v>1152</v>
      </c>
      <c r="H3207" s="594">
        <v>10</v>
      </c>
      <c r="I3207" s="594">
        <v>1</v>
      </c>
      <c r="J3207" s="594">
        <v>52</v>
      </c>
      <c r="K3207" s="590" t="s">
        <v>366</v>
      </c>
      <c r="L3207" s="595">
        <f t="shared" si="486"/>
        <v>2085000</v>
      </c>
      <c r="M3207" s="596">
        <v>2000000</v>
      </c>
      <c r="N3207" s="597">
        <v>85000</v>
      </c>
      <c r="O3207" s="598"/>
      <c r="P3207" s="597"/>
      <c r="Q3207" s="597"/>
      <c r="R3207" s="599">
        <v>2200000</v>
      </c>
      <c r="S3207" s="594"/>
      <c r="T3207" s="600"/>
      <c r="U3207" s="709"/>
      <c r="V3207" s="601"/>
      <c r="W3207" s="601"/>
      <c r="X3207" s="601"/>
      <c r="Y3207" s="601"/>
      <c r="Z3207" s="601"/>
    </row>
    <row r="3208" spans="1:26" s="75" customFormat="1" hidden="1">
      <c r="A3208" s="709">
        <f t="shared" si="487"/>
        <v>310</v>
      </c>
      <c r="B3208" s="592" t="s">
        <v>2635</v>
      </c>
      <c r="C3208" s="593" t="s">
        <v>292</v>
      </c>
      <c r="D3208" s="594">
        <v>3202</v>
      </c>
      <c r="E3208" s="594">
        <v>497</v>
      </c>
      <c r="F3208" s="594" t="s">
        <v>251</v>
      </c>
      <c r="G3208" s="594">
        <v>603</v>
      </c>
      <c r="H3208" s="594">
        <v>2</v>
      </c>
      <c r="I3208" s="594">
        <v>2</v>
      </c>
      <c r="J3208" s="594">
        <v>12</v>
      </c>
      <c r="K3208" s="590" t="s">
        <v>224</v>
      </c>
      <c r="L3208" s="595">
        <f t="shared" si="486"/>
        <v>240622</v>
      </c>
      <c r="M3208" s="596">
        <f>J3208*18000</f>
        <v>216000</v>
      </c>
      <c r="N3208" s="597">
        <v>20000</v>
      </c>
      <c r="O3208" s="598"/>
      <c r="P3208" s="597"/>
      <c r="Q3208" s="597">
        <v>4622</v>
      </c>
      <c r="R3208" s="599">
        <f t="shared" ref="R3208:R3215" si="488">M3208/J3208</f>
        <v>18000</v>
      </c>
      <c r="S3208" s="594"/>
      <c r="T3208" s="600"/>
      <c r="U3208" s="709"/>
      <c r="V3208" s="601"/>
      <c r="W3208" s="601"/>
      <c r="X3208" s="601"/>
      <c r="Y3208" s="601"/>
      <c r="Z3208" s="601"/>
    </row>
    <row r="3209" spans="1:26" s="75" customFormat="1" hidden="1">
      <c r="A3209" s="709">
        <f t="shared" si="487"/>
        <v>311</v>
      </c>
      <c r="B3209" s="592" t="s">
        <v>2636</v>
      </c>
      <c r="C3209" s="593" t="s">
        <v>401</v>
      </c>
      <c r="D3209" s="594">
        <v>2383</v>
      </c>
      <c r="E3209" s="594">
        <v>340</v>
      </c>
      <c r="F3209" s="594" t="s">
        <v>251</v>
      </c>
      <c r="G3209" s="594">
        <v>467</v>
      </c>
      <c r="H3209" s="594">
        <v>2</v>
      </c>
      <c r="I3209" s="594">
        <v>1</v>
      </c>
      <c r="J3209" s="594">
        <v>12</v>
      </c>
      <c r="K3209" s="590" t="s">
        <v>224</v>
      </c>
      <c r="L3209" s="595">
        <f t="shared" si="486"/>
        <v>240622</v>
      </c>
      <c r="M3209" s="596">
        <f>J3209*18000</f>
        <v>216000</v>
      </c>
      <c r="N3209" s="597">
        <v>20000</v>
      </c>
      <c r="O3209" s="598"/>
      <c r="P3209" s="597"/>
      <c r="Q3209" s="597">
        <v>4622</v>
      </c>
      <c r="R3209" s="599">
        <f t="shared" si="488"/>
        <v>18000</v>
      </c>
      <c r="S3209" s="594"/>
      <c r="T3209" s="600"/>
      <c r="U3209" s="709"/>
      <c r="V3209" s="601"/>
      <c r="W3209" s="601"/>
      <c r="X3209" s="601"/>
      <c r="Y3209" s="601"/>
      <c r="Z3209" s="601"/>
    </row>
    <row r="3210" spans="1:26" s="75" customFormat="1" hidden="1">
      <c r="A3210" s="709">
        <f t="shared" si="487"/>
        <v>312</v>
      </c>
      <c r="B3210" s="592" t="s">
        <v>2637</v>
      </c>
      <c r="C3210" s="593" t="s">
        <v>396</v>
      </c>
      <c r="D3210" s="594">
        <v>2709</v>
      </c>
      <c r="E3210" s="594">
        <v>344</v>
      </c>
      <c r="F3210" s="594" t="s">
        <v>251</v>
      </c>
      <c r="G3210" s="594">
        <v>522</v>
      </c>
      <c r="H3210" s="594">
        <v>2</v>
      </c>
      <c r="I3210" s="594">
        <v>1</v>
      </c>
      <c r="J3210" s="594">
        <v>12</v>
      </c>
      <c r="K3210" s="590" t="s">
        <v>224</v>
      </c>
      <c r="L3210" s="595">
        <f t="shared" si="486"/>
        <v>240622</v>
      </c>
      <c r="M3210" s="596">
        <f>J3210*18000</f>
        <v>216000</v>
      </c>
      <c r="N3210" s="597">
        <v>20000</v>
      </c>
      <c r="O3210" s="598"/>
      <c r="P3210" s="597"/>
      <c r="Q3210" s="597">
        <v>4622</v>
      </c>
      <c r="R3210" s="599">
        <f t="shared" si="488"/>
        <v>18000</v>
      </c>
      <c r="S3210" s="594"/>
      <c r="T3210" s="600"/>
      <c r="U3210" s="709"/>
      <c r="V3210" s="601"/>
      <c r="W3210" s="601"/>
      <c r="X3210" s="601"/>
      <c r="Y3210" s="601"/>
      <c r="Z3210" s="601"/>
    </row>
    <row r="3211" spans="1:26" s="75" customFormat="1" ht="37.5" hidden="1">
      <c r="A3211" s="709">
        <f t="shared" si="487"/>
        <v>313</v>
      </c>
      <c r="B3211" s="592" t="s">
        <v>2638</v>
      </c>
      <c r="C3211" s="593" t="s">
        <v>396</v>
      </c>
      <c r="D3211" s="594">
        <v>2691</v>
      </c>
      <c r="E3211" s="594">
        <v>718</v>
      </c>
      <c r="F3211" s="594" t="s">
        <v>251</v>
      </c>
      <c r="G3211" s="594">
        <v>522</v>
      </c>
      <c r="H3211" s="594">
        <v>2</v>
      </c>
      <c r="I3211" s="594">
        <v>3</v>
      </c>
      <c r="J3211" s="594">
        <v>12</v>
      </c>
      <c r="K3211" s="590" t="s">
        <v>30</v>
      </c>
      <c r="L3211" s="595">
        <f t="shared" si="486"/>
        <v>340900</v>
      </c>
      <c r="M3211" s="596">
        <f>J3211*25000</f>
        <v>300000</v>
      </c>
      <c r="N3211" s="597"/>
      <c r="O3211" s="598">
        <f>M3211*0.3%</f>
        <v>900</v>
      </c>
      <c r="P3211" s="597"/>
      <c r="Q3211" s="597">
        <v>40000</v>
      </c>
      <c r="R3211" s="599">
        <f t="shared" si="488"/>
        <v>25000</v>
      </c>
      <c r="S3211" s="594"/>
      <c r="T3211" s="600"/>
      <c r="U3211" s="709"/>
      <c r="V3211" s="601"/>
      <c r="W3211" s="601"/>
      <c r="X3211" s="601"/>
      <c r="Y3211" s="601"/>
      <c r="Z3211" s="601"/>
    </row>
    <row r="3212" spans="1:26" s="75" customFormat="1" ht="37.5" hidden="1">
      <c r="A3212" s="709">
        <f t="shared" si="487"/>
        <v>314</v>
      </c>
      <c r="B3212" s="592" t="s">
        <v>2639</v>
      </c>
      <c r="C3212" s="593" t="s">
        <v>396</v>
      </c>
      <c r="D3212" s="594">
        <v>3915</v>
      </c>
      <c r="E3212" s="594">
        <v>718</v>
      </c>
      <c r="F3212" s="594" t="s">
        <v>251</v>
      </c>
      <c r="G3212" s="594">
        <v>702</v>
      </c>
      <c r="H3212" s="594">
        <v>2</v>
      </c>
      <c r="I3212" s="594">
        <v>3</v>
      </c>
      <c r="J3212" s="594">
        <v>12</v>
      </c>
      <c r="K3212" s="590" t="s">
        <v>237</v>
      </c>
      <c r="L3212" s="595">
        <f t="shared" si="486"/>
        <v>340900</v>
      </c>
      <c r="M3212" s="596">
        <f>J3212*25000</f>
        <v>300000</v>
      </c>
      <c r="N3212" s="597"/>
      <c r="O3212" s="598">
        <f>M3212*0.3%</f>
        <v>900</v>
      </c>
      <c r="P3212" s="597"/>
      <c r="Q3212" s="597">
        <v>40000</v>
      </c>
      <c r="R3212" s="599">
        <f t="shared" si="488"/>
        <v>25000</v>
      </c>
      <c r="S3212" s="594"/>
      <c r="T3212" s="600"/>
      <c r="U3212" s="709"/>
      <c r="V3212" s="601"/>
      <c r="W3212" s="601"/>
      <c r="X3212" s="601"/>
      <c r="Y3212" s="601"/>
      <c r="Z3212" s="601"/>
    </row>
    <row r="3213" spans="1:26" s="75" customFormat="1" hidden="1">
      <c r="A3213" s="709">
        <f t="shared" si="487"/>
        <v>315</v>
      </c>
      <c r="B3213" s="592" t="s">
        <v>2640</v>
      </c>
      <c r="C3213" s="593" t="s">
        <v>401</v>
      </c>
      <c r="D3213" s="594">
        <v>3922</v>
      </c>
      <c r="E3213" s="594">
        <v>719</v>
      </c>
      <c r="F3213" s="594" t="s">
        <v>251</v>
      </c>
      <c r="G3213" s="594">
        <v>761</v>
      </c>
      <c r="H3213" s="594">
        <v>2</v>
      </c>
      <c r="I3213" s="594">
        <v>3</v>
      </c>
      <c r="J3213" s="594">
        <v>12</v>
      </c>
      <c r="K3213" s="590" t="s">
        <v>224</v>
      </c>
      <c r="L3213" s="595">
        <f t="shared" si="486"/>
        <v>240622</v>
      </c>
      <c r="M3213" s="596">
        <f>J3213*18000</f>
        <v>216000</v>
      </c>
      <c r="N3213" s="597">
        <v>20000</v>
      </c>
      <c r="O3213" s="598"/>
      <c r="P3213" s="597"/>
      <c r="Q3213" s="597">
        <v>4622</v>
      </c>
      <c r="R3213" s="599">
        <f t="shared" si="488"/>
        <v>18000</v>
      </c>
      <c r="S3213" s="594"/>
      <c r="T3213" s="600"/>
      <c r="U3213" s="709"/>
      <c r="V3213" s="601"/>
      <c r="W3213" s="601"/>
      <c r="X3213" s="601"/>
      <c r="Y3213" s="601"/>
      <c r="Z3213" s="601"/>
    </row>
    <row r="3214" spans="1:26" s="75" customFormat="1" ht="37.5" hidden="1">
      <c r="A3214" s="709">
        <f t="shared" si="487"/>
        <v>316</v>
      </c>
      <c r="B3214" s="592" t="s">
        <v>2641</v>
      </c>
      <c r="C3214" s="593" t="s">
        <v>396</v>
      </c>
      <c r="D3214" s="594">
        <v>3789</v>
      </c>
      <c r="E3214" s="594">
        <v>930</v>
      </c>
      <c r="F3214" s="594" t="s">
        <v>251</v>
      </c>
      <c r="G3214" s="594">
        <v>769</v>
      </c>
      <c r="H3214" s="594">
        <v>2</v>
      </c>
      <c r="I3214" s="594">
        <v>4</v>
      </c>
      <c r="J3214" s="594">
        <v>16</v>
      </c>
      <c r="K3214" s="590" t="s">
        <v>30</v>
      </c>
      <c r="L3214" s="595">
        <f t="shared" si="486"/>
        <v>441200</v>
      </c>
      <c r="M3214" s="596">
        <v>400000</v>
      </c>
      <c r="N3214" s="597"/>
      <c r="O3214" s="598">
        <f>M3214*0.3%</f>
        <v>1200</v>
      </c>
      <c r="P3214" s="597"/>
      <c r="Q3214" s="597">
        <v>40000</v>
      </c>
      <c r="R3214" s="599">
        <f t="shared" si="488"/>
        <v>25000</v>
      </c>
      <c r="S3214" s="594"/>
      <c r="T3214" s="600"/>
      <c r="U3214" s="709"/>
      <c r="V3214" s="601"/>
      <c r="W3214" s="601"/>
      <c r="X3214" s="601"/>
      <c r="Y3214" s="601"/>
      <c r="Z3214" s="601"/>
    </row>
    <row r="3215" spans="1:26" s="75" customFormat="1" ht="37.5" hidden="1">
      <c r="A3215" s="709">
        <f t="shared" si="487"/>
        <v>317</v>
      </c>
      <c r="B3215" s="592" t="s">
        <v>2642</v>
      </c>
      <c r="C3215" s="593" t="s">
        <v>344</v>
      </c>
      <c r="D3215" s="650">
        <v>1692</v>
      </c>
      <c r="E3215" s="594">
        <v>540</v>
      </c>
      <c r="F3215" s="594" t="s">
        <v>222</v>
      </c>
      <c r="G3215" s="594">
        <v>366.6</v>
      </c>
      <c r="H3215" s="594">
        <v>2</v>
      </c>
      <c r="I3215" s="594">
        <v>2</v>
      </c>
      <c r="J3215" s="594">
        <v>8</v>
      </c>
      <c r="K3215" s="590" t="s">
        <v>30</v>
      </c>
      <c r="L3215" s="595">
        <f t="shared" si="486"/>
        <v>240600</v>
      </c>
      <c r="M3215" s="596">
        <f>J3215*25000</f>
        <v>200000</v>
      </c>
      <c r="N3215" s="597"/>
      <c r="O3215" s="598">
        <f>M3215*0.3%</f>
        <v>600</v>
      </c>
      <c r="P3215" s="597"/>
      <c r="Q3215" s="597">
        <v>40000</v>
      </c>
      <c r="R3215" s="599">
        <f t="shared" si="488"/>
        <v>25000</v>
      </c>
      <c r="S3215" s="594"/>
      <c r="T3215" s="600"/>
      <c r="U3215" s="709"/>
      <c r="V3215" s="601"/>
      <c r="W3215" s="601"/>
      <c r="X3215" s="601"/>
      <c r="Y3215" s="601"/>
      <c r="Z3215" s="601"/>
    </row>
    <row r="3216" spans="1:26" s="75" customFormat="1" hidden="1">
      <c r="A3216" s="709">
        <f t="shared" si="487"/>
        <v>318</v>
      </c>
      <c r="B3216" s="592" t="s">
        <v>2643</v>
      </c>
      <c r="C3216" s="593" t="s">
        <v>271</v>
      </c>
      <c r="D3216" s="594">
        <v>4508</v>
      </c>
      <c r="E3216" s="594">
        <v>650</v>
      </c>
      <c r="F3216" s="594" t="s">
        <v>222</v>
      </c>
      <c r="G3216" s="594">
        <v>578</v>
      </c>
      <c r="H3216" s="594">
        <v>2</v>
      </c>
      <c r="I3216" s="594">
        <v>2</v>
      </c>
      <c r="J3216" s="594">
        <v>16</v>
      </c>
      <c r="K3216" s="590" t="s">
        <v>33</v>
      </c>
      <c r="L3216" s="595">
        <f t="shared" si="486"/>
        <v>1302626.8</v>
      </c>
      <c r="M3216" s="596">
        <f>G3216*2200</f>
        <v>1271600</v>
      </c>
      <c r="N3216" s="597"/>
      <c r="O3216" s="598">
        <f>M3216*0.3%</f>
        <v>3814.8</v>
      </c>
      <c r="P3216" s="597"/>
      <c r="Q3216" s="597">
        <v>27212</v>
      </c>
      <c r="R3216" s="599">
        <f>M3216/G3216</f>
        <v>2200</v>
      </c>
      <c r="S3216" s="594"/>
      <c r="T3216" s="600"/>
      <c r="U3216" s="709"/>
      <c r="V3216" s="601"/>
      <c r="W3216" s="601"/>
      <c r="X3216" s="601"/>
      <c r="Y3216" s="601"/>
      <c r="Z3216" s="601"/>
    </row>
    <row r="3217" spans="1:26" s="75" customFormat="1" ht="37.5" hidden="1">
      <c r="A3217" s="709">
        <f t="shared" si="487"/>
        <v>319</v>
      </c>
      <c r="B3217" s="592" t="s">
        <v>2644</v>
      </c>
      <c r="C3217" s="593" t="s">
        <v>344</v>
      </c>
      <c r="D3217" s="650">
        <v>2756</v>
      </c>
      <c r="E3217" s="594">
        <v>1123.8</v>
      </c>
      <c r="F3217" s="594" t="s">
        <v>222</v>
      </c>
      <c r="G3217" s="594">
        <v>534.79999999999995</v>
      </c>
      <c r="H3217" s="594">
        <v>2</v>
      </c>
      <c r="I3217" s="594">
        <v>2</v>
      </c>
      <c r="J3217" s="594">
        <v>12</v>
      </c>
      <c r="K3217" s="590" t="s">
        <v>30</v>
      </c>
      <c r="L3217" s="595">
        <f t="shared" si="486"/>
        <v>340900</v>
      </c>
      <c r="M3217" s="596">
        <f>J3217*25000</f>
        <v>300000</v>
      </c>
      <c r="N3217" s="597"/>
      <c r="O3217" s="598">
        <f>M3217*0.3%</f>
        <v>900</v>
      </c>
      <c r="P3217" s="597"/>
      <c r="Q3217" s="597">
        <v>40000</v>
      </c>
      <c r="R3217" s="599">
        <f>M3217/J3217</f>
        <v>25000</v>
      </c>
      <c r="S3217" s="594"/>
      <c r="T3217" s="600"/>
      <c r="U3217" s="709"/>
      <c r="V3217" s="601"/>
      <c r="W3217" s="601"/>
      <c r="X3217" s="601"/>
      <c r="Y3217" s="601"/>
      <c r="Z3217" s="601"/>
    </row>
    <row r="3218" spans="1:26" s="75" customFormat="1" ht="37.5" hidden="1">
      <c r="A3218" s="709">
        <f t="shared" si="487"/>
        <v>320</v>
      </c>
      <c r="B3218" s="592" t="s">
        <v>2645</v>
      </c>
      <c r="C3218" s="593" t="s">
        <v>271</v>
      </c>
      <c r="D3218" s="650">
        <v>3690</v>
      </c>
      <c r="E3218" s="594">
        <v>1123.8</v>
      </c>
      <c r="F3218" s="594" t="s">
        <v>222</v>
      </c>
      <c r="G3218" s="594">
        <v>730</v>
      </c>
      <c r="H3218" s="594">
        <v>3</v>
      </c>
      <c r="I3218" s="594">
        <v>3</v>
      </c>
      <c r="J3218" s="594">
        <v>15</v>
      </c>
      <c r="K3218" s="590" t="s">
        <v>30</v>
      </c>
      <c r="L3218" s="595">
        <f t="shared" si="486"/>
        <v>416125</v>
      </c>
      <c r="M3218" s="596">
        <f>J3218*25000</f>
        <v>375000</v>
      </c>
      <c r="N3218" s="597"/>
      <c r="O3218" s="598">
        <f>M3218*0.3%</f>
        <v>1125</v>
      </c>
      <c r="P3218" s="597"/>
      <c r="Q3218" s="597">
        <v>40000</v>
      </c>
      <c r="R3218" s="599">
        <f>M3218/J3218</f>
        <v>25000</v>
      </c>
      <c r="S3218" s="594"/>
      <c r="T3218" s="600"/>
      <c r="U3218" s="709"/>
      <c r="V3218" s="601"/>
      <c r="W3218" s="601"/>
      <c r="X3218" s="601"/>
      <c r="Y3218" s="601"/>
      <c r="Z3218" s="601"/>
    </row>
    <row r="3219" spans="1:26" s="75" customFormat="1" hidden="1">
      <c r="A3219" s="709">
        <f t="shared" si="487"/>
        <v>321</v>
      </c>
      <c r="B3219" s="592" t="s">
        <v>2646</v>
      </c>
      <c r="C3219" s="593" t="s">
        <v>217</v>
      </c>
      <c r="D3219" s="594">
        <v>12405</v>
      </c>
      <c r="E3219" s="594">
        <v>2375</v>
      </c>
      <c r="F3219" s="594" t="s">
        <v>222</v>
      </c>
      <c r="G3219" s="594">
        <v>1084</v>
      </c>
      <c r="H3219" s="594">
        <v>5</v>
      </c>
      <c r="I3219" s="594">
        <v>4</v>
      </c>
      <c r="J3219" s="594">
        <v>80</v>
      </c>
      <c r="K3219" s="590" t="s">
        <v>224</v>
      </c>
      <c r="L3219" s="595">
        <f t="shared" si="486"/>
        <v>1334392</v>
      </c>
      <c r="M3219" s="596">
        <f>J3219*16000</f>
        <v>1280000</v>
      </c>
      <c r="N3219" s="597">
        <v>27000</v>
      </c>
      <c r="O3219" s="598"/>
      <c r="P3219" s="597"/>
      <c r="Q3219" s="597">
        <v>27392</v>
      </c>
      <c r="R3219" s="599">
        <f>M3219/J3219</f>
        <v>16000</v>
      </c>
      <c r="S3219" s="594"/>
      <c r="T3219" s="600"/>
      <c r="U3219" s="709"/>
      <c r="V3219" s="601"/>
      <c r="W3219" s="601"/>
      <c r="X3219" s="601"/>
      <c r="Y3219" s="601"/>
      <c r="Z3219" s="601"/>
    </row>
    <row r="3220" spans="1:26" s="75" customFormat="1" hidden="1">
      <c r="A3220" s="709">
        <f t="shared" si="487"/>
        <v>322</v>
      </c>
      <c r="B3220" s="592" t="s">
        <v>2647</v>
      </c>
      <c r="C3220" s="593" t="s">
        <v>271</v>
      </c>
      <c r="D3220" s="594">
        <v>9046</v>
      </c>
      <c r="E3220" s="594">
        <v>1547</v>
      </c>
      <c r="F3220" s="594" t="s">
        <v>222</v>
      </c>
      <c r="G3220" s="594">
        <v>671</v>
      </c>
      <c r="H3220" s="594">
        <v>4</v>
      </c>
      <c r="I3220" s="594">
        <v>2</v>
      </c>
      <c r="J3220" s="594">
        <v>23</v>
      </c>
      <c r="K3220" s="590" t="s">
        <v>224</v>
      </c>
      <c r="L3220" s="595">
        <f t="shared" si="486"/>
        <v>402875</v>
      </c>
      <c r="M3220" s="596">
        <f>J3220*16000</f>
        <v>368000</v>
      </c>
      <c r="N3220" s="597">
        <v>27000</v>
      </c>
      <c r="O3220" s="598"/>
      <c r="P3220" s="597"/>
      <c r="Q3220" s="597">
        <v>7875</v>
      </c>
      <c r="R3220" s="599">
        <f>M3220/J3220</f>
        <v>16000</v>
      </c>
      <c r="S3220" s="594"/>
      <c r="T3220" s="600"/>
      <c r="U3220" s="709"/>
      <c r="V3220" s="601"/>
      <c r="W3220" s="601"/>
      <c r="X3220" s="601"/>
      <c r="Y3220" s="601"/>
      <c r="Z3220" s="601"/>
    </row>
    <row r="3221" spans="1:26" s="75" customFormat="1" hidden="1">
      <c r="A3221" s="709">
        <f t="shared" si="487"/>
        <v>323</v>
      </c>
      <c r="B3221" s="592" t="s">
        <v>2648</v>
      </c>
      <c r="C3221" s="593" t="s">
        <v>406</v>
      </c>
      <c r="D3221" s="594">
        <v>5455</v>
      </c>
      <c r="E3221" s="594">
        <v>715</v>
      </c>
      <c r="F3221" s="594" t="s">
        <v>313</v>
      </c>
      <c r="G3221" s="594">
        <v>795.1</v>
      </c>
      <c r="H3221" s="594">
        <v>3</v>
      </c>
      <c r="I3221" s="594">
        <v>2</v>
      </c>
      <c r="J3221" s="594">
        <v>24</v>
      </c>
      <c r="K3221" s="590" t="s">
        <v>398</v>
      </c>
      <c r="L3221" s="595">
        <f t="shared" si="486"/>
        <v>1791900.66</v>
      </c>
      <c r="M3221" s="596">
        <f>SUM(G3221*2200)</f>
        <v>1749220</v>
      </c>
      <c r="N3221" s="597"/>
      <c r="O3221" s="598">
        <f>M3221*0.3%</f>
        <v>5247.66</v>
      </c>
      <c r="P3221" s="597"/>
      <c r="Q3221" s="597">
        <v>37433</v>
      </c>
      <c r="R3221" s="599">
        <f>M3221/G3221</f>
        <v>2200</v>
      </c>
      <c r="S3221" s="594"/>
      <c r="T3221" s="600"/>
      <c r="U3221" s="709"/>
      <c r="V3221" s="601"/>
      <c r="W3221" s="601"/>
      <c r="X3221" s="601"/>
      <c r="Y3221" s="601"/>
      <c r="Z3221" s="601"/>
    </row>
    <row r="3222" spans="1:26" s="75" customFormat="1" hidden="1">
      <c r="A3222" s="709">
        <f t="shared" si="487"/>
        <v>324</v>
      </c>
      <c r="B3222" s="592" t="s">
        <v>2649</v>
      </c>
      <c r="C3222" s="593" t="s">
        <v>314</v>
      </c>
      <c r="D3222" s="594">
        <v>9639</v>
      </c>
      <c r="E3222" s="594">
        <v>1814</v>
      </c>
      <c r="F3222" s="594" t="s">
        <v>222</v>
      </c>
      <c r="G3222" s="594">
        <v>1369</v>
      </c>
      <c r="H3222" s="594">
        <v>4</v>
      </c>
      <c r="I3222" s="594">
        <v>4</v>
      </c>
      <c r="J3222" s="594">
        <v>60</v>
      </c>
      <c r="K3222" s="590" t="s">
        <v>224</v>
      </c>
      <c r="L3222" s="595">
        <f t="shared" si="486"/>
        <v>1005544</v>
      </c>
      <c r="M3222" s="596">
        <f>J3222*16000</f>
        <v>960000</v>
      </c>
      <c r="N3222" s="597">
        <v>25000</v>
      </c>
      <c r="O3222" s="598"/>
      <c r="P3222" s="597"/>
      <c r="Q3222" s="597">
        <v>20544</v>
      </c>
      <c r="R3222" s="599">
        <f>M3222/J3222</f>
        <v>16000</v>
      </c>
      <c r="S3222" s="594"/>
      <c r="T3222" s="600"/>
      <c r="U3222" s="709"/>
      <c r="V3222" s="601"/>
      <c r="W3222" s="601"/>
      <c r="X3222" s="601"/>
      <c r="Y3222" s="601"/>
      <c r="Z3222" s="601"/>
    </row>
    <row r="3223" spans="1:26" s="75" customFormat="1" hidden="1">
      <c r="A3223" s="709">
        <f t="shared" si="487"/>
        <v>325</v>
      </c>
      <c r="B3223" s="592" t="s">
        <v>2650</v>
      </c>
      <c r="C3223" s="593" t="s">
        <v>314</v>
      </c>
      <c r="D3223" s="594">
        <v>68513</v>
      </c>
      <c r="E3223" s="594">
        <v>10889</v>
      </c>
      <c r="F3223" s="594" t="s">
        <v>233</v>
      </c>
      <c r="G3223" s="594">
        <v>3622</v>
      </c>
      <c r="H3223" s="594">
        <v>10</v>
      </c>
      <c r="I3223" s="594">
        <v>6</v>
      </c>
      <c r="J3223" s="594">
        <v>216</v>
      </c>
      <c r="K3223" s="590" t="s">
        <v>33</v>
      </c>
      <c r="L3223" s="595">
        <f t="shared" si="486"/>
        <v>7669018.5999999996</v>
      </c>
      <c r="M3223" s="596">
        <f>G3223*2100</f>
        <v>7606200</v>
      </c>
      <c r="N3223" s="597"/>
      <c r="O3223" s="598">
        <f>M3223*0.3%</f>
        <v>22818.600000000002</v>
      </c>
      <c r="P3223" s="597"/>
      <c r="Q3223" s="597">
        <v>40000</v>
      </c>
      <c r="R3223" s="599">
        <f>M3223/G3223</f>
        <v>2100</v>
      </c>
      <c r="S3223" s="594"/>
      <c r="T3223" s="600"/>
      <c r="U3223" s="709"/>
      <c r="V3223" s="601"/>
      <c r="W3223" s="601"/>
      <c r="X3223" s="601"/>
      <c r="Y3223" s="601"/>
      <c r="Z3223" s="601"/>
    </row>
    <row r="3224" spans="1:26" s="75" customFormat="1" hidden="1">
      <c r="A3224" s="709">
        <f t="shared" si="487"/>
        <v>326</v>
      </c>
      <c r="B3224" s="592" t="s">
        <v>2651</v>
      </c>
      <c r="C3224" s="593" t="s">
        <v>217</v>
      </c>
      <c r="D3224" s="594">
        <v>7182</v>
      </c>
      <c r="E3224" s="594">
        <v>1459</v>
      </c>
      <c r="F3224" s="594" t="s">
        <v>222</v>
      </c>
      <c r="G3224" s="594">
        <v>829</v>
      </c>
      <c r="H3224" s="594">
        <v>4</v>
      </c>
      <c r="I3224" s="594">
        <v>3</v>
      </c>
      <c r="J3224" s="594">
        <v>48</v>
      </c>
      <c r="K3224" s="590" t="s">
        <v>224</v>
      </c>
      <c r="L3224" s="595">
        <f t="shared" si="486"/>
        <v>809435</v>
      </c>
      <c r="M3224" s="596">
        <f>J3224*16000</f>
        <v>768000</v>
      </c>
      <c r="N3224" s="597">
        <v>25000</v>
      </c>
      <c r="O3224" s="598"/>
      <c r="P3224" s="597"/>
      <c r="Q3224" s="597">
        <v>16435</v>
      </c>
      <c r="R3224" s="599">
        <f>M3224/J3224</f>
        <v>16000</v>
      </c>
      <c r="S3224" s="594"/>
      <c r="T3224" s="600"/>
      <c r="U3224" s="709"/>
      <c r="V3224" s="601"/>
      <c r="W3224" s="601"/>
      <c r="X3224" s="601"/>
      <c r="Y3224" s="601"/>
      <c r="Z3224" s="601"/>
    </row>
    <row r="3225" spans="1:26" s="75" customFormat="1" hidden="1">
      <c r="A3225" s="709">
        <f t="shared" si="487"/>
        <v>327</v>
      </c>
      <c r="B3225" s="592" t="s">
        <v>2652</v>
      </c>
      <c r="C3225" s="593" t="s">
        <v>271</v>
      </c>
      <c r="D3225" s="594">
        <v>15533</v>
      </c>
      <c r="E3225" s="594">
        <v>2440</v>
      </c>
      <c r="F3225" s="594" t="s">
        <v>230</v>
      </c>
      <c r="G3225" s="594">
        <v>1236</v>
      </c>
      <c r="H3225" s="594">
        <v>5</v>
      </c>
      <c r="I3225" s="594">
        <v>4</v>
      </c>
      <c r="J3225" s="594">
        <v>66</v>
      </c>
      <c r="K3225" s="590" t="s">
        <v>224</v>
      </c>
      <c r="L3225" s="595">
        <f t="shared" si="486"/>
        <v>1110598</v>
      </c>
      <c r="M3225" s="596">
        <f>J3225*16000</f>
        <v>1056000</v>
      </c>
      <c r="N3225" s="597">
        <v>32000</v>
      </c>
      <c r="O3225" s="598"/>
      <c r="P3225" s="597"/>
      <c r="Q3225" s="597">
        <v>22598</v>
      </c>
      <c r="R3225" s="599">
        <f>M3225/J3225</f>
        <v>16000</v>
      </c>
      <c r="S3225" s="594"/>
      <c r="T3225" s="600"/>
      <c r="U3225" s="709"/>
      <c r="V3225" s="601"/>
      <c r="W3225" s="601"/>
      <c r="X3225" s="601"/>
      <c r="Y3225" s="601"/>
      <c r="Z3225" s="601"/>
    </row>
    <row r="3226" spans="1:26" s="75" customFormat="1" hidden="1">
      <c r="A3226" s="1355">
        <f>A3225+1</f>
        <v>328</v>
      </c>
      <c r="B3226" s="592" t="s">
        <v>2654</v>
      </c>
      <c r="C3226" s="593" t="s">
        <v>217</v>
      </c>
      <c r="D3226" s="594">
        <v>11920</v>
      </c>
      <c r="E3226" s="594">
        <v>2250</v>
      </c>
      <c r="F3226" s="594" t="s">
        <v>233</v>
      </c>
      <c r="G3226" s="594">
        <v>353</v>
      </c>
      <c r="H3226" s="594">
        <v>12</v>
      </c>
      <c r="I3226" s="594">
        <v>1</v>
      </c>
      <c r="J3226" s="594">
        <v>48</v>
      </c>
      <c r="K3226" s="590" t="s">
        <v>224</v>
      </c>
      <c r="L3226" s="1357">
        <f>M3226+N3226+O3226+P3226+Q3226+M3227+N3227+O3227+P3227+Q3227</f>
        <v>5111794</v>
      </c>
      <c r="M3226" s="596">
        <f>J3226*20000</f>
        <v>960000</v>
      </c>
      <c r="N3226" s="597">
        <v>25000</v>
      </c>
      <c r="O3226" s="598"/>
      <c r="P3226" s="597"/>
      <c r="Q3226" s="597">
        <v>20544</v>
      </c>
      <c r="R3226" s="599">
        <f>M3226/J3226</f>
        <v>20000</v>
      </c>
      <c r="S3226" s="594"/>
      <c r="T3226" s="600"/>
      <c r="U3226" s="709"/>
      <c r="V3226" s="601"/>
      <c r="W3226" s="601"/>
      <c r="X3226" s="601"/>
      <c r="Y3226" s="601"/>
      <c r="Z3226" s="601"/>
    </row>
    <row r="3227" spans="1:26" s="75" customFormat="1" ht="37.5" hidden="1">
      <c r="A3227" s="1355"/>
      <c r="B3227" s="592"/>
      <c r="C3227" s="593"/>
      <c r="D3227" s="594"/>
      <c r="E3227" s="594"/>
      <c r="F3227" s="594"/>
      <c r="G3227" s="594"/>
      <c r="H3227" s="594"/>
      <c r="I3227" s="594"/>
      <c r="J3227" s="594"/>
      <c r="K3227" s="590" t="s">
        <v>366</v>
      </c>
      <c r="L3227" s="1357"/>
      <c r="M3227" s="596">
        <v>4000000</v>
      </c>
      <c r="N3227" s="597">
        <v>106250</v>
      </c>
      <c r="O3227" s="598"/>
      <c r="P3227" s="597"/>
      <c r="Q3227" s="597"/>
      <c r="R3227" s="599">
        <f>M3227/2</f>
        <v>2000000</v>
      </c>
      <c r="S3227" s="594"/>
      <c r="T3227" s="600"/>
      <c r="U3227" s="709"/>
      <c r="V3227" s="589"/>
      <c r="W3227" s="601"/>
      <c r="X3227" s="601"/>
      <c r="Y3227" s="601"/>
      <c r="Z3227" s="601"/>
    </row>
    <row r="3228" spans="1:26" s="75" customFormat="1" ht="37.5" hidden="1">
      <c r="A3228" s="709">
        <f>A3226+1</f>
        <v>329</v>
      </c>
      <c r="B3228" s="592" t="s">
        <v>2655</v>
      </c>
      <c r="C3228" s="593" t="s">
        <v>217</v>
      </c>
      <c r="D3228" s="594">
        <v>11925</v>
      </c>
      <c r="E3228" s="594">
        <v>2250</v>
      </c>
      <c r="F3228" s="594" t="s">
        <v>233</v>
      </c>
      <c r="G3228" s="594">
        <v>377</v>
      </c>
      <c r="H3228" s="594">
        <v>12</v>
      </c>
      <c r="I3228" s="594">
        <v>1</v>
      </c>
      <c r="J3228" s="594">
        <v>48</v>
      </c>
      <c r="K3228" s="590" t="s">
        <v>366</v>
      </c>
      <c r="L3228" s="595">
        <f t="shared" ref="L3228:L3259" si="489">M3228+N3228+O3228+P3228+Q3228</f>
        <v>4106250</v>
      </c>
      <c r="M3228" s="596">
        <v>4000000</v>
      </c>
      <c r="N3228" s="597">
        <v>106250</v>
      </c>
      <c r="O3228" s="598"/>
      <c r="P3228" s="597"/>
      <c r="Q3228" s="597"/>
      <c r="R3228" s="599">
        <v>2200000</v>
      </c>
      <c r="S3228" s="594"/>
      <c r="T3228" s="600"/>
      <c r="U3228" s="709"/>
      <c r="V3228" s="601"/>
      <c r="W3228" s="601"/>
      <c r="X3228" s="601"/>
      <c r="Y3228" s="601"/>
      <c r="Z3228" s="601"/>
    </row>
    <row r="3229" spans="1:26" s="75" customFormat="1" ht="37.5" hidden="1">
      <c r="A3229" s="709">
        <f t="shared" ref="A3229:A3289" si="490">A3228+1</f>
        <v>330</v>
      </c>
      <c r="B3229" s="1177" t="s">
        <v>2656</v>
      </c>
      <c r="C3229" s="593" t="s">
        <v>217</v>
      </c>
      <c r="D3229" s="618">
        <v>12910</v>
      </c>
      <c r="E3229" s="594">
        <v>2592</v>
      </c>
      <c r="F3229" s="582" t="s">
        <v>233</v>
      </c>
      <c r="G3229" s="618">
        <v>415</v>
      </c>
      <c r="H3229" s="650">
        <v>12</v>
      </c>
      <c r="I3229" s="650">
        <v>1</v>
      </c>
      <c r="J3229" s="650">
        <v>48</v>
      </c>
      <c r="K3229" s="590" t="s">
        <v>366</v>
      </c>
      <c r="L3229" s="595">
        <f t="shared" si="489"/>
        <v>4106250</v>
      </c>
      <c r="M3229" s="585">
        <v>4000000</v>
      </c>
      <c r="N3229" s="628">
        <v>106250</v>
      </c>
      <c r="O3229" s="598"/>
      <c r="P3229" s="586"/>
      <c r="Q3229" s="586"/>
      <c r="R3229" s="599">
        <v>2200000</v>
      </c>
      <c r="S3229" s="594"/>
      <c r="T3229" s="600"/>
      <c r="U3229" s="709"/>
      <c r="V3229" s="601"/>
      <c r="W3229" s="601"/>
      <c r="X3229" s="601"/>
      <c r="Y3229" s="601"/>
      <c r="Z3229" s="601"/>
    </row>
    <row r="3230" spans="1:26" s="75" customFormat="1" hidden="1">
      <c r="A3230" s="709">
        <f t="shared" si="490"/>
        <v>331</v>
      </c>
      <c r="B3230" s="592" t="s">
        <v>2657</v>
      </c>
      <c r="C3230" s="593" t="s">
        <v>217</v>
      </c>
      <c r="D3230" s="594">
        <v>36164</v>
      </c>
      <c r="E3230" s="594">
        <v>6804</v>
      </c>
      <c r="F3230" s="594" t="s">
        <v>233</v>
      </c>
      <c r="G3230" s="594">
        <v>1360</v>
      </c>
      <c r="H3230" s="594">
        <v>9</v>
      </c>
      <c r="I3230" s="594">
        <v>4</v>
      </c>
      <c r="J3230" s="594">
        <v>144</v>
      </c>
      <c r="K3230" s="590" t="s">
        <v>224</v>
      </c>
      <c r="L3230" s="595">
        <f t="shared" si="489"/>
        <v>2973632</v>
      </c>
      <c r="M3230" s="596">
        <f>J3230*20000</f>
        <v>2880000</v>
      </c>
      <c r="N3230" s="597">
        <v>32000</v>
      </c>
      <c r="O3230" s="598"/>
      <c r="P3230" s="597"/>
      <c r="Q3230" s="597">
        <v>61632.000000000007</v>
      </c>
      <c r="R3230" s="599">
        <f>M3230/J3230</f>
        <v>20000</v>
      </c>
      <c r="S3230" s="594"/>
      <c r="T3230" s="600"/>
      <c r="U3230" s="709"/>
      <c r="V3230" s="601"/>
      <c r="W3230" s="601"/>
      <c r="X3230" s="601"/>
      <c r="Y3230" s="601"/>
      <c r="Z3230" s="601"/>
    </row>
    <row r="3231" spans="1:26" s="75" customFormat="1" ht="37.5" hidden="1">
      <c r="A3231" s="709">
        <f t="shared" si="490"/>
        <v>332</v>
      </c>
      <c r="B3231" s="1177" t="s">
        <v>2658</v>
      </c>
      <c r="C3231" s="593" t="s">
        <v>217</v>
      </c>
      <c r="D3231" s="618">
        <v>11964</v>
      </c>
      <c r="E3231" s="594">
        <v>2592</v>
      </c>
      <c r="F3231" s="582" t="s">
        <v>233</v>
      </c>
      <c r="G3231" s="618">
        <v>355</v>
      </c>
      <c r="H3231" s="650">
        <v>12</v>
      </c>
      <c r="I3231" s="650">
        <v>1</v>
      </c>
      <c r="J3231" s="650">
        <v>48</v>
      </c>
      <c r="K3231" s="590" t="s">
        <v>366</v>
      </c>
      <c r="L3231" s="595">
        <f t="shared" si="489"/>
        <v>4106250</v>
      </c>
      <c r="M3231" s="585">
        <v>4000000</v>
      </c>
      <c r="N3231" s="628">
        <v>106250</v>
      </c>
      <c r="O3231" s="598"/>
      <c r="P3231" s="586"/>
      <c r="Q3231" s="586"/>
      <c r="R3231" s="599">
        <v>2200000</v>
      </c>
      <c r="S3231" s="594"/>
      <c r="T3231" s="600"/>
      <c r="U3231" s="709"/>
      <c r="V3231" s="601"/>
      <c r="W3231" s="601"/>
      <c r="X3231" s="601"/>
      <c r="Y3231" s="601"/>
      <c r="Z3231" s="601"/>
    </row>
    <row r="3232" spans="1:26" s="75" customFormat="1" ht="37.5" hidden="1">
      <c r="A3232" s="709">
        <f t="shared" si="490"/>
        <v>333</v>
      </c>
      <c r="B3232" s="592" t="s">
        <v>2659</v>
      </c>
      <c r="C3232" s="593" t="s">
        <v>271</v>
      </c>
      <c r="D3232" s="594">
        <v>8856</v>
      </c>
      <c r="E3232" s="594">
        <v>1728</v>
      </c>
      <c r="F3232" s="594" t="s">
        <v>222</v>
      </c>
      <c r="G3232" s="594">
        <v>644</v>
      </c>
      <c r="H3232" s="594">
        <v>5</v>
      </c>
      <c r="I3232" s="594">
        <v>2</v>
      </c>
      <c r="J3232" s="594">
        <v>26</v>
      </c>
      <c r="K3232" s="590" t="s">
        <v>30</v>
      </c>
      <c r="L3232" s="595">
        <f t="shared" si="489"/>
        <v>744106</v>
      </c>
      <c r="M3232" s="596">
        <f>J3232*27000</f>
        <v>702000</v>
      </c>
      <c r="N3232" s="597"/>
      <c r="O3232" s="598">
        <f>M3232*0.3%</f>
        <v>2106</v>
      </c>
      <c r="P3232" s="597"/>
      <c r="Q3232" s="597">
        <v>40000</v>
      </c>
      <c r="R3232" s="599">
        <f>M3232/J3232</f>
        <v>27000</v>
      </c>
      <c r="S3232" s="594"/>
      <c r="T3232" s="600"/>
      <c r="U3232" s="709"/>
      <c r="V3232" s="601"/>
      <c r="W3232" s="601"/>
      <c r="X3232" s="601"/>
      <c r="Y3232" s="601"/>
      <c r="Z3232" s="601"/>
    </row>
    <row r="3233" spans="1:26" s="75" customFormat="1" hidden="1">
      <c r="A3233" s="709">
        <f t="shared" si="490"/>
        <v>334</v>
      </c>
      <c r="B3233" s="592" t="s">
        <v>2660</v>
      </c>
      <c r="C3233" s="593" t="s">
        <v>271</v>
      </c>
      <c r="D3233" s="650">
        <v>10750</v>
      </c>
      <c r="E3233" s="594">
        <v>715</v>
      </c>
      <c r="F3233" s="594" t="s">
        <v>222</v>
      </c>
      <c r="G3233" s="594">
        <v>1299</v>
      </c>
      <c r="H3233" s="594">
        <v>3</v>
      </c>
      <c r="I3233" s="594">
        <v>4</v>
      </c>
      <c r="J3233" s="594">
        <v>31</v>
      </c>
      <c r="K3233" s="590" t="s">
        <v>224</v>
      </c>
      <c r="L3233" s="595">
        <f t="shared" si="489"/>
        <v>536614</v>
      </c>
      <c r="M3233" s="596">
        <f>J3233*16000</f>
        <v>496000</v>
      </c>
      <c r="N3233" s="597">
        <v>30000</v>
      </c>
      <c r="O3233" s="598"/>
      <c r="P3233" s="597"/>
      <c r="Q3233" s="597">
        <v>10614</v>
      </c>
      <c r="R3233" s="599">
        <f>M3233/J3233</f>
        <v>16000</v>
      </c>
      <c r="S3233" s="594"/>
      <c r="T3233" s="600"/>
      <c r="U3233" s="709"/>
      <c r="V3233" s="601"/>
      <c r="W3233" s="601"/>
      <c r="X3233" s="601"/>
      <c r="Y3233" s="601"/>
      <c r="Z3233" s="601"/>
    </row>
    <row r="3234" spans="1:26" s="75" customFormat="1" hidden="1">
      <c r="A3234" s="709">
        <f t="shared" si="490"/>
        <v>335</v>
      </c>
      <c r="B3234" s="592" t="s">
        <v>2661</v>
      </c>
      <c r="C3234" s="593" t="s">
        <v>271</v>
      </c>
      <c r="D3234" s="594">
        <v>19861</v>
      </c>
      <c r="E3234" s="594">
        <v>2550</v>
      </c>
      <c r="F3234" s="594" t="s">
        <v>222</v>
      </c>
      <c r="G3234" s="594">
        <v>1806</v>
      </c>
      <c r="H3234" s="594">
        <v>5</v>
      </c>
      <c r="I3234" s="594">
        <v>6</v>
      </c>
      <c r="J3234" s="594">
        <v>120</v>
      </c>
      <c r="K3234" s="590" t="s">
        <v>33</v>
      </c>
      <c r="L3234" s="595">
        <f t="shared" si="489"/>
        <v>6379963</v>
      </c>
      <c r="M3234" s="596">
        <f>G3234*3500</f>
        <v>6321000</v>
      </c>
      <c r="N3234" s="597"/>
      <c r="O3234" s="598">
        <f>M3234*0.3%</f>
        <v>18963</v>
      </c>
      <c r="P3234" s="597"/>
      <c r="Q3234" s="597">
        <v>40000</v>
      </c>
      <c r="R3234" s="599">
        <f>M3234/G3234</f>
        <v>3500</v>
      </c>
      <c r="S3234" s="594"/>
      <c r="T3234" s="600"/>
      <c r="U3234" s="709"/>
      <c r="V3234" s="601"/>
      <c r="W3234" s="601"/>
      <c r="X3234" s="601"/>
      <c r="Y3234" s="601"/>
      <c r="Z3234" s="601"/>
    </row>
    <row r="3235" spans="1:26" s="75" customFormat="1" hidden="1">
      <c r="A3235" s="709">
        <f t="shared" si="490"/>
        <v>336</v>
      </c>
      <c r="B3235" s="592" t="s">
        <v>2663</v>
      </c>
      <c r="C3235" s="593" t="s">
        <v>271</v>
      </c>
      <c r="D3235" s="594">
        <v>20616</v>
      </c>
      <c r="E3235" s="594">
        <v>3399.2</v>
      </c>
      <c r="F3235" s="594" t="s">
        <v>233</v>
      </c>
      <c r="G3235" s="594">
        <v>1380</v>
      </c>
      <c r="H3235" s="594">
        <v>6</v>
      </c>
      <c r="I3235" s="594">
        <v>5</v>
      </c>
      <c r="J3235" s="594">
        <v>59</v>
      </c>
      <c r="K3235" s="590" t="s">
        <v>33</v>
      </c>
      <c r="L3235" s="595">
        <f t="shared" si="489"/>
        <v>2946694</v>
      </c>
      <c r="M3235" s="596">
        <f>G3235*2100</f>
        <v>2898000</v>
      </c>
      <c r="N3235" s="597"/>
      <c r="O3235" s="598">
        <f>M3235*0.3%</f>
        <v>8694</v>
      </c>
      <c r="P3235" s="597"/>
      <c r="Q3235" s="597">
        <v>40000</v>
      </c>
      <c r="R3235" s="599">
        <f>M3235/G3235</f>
        <v>2100</v>
      </c>
      <c r="S3235" s="594"/>
      <c r="T3235" s="600"/>
      <c r="U3235" s="709"/>
      <c r="V3235" s="601"/>
      <c r="W3235" s="601"/>
      <c r="X3235" s="601"/>
      <c r="Y3235" s="601"/>
      <c r="Z3235" s="601"/>
    </row>
    <row r="3236" spans="1:26" s="75" customFormat="1" hidden="1">
      <c r="A3236" s="709">
        <f t="shared" si="490"/>
        <v>337</v>
      </c>
      <c r="B3236" s="592" t="s">
        <v>2664</v>
      </c>
      <c r="C3236" s="593" t="s">
        <v>271</v>
      </c>
      <c r="D3236" s="594">
        <v>60525</v>
      </c>
      <c r="E3236" s="594">
        <v>6315</v>
      </c>
      <c r="F3236" s="594" t="s">
        <v>233</v>
      </c>
      <c r="G3236" s="594">
        <v>2178</v>
      </c>
      <c r="H3236" s="594">
        <v>10</v>
      </c>
      <c r="I3236" s="594">
        <v>5</v>
      </c>
      <c r="J3236" s="594">
        <v>220</v>
      </c>
      <c r="K3236" s="590" t="s">
        <v>284</v>
      </c>
      <c r="L3236" s="595">
        <f t="shared" si="489"/>
        <v>28502500</v>
      </c>
      <c r="M3236" s="596">
        <f>E3236*4500</f>
        <v>28417500</v>
      </c>
      <c r="N3236" s="597">
        <v>45000</v>
      </c>
      <c r="O3236" s="598"/>
      <c r="P3236" s="597"/>
      <c r="Q3236" s="597">
        <v>40000</v>
      </c>
      <c r="R3236" s="599">
        <f>M3236/E3236</f>
        <v>4500</v>
      </c>
      <c r="S3236" s="594"/>
      <c r="T3236" s="600"/>
      <c r="U3236" s="709"/>
      <c r="V3236" s="601"/>
      <c r="W3236" s="601"/>
      <c r="X3236" s="601"/>
      <c r="Y3236" s="601"/>
      <c r="Z3236" s="601"/>
    </row>
    <row r="3237" spans="1:26" s="75" customFormat="1" hidden="1">
      <c r="A3237" s="709">
        <f t="shared" si="490"/>
        <v>338</v>
      </c>
      <c r="B3237" s="592" t="s">
        <v>2665</v>
      </c>
      <c r="C3237" s="593" t="s">
        <v>217</v>
      </c>
      <c r="D3237" s="650">
        <v>12440</v>
      </c>
      <c r="E3237" s="594">
        <v>3070</v>
      </c>
      <c r="F3237" s="594" t="s">
        <v>233</v>
      </c>
      <c r="G3237" s="594">
        <v>626</v>
      </c>
      <c r="H3237" s="594">
        <v>9</v>
      </c>
      <c r="I3237" s="594">
        <v>2</v>
      </c>
      <c r="J3237" s="594">
        <v>72</v>
      </c>
      <c r="K3237" s="590" t="s">
        <v>33</v>
      </c>
      <c r="L3237" s="595">
        <f t="shared" si="489"/>
        <v>1346675.8</v>
      </c>
      <c r="M3237" s="596">
        <f t="shared" ref="M3237:M3244" si="491">G3237*2100</f>
        <v>1314600</v>
      </c>
      <c r="N3237" s="597"/>
      <c r="O3237" s="598">
        <f t="shared" ref="O3237:O3243" si="492">M3237*0.3%</f>
        <v>3943.8</v>
      </c>
      <c r="P3237" s="597"/>
      <c r="Q3237" s="597">
        <v>28132</v>
      </c>
      <c r="R3237" s="599">
        <f t="shared" ref="R3237:R3244" si="493">M3237/G3237</f>
        <v>2100</v>
      </c>
      <c r="S3237" s="594"/>
      <c r="T3237" s="600"/>
      <c r="U3237" s="709"/>
      <c r="V3237" s="601"/>
      <c r="W3237" s="601"/>
      <c r="X3237" s="601"/>
      <c r="Y3237" s="601"/>
      <c r="Z3237" s="601"/>
    </row>
    <row r="3238" spans="1:26" s="75" customFormat="1" hidden="1">
      <c r="A3238" s="709">
        <f t="shared" si="490"/>
        <v>339</v>
      </c>
      <c r="B3238" s="592" t="s">
        <v>2666</v>
      </c>
      <c r="C3238" s="593" t="s">
        <v>217</v>
      </c>
      <c r="D3238" s="594">
        <v>22907</v>
      </c>
      <c r="E3238" s="594">
        <v>3540</v>
      </c>
      <c r="F3238" s="594" t="s">
        <v>233</v>
      </c>
      <c r="G3238" s="594">
        <v>981</v>
      </c>
      <c r="H3238" s="594">
        <v>9</v>
      </c>
      <c r="I3238" s="594">
        <v>2</v>
      </c>
      <c r="J3238" s="594">
        <v>144</v>
      </c>
      <c r="K3238" s="590" t="s">
        <v>33</v>
      </c>
      <c r="L3238" s="595">
        <f t="shared" si="489"/>
        <v>2110366.2999999998</v>
      </c>
      <c r="M3238" s="596">
        <f t="shared" si="491"/>
        <v>2060100</v>
      </c>
      <c r="N3238" s="597"/>
      <c r="O3238" s="598">
        <f t="shared" si="492"/>
        <v>6180.3</v>
      </c>
      <c r="P3238" s="597"/>
      <c r="Q3238" s="597">
        <v>44086</v>
      </c>
      <c r="R3238" s="599">
        <f t="shared" si="493"/>
        <v>2100</v>
      </c>
      <c r="S3238" s="594"/>
      <c r="T3238" s="600"/>
      <c r="U3238" s="709"/>
      <c r="V3238" s="601"/>
      <c r="W3238" s="601"/>
      <c r="X3238" s="601"/>
      <c r="Y3238" s="601"/>
      <c r="Z3238" s="601"/>
    </row>
    <row r="3239" spans="1:26" s="75" customFormat="1" hidden="1">
      <c r="A3239" s="709">
        <f t="shared" si="490"/>
        <v>340</v>
      </c>
      <c r="B3239" s="592" t="s">
        <v>2667</v>
      </c>
      <c r="C3239" s="593" t="s">
        <v>217</v>
      </c>
      <c r="D3239" s="594">
        <v>7657</v>
      </c>
      <c r="E3239" s="594">
        <v>1090</v>
      </c>
      <c r="F3239" s="594" t="s">
        <v>233</v>
      </c>
      <c r="G3239" s="594">
        <v>333</v>
      </c>
      <c r="H3239" s="594">
        <v>9</v>
      </c>
      <c r="I3239" s="594">
        <v>1</v>
      </c>
      <c r="J3239" s="594">
        <v>36</v>
      </c>
      <c r="K3239" s="590" t="s">
        <v>33</v>
      </c>
      <c r="L3239" s="595">
        <f t="shared" si="489"/>
        <v>716362.9</v>
      </c>
      <c r="M3239" s="596">
        <f t="shared" si="491"/>
        <v>699300</v>
      </c>
      <c r="N3239" s="597"/>
      <c r="O3239" s="598">
        <f t="shared" si="492"/>
        <v>2097.9</v>
      </c>
      <c r="P3239" s="597"/>
      <c r="Q3239" s="597">
        <v>14965</v>
      </c>
      <c r="R3239" s="599">
        <f t="shared" si="493"/>
        <v>2100</v>
      </c>
      <c r="S3239" s="594"/>
      <c r="T3239" s="600"/>
      <c r="U3239" s="709"/>
      <c r="V3239" s="601"/>
      <c r="W3239" s="601"/>
      <c r="X3239" s="601"/>
      <c r="Y3239" s="601"/>
      <c r="Z3239" s="601"/>
    </row>
    <row r="3240" spans="1:26" s="75" customFormat="1" hidden="1">
      <c r="A3240" s="709">
        <f t="shared" si="490"/>
        <v>341</v>
      </c>
      <c r="B3240" s="592" t="s">
        <v>2668</v>
      </c>
      <c r="C3240" s="593" t="s">
        <v>217</v>
      </c>
      <c r="D3240" s="594">
        <v>23890</v>
      </c>
      <c r="E3240" s="594">
        <v>3590</v>
      </c>
      <c r="F3240" s="594" t="s">
        <v>233</v>
      </c>
      <c r="G3240" s="594">
        <v>983</v>
      </c>
      <c r="H3240" s="594">
        <v>9</v>
      </c>
      <c r="I3240" s="594">
        <v>2</v>
      </c>
      <c r="J3240" s="594">
        <v>144</v>
      </c>
      <c r="K3240" s="590" t="s">
        <v>33</v>
      </c>
      <c r="L3240" s="595">
        <f t="shared" si="489"/>
        <v>2114668.9</v>
      </c>
      <c r="M3240" s="596">
        <f t="shared" si="491"/>
        <v>2064300</v>
      </c>
      <c r="N3240" s="597"/>
      <c r="O3240" s="598">
        <f t="shared" si="492"/>
        <v>6192.9000000000005</v>
      </c>
      <c r="P3240" s="597"/>
      <c r="Q3240" s="597">
        <v>44176</v>
      </c>
      <c r="R3240" s="599">
        <f t="shared" si="493"/>
        <v>2100</v>
      </c>
      <c r="S3240" s="594"/>
      <c r="T3240" s="600"/>
      <c r="U3240" s="709"/>
      <c r="V3240" s="601"/>
      <c r="W3240" s="601"/>
      <c r="X3240" s="601"/>
      <c r="Y3240" s="601"/>
      <c r="Z3240" s="601"/>
    </row>
    <row r="3241" spans="1:26" s="75" customFormat="1" hidden="1">
      <c r="A3241" s="709">
        <f t="shared" si="490"/>
        <v>342</v>
      </c>
      <c r="B3241" s="592" t="s">
        <v>2669</v>
      </c>
      <c r="C3241" s="593" t="s">
        <v>217</v>
      </c>
      <c r="D3241" s="594">
        <v>7537</v>
      </c>
      <c r="E3241" s="594">
        <v>1090</v>
      </c>
      <c r="F3241" s="594" t="s">
        <v>233</v>
      </c>
      <c r="G3241" s="594">
        <v>328</v>
      </c>
      <c r="H3241" s="594">
        <v>9</v>
      </c>
      <c r="I3241" s="594">
        <v>1</v>
      </c>
      <c r="J3241" s="594">
        <v>36</v>
      </c>
      <c r="K3241" s="590" t="s">
        <v>33</v>
      </c>
      <c r="L3241" s="595">
        <f t="shared" si="489"/>
        <v>705606.4</v>
      </c>
      <c r="M3241" s="596">
        <f t="shared" si="491"/>
        <v>688800</v>
      </c>
      <c r="N3241" s="597"/>
      <c r="O3241" s="598">
        <f t="shared" si="492"/>
        <v>2066.4</v>
      </c>
      <c r="P3241" s="597"/>
      <c r="Q3241" s="597">
        <v>14740</v>
      </c>
      <c r="R3241" s="599">
        <f t="shared" si="493"/>
        <v>2100</v>
      </c>
      <c r="S3241" s="594"/>
      <c r="T3241" s="600"/>
      <c r="U3241" s="709"/>
      <c r="V3241" s="601"/>
      <c r="W3241" s="601"/>
      <c r="X3241" s="601"/>
      <c r="Y3241" s="601"/>
      <c r="Z3241" s="601"/>
    </row>
    <row r="3242" spans="1:26" s="75" customFormat="1" hidden="1">
      <c r="A3242" s="709">
        <f t="shared" si="490"/>
        <v>343</v>
      </c>
      <c r="B3242" s="592" t="s">
        <v>2670</v>
      </c>
      <c r="C3242" s="593" t="s">
        <v>217</v>
      </c>
      <c r="D3242" s="594">
        <v>7550</v>
      </c>
      <c r="E3242" s="594">
        <v>1090</v>
      </c>
      <c r="F3242" s="594" t="s">
        <v>233</v>
      </c>
      <c r="G3242" s="594">
        <v>329</v>
      </c>
      <c r="H3242" s="594">
        <v>9</v>
      </c>
      <c r="I3242" s="594">
        <v>1</v>
      </c>
      <c r="J3242" s="594">
        <v>36</v>
      </c>
      <c r="K3242" s="590" t="s">
        <v>33</v>
      </c>
      <c r="L3242" s="595">
        <f t="shared" si="489"/>
        <v>707757.7</v>
      </c>
      <c r="M3242" s="596">
        <f t="shared" si="491"/>
        <v>690900</v>
      </c>
      <c r="N3242" s="597"/>
      <c r="O3242" s="598">
        <f t="shared" si="492"/>
        <v>2072.6999999999998</v>
      </c>
      <c r="P3242" s="597"/>
      <c r="Q3242" s="597">
        <v>14785</v>
      </c>
      <c r="R3242" s="599">
        <f t="shared" si="493"/>
        <v>2100</v>
      </c>
      <c r="S3242" s="594"/>
      <c r="T3242" s="600"/>
      <c r="U3242" s="709"/>
      <c r="V3242" s="601"/>
      <c r="W3242" s="601"/>
      <c r="X3242" s="601"/>
      <c r="Y3242" s="601"/>
      <c r="Z3242" s="601"/>
    </row>
    <row r="3243" spans="1:26" s="75" customFormat="1" hidden="1">
      <c r="A3243" s="709">
        <f t="shared" si="490"/>
        <v>344</v>
      </c>
      <c r="B3243" s="592" t="s">
        <v>2671</v>
      </c>
      <c r="C3243" s="593" t="s">
        <v>217</v>
      </c>
      <c r="D3243" s="594">
        <v>16171</v>
      </c>
      <c r="E3243" s="594">
        <v>2560</v>
      </c>
      <c r="F3243" s="594" t="s">
        <v>233</v>
      </c>
      <c r="G3243" s="594">
        <v>692</v>
      </c>
      <c r="H3243" s="594">
        <v>9</v>
      </c>
      <c r="I3243" s="594">
        <v>2</v>
      </c>
      <c r="J3243" s="594">
        <v>72</v>
      </c>
      <c r="K3243" s="590" t="s">
        <v>33</v>
      </c>
      <c r="L3243" s="595">
        <f t="shared" si="489"/>
        <v>1488657.6</v>
      </c>
      <c r="M3243" s="596">
        <f t="shared" si="491"/>
        <v>1453200</v>
      </c>
      <c r="N3243" s="597"/>
      <c r="O3243" s="598">
        <f t="shared" si="492"/>
        <v>4359.6000000000004</v>
      </c>
      <c r="P3243" s="597"/>
      <c r="Q3243" s="597">
        <v>31098</v>
      </c>
      <c r="R3243" s="599">
        <f t="shared" si="493"/>
        <v>2100</v>
      </c>
      <c r="S3243" s="594"/>
      <c r="T3243" s="600"/>
      <c r="U3243" s="709"/>
      <c r="V3243" s="601"/>
      <c r="W3243" s="601"/>
      <c r="X3243" s="601"/>
      <c r="Y3243" s="601"/>
      <c r="Z3243" s="601"/>
    </row>
    <row r="3244" spans="1:26" s="75" customFormat="1" hidden="1">
      <c r="A3244" s="709">
        <f t="shared" si="490"/>
        <v>345</v>
      </c>
      <c r="B3244" s="592" t="s">
        <v>2672</v>
      </c>
      <c r="C3244" s="593" t="s">
        <v>217</v>
      </c>
      <c r="D3244" s="594">
        <v>49781</v>
      </c>
      <c r="E3244" s="594">
        <v>7118</v>
      </c>
      <c r="F3244" s="594" t="s">
        <v>233</v>
      </c>
      <c r="G3244" s="594">
        <v>831.74</v>
      </c>
      <c r="H3244" s="594">
        <v>12</v>
      </c>
      <c r="I3244" s="594">
        <v>4</v>
      </c>
      <c r="J3244" s="594">
        <v>198</v>
      </c>
      <c r="K3244" s="590" t="s">
        <v>33</v>
      </c>
      <c r="L3244" s="595">
        <f t="shared" si="489"/>
        <v>1789271.96</v>
      </c>
      <c r="M3244" s="596">
        <f t="shared" si="491"/>
        <v>1746654</v>
      </c>
      <c r="N3244" s="597"/>
      <c r="O3244" s="598">
        <v>5239.96</v>
      </c>
      <c r="P3244" s="597"/>
      <c r="Q3244" s="597">
        <v>37378</v>
      </c>
      <c r="R3244" s="599">
        <f t="shared" si="493"/>
        <v>2100</v>
      </c>
      <c r="S3244" s="594"/>
      <c r="T3244" s="600"/>
      <c r="U3244" s="709"/>
      <c r="V3244" s="601"/>
      <c r="W3244" s="601"/>
      <c r="X3244" s="601"/>
      <c r="Y3244" s="601"/>
      <c r="Z3244" s="601"/>
    </row>
    <row r="3245" spans="1:26" s="75" customFormat="1" hidden="1">
      <c r="A3245" s="709">
        <f t="shared" si="490"/>
        <v>346</v>
      </c>
      <c r="B3245" s="592" t="s">
        <v>2673</v>
      </c>
      <c r="C3245" s="593" t="s">
        <v>217</v>
      </c>
      <c r="D3245" s="673">
        <v>17426</v>
      </c>
      <c r="E3245" s="594">
        <v>3343</v>
      </c>
      <c r="F3245" s="594" t="s">
        <v>222</v>
      </c>
      <c r="G3245" s="594">
        <v>1110</v>
      </c>
      <c r="H3245" s="594">
        <v>6</v>
      </c>
      <c r="I3245" s="594">
        <v>4</v>
      </c>
      <c r="J3245" s="594">
        <v>80</v>
      </c>
      <c r="K3245" s="590" t="s">
        <v>38</v>
      </c>
      <c r="L3245" s="595">
        <f t="shared" si="489"/>
        <v>5136853.5</v>
      </c>
      <c r="M3245" s="596">
        <v>5014500</v>
      </c>
      <c r="N3245" s="597"/>
      <c r="O3245" s="598">
        <v>15043.5</v>
      </c>
      <c r="P3245" s="597"/>
      <c r="Q3245" s="597">
        <v>107310</v>
      </c>
      <c r="R3245" s="599">
        <f>M3245/E3245</f>
        <v>1500</v>
      </c>
      <c r="S3245" s="594"/>
      <c r="T3245" s="600"/>
      <c r="U3245" s="709"/>
      <c r="V3245" s="601"/>
      <c r="W3245" s="601"/>
      <c r="X3245" s="601"/>
      <c r="Y3245" s="601"/>
      <c r="Z3245" s="601"/>
    </row>
    <row r="3246" spans="1:26" s="75" customFormat="1" hidden="1">
      <c r="A3246" s="709">
        <f t="shared" si="490"/>
        <v>347</v>
      </c>
      <c r="B3246" s="592" t="s">
        <v>2674</v>
      </c>
      <c r="C3246" s="593" t="s">
        <v>217</v>
      </c>
      <c r="D3246" s="594">
        <v>20832</v>
      </c>
      <c r="E3246" s="594">
        <v>3981</v>
      </c>
      <c r="F3246" s="594" t="s">
        <v>233</v>
      </c>
      <c r="G3246" s="594">
        <v>978</v>
      </c>
      <c r="H3246" s="594">
        <v>12</v>
      </c>
      <c r="I3246" s="594">
        <v>2</v>
      </c>
      <c r="J3246" s="594">
        <v>76</v>
      </c>
      <c r="K3246" s="590" t="s">
        <v>33</v>
      </c>
      <c r="L3246" s="595">
        <f t="shared" si="489"/>
        <v>2103912.4</v>
      </c>
      <c r="M3246" s="596">
        <f>G3246*2100</f>
        <v>2053800</v>
      </c>
      <c r="N3246" s="597"/>
      <c r="O3246" s="598">
        <f>M3246*0.3%</f>
        <v>6161.4000000000005</v>
      </c>
      <c r="P3246" s="597"/>
      <c r="Q3246" s="597">
        <v>43951</v>
      </c>
      <c r="R3246" s="599">
        <f>M3246/G3246</f>
        <v>2100</v>
      </c>
      <c r="S3246" s="594"/>
      <c r="T3246" s="600"/>
      <c r="U3246" s="709"/>
      <c r="V3246" s="601"/>
      <c r="W3246" s="601"/>
      <c r="X3246" s="601"/>
      <c r="Y3246" s="601"/>
      <c r="Z3246" s="601"/>
    </row>
    <row r="3247" spans="1:26" s="75" customFormat="1" hidden="1">
      <c r="A3247" s="709">
        <f t="shared" si="490"/>
        <v>348</v>
      </c>
      <c r="B3247" s="592" t="s">
        <v>2675</v>
      </c>
      <c r="C3247" s="593" t="s">
        <v>217</v>
      </c>
      <c r="D3247" s="594">
        <v>12607</v>
      </c>
      <c r="E3247" s="594">
        <v>1040.5999999999999</v>
      </c>
      <c r="F3247" s="594" t="s">
        <v>222</v>
      </c>
      <c r="G3247" s="594">
        <v>1255.7</v>
      </c>
      <c r="H3247" s="594">
        <v>4</v>
      </c>
      <c r="I3247" s="594">
        <v>5</v>
      </c>
      <c r="J3247" s="594">
        <v>44</v>
      </c>
      <c r="K3247" s="590" t="s">
        <v>33</v>
      </c>
      <c r="L3247" s="595">
        <f t="shared" si="489"/>
        <v>3558509.25</v>
      </c>
      <c r="M3247" s="596">
        <v>3473750</v>
      </c>
      <c r="N3247" s="597"/>
      <c r="O3247" s="598">
        <f>M3247*0.3%</f>
        <v>10421.25</v>
      </c>
      <c r="P3247" s="597"/>
      <c r="Q3247" s="597">
        <v>74338</v>
      </c>
      <c r="R3247" s="599">
        <f>M3247/G3247</f>
        <v>2766.3852831090226</v>
      </c>
      <c r="S3247" s="594"/>
      <c r="T3247" s="600"/>
      <c r="U3247" s="709"/>
      <c r="V3247" s="601"/>
      <c r="W3247" s="601"/>
      <c r="X3247" s="601"/>
      <c r="Y3247" s="601"/>
      <c r="Z3247" s="601"/>
    </row>
    <row r="3248" spans="1:26" s="75" customFormat="1" ht="37.5" hidden="1">
      <c r="A3248" s="709">
        <f t="shared" si="490"/>
        <v>349</v>
      </c>
      <c r="B3248" s="592" t="s">
        <v>2676</v>
      </c>
      <c r="C3248" s="593" t="s">
        <v>396</v>
      </c>
      <c r="D3248" s="594">
        <v>3842</v>
      </c>
      <c r="E3248" s="594">
        <v>336</v>
      </c>
      <c r="F3248" s="594" t="s">
        <v>251</v>
      </c>
      <c r="G3248" s="594">
        <v>702</v>
      </c>
      <c r="H3248" s="594">
        <v>2</v>
      </c>
      <c r="I3248" s="594">
        <v>1</v>
      </c>
      <c r="J3248" s="594">
        <v>8</v>
      </c>
      <c r="K3248" s="590" t="s">
        <v>237</v>
      </c>
      <c r="L3248" s="595">
        <f t="shared" si="489"/>
        <v>240600</v>
      </c>
      <c r="M3248" s="596">
        <f>J3248*25000</f>
        <v>200000</v>
      </c>
      <c r="N3248" s="597"/>
      <c r="O3248" s="598">
        <f>M3248*0.3%</f>
        <v>600</v>
      </c>
      <c r="P3248" s="597"/>
      <c r="Q3248" s="597">
        <v>40000</v>
      </c>
      <c r="R3248" s="599">
        <f t="shared" ref="R3248:R3254" si="494">M3248/J3248</f>
        <v>25000</v>
      </c>
      <c r="S3248" s="594"/>
      <c r="T3248" s="600"/>
      <c r="U3248" s="709"/>
      <c r="V3248" s="601"/>
      <c r="W3248" s="601"/>
      <c r="X3248" s="601"/>
      <c r="Y3248" s="601"/>
      <c r="Z3248" s="601"/>
    </row>
    <row r="3249" spans="1:34" s="75" customFormat="1" hidden="1">
      <c r="A3249" s="709">
        <f t="shared" si="490"/>
        <v>350</v>
      </c>
      <c r="B3249" s="592" t="s">
        <v>2677</v>
      </c>
      <c r="C3249" s="593" t="s">
        <v>396</v>
      </c>
      <c r="D3249" s="594">
        <v>1346</v>
      </c>
      <c r="E3249" s="594">
        <v>498</v>
      </c>
      <c r="F3249" s="594" t="s">
        <v>251</v>
      </c>
      <c r="G3249" s="594">
        <v>231</v>
      </c>
      <c r="H3249" s="594">
        <v>2</v>
      </c>
      <c r="I3249" s="594">
        <v>2</v>
      </c>
      <c r="J3249" s="594">
        <v>18</v>
      </c>
      <c r="K3249" s="590" t="s">
        <v>224</v>
      </c>
      <c r="L3249" s="595">
        <f t="shared" si="489"/>
        <v>350934</v>
      </c>
      <c r="M3249" s="596">
        <f>J3249*18000</f>
        <v>324000</v>
      </c>
      <c r="N3249" s="597">
        <v>20000</v>
      </c>
      <c r="O3249" s="598"/>
      <c r="P3249" s="597"/>
      <c r="Q3249" s="597">
        <v>6934</v>
      </c>
      <c r="R3249" s="599">
        <f t="shared" si="494"/>
        <v>18000</v>
      </c>
      <c r="S3249" s="594"/>
      <c r="T3249" s="600"/>
      <c r="U3249" s="709"/>
      <c r="V3249" s="601"/>
      <c r="W3249" s="601"/>
      <c r="X3249" s="601"/>
      <c r="Y3249" s="601"/>
      <c r="Z3249" s="601"/>
    </row>
    <row r="3250" spans="1:34" s="75" customFormat="1" ht="37.5" hidden="1">
      <c r="A3250" s="709">
        <f t="shared" si="490"/>
        <v>351</v>
      </c>
      <c r="B3250" s="592" t="s">
        <v>2678</v>
      </c>
      <c r="C3250" s="593" t="s">
        <v>396</v>
      </c>
      <c r="D3250" s="594">
        <v>4277</v>
      </c>
      <c r="E3250" s="594">
        <v>338</v>
      </c>
      <c r="F3250" s="594" t="s">
        <v>251</v>
      </c>
      <c r="G3250" s="594">
        <v>842</v>
      </c>
      <c r="H3250" s="594">
        <v>2</v>
      </c>
      <c r="I3250" s="594">
        <v>1</v>
      </c>
      <c r="J3250" s="594">
        <v>12</v>
      </c>
      <c r="K3250" s="590" t="s">
        <v>237</v>
      </c>
      <c r="L3250" s="595">
        <f t="shared" si="489"/>
        <v>307320</v>
      </c>
      <c r="M3250" s="596">
        <f>J3250*25000</f>
        <v>300000</v>
      </c>
      <c r="N3250" s="597"/>
      <c r="O3250" s="598">
        <f>M3250*0.3%</f>
        <v>900</v>
      </c>
      <c r="P3250" s="597"/>
      <c r="Q3250" s="597">
        <v>6420</v>
      </c>
      <c r="R3250" s="599">
        <f t="shared" si="494"/>
        <v>25000</v>
      </c>
      <c r="S3250" s="594"/>
      <c r="T3250" s="600"/>
      <c r="U3250" s="709"/>
      <c r="V3250" s="601"/>
      <c r="W3250" s="601"/>
      <c r="X3250" s="601"/>
      <c r="Y3250" s="601"/>
      <c r="Z3250" s="601"/>
    </row>
    <row r="3251" spans="1:34" s="75" customFormat="1" ht="37.5" hidden="1">
      <c r="A3251" s="709">
        <f t="shared" si="490"/>
        <v>352</v>
      </c>
      <c r="B3251" s="592" t="s">
        <v>2679</v>
      </c>
      <c r="C3251" s="593" t="s">
        <v>396</v>
      </c>
      <c r="D3251" s="594">
        <v>4296</v>
      </c>
      <c r="E3251" s="594">
        <v>340</v>
      </c>
      <c r="F3251" s="594" t="s">
        <v>251</v>
      </c>
      <c r="G3251" s="594">
        <f>842.4-12.3</f>
        <v>830.1</v>
      </c>
      <c r="H3251" s="594">
        <v>2</v>
      </c>
      <c r="I3251" s="594">
        <v>1</v>
      </c>
      <c r="J3251" s="594">
        <v>12</v>
      </c>
      <c r="K3251" s="590" t="s">
        <v>237</v>
      </c>
      <c r="L3251" s="595">
        <f t="shared" si="489"/>
        <v>307320</v>
      </c>
      <c r="M3251" s="596">
        <f>J3251*25000</f>
        <v>300000</v>
      </c>
      <c r="N3251" s="597"/>
      <c r="O3251" s="598">
        <f>M3251*0.3%</f>
        <v>900</v>
      </c>
      <c r="P3251" s="597"/>
      <c r="Q3251" s="597">
        <v>6420</v>
      </c>
      <c r="R3251" s="599">
        <f t="shared" si="494"/>
        <v>25000</v>
      </c>
      <c r="S3251" s="594"/>
      <c r="T3251" s="600"/>
      <c r="U3251" s="709"/>
      <c r="V3251" s="601"/>
      <c r="W3251" s="601"/>
      <c r="X3251" s="601"/>
      <c r="Y3251" s="601"/>
      <c r="Z3251" s="601"/>
    </row>
    <row r="3252" spans="1:34" s="75" customFormat="1" ht="37.5" hidden="1">
      <c r="A3252" s="709">
        <f t="shared" si="490"/>
        <v>353</v>
      </c>
      <c r="B3252" s="592" t="s">
        <v>2680</v>
      </c>
      <c r="C3252" s="593" t="s">
        <v>396</v>
      </c>
      <c r="D3252" s="594">
        <v>2557</v>
      </c>
      <c r="E3252" s="594">
        <v>345</v>
      </c>
      <c r="F3252" s="594" t="s">
        <v>251</v>
      </c>
      <c r="G3252" s="594">
        <v>499.8</v>
      </c>
      <c r="H3252" s="594">
        <v>2</v>
      </c>
      <c r="I3252" s="594">
        <v>1</v>
      </c>
      <c r="J3252" s="594">
        <v>12</v>
      </c>
      <c r="K3252" s="590" t="s">
        <v>237</v>
      </c>
      <c r="L3252" s="595">
        <f t="shared" si="489"/>
        <v>307320</v>
      </c>
      <c r="M3252" s="596">
        <f>J3252*25000</f>
        <v>300000</v>
      </c>
      <c r="N3252" s="597"/>
      <c r="O3252" s="598">
        <f>M3252*0.3%</f>
        <v>900</v>
      </c>
      <c r="P3252" s="597"/>
      <c r="Q3252" s="597">
        <v>6420</v>
      </c>
      <c r="R3252" s="599">
        <f t="shared" si="494"/>
        <v>25000</v>
      </c>
      <c r="S3252" s="594"/>
      <c r="T3252" s="600"/>
      <c r="U3252" s="709"/>
      <c r="V3252" s="601"/>
      <c r="W3252" s="601"/>
      <c r="X3252" s="601"/>
      <c r="Y3252" s="601"/>
      <c r="Z3252" s="601"/>
    </row>
    <row r="3253" spans="1:34" s="75" customFormat="1" hidden="1">
      <c r="A3253" s="709">
        <f t="shared" si="490"/>
        <v>354</v>
      </c>
      <c r="B3253" s="592" t="s">
        <v>2681</v>
      </c>
      <c r="C3253" s="593" t="s">
        <v>402</v>
      </c>
      <c r="D3253" s="594">
        <v>2526</v>
      </c>
      <c r="E3253" s="594">
        <v>346</v>
      </c>
      <c r="F3253" s="594" t="s">
        <v>251</v>
      </c>
      <c r="G3253" s="594">
        <v>501</v>
      </c>
      <c r="H3253" s="594">
        <v>2</v>
      </c>
      <c r="I3253" s="594">
        <v>1</v>
      </c>
      <c r="J3253" s="594">
        <v>12</v>
      </c>
      <c r="K3253" s="590" t="s">
        <v>224</v>
      </c>
      <c r="L3253" s="595">
        <f t="shared" si="489"/>
        <v>240622</v>
      </c>
      <c r="M3253" s="596">
        <f>J3253*18000</f>
        <v>216000</v>
      </c>
      <c r="N3253" s="597">
        <v>20000</v>
      </c>
      <c r="O3253" s="598"/>
      <c r="P3253" s="597"/>
      <c r="Q3253" s="597">
        <v>4622</v>
      </c>
      <c r="R3253" s="599">
        <f t="shared" si="494"/>
        <v>18000</v>
      </c>
      <c r="S3253" s="594"/>
      <c r="T3253" s="600"/>
      <c r="U3253" s="709"/>
      <c r="V3253" s="601"/>
      <c r="W3253" s="601"/>
      <c r="X3253" s="601"/>
      <c r="Y3253" s="601"/>
      <c r="Z3253" s="601"/>
    </row>
    <row r="3254" spans="1:34" s="75" customFormat="1" hidden="1">
      <c r="A3254" s="709">
        <f t="shared" si="490"/>
        <v>355</v>
      </c>
      <c r="B3254" s="592" t="s">
        <v>2682</v>
      </c>
      <c r="C3254" s="593" t="s">
        <v>402</v>
      </c>
      <c r="D3254" s="594">
        <v>2549</v>
      </c>
      <c r="E3254" s="594">
        <v>347</v>
      </c>
      <c r="F3254" s="594" t="s">
        <v>251</v>
      </c>
      <c r="G3254" s="594">
        <v>500</v>
      </c>
      <c r="H3254" s="594">
        <v>2</v>
      </c>
      <c r="I3254" s="594">
        <v>1</v>
      </c>
      <c r="J3254" s="594">
        <v>12</v>
      </c>
      <c r="K3254" s="590" t="s">
        <v>224</v>
      </c>
      <c r="L3254" s="595">
        <f t="shared" si="489"/>
        <v>240622</v>
      </c>
      <c r="M3254" s="596">
        <f>J3254*18000</f>
        <v>216000</v>
      </c>
      <c r="N3254" s="597">
        <v>20000</v>
      </c>
      <c r="O3254" s="598"/>
      <c r="P3254" s="597"/>
      <c r="Q3254" s="597">
        <v>4622</v>
      </c>
      <c r="R3254" s="599">
        <f t="shared" si="494"/>
        <v>18000</v>
      </c>
      <c r="S3254" s="594"/>
      <c r="T3254" s="600"/>
      <c r="U3254" s="709"/>
      <c r="V3254" s="601"/>
      <c r="W3254" s="601"/>
      <c r="X3254" s="601"/>
      <c r="Y3254" s="601"/>
      <c r="Z3254" s="601"/>
    </row>
    <row r="3255" spans="1:34" s="75" customFormat="1" ht="37.5" hidden="1">
      <c r="A3255" s="709">
        <f t="shared" si="490"/>
        <v>356</v>
      </c>
      <c r="B3255" s="592" t="s">
        <v>2683</v>
      </c>
      <c r="C3255" s="593" t="s">
        <v>217</v>
      </c>
      <c r="D3255" s="594">
        <v>12066</v>
      </c>
      <c r="E3255" s="594">
        <v>1512</v>
      </c>
      <c r="F3255" s="594" t="s">
        <v>233</v>
      </c>
      <c r="G3255" s="594">
        <v>524.20000000000005</v>
      </c>
      <c r="H3255" s="594">
        <v>9</v>
      </c>
      <c r="I3255" s="594">
        <v>1</v>
      </c>
      <c r="J3255" s="594">
        <v>48</v>
      </c>
      <c r="K3255" s="590" t="s">
        <v>366</v>
      </c>
      <c r="L3255" s="595">
        <f t="shared" si="489"/>
        <v>2085000</v>
      </c>
      <c r="M3255" s="596">
        <v>2000000</v>
      </c>
      <c r="N3255" s="597">
        <v>85000</v>
      </c>
      <c r="O3255" s="598"/>
      <c r="P3255" s="597"/>
      <c r="Q3255" s="597"/>
      <c r="R3255" s="582">
        <f>M3255/I3255</f>
        <v>2000000</v>
      </c>
      <c r="S3255" s="594"/>
      <c r="T3255" s="600"/>
      <c r="U3255" s="709"/>
      <c r="V3255" s="589"/>
      <c r="W3255" s="601"/>
      <c r="X3255" s="601"/>
      <c r="Y3255" s="601"/>
      <c r="Z3255" s="601"/>
    </row>
    <row r="3256" spans="1:34" s="75" customFormat="1" ht="37.5" hidden="1">
      <c r="A3256" s="709">
        <f t="shared" si="490"/>
        <v>357</v>
      </c>
      <c r="B3256" s="1177" t="s">
        <v>2684</v>
      </c>
      <c r="C3256" s="593" t="s">
        <v>271</v>
      </c>
      <c r="D3256" s="618">
        <v>17190</v>
      </c>
      <c r="E3256" s="594">
        <v>3240</v>
      </c>
      <c r="F3256" s="594" t="s">
        <v>233</v>
      </c>
      <c r="G3256" s="618">
        <v>624</v>
      </c>
      <c r="H3256" s="650">
        <v>9</v>
      </c>
      <c r="I3256" s="650">
        <v>1</v>
      </c>
      <c r="J3256" s="650">
        <v>147</v>
      </c>
      <c r="K3256" s="590" t="s">
        <v>366</v>
      </c>
      <c r="L3256" s="595">
        <f t="shared" si="489"/>
        <v>2085000</v>
      </c>
      <c r="M3256" s="585">
        <v>2000000</v>
      </c>
      <c r="N3256" s="628">
        <v>85000</v>
      </c>
      <c r="O3256" s="598"/>
      <c r="P3256" s="586"/>
      <c r="Q3256" s="586"/>
      <c r="R3256" s="582">
        <f>M3256/I3256</f>
        <v>2000000</v>
      </c>
      <c r="S3256" s="594"/>
      <c r="T3256" s="600"/>
      <c r="U3256" s="709"/>
      <c r="V3256" s="601"/>
      <c r="W3256" s="601"/>
      <c r="X3256" s="601"/>
      <c r="Y3256" s="601"/>
      <c r="Z3256" s="601"/>
    </row>
    <row r="3257" spans="1:34" s="75" customFormat="1" hidden="1">
      <c r="A3257" s="709">
        <f t="shared" si="490"/>
        <v>358</v>
      </c>
      <c r="B3257" s="592" t="s">
        <v>2685</v>
      </c>
      <c r="C3257" s="593" t="s">
        <v>217</v>
      </c>
      <c r="D3257" s="594">
        <v>21077</v>
      </c>
      <c r="E3257" s="594">
        <v>5625</v>
      </c>
      <c r="F3257" s="594" t="s">
        <v>230</v>
      </c>
      <c r="G3257" s="594">
        <v>1472</v>
      </c>
      <c r="H3257" s="594">
        <v>9</v>
      </c>
      <c r="I3257" s="594">
        <v>2</v>
      </c>
      <c r="J3257" s="594">
        <v>81</v>
      </c>
      <c r="K3257" s="590" t="s">
        <v>33</v>
      </c>
      <c r="L3257" s="595">
        <f t="shared" si="489"/>
        <v>3140473.6</v>
      </c>
      <c r="M3257" s="596">
        <f>G3257*2100</f>
        <v>3091200</v>
      </c>
      <c r="N3257" s="597"/>
      <c r="O3257" s="598">
        <f>M3257*0.3%</f>
        <v>9273.6</v>
      </c>
      <c r="P3257" s="597"/>
      <c r="Q3257" s="597">
        <v>40000</v>
      </c>
      <c r="R3257" s="599">
        <f>M3257/G3257</f>
        <v>2100</v>
      </c>
      <c r="S3257" s="594"/>
      <c r="T3257" s="600"/>
      <c r="U3257" s="709"/>
      <c r="V3257" s="589"/>
      <c r="W3257" s="601"/>
      <c r="X3257" s="601"/>
      <c r="Y3257" s="601"/>
      <c r="Z3257" s="601"/>
    </row>
    <row r="3258" spans="1:34" s="75" customFormat="1" hidden="1">
      <c r="A3258" s="709">
        <f t="shared" si="490"/>
        <v>359</v>
      </c>
      <c r="B3258" s="592" t="s">
        <v>2686</v>
      </c>
      <c r="C3258" s="593" t="s">
        <v>271</v>
      </c>
      <c r="D3258" s="594">
        <v>14576</v>
      </c>
      <c r="E3258" s="594">
        <v>3200</v>
      </c>
      <c r="F3258" s="594" t="s">
        <v>233</v>
      </c>
      <c r="G3258" s="594">
        <v>608.29999999999995</v>
      </c>
      <c r="H3258" s="594">
        <v>9</v>
      </c>
      <c r="I3258" s="594">
        <v>1</v>
      </c>
      <c r="J3258" s="594">
        <v>129</v>
      </c>
      <c r="K3258" s="590" t="s">
        <v>224</v>
      </c>
      <c r="L3258" s="595">
        <f t="shared" si="489"/>
        <v>2652000</v>
      </c>
      <c r="M3258" s="596">
        <f>J3258*20000</f>
        <v>2580000</v>
      </c>
      <c r="N3258" s="597">
        <v>32000</v>
      </c>
      <c r="O3258" s="598"/>
      <c r="P3258" s="597"/>
      <c r="Q3258" s="597">
        <v>40000</v>
      </c>
      <c r="R3258" s="599">
        <f>M3258/J3258</f>
        <v>20000</v>
      </c>
      <c r="S3258" s="594"/>
      <c r="T3258" s="600"/>
      <c r="U3258" s="709"/>
      <c r="V3258" s="589"/>
      <c r="W3258" s="601"/>
      <c r="X3258" s="601"/>
      <c r="Y3258" s="601"/>
      <c r="Z3258" s="601"/>
    </row>
    <row r="3259" spans="1:34" s="75" customFormat="1" hidden="1">
      <c r="A3259" s="709">
        <f t="shared" si="490"/>
        <v>360</v>
      </c>
      <c r="B3259" s="592" t="s">
        <v>2687</v>
      </c>
      <c r="C3259" s="593" t="s">
        <v>217</v>
      </c>
      <c r="D3259" s="594">
        <v>16455</v>
      </c>
      <c r="E3259" s="594">
        <v>3155</v>
      </c>
      <c r="F3259" s="594" t="s">
        <v>233</v>
      </c>
      <c r="G3259" s="594">
        <v>666</v>
      </c>
      <c r="H3259" s="594">
        <v>9</v>
      </c>
      <c r="I3259" s="594">
        <v>2</v>
      </c>
      <c r="J3259" s="594">
        <f>72-1</f>
        <v>71</v>
      </c>
      <c r="K3259" s="590" t="s">
        <v>38</v>
      </c>
      <c r="L3259" s="595">
        <f t="shared" si="489"/>
        <v>4786697.5</v>
      </c>
      <c r="M3259" s="596">
        <f>E3259*1500</f>
        <v>4732500</v>
      </c>
      <c r="N3259" s="597"/>
      <c r="O3259" s="598">
        <f>M3259*0.3%</f>
        <v>14197.5</v>
      </c>
      <c r="P3259" s="597"/>
      <c r="Q3259" s="597">
        <v>40000</v>
      </c>
      <c r="R3259" s="599">
        <f>M3259/E3259</f>
        <v>1500</v>
      </c>
      <c r="S3259" s="594"/>
      <c r="T3259" s="600"/>
      <c r="U3259" s="709"/>
      <c r="V3259" s="589"/>
      <c r="W3259" s="601"/>
      <c r="X3259" s="601"/>
      <c r="Y3259" s="601"/>
      <c r="Z3259" s="601"/>
    </row>
    <row r="3260" spans="1:34" s="517" customFormat="1" hidden="1">
      <c r="A3260" s="709">
        <f t="shared" si="490"/>
        <v>361</v>
      </c>
      <c r="B3260" s="592" t="s">
        <v>3883</v>
      </c>
      <c r="C3260" s="593" t="s">
        <v>217</v>
      </c>
      <c r="D3260" s="594">
        <v>7870</v>
      </c>
      <c r="E3260" s="594">
        <v>1893.23</v>
      </c>
      <c r="F3260" s="594" t="s">
        <v>233</v>
      </c>
      <c r="G3260" s="594">
        <v>343.5</v>
      </c>
      <c r="H3260" s="594">
        <v>9</v>
      </c>
      <c r="I3260" s="594">
        <v>1</v>
      </c>
      <c r="J3260" s="594">
        <v>36</v>
      </c>
      <c r="K3260" s="590" t="s">
        <v>33</v>
      </c>
      <c r="L3260" s="595">
        <f t="shared" ref="L3260:L3291" si="495">M3260+N3260+O3260+P3260+Q3260</f>
        <v>738951.05</v>
      </c>
      <c r="M3260" s="596">
        <f>G3260*2100</f>
        <v>721350</v>
      </c>
      <c r="N3260" s="597"/>
      <c r="O3260" s="598">
        <f>M3260*0.3%</f>
        <v>2164.0500000000002</v>
      </c>
      <c r="P3260" s="597"/>
      <c r="Q3260" s="597">
        <v>15437</v>
      </c>
      <c r="R3260" s="599">
        <f>M3260/G3260</f>
        <v>2100</v>
      </c>
      <c r="S3260" s="586"/>
      <c r="T3260" s="600"/>
      <c r="U3260" s="580"/>
      <c r="V3260" s="589"/>
      <c r="W3260" s="647"/>
      <c r="X3260" s="709"/>
      <c r="Y3260" s="1184"/>
      <c r="Z3260" s="1184"/>
      <c r="AA3260" s="516"/>
      <c r="AC3260" s="78"/>
      <c r="AD3260" s="550"/>
      <c r="AE3260" s="78"/>
      <c r="AF3260" s="550"/>
    </row>
    <row r="3261" spans="1:34" s="517" customFormat="1" ht="37.5" hidden="1">
      <c r="A3261" s="709">
        <f t="shared" si="490"/>
        <v>362</v>
      </c>
      <c r="B3261" s="592" t="s">
        <v>2688</v>
      </c>
      <c r="C3261" s="593" t="s">
        <v>217</v>
      </c>
      <c r="D3261" s="594">
        <v>11962</v>
      </c>
      <c r="E3261" s="594">
        <v>2860</v>
      </c>
      <c r="F3261" s="594" t="s">
        <v>233</v>
      </c>
      <c r="G3261" s="594">
        <v>409</v>
      </c>
      <c r="H3261" s="594">
        <v>12</v>
      </c>
      <c r="I3261" s="594">
        <v>1</v>
      </c>
      <c r="J3261" s="594">
        <v>47</v>
      </c>
      <c r="K3261" s="590" t="s">
        <v>30</v>
      </c>
      <c r="L3261" s="595">
        <f t="shared" si="495"/>
        <v>1540698</v>
      </c>
      <c r="M3261" s="596">
        <f>J3261*32000</f>
        <v>1504000</v>
      </c>
      <c r="N3261" s="597"/>
      <c r="O3261" s="598">
        <f>M3261*0.3%</f>
        <v>4512</v>
      </c>
      <c r="P3261" s="597"/>
      <c r="Q3261" s="597">
        <v>32186</v>
      </c>
      <c r="R3261" s="599">
        <f>M3261/J3261</f>
        <v>32000</v>
      </c>
      <c r="S3261" s="586"/>
      <c r="T3261" s="600"/>
      <c r="U3261" s="580"/>
      <c r="V3261" s="589"/>
      <c r="W3261" s="647"/>
      <c r="X3261" s="709"/>
      <c r="Y3261" s="1184"/>
      <c r="Z3261" s="709"/>
      <c r="AA3261" s="550"/>
      <c r="AB3261" s="550"/>
      <c r="AC3261" s="516"/>
      <c r="AE3261" s="78"/>
      <c r="AF3261" s="550"/>
      <c r="AG3261" s="78"/>
      <c r="AH3261" s="550"/>
    </row>
    <row r="3262" spans="1:34" s="517" customFormat="1" hidden="1">
      <c r="A3262" s="709">
        <f t="shared" si="490"/>
        <v>363</v>
      </c>
      <c r="B3262" s="592" t="s">
        <v>2689</v>
      </c>
      <c r="C3262" s="593" t="s">
        <v>217</v>
      </c>
      <c r="D3262" s="594">
        <v>19298</v>
      </c>
      <c r="E3262" s="594">
        <v>1109</v>
      </c>
      <c r="F3262" s="594" t="s">
        <v>233</v>
      </c>
      <c r="G3262" s="594">
        <v>340</v>
      </c>
      <c r="H3262" s="594">
        <v>9</v>
      </c>
      <c r="I3262" s="594">
        <v>1</v>
      </c>
      <c r="J3262" s="594">
        <v>36</v>
      </c>
      <c r="K3262" s="590" t="s">
        <v>33</v>
      </c>
      <c r="L3262" s="595">
        <f t="shared" si="495"/>
        <v>731422</v>
      </c>
      <c r="M3262" s="596">
        <f>G3262*2100</f>
        <v>714000</v>
      </c>
      <c r="N3262" s="597"/>
      <c r="O3262" s="598">
        <f>M3262*0.3%</f>
        <v>2142</v>
      </c>
      <c r="P3262" s="597"/>
      <c r="Q3262" s="597">
        <v>15280</v>
      </c>
      <c r="R3262" s="599">
        <f>M3262/G3262</f>
        <v>2100</v>
      </c>
      <c r="S3262" s="586"/>
      <c r="T3262" s="600"/>
      <c r="U3262" s="580"/>
      <c r="V3262" s="589"/>
      <c r="W3262" s="647"/>
      <c r="X3262" s="709"/>
      <c r="Y3262" s="1184"/>
      <c r="Z3262" s="1184"/>
      <c r="AA3262" s="516"/>
      <c r="AC3262" s="78"/>
      <c r="AD3262" s="550"/>
      <c r="AE3262" s="78"/>
      <c r="AF3262" s="550"/>
    </row>
    <row r="3263" spans="1:34" s="517" customFormat="1" ht="37.5" hidden="1">
      <c r="A3263" s="709">
        <f t="shared" si="490"/>
        <v>364</v>
      </c>
      <c r="B3263" s="592" t="s">
        <v>2690</v>
      </c>
      <c r="C3263" s="593" t="s">
        <v>217</v>
      </c>
      <c r="D3263" s="594">
        <v>15730</v>
      </c>
      <c r="E3263" s="594">
        <v>2970</v>
      </c>
      <c r="F3263" s="594" t="s">
        <v>233</v>
      </c>
      <c r="G3263" s="594">
        <v>687</v>
      </c>
      <c r="H3263" s="594">
        <v>9</v>
      </c>
      <c r="I3263" s="594">
        <v>2</v>
      </c>
      <c r="J3263" s="594">
        <v>71</v>
      </c>
      <c r="K3263" s="590" t="s">
        <v>30</v>
      </c>
      <c r="L3263" s="595">
        <f t="shared" si="495"/>
        <v>2318816</v>
      </c>
      <c r="M3263" s="596">
        <f>J3263*32000</f>
        <v>2272000</v>
      </c>
      <c r="N3263" s="597"/>
      <c r="O3263" s="598">
        <f>M3263*0.3%</f>
        <v>6816</v>
      </c>
      <c r="P3263" s="597"/>
      <c r="Q3263" s="597">
        <v>40000</v>
      </c>
      <c r="R3263" s="599">
        <f>M3263/J3263</f>
        <v>32000</v>
      </c>
      <c r="S3263" s="586"/>
      <c r="T3263" s="600"/>
      <c r="U3263" s="580"/>
      <c r="V3263" s="589"/>
      <c r="W3263" s="647"/>
      <c r="X3263" s="709"/>
      <c r="Y3263" s="1184"/>
      <c r="Z3263" s="1184"/>
      <c r="AA3263" s="516"/>
      <c r="AC3263" s="78"/>
      <c r="AD3263" s="550"/>
      <c r="AE3263" s="78"/>
      <c r="AF3263" s="550"/>
    </row>
    <row r="3264" spans="1:34" s="517" customFormat="1" ht="37.5" hidden="1">
      <c r="A3264" s="709">
        <f t="shared" si="490"/>
        <v>365</v>
      </c>
      <c r="B3264" s="1177" t="s">
        <v>2692</v>
      </c>
      <c r="C3264" s="593" t="s">
        <v>217</v>
      </c>
      <c r="D3264" s="594">
        <v>24054</v>
      </c>
      <c r="E3264" s="593">
        <v>2250</v>
      </c>
      <c r="F3264" s="594" t="s">
        <v>233</v>
      </c>
      <c r="G3264" s="1182" t="s">
        <v>412</v>
      </c>
      <c r="H3264" s="594">
        <v>9</v>
      </c>
      <c r="I3264" s="594">
        <v>2</v>
      </c>
      <c r="J3264" s="664">
        <v>144</v>
      </c>
      <c r="K3264" s="590" t="s">
        <v>366</v>
      </c>
      <c r="L3264" s="595">
        <f t="shared" si="495"/>
        <v>4142250</v>
      </c>
      <c r="M3264" s="596">
        <v>4036000</v>
      </c>
      <c r="N3264" s="686">
        <v>106250</v>
      </c>
      <c r="O3264" s="598"/>
      <c r="P3264" s="597"/>
      <c r="Q3264" s="597"/>
      <c r="R3264" s="599">
        <f>M3264/I3264</f>
        <v>2018000</v>
      </c>
      <c r="S3264" s="586"/>
      <c r="T3264" s="600"/>
      <c r="U3264" s="580"/>
      <c r="V3264" s="589"/>
      <c r="W3264" s="647"/>
      <c r="X3264" s="709"/>
      <c r="Y3264" s="1184"/>
      <c r="Z3264" s="1184"/>
      <c r="AA3264" s="516"/>
      <c r="AC3264" s="78"/>
      <c r="AD3264" s="550"/>
      <c r="AE3264" s="78"/>
      <c r="AF3264" s="550"/>
    </row>
    <row r="3265" spans="1:32" s="517" customFormat="1" hidden="1">
      <c r="A3265" s="709">
        <f t="shared" si="490"/>
        <v>366</v>
      </c>
      <c r="B3265" s="592" t="s">
        <v>2693</v>
      </c>
      <c r="C3265" s="593" t="s">
        <v>271</v>
      </c>
      <c r="D3265" s="594">
        <v>32053</v>
      </c>
      <c r="E3265" s="594">
        <v>2780</v>
      </c>
      <c r="F3265" s="594" t="s">
        <v>233</v>
      </c>
      <c r="G3265" s="594">
        <v>1567.1</v>
      </c>
      <c r="H3265" s="594">
        <v>9</v>
      </c>
      <c r="I3265" s="594">
        <v>4</v>
      </c>
      <c r="J3265" s="594">
        <v>137</v>
      </c>
      <c r="K3265" s="590" t="s">
        <v>33</v>
      </c>
      <c r="L3265" s="595">
        <f t="shared" si="495"/>
        <v>3340782.73</v>
      </c>
      <c r="M3265" s="596">
        <f>G3265*2100</f>
        <v>3290910</v>
      </c>
      <c r="N3265" s="597"/>
      <c r="O3265" s="598">
        <f>M3265*0.3%</f>
        <v>9872.73</v>
      </c>
      <c r="P3265" s="597"/>
      <c r="Q3265" s="597">
        <v>40000</v>
      </c>
      <c r="R3265" s="599">
        <f>M3265/G3265</f>
        <v>2100</v>
      </c>
      <c r="S3265" s="586"/>
      <c r="T3265" s="600"/>
      <c r="U3265" s="580"/>
      <c r="V3265" s="589"/>
      <c r="W3265" s="647"/>
      <c r="X3265" s="709"/>
      <c r="Y3265" s="1184"/>
      <c r="Z3265" s="1184"/>
      <c r="AA3265" s="516"/>
      <c r="AC3265" s="78"/>
      <c r="AD3265" s="550"/>
      <c r="AE3265" s="78"/>
      <c r="AF3265" s="550"/>
    </row>
    <row r="3266" spans="1:32" s="517" customFormat="1" ht="37.5" hidden="1">
      <c r="A3266" s="709">
        <f t="shared" si="490"/>
        <v>367</v>
      </c>
      <c r="B3266" s="592" t="s">
        <v>2694</v>
      </c>
      <c r="C3266" s="593" t="s">
        <v>217</v>
      </c>
      <c r="D3266" s="594">
        <v>16316</v>
      </c>
      <c r="E3266" s="594">
        <v>2592</v>
      </c>
      <c r="F3266" s="594" t="s">
        <v>233</v>
      </c>
      <c r="G3266" s="594">
        <v>490</v>
      </c>
      <c r="H3266" s="594">
        <v>12</v>
      </c>
      <c r="I3266" s="594">
        <v>1</v>
      </c>
      <c r="J3266" s="594">
        <v>47</v>
      </c>
      <c r="K3266" s="590" t="s">
        <v>366</v>
      </c>
      <c r="L3266" s="595">
        <f t="shared" si="495"/>
        <v>4142250</v>
      </c>
      <c r="M3266" s="596">
        <v>4036000</v>
      </c>
      <c r="N3266" s="597">
        <v>106250</v>
      </c>
      <c r="O3266" s="598"/>
      <c r="P3266" s="597"/>
      <c r="Q3266" s="597"/>
      <c r="R3266" s="599">
        <v>2200000</v>
      </c>
      <c r="S3266" s="586"/>
      <c r="T3266" s="600"/>
      <c r="U3266" s="580"/>
      <c r="V3266" s="589"/>
      <c r="W3266" s="647"/>
      <c r="X3266" s="709"/>
      <c r="Y3266" s="1184"/>
      <c r="Z3266" s="1184"/>
      <c r="AA3266" s="516"/>
      <c r="AC3266" s="78"/>
      <c r="AD3266" s="550"/>
      <c r="AE3266" s="78"/>
      <c r="AF3266" s="550"/>
    </row>
    <row r="3267" spans="1:32" s="517" customFormat="1" ht="37.5" hidden="1">
      <c r="A3267" s="709">
        <f t="shared" si="490"/>
        <v>368</v>
      </c>
      <c r="B3267" s="1177" t="s">
        <v>2695</v>
      </c>
      <c r="C3267" s="593" t="s">
        <v>217</v>
      </c>
      <c r="D3267" s="618">
        <v>12756</v>
      </c>
      <c r="E3267" s="594">
        <v>2592</v>
      </c>
      <c r="F3267" s="582" t="s">
        <v>233</v>
      </c>
      <c r="G3267" s="618">
        <v>410</v>
      </c>
      <c r="H3267" s="650">
        <v>12</v>
      </c>
      <c r="I3267" s="650">
        <v>1</v>
      </c>
      <c r="J3267" s="650">
        <v>48</v>
      </c>
      <c r="K3267" s="590" t="s">
        <v>366</v>
      </c>
      <c r="L3267" s="595">
        <f t="shared" si="495"/>
        <v>4106250</v>
      </c>
      <c r="M3267" s="585">
        <v>4000000</v>
      </c>
      <c r="N3267" s="628">
        <v>106250</v>
      </c>
      <c r="O3267" s="598"/>
      <c r="P3267" s="586"/>
      <c r="Q3267" s="586"/>
      <c r="R3267" s="599">
        <v>2200000</v>
      </c>
      <c r="S3267" s="586"/>
      <c r="T3267" s="600"/>
      <c r="U3267" s="580"/>
      <c r="V3267" s="589"/>
      <c r="W3267" s="647"/>
      <c r="X3267" s="709"/>
      <c r="Y3267" s="1184"/>
      <c r="Z3267" s="1184"/>
      <c r="AA3267" s="516"/>
      <c r="AC3267" s="78"/>
      <c r="AD3267" s="550"/>
      <c r="AE3267" s="78"/>
      <c r="AF3267" s="550"/>
    </row>
    <row r="3268" spans="1:32" s="517" customFormat="1" ht="37.5" hidden="1">
      <c r="A3268" s="709">
        <f t="shared" si="490"/>
        <v>369</v>
      </c>
      <c r="B3268" s="1177" t="s">
        <v>2696</v>
      </c>
      <c r="C3268" s="593" t="s">
        <v>217</v>
      </c>
      <c r="D3268" s="618">
        <v>12368</v>
      </c>
      <c r="E3268" s="594">
        <v>2592</v>
      </c>
      <c r="F3268" s="582" t="s">
        <v>233</v>
      </c>
      <c r="G3268" s="618">
        <v>391</v>
      </c>
      <c r="H3268" s="650">
        <v>12</v>
      </c>
      <c r="I3268" s="650">
        <v>1</v>
      </c>
      <c r="J3268" s="650">
        <v>47</v>
      </c>
      <c r="K3268" s="590" t="s">
        <v>366</v>
      </c>
      <c r="L3268" s="595">
        <f t="shared" si="495"/>
        <v>4106250</v>
      </c>
      <c r="M3268" s="585">
        <v>4000000</v>
      </c>
      <c r="N3268" s="628">
        <v>106250</v>
      </c>
      <c r="O3268" s="598"/>
      <c r="P3268" s="586"/>
      <c r="Q3268" s="586"/>
      <c r="R3268" s="599">
        <v>2200000</v>
      </c>
      <c r="S3268" s="586"/>
      <c r="T3268" s="600"/>
      <c r="U3268" s="580"/>
      <c r="V3268" s="589"/>
      <c r="W3268" s="647"/>
      <c r="X3268" s="709"/>
      <c r="Y3268" s="1184"/>
      <c r="Z3268" s="1184"/>
      <c r="AA3268" s="516"/>
      <c r="AC3268" s="78"/>
      <c r="AD3268" s="550"/>
      <c r="AE3268" s="78"/>
      <c r="AF3268" s="550"/>
    </row>
    <row r="3269" spans="1:32" s="75" customFormat="1" ht="37.5" hidden="1">
      <c r="A3269" s="709">
        <f t="shared" si="490"/>
        <v>370</v>
      </c>
      <c r="B3269" s="1177" t="s">
        <v>1748</v>
      </c>
      <c r="C3269" s="593" t="s">
        <v>217</v>
      </c>
      <c r="D3269" s="594">
        <v>7743</v>
      </c>
      <c r="E3269" s="593">
        <v>1210</v>
      </c>
      <c r="F3269" s="602" t="s">
        <v>233</v>
      </c>
      <c r="G3269" s="1182" t="s">
        <v>410</v>
      </c>
      <c r="H3269" s="594">
        <v>9</v>
      </c>
      <c r="I3269" s="594">
        <v>1</v>
      </c>
      <c r="J3269" s="664">
        <v>36</v>
      </c>
      <c r="K3269" s="590" t="s">
        <v>366</v>
      </c>
      <c r="L3269" s="595">
        <f t="shared" si="495"/>
        <v>2103000</v>
      </c>
      <c r="M3269" s="596">
        <v>2018000</v>
      </c>
      <c r="N3269" s="686">
        <v>85000</v>
      </c>
      <c r="O3269" s="598"/>
      <c r="P3269" s="597"/>
      <c r="Q3269" s="586"/>
      <c r="R3269" s="599">
        <f>M3269/I3269</f>
        <v>2018000</v>
      </c>
      <c r="S3269" s="594"/>
      <c r="T3269" s="600"/>
      <c r="U3269" s="709"/>
      <c r="V3269" s="589"/>
      <c r="W3269" s="601"/>
      <c r="X3269" s="601"/>
      <c r="Y3269" s="601"/>
      <c r="Z3269" s="601"/>
    </row>
    <row r="3270" spans="1:32" s="78" customFormat="1" hidden="1">
      <c r="A3270" s="709">
        <f t="shared" si="490"/>
        <v>371</v>
      </c>
      <c r="B3270" s="592" t="s">
        <v>2697</v>
      </c>
      <c r="C3270" s="593" t="s">
        <v>271</v>
      </c>
      <c r="D3270" s="594">
        <v>47926</v>
      </c>
      <c r="E3270" s="594">
        <v>2782</v>
      </c>
      <c r="F3270" s="594" t="s">
        <v>233</v>
      </c>
      <c r="G3270" s="594">
        <v>1435.5</v>
      </c>
      <c r="H3270" s="594">
        <v>9</v>
      </c>
      <c r="I3270" s="594">
        <v>4</v>
      </c>
      <c r="J3270" s="594">
        <v>128</v>
      </c>
      <c r="K3270" s="590" t="s">
        <v>224</v>
      </c>
      <c r="L3270" s="595">
        <f t="shared" si="495"/>
        <v>2632000</v>
      </c>
      <c r="M3270" s="596">
        <f>J3270*20000</f>
        <v>2560000</v>
      </c>
      <c r="N3270" s="597">
        <v>32000</v>
      </c>
      <c r="O3270" s="598"/>
      <c r="P3270" s="597"/>
      <c r="Q3270" s="597">
        <v>40000</v>
      </c>
      <c r="R3270" s="599">
        <f>M3270/J3270</f>
        <v>20000</v>
      </c>
      <c r="S3270" s="594"/>
      <c r="T3270" s="600"/>
      <c r="U3270" s="709"/>
      <c r="V3270" s="589"/>
      <c r="W3270" s="709"/>
      <c r="X3270" s="709"/>
      <c r="Y3270" s="709"/>
      <c r="Z3270" s="709"/>
    </row>
    <row r="3271" spans="1:32" s="75" customFormat="1" ht="37.5" hidden="1">
      <c r="A3271" s="709">
        <f t="shared" si="490"/>
        <v>372</v>
      </c>
      <c r="B3271" s="1177" t="s">
        <v>2699</v>
      </c>
      <c r="C3271" s="593" t="s">
        <v>217</v>
      </c>
      <c r="D3271" s="594">
        <v>4251</v>
      </c>
      <c r="E3271" s="593">
        <v>2250</v>
      </c>
      <c r="F3271" s="594" t="s">
        <v>233</v>
      </c>
      <c r="G3271" s="1182" t="s">
        <v>413</v>
      </c>
      <c r="H3271" s="594">
        <v>9</v>
      </c>
      <c r="I3271" s="594">
        <v>1</v>
      </c>
      <c r="J3271" s="664">
        <v>72</v>
      </c>
      <c r="K3271" s="590" t="s">
        <v>366</v>
      </c>
      <c r="L3271" s="595">
        <f t="shared" si="495"/>
        <v>2103000</v>
      </c>
      <c r="M3271" s="596">
        <v>2018000</v>
      </c>
      <c r="N3271" s="686">
        <v>85000</v>
      </c>
      <c r="O3271" s="598"/>
      <c r="P3271" s="597"/>
      <c r="Q3271" s="586"/>
      <c r="R3271" s="599">
        <f>M3271/I3271</f>
        <v>2018000</v>
      </c>
      <c r="S3271" s="594"/>
      <c r="T3271" s="600"/>
      <c r="U3271" s="709"/>
      <c r="V3271" s="589"/>
      <c r="W3271" s="601"/>
      <c r="X3271" s="601"/>
      <c r="Y3271" s="601"/>
      <c r="Z3271" s="601"/>
    </row>
    <row r="3272" spans="1:32" s="75" customFormat="1" ht="37.5" hidden="1">
      <c r="A3272" s="709">
        <f t="shared" si="490"/>
        <v>373</v>
      </c>
      <c r="B3272" s="1177" t="s">
        <v>2700</v>
      </c>
      <c r="C3272" s="593" t="s">
        <v>217</v>
      </c>
      <c r="D3272" s="594">
        <v>11928</v>
      </c>
      <c r="E3272" s="593">
        <v>2250</v>
      </c>
      <c r="F3272" s="594" t="s">
        <v>233</v>
      </c>
      <c r="G3272" s="1182" t="s">
        <v>414</v>
      </c>
      <c r="H3272" s="594">
        <v>9</v>
      </c>
      <c r="I3272" s="594">
        <v>1</v>
      </c>
      <c r="J3272" s="664">
        <v>72</v>
      </c>
      <c r="K3272" s="590" t="s">
        <v>366</v>
      </c>
      <c r="L3272" s="595">
        <f t="shared" si="495"/>
        <v>2103000</v>
      </c>
      <c r="M3272" s="596">
        <v>2018000</v>
      </c>
      <c r="N3272" s="686">
        <v>85000</v>
      </c>
      <c r="O3272" s="598"/>
      <c r="P3272" s="597"/>
      <c r="Q3272" s="586"/>
      <c r="R3272" s="599">
        <f>M3272/I3272</f>
        <v>2018000</v>
      </c>
      <c r="S3272" s="594"/>
      <c r="T3272" s="600"/>
      <c r="U3272" s="709"/>
      <c r="V3272" s="589"/>
      <c r="W3272" s="601"/>
      <c r="X3272" s="601"/>
      <c r="Y3272" s="601"/>
      <c r="Z3272" s="601"/>
    </row>
    <row r="3273" spans="1:32" s="75" customFormat="1" hidden="1">
      <c r="A3273" s="709">
        <f t="shared" si="490"/>
        <v>374</v>
      </c>
      <c r="B3273" s="592" t="s">
        <v>2701</v>
      </c>
      <c r="C3273" s="593" t="s">
        <v>314</v>
      </c>
      <c r="D3273" s="594">
        <v>4141</v>
      </c>
      <c r="E3273" s="594">
        <v>926</v>
      </c>
      <c r="F3273" s="594" t="s">
        <v>222</v>
      </c>
      <c r="G3273" s="594">
        <v>547</v>
      </c>
      <c r="H3273" s="594">
        <v>3</v>
      </c>
      <c r="I3273" s="594">
        <v>2</v>
      </c>
      <c r="J3273" s="594">
        <v>18</v>
      </c>
      <c r="K3273" s="590" t="s">
        <v>33</v>
      </c>
      <c r="L3273" s="595">
        <f t="shared" si="495"/>
        <v>1568970.8</v>
      </c>
      <c r="M3273" s="596">
        <f>G3273*2800</f>
        <v>1531600</v>
      </c>
      <c r="N3273" s="597"/>
      <c r="O3273" s="598">
        <f>M3273*0.3%</f>
        <v>4594.8</v>
      </c>
      <c r="P3273" s="597"/>
      <c r="Q3273" s="597">
        <v>32776</v>
      </c>
      <c r="R3273" s="599">
        <f>M3273/G3273</f>
        <v>2800</v>
      </c>
      <c r="S3273" s="594"/>
      <c r="T3273" s="600"/>
      <c r="U3273" s="709"/>
      <c r="V3273" s="589"/>
      <c r="W3273" s="601"/>
      <c r="X3273" s="601"/>
      <c r="Y3273" s="601"/>
      <c r="Z3273" s="601"/>
    </row>
    <row r="3274" spans="1:32" s="75" customFormat="1" hidden="1">
      <c r="A3274" s="709">
        <f t="shared" si="490"/>
        <v>375</v>
      </c>
      <c r="B3274" s="592" t="s">
        <v>2702</v>
      </c>
      <c r="C3274" s="593" t="s">
        <v>314</v>
      </c>
      <c r="D3274" s="594">
        <v>4162</v>
      </c>
      <c r="E3274" s="594">
        <v>926</v>
      </c>
      <c r="F3274" s="594" t="s">
        <v>222</v>
      </c>
      <c r="G3274" s="594">
        <v>585</v>
      </c>
      <c r="H3274" s="594">
        <v>3</v>
      </c>
      <c r="I3274" s="594">
        <v>2</v>
      </c>
      <c r="J3274" s="594">
        <v>18</v>
      </c>
      <c r="K3274" s="590" t="s">
        <v>33</v>
      </c>
      <c r="L3274" s="595">
        <f t="shared" si="495"/>
        <v>1677967</v>
      </c>
      <c r="M3274" s="596">
        <f>G3274*2800</f>
        <v>1638000</v>
      </c>
      <c r="N3274" s="597"/>
      <c r="O3274" s="598">
        <f>M3274*0.3%</f>
        <v>4914</v>
      </c>
      <c r="P3274" s="597"/>
      <c r="Q3274" s="597">
        <v>35053</v>
      </c>
      <c r="R3274" s="599">
        <f>M3274/G3274</f>
        <v>2800</v>
      </c>
      <c r="S3274" s="594"/>
      <c r="T3274" s="600"/>
      <c r="U3274" s="709"/>
      <c r="V3274" s="589"/>
      <c r="W3274" s="601"/>
      <c r="X3274" s="601"/>
      <c r="Y3274" s="601"/>
      <c r="Z3274" s="601"/>
    </row>
    <row r="3275" spans="1:32" s="75" customFormat="1" hidden="1">
      <c r="A3275" s="709">
        <f t="shared" si="490"/>
        <v>376</v>
      </c>
      <c r="B3275" s="592" t="s">
        <v>2703</v>
      </c>
      <c r="C3275" s="593" t="s">
        <v>314</v>
      </c>
      <c r="D3275" s="594">
        <v>4128</v>
      </c>
      <c r="E3275" s="594">
        <v>918</v>
      </c>
      <c r="F3275" s="594" t="s">
        <v>222</v>
      </c>
      <c r="G3275" s="594">
        <v>585</v>
      </c>
      <c r="H3275" s="594">
        <v>3</v>
      </c>
      <c r="I3275" s="594">
        <v>2</v>
      </c>
      <c r="J3275" s="594">
        <v>18</v>
      </c>
      <c r="K3275" s="590" t="s">
        <v>33</v>
      </c>
      <c r="L3275" s="595">
        <f t="shared" si="495"/>
        <v>1677967</v>
      </c>
      <c r="M3275" s="596">
        <f>G3275*2800</f>
        <v>1638000</v>
      </c>
      <c r="N3275" s="597"/>
      <c r="O3275" s="598">
        <f>M3275*0.3%</f>
        <v>4914</v>
      </c>
      <c r="P3275" s="597"/>
      <c r="Q3275" s="597">
        <v>35053</v>
      </c>
      <c r="R3275" s="599">
        <f>M3275/G3275</f>
        <v>2800</v>
      </c>
      <c r="S3275" s="594"/>
      <c r="T3275" s="600"/>
      <c r="U3275" s="709"/>
      <c r="V3275" s="589"/>
      <c r="W3275" s="601"/>
      <c r="X3275" s="601"/>
      <c r="Y3275" s="601"/>
      <c r="Z3275" s="601"/>
    </row>
    <row r="3276" spans="1:32" s="75" customFormat="1" hidden="1">
      <c r="A3276" s="709">
        <f t="shared" si="490"/>
        <v>377</v>
      </c>
      <c r="B3276" s="592" t="s">
        <v>2704</v>
      </c>
      <c r="C3276" s="593" t="s">
        <v>217</v>
      </c>
      <c r="D3276" s="594">
        <v>7273</v>
      </c>
      <c r="E3276" s="594">
        <v>1484.97</v>
      </c>
      <c r="F3276" s="594" t="s">
        <v>222</v>
      </c>
      <c r="G3276" s="594">
        <v>832</v>
      </c>
      <c r="H3276" s="594">
        <v>4</v>
      </c>
      <c r="I3276" s="594">
        <v>3</v>
      </c>
      <c r="J3276" s="594">
        <v>48</v>
      </c>
      <c r="K3276" s="590" t="s">
        <v>33</v>
      </c>
      <c r="L3276" s="595">
        <f t="shared" si="495"/>
        <v>2376588.7999999998</v>
      </c>
      <c r="M3276" s="596">
        <f>G3276*2800</f>
        <v>2329600</v>
      </c>
      <c r="N3276" s="597"/>
      <c r="O3276" s="598">
        <f>M3276*0.3%</f>
        <v>6988.8</v>
      </c>
      <c r="P3276" s="597"/>
      <c r="Q3276" s="597">
        <v>40000</v>
      </c>
      <c r="R3276" s="599">
        <f>M3276/G3276</f>
        <v>2800</v>
      </c>
      <c r="S3276" s="594"/>
      <c r="T3276" s="600"/>
      <c r="U3276" s="709"/>
      <c r="V3276" s="589"/>
      <c r="W3276" s="601"/>
      <c r="X3276" s="601"/>
      <c r="Y3276" s="601"/>
      <c r="Z3276" s="601"/>
    </row>
    <row r="3277" spans="1:32" s="75" customFormat="1" hidden="1">
      <c r="A3277" s="709">
        <f t="shared" si="490"/>
        <v>378</v>
      </c>
      <c r="B3277" s="592" t="s">
        <v>2705</v>
      </c>
      <c r="C3277" s="593" t="s">
        <v>292</v>
      </c>
      <c r="D3277" s="594">
        <v>3110</v>
      </c>
      <c r="E3277" s="594">
        <v>747</v>
      </c>
      <c r="F3277" s="594" t="s">
        <v>251</v>
      </c>
      <c r="G3277" s="594">
        <v>650</v>
      </c>
      <c r="H3277" s="594">
        <v>2</v>
      </c>
      <c r="I3277" s="594">
        <v>2</v>
      </c>
      <c r="J3277" s="594">
        <v>16</v>
      </c>
      <c r="K3277" s="590" t="s">
        <v>224</v>
      </c>
      <c r="L3277" s="595">
        <f t="shared" si="495"/>
        <v>319163</v>
      </c>
      <c r="M3277" s="596">
        <f>J3277*18000</f>
        <v>288000</v>
      </c>
      <c r="N3277" s="597">
        <v>25000</v>
      </c>
      <c r="O3277" s="598"/>
      <c r="P3277" s="597"/>
      <c r="Q3277" s="597">
        <v>6163</v>
      </c>
      <c r="R3277" s="599">
        <f>M3277/J3277</f>
        <v>18000</v>
      </c>
      <c r="S3277" s="594"/>
      <c r="T3277" s="600"/>
      <c r="U3277" s="709"/>
      <c r="V3277" s="589"/>
      <c r="W3277" s="601"/>
      <c r="X3277" s="601"/>
      <c r="Y3277" s="601"/>
      <c r="Z3277" s="601"/>
    </row>
    <row r="3278" spans="1:32" s="75" customFormat="1" hidden="1">
      <c r="A3278" s="709">
        <f t="shared" si="490"/>
        <v>379</v>
      </c>
      <c r="B3278" s="592" t="s">
        <v>2706</v>
      </c>
      <c r="C3278" s="593" t="s">
        <v>217</v>
      </c>
      <c r="D3278" s="594">
        <v>31500</v>
      </c>
      <c r="E3278" s="594">
        <v>6089</v>
      </c>
      <c r="F3278" s="594" t="s">
        <v>233</v>
      </c>
      <c r="G3278" s="594">
        <v>1427.8</v>
      </c>
      <c r="H3278" s="594">
        <v>9</v>
      </c>
      <c r="I3278" s="594">
        <v>4</v>
      </c>
      <c r="J3278" s="594">
        <v>144</v>
      </c>
      <c r="K3278" s="590" t="s">
        <v>33</v>
      </c>
      <c r="L3278" s="595">
        <f t="shared" si="495"/>
        <v>3047375.14</v>
      </c>
      <c r="M3278" s="596">
        <f>G3278*2100</f>
        <v>2998380</v>
      </c>
      <c r="N3278" s="597"/>
      <c r="O3278" s="598">
        <f>M3278*0.3%</f>
        <v>8995.14</v>
      </c>
      <c r="P3278" s="597"/>
      <c r="Q3278" s="597">
        <v>40000</v>
      </c>
      <c r="R3278" s="599">
        <f>M3278/G3278</f>
        <v>2100</v>
      </c>
      <c r="S3278" s="594"/>
      <c r="T3278" s="600"/>
      <c r="U3278" s="709"/>
      <c r="V3278" s="589"/>
      <c r="W3278" s="601"/>
      <c r="X3278" s="601"/>
      <c r="Y3278" s="601"/>
      <c r="Z3278" s="601"/>
    </row>
    <row r="3279" spans="1:32" s="75" customFormat="1" hidden="1">
      <c r="A3279" s="709">
        <f t="shared" si="490"/>
        <v>380</v>
      </c>
      <c r="B3279" s="592" t="s">
        <v>2707</v>
      </c>
      <c r="C3279" s="593" t="s">
        <v>217</v>
      </c>
      <c r="D3279" s="594">
        <v>18973</v>
      </c>
      <c r="E3279" s="594">
        <v>4860</v>
      </c>
      <c r="F3279" s="594" t="s">
        <v>233</v>
      </c>
      <c r="G3279" s="594">
        <v>1390</v>
      </c>
      <c r="H3279" s="594">
        <v>9</v>
      </c>
      <c r="I3279" s="594">
        <v>3</v>
      </c>
      <c r="J3279" s="594">
        <v>216</v>
      </c>
      <c r="K3279" s="590" t="s">
        <v>33</v>
      </c>
      <c r="L3279" s="595">
        <f t="shared" si="495"/>
        <v>2967757</v>
      </c>
      <c r="M3279" s="596">
        <f>G3279*2100</f>
        <v>2919000</v>
      </c>
      <c r="N3279" s="597"/>
      <c r="O3279" s="598">
        <f>M3279*0.3%</f>
        <v>8757</v>
      </c>
      <c r="P3279" s="597"/>
      <c r="Q3279" s="597">
        <v>40000</v>
      </c>
      <c r="R3279" s="599">
        <f>M3279/G3279</f>
        <v>2100</v>
      </c>
      <c r="S3279" s="594"/>
      <c r="T3279" s="600"/>
      <c r="U3279" s="709"/>
      <c r="V3279" s="589"/>
      <c r="W3279" s="601"/>
      <c r="X3279" s="601"/>
      <c r="Y3279" s="601"/>
      <c r="Z3279" s="601"/>
    </row>
    <row r="3280" spans="1:32" s="75" customFormat="1" hidden="1">
      <c r="A3280" s="709">
        <f t="shared" si="490"/>
        <v>381</v>
      </c>
      <c r="B3280" s="592" t="s">
        <v>2708</v>
      </c>
      <c r="C3280" s="593" t="s">
        <v>217</v>
      </c>
      <c r="D3280" s="594">
        <v>12483</v>
      </c>
      <c r="E3280" s="594">
        <v>2325</v>
      </c>
      <c r="F3280" s="594" t="s">
        <v>222</v>
      </c>
      <c r="G3280" s="594">
        <v>1143</v>
      </c>
      <c r="H3280" s="594">
        <v>5</v>
      </c>
      <c r="I3280" s="594">
        <v>4</v>
      </c>
      <c r="J3280" s="594">
        <v>80</v>
      </c>
      <c r="K3280" s="590" t="s">
        <v>224</v>
      </c>
      <c r="L3280" s="595">
        <f t="shared" si="495"/>
        <v>1334392</v>
      </c>
      <c r="M3280" s="596">
        <f>J3280*16000</f>
        <v>1280000</v>
      </c>
      <c r="N3280" s="597">
        <v>27000</v>
      </c>
      <c r="O3280" s="598"/>
      <c r="P3280" s="597"/>
      <c r="Q3280" s="597">
        <v>27392</v>
      </c>
      <c r="R3280" s="599">
        <f>M3280/G3280</f>
        <v>1119.8600174978128</v>
      </c>
      <c r="S3280" s="594"/>
      <c r="T3280" s="600"/>
      <c r="U3280" s="709"/>
      <c r="V3280" s="589"/>
      <c r="W3280" s="601"/>
      <c r="X3280" s="601"/>
      <c r="Y3280" s="601"/>
      <c r="Z3280" s="601"/>
    </row>
    <row r="3281" spans="1:26" s="75" customFormat="1" hidden="1">
      <c r="A3281" s="709">
        <f t="shared" si="490"/>
        <v>382</v>
      </c>
      <c r="B3281" s="592" t="s">
        <v>2709</v>
      </c>
      <c r="C3281" s="593" t="s">
        <v>395</v>
      </c>
      <c r="D3281" s="594">
        <v>2808</v>
      </c>
      <c r="E3281" s="594">
        <v>461</v>
      </c>
      <c r="F3281" s="594" t="s">
        <v>222</v>
      </c>
      <c r="G3281" s="594">
        <v>571</v>
      </c>
      <c r="H3281" s="594">
        <v>2</v>
      </c>
      <c r="I3281" s="594">
        <v>2</v>
      </c>
      <c r="J3281" s="594">
        <v>16</v>
      </c>
      <c r="K3281" s="590" t="s">
        <v>224</v>
      </c>
      <c r="L3281" s="595">
        <f t="shared" si="495"/>
        <v>314163</v>
      </c>
      <c r="M3281" s="596">
        <f>J3281*18000</f>
        <v>288000</v>
      </c>
      <c r="N3281" s="597">
        <v>20000</v>
      </c>
      <c r="O3281" s="598"/>
      <c r="P3281" s="597"/>
      <c r="Q3281" s="597">
        <v>6163</v>
      </c>
      <c r="R3281" s="599">
        <f>M3281/J3281</f>
        <v>18000</v>
      </c>
      <c r="S3281" s="594"/>
      <c r="T3281" s="600"/>
      <c r="U3281" s="709"/>
      <c r="V3281" s="589"/>
      <c r="W3281" s="601"/>
      <c r="X3281" s="601"/>
      <c r="Y3281" s="601"/>
      <c r="Z3281" s="601"/>
    </row>
    <row r="3282" spans="1:26" s="75" customFormat="1" hidden="1">
      <c r="A3282" s="709">
        <f t="shared" si="490"/>
        <v>383</v>
      </c>
      <c r="B3282" s="592" t="s">
        <v>2710</v>
      </c>
      <c r="C3282" s="593" t="s">
        <v>395</v>
      </c>
      <c r="D3282" s="594">
        <v>2785</v>
      </c>
      <c r="E3282" s="594">
        <v>456</v>
      </c>
      <c r="F3282" s="594" t="s">
        <v>222</v>
      </c>
      <c r="G3282" s="594">
        <v>557</v>
      </c>
      <c r="H3282" s="594">
        <v>2</v>
      </c>
      <c r="I3282" s="594">
        <v>2</v>
      </c>
      <c r="J3282" s="594">
        <v>16</v>
      </c>
      <c r="K3282" s="590" t="s">
        <v>224</v>
      </c>
      <c r="L3282" s="595">
        <f t="shared" si="495"/>
        <v>314163</v>
      </c>
      <c r="M3282" s="596">
        <f>J3282*18000</f>
        <v>288000</v>
      </c>
      <c r="N3282" s="597">
        <v>20000</v>
      </c>
      <c r="O3282" s="598"/>
      <c r="P3282" s="597"/>
      <c r="Q3282" s="597">
        <v>6163</v>
      </c>
      <c r="R3282" s="599">
        <f>M3282/J3282</f>
        <v>18000</v>
      </c>
      <c r="S3282" s="594"/>
      <c r="T3282" s="600"/>
      <c r="U3282" s="709"/>
      <c r="V3282" s="601"/>
      <c r="W3282" s="601"/>
      <c r="X3282" s="601"/>
      <c r="Y3282" s="601"/>
      <c r="Z3282" s="601"/>
    </row>
    <row r="3283" spans="1:26" s="75" customFormat="1" hidden="1">
      <c r="A3283" s="709">
        <f t="shared" si="490"/>
        <v>384</v>
      </c>
      <c r="B3283" s="592" t="s">
        <v>2711</v>
      </c>
      <c r="C3283" s="593" t="s">
        <v>395</v>
      </c>
      <c r="D3283" s="594">
        <v>2819</v>
      </c>
      <c r="E3283" s="594">
        <v>460</v>
      </c>
      <c r="F3283" s="594" t="s">
        <v>222</v>
      </c>
      <c r="G3283" s="594">
        <v>564</v>
      </c>
      <c r="H3283" s="594">
        <v>2</v>
      </c>
      <c r="I3283" s="594">
        <v>2</v>
      </c>
      <c r="J3283" s="594">
        <v>16</v>
      </c>
      <c r="K3283" s="590" t="s">
        <v>224</v>
      </c>
      <c r="L3283" s="595">
        <f t="shared" si="495"/>
        <v>314163</v>
      </c>
      <c r="M3283" s="596">
        <f>J3283*18000</f>
        <v>288000</v>
      </c>
      <c r="N3283" s="597">
        <v>20000</v>
      </c>
      <c r="O3283" s="598"/>
      <c r="P3283" s="597"/>
      <c r="Q3283" s="597">
        <v>6163</v>
      </c>
      <c r="R3283" s="599">
        <f>M3283/J3283</f>
        <v>18000</v>
      </c>
      <c r="S3283" s="594"/>
      <c r="T3283" s="600"/>
      <c r="U3283" s="709"/>
      <c r="V3283" s="601"/>
      <c r="W3283" s="601"/>
      <c r="X3283" s="601"/>
      <c r="Y3283" s="601"/>
      <c r="Z3283" s="601"/>
    </row>
    <row r="3284" spans="1:26" s="75" customFormat="1" hidden="1">
      <c r="A3284" s="709">
        <f t="shared" si="490"/>
        <v>385</v>
      </c>
      <c r="B3284" s="592" t="s">
        <v>2712</v>
      </c>
      <c r="C3284" s="593" t="s">
        <v>271</v>
      </c>
      <c r="D3284" s="594">
        <v>26903</v>
      </c>
      <c r="E3284" s="594">
        <v>5360</v>
      </c>
      <c r="F3284" s="594" t="s">
        <v>233</v>
      </c>
      <c r="G3284" s="594">
        <v>1278</v>
      </c>
      <c r="H3284" s="594">
        <v>9</v>
      </c>
      <c r="I3284" s="594">
        <v>3</v>
      </c>
      <c r="J3284" s="594">
        <v>109</v>
      </c>
      <c r="K3284" s="590" t="s">
        <v>33</v>
      </c>
      <c r="L3284" s="595">
        <f t="shared" si="495"/>
        <v>2731851.4</v>
      </c>
      <c r="M3284" s="596">
        <f>G3284*2100</f>
        <v>2683800</v>
      </c>
      <c r="N3284" s="597"/>
      <c r="O3284" s="598">
        <f>M3284*0.3%</f>
        <v>8051.4000000000005</v>
      </c>
      <c r="P3284" s="597"/>
      <c r="Q3284" s="597">
        <v>40000</v>
      </c>
      <c r="R3284" s="599">
        <f>M3284/G3284</f>
        <v>2100</v>
      </c>
      <c r="S3284" s="594"/>
      <c r="T3284" s="600"/>
      <c r="U3284" s="709"/>
      <c r="V3284" s="601"/>
      <c r="W3284" s="601"/>
      <c r="X3284" s="601"/>
      <c r="Y3284" s="601"/>
      <c r="Z3284" s="601"/>
    </row>
    <row r="3285" spans="1:26" s="75" customFormat="1" hidden="1">
      <c r="A3285" s="709">
        <f t="shared" si="490"/>
        <v>386</v>
      </c>
      <c r="B3285" s="592" t="s">
        <v>2713</v>
      </c>
      <c r="C3285" s="593" t="s">
        <v>217</v>
      </c>
      <c r="D3285" s="594">
        <v>56915</v>
      </c>
      <c r="E3285" s="594">
        <v>4968</v>
      </c>
      <c r="F3285" s="594" t="s">
        <v>233</v>
      </c>
      <c r="G3285" s="594">
        <v>2303</v>
      </c>
      <c r="H3285" s="594">
        <v>9</v>
      </c>
      <c r="I3285" s="594">
        <v>5</v>
      </c>
      <c r="J3285" s="594">
        <v>250</v>
      </c>
      <c r="K3285" s="590" t="s">
        <v>33</v>
      </c>
      <c r="L3285" s="595">
        <f t="shared" si="495"/>
        <v>4890808.9000000004</v>
      </c>
      <c r="M3285" s="596">
        <f>G3285*2100</f>
        <v>4836300</v>
      </c>
      <c r="N3285" s="597"/>
      <c r="O3285" s="598">
        <f>M3285*0.3%</f>
        <v>14508.9</v>
      </c>
      <c r="P3285" s="597"/>
      <c r="Q3285" s="597">
        <v>40000</v>
      </c>
      <c r="R3285" s="599">
        <f>M3285/G3285</f>
        <v>2100</v>
      </c>
      <c r="S3285" s="594"/>
      <c r="T3285" s="600"/>
      <c r="U3285" s="709"/>
      <c r="V3285" s="601"/>
      <c r="W3285" s="601"/>
      <c r="X3285" s="601"/>
      <c r="Y3285" s="601"/>
      <c r="Z3285" s="601"/>
    </row>
    <row r="3286" spans="1:26" s="75" customFormat="1" ht="37.5" hidden="1">
      <c r="A3286" s="709">
        <f t="shared" si="490"/>
        <v>387</v>
      </c>
      <c r="B3286" s="592" t="s">
        <v>2714</v>
      </c>
      <c r="C3286" s="593" t="s">
        <v>217</v>
      </c>
      <c r="D3286" s="594">
        <v>25151</v>
      </c>
      <c r="E3286" s="594">
        <v>2016</v>
      </c>
      <c r="F3286" s="594" t="s">
        <v>233</v>
      </c>
      <c r="G3286" s="594">
        <v>824.5</v>
      </c>
      <c r="H3286" s="594">
        <v>12</v>
      </c>
      <c r="I3286" s="594">
        <v>1</v>
      </c>
      <c r="J3286" s="594">
        <v>59</v>
      </c>
      <c r="K3286" s="590" t="s">
        <v>366</v>
      </c>
      <c r="L3286" s="595">
        <f t="shared" si="495"/>
        <v>4106250</v>
      </c>
      <c r="M3286" s="596">
        <v>4000000</v>
      </c>
      <c r="N3286" s="597">
        <v>106250</v>
      </c>
      <c r="O3286" s="598"/>
      <c r="P3286" s="597"/>
      <c r="Q3286" s="597"/>
      <c r="R3286" s="599">
        <v>2200000</v>
      </c>
      <c r="S3286" s="594"/>
      <c r="T3286" s="600"/>
      <c r="U3286" s="709"/>
      <c r="V3286" s="601"/>
      <c r="W3286" s="601"/>
      <c r="X3286" s="601"/>
      <c r="Y3286" s="601"/>
      <c r="Z3286" s="601"/>
    </row>
    <row r="3287" spans="1:26" s="75" customFormat="1" hidden="1">
      <c r="A3287" s="709">
        <f t="shared" si="490"/>
        <v>388</v>
      </c>
      <c r="B3287" s="592" t="s">
        <v>2715</v>
      </c>
      <c r="C3287" s="593" t="s">
        <v>271</v>
      </c>
      <c r="D3287" s="594">
        <v>45784</v>
      </c>
      <c r="E3287" s="594">
        <v>6089</v>
      </c>
      <c r="F3287" s="594" t="s">
        <v>233</v>
      </c>
      <c r="G3287" s="594">
        <v>1440</v>
      </c>
      <c r="H3287" s="594">
        <v>9</v>
      </c>
      <c r="I3287" s="594">
        <v>4</v>
      </c>
      <c r="J3287" s="594">
        <v>128</v>
      </c>
      <c r="K3287" s="590" t="s">
        <v>33</v>
      </c>
      <c r="L3287" s="595">
        <f t="shared" si="495"/>
        <v>3073072</v>
      </c>
      <c r="M3287" s="596">
        <f>G3287*2100</f>
        <v>3024000</v>
      </c>
      <c r="N3287" s="597"/>
      <c r="O3287" s="598">
        <f>M3287*0.3%</f>
        <v>9072</v>
      </c>
      <c r="P3287" s="597"/>
      <c r="Q3287" s="597">
        <v>40000</v>
      </c>
      <c r="R3287" s="599">
        <f>M3287/G3287</f>
        <v>2100</v>
      </c>
      <c r="S3287" s="594"/>
      <c r="T3287" s="600"/>
      <c r="U3287" s="709"/>
      <c r="V3287" s="601"/>
      <c r="W3287" s="601"/>
      <c r="X3287" s="601"/>
      <c r="Y3287" s="601"/>
      <c r="Z3287" s="601"/>
    </row>
    <row r="3288" spans="1:26" s="75" customFormat="1" ht="37.5" hidden="1">
      <c r="A3288" s="709">
        <f t="shared" si="490"/>
        <v>389</v>
      </c>
      <c r="B3288" s="592" t="s">
        <v>2716</v>
      </c>
      <c r="C3288" s="593" t="s">
        <v>217</v>
      </c>
      <c r="D3288" s="594">
        <v>15850</v>
      </c>
      <c r="E3288" s="594">
        <v>3339</v>
      </c>
      <c r="F3288" s="594" t="s">
        <v>233</v>
      </c>
      <c r="G3288" s="594">
        <v>686</v>
      </c>
      <c r="H3288" s="594">
        <v>9</v>
      </c>
      <c r="I3288" s="594">
        <v>2</v>
      </c>
      <c r="J3288" s="594">
        <v>72</v>
      </c>
      <c r="K3288" s="590" t="s">
        <v>366</v>
      </c>
      <c r="L3288" s="595">
        <f t="shared" si="495"/>
        <v>4106250</v>
      </c>
      <c r="M3288" s="596">
        <v>4000000</v>
      </c>
      <c r="N3288" s="597">
        <v>106250</v>
      </c>
      <c r="O3288" s="598"/>
      <c r="P3288" s="597"/>
      <c r="Q3288" s="597"/>
      <c r="R3288" s="582">
        <f>M3288/I3288</f>
        <v>2000000</v>
      </c>
      <c r="S3288" s="594"/>
      <c r="T3288" s="600"/>
      <c r="U3288" s="709"/>
      <c r="V3288" s="589"/>
      <c r="W3288" s="601"/>
      <c r="X3288" s="601"/>
      <c r="Y3288" s="601"/>
      <c r="Z3288" s="601"/>
    </row>
    <row r="3289" spans="1:26" s="75" customFormat="1" ht="37.5" hidden="1">
      <c r="A3289" s="709">
        <f t="shared" si="490"/>
        <v>390</v>
      </c>
      <c r="B3289" s="592" t="s">
        <v>2717</v>
      </c>
      <c r="C3289" s="593" t="s">
        <v>271</v>
      </c>
      <c r="D3289" s="594">
        <v>25633</v>
      </c>
      <c r="E3289" s="594">
        <v>3125</v>
      </c>
      <c r="F3289" s="594" t="s">
        <v>233</v>
      </c>
      <c r="G3289" s="594">
        <v>824.5</v>
      </c>
      <c r="H3289" s="594">
        <v>12</v>
      </c>
      <c r="I3289" s="594">
        <v>1</v>
      </c>
      <c r="J3289" s="594">
        <v>58</v>
      </c>
      <c r="K3289" s="590" t="s">
        <v>366</v>
      </c>
      <c r="L3289" s="595">
        <f t="shared" si="495"/>
        <v>4106250</v>
      </c>
      <c r="M3289" s="596">
        <v>4000000</v>
      </c>
      <c r="N3289" s="597">
        <v>106250</v>
      </c>
      <c r="O3289" s="598"/>
      <c r="P3289" s="597"/>
      <c r="Q3289" s="597"/>
      <c r="R3289" s="599">
        <v>2200000</v>
      </c>
      <c r="S3289" s="594"/>
      <c r="T3289" s="600"/>
      <c r="U3289" s="709"/>
      <c r="V3289" s="589"/>
      <c r="W3289" s="601"/>
      <c r="X3289" s="601"/>
      <c r="Y3289" s="601"/>
      <c r="Z3289" s="601"/>
    </row>
    <row r="3290" spans="1:26" s="75" customFormat="1" ht="37.5" hidden="1">
      <c r="A3290" s="709">
        <f t="shared" ref="A3290:A3304" si="496">A3289+1</f>
        <v>391</v>
      </c>
      <c r="B3290" s="592" t="s">
        <v>2718</v>
      </c>
      <c r="C3290" s="593" t="s">
        <v>217</v>
      </c>
      <c r="D3290" s="594">
        <v>24921</v>
      </c>
      <c r="E3290" s="594">
        <v>2016</v>
      </c>
      <c r="F3290" s="594" t="s">
        <v>233</v>
      </c>
      <c r="G3290" s="594">
        <v>824.5</v>
      </c>
      <c r="H3290" s="594">
        <v>12</v>
      </c>
      <c r="I3290" s="594">
        <v>1</v>
      </c>
      <c r="J3290" s="594">
        <v>55</v>
      </c>
      <c r="K3290" s="590" t="s">
        <v>366</v>
      </c>
      <c r="L3290" s="595">
        <f t="shared" si="495"/>
        <v>4106250</v>
      </c>
      <c r="M3290" s="596">
        <v>4000000</v>
      </c>
      <c r="N3290" s="597">
        <v>106250</v>
      </c>
      <c r="O3290" s="598"/>
      <c r="P3290" s="597"/>
      <c r="Q3290" s="597"/>
      <c r="R3290" s="599">
        <v>2200000</v>
      </c>
      <c r="S3290" s="594"/>
      <c r="T3290" s="600"/>
      <c r="U3290" s="709"/>
      <c r="V3290" s="589"/>
      <c r="W3290" s="601"/>
      <c r="X3290" s="601"/>
      <c r="Y3290" s="601"/>
      <c r="Z3290" s="601"/>
    </row>
    <row r="3291" spans="1:26" s="75" customFormat="1" ht="37.5" hidden="1">
      <c r="A3291" s="709">
        <f t="shared" si="496"/>
        <v>392</v>
      </c>
      <c r="B3291" s="592" t="s">
        <v>2719</v>
      </c>
      <c r="C3291" s="593" t="s">
        <v>217</v>
      </c>
      <c r="D3291" s="594">
        <v>24958</v>
      </c>
      <c r="E3291" s="594">
        <v>2016</v>
      </c>
      <c r="F3291" s="594" t="s">
        <v>233</v>
      </c>
      <c r="G3291" s="594">
        <v>963</v>
      </c>
      <c r="H3291" s="594">
        <v>12</v>
      </c>
      <c r="I3291" s="594">
        <v>2</v>
      </c>
      <c r="J3291" s="594">
        <v>59</v>
      </c>
      <c r="K3291" s="590" t="s">
        <v>366</v>
      </c>
      <c r="L3291" s="595">
        <f t="shared" si="495"/>
        <v>4142250</v>
      </c>
      <c r="M3291" s="596">
        <v>4036000</v>
      </c>
      <c r="N3291" s="597">
        <v>106250</v>
      </c>
      <c r="O3291" s="598"/>
      <c r="P3291" s="597"/>
      <c r="Q3291" s="597"/>
      <c r="R3291" s="599">
        <v>2200000</v>
      </c>
      <c r="S3291" s="594"/>
      <c r="T3291" s="600"/>
      <c r="U3291" s="709"/>
      <c r="V3291" s="589"/>
      <c r="W3291" s="601"/>
      <c r="X3291" s="601"/>
      <c r="Y3291" s="601"/>
      <c r="Z3291" s="601"/>
    </row>
    <row r="3292" spans="1:26" s="75" customFormat="1" ht="37.5" hidden="1">
      <c r="A3292" s="709">
        <f t="shared" si="496"/>
        <v>393</v>
      </c>
      <c r="B3292" s="592" t="s">
        <v>2720</v>
      </c>
      <c r="C3292" s="593" t="s">
        <v>217</v>
      </c>
      <c r="D3292" s="594">
        <v>15856</v>
      </c>
      <c r="E3292" s="594">
        <v>3339</v>
      </c>
      <c r="F3292" s="594" t="s">
        <v>233</v>
      </c>
      <c r="G3292" s="594">
        <v>684</v>
      </c>
      <c r="H3292" s="594">
        <v>9</v>
      </c>
      <c r="I3292" s="594">
        <v>2</v>
      </c>
      <c r="J3292" s="594">
        <v>72</v>
      </c>
      <c r="K3292" s="590" t="s">
        <v>366</v>
      </c>
      <c r="L3292" s="595">
        <f t="shared" ref="L3292:L3303" si="497">M3292+N3292+O3292+P3292+Q3292</f>
        <v>4142250</v>
      </c>
      <c r="M3292" s="596">
        <v>4036000</v>
      </c>
      <c r="N3292" s="597">
        <v>106250</v>
      </c>
      <c r="O3292" s="598"/>
      <c r="P3292" s="597"/>
      <c r="Q3292" s="597"/>
      <c r="R3292" s="582">
        <f>M3292/I3292</f>
        <v>2018000</v>
      </c>
      <c r="S3292" s="594"/>
      <c r="T3292" s="600"/>
      <c r="U3292" s="709"/>
      <c r="V3292" s="589"/>
      <c r="W3292" s="601"/>
      <c r="X3292" s="601"/>
      <c r="Y3292" s="601"/>
      <c r="Z3292" s="601"/>
    </row>
    <row r="3293" spans="1:26" s="75" customFormat="1" ht="37.5" hidden="1">
      <c r="A3293" s="709">
        <f t="shared" si="496"/>
        <v>394</v>
      </c>
      <c r="B3293" s="592" t="s">
        <v>2721</v>
      </c>
      <c r="C3293" s="593" t="s">
        <v>217</v>
      </c>
      <c r="D3293" s="594">
        <v>20782</v>
      </c>
      <c r="E3293" s="594">
        <v>6089</v>
      </c>
      <c r="F3293" s="594" t="s">
        <v>233</v>
      </c>
      <c r="G3293" s="594">
        <v>770</v>
      </c>
      <c r="H3293" s="594">
        <v>9</v>
      </c>
      <c r="I3293" s="594">
        <v>1</v>
      </c>
      <c r="J3293" s="594">
        <v>171</v>
      </c>
      <c r="K3293" s="590" t="s">
        <v>366</v>
      </c>
      <c r="L3293" s="595">
        <f t="shared" si="497"/>
        <v>2085000</v>
      </c>
      <c r="M3293" s="596">
        <v>2000000</v>
      </c>
      <c r="N3293" s="597">
        <v>85000</v>
      </c>
      <c r="O3293" s="598"/>
      <c r="P3293" s="597"/>
      <c r="Q3293" s="597"/>
      <c r="R3293" s="582">
        <f>M3293/I3293</f>
        <v>2000000</v>
      </c>
      <c r="S3293" s="594"/>
      <c r="T3293" s="600"/>
      <c r="U3293" s="709"/>
      <c r="V3293" s="589"/>
      <c r="W3293" s="601"/>
      <c r="X3293" s="601"/>
      <c r="Y3293" s="601"/>
      <c r="Z3293" s="601"/>
    </row>
    <row r="3294" spans="1:26" s="75" customFormat="1" ht="37.5" hidden="1">
      <c r="A3294" s="709">
        <f t="shared" si="496"/>
        <v>395</v>
      </c>
      <c r="B3294" s="592" t="s">
        <v>2722</v>
      </c>
      <c r="C3294" s="593" t="s">
        <v>271</v>
      </c>
      <c r="D3294" s="594">
        <v>5332</v>
      </c>
      <c r="E3294" s="594">
        <v>445.8</v>
      </c>
      <c r="F3294" s="594" t="s">
        <v>222</v>
      </c>
      <c r="G3294" s="594">
        <v>579.5</v>
      </c>
      <c r="H3294" s="594">
        <v>4</v>
      </c>
      <c r="I3294" s="594">
        <v>2</v>
      </c>
      <c r="J3294" s="594">
        <v>32</v>
      </c>
      <c r="K3294" s="590" t="s">
        <v>30</v>
      </c>
      <c r="L3294" s="595">
        <f t="shared" si="497"/>
        <v>885082</v>
      </c>
      <c r="M3294" s="596">
        <f>J3294*27000</f>
        <v>864000</v>
      </c>
      <c r="N3294" s="597"/>
      <c r="O3294" s="598">
        <f>M3294*0.3%</f>
        <v>2592</v>
      </c>
      <c r="P3294" s="597"/>
      <c r="Q3294" s="597">
        <v>18490</v>
      </c>
      <c r="R3294" s="599">
        <f>M3294/J3294</f>
        <v>27000</v>
      </c>
      <c r="S3294" s="594"/>
      <c r="T3294" s="600"/>
      <c r="U3294" s="709"/>
      <c r="V3294" s="589"/>
      <c r="W3294" s="601"/>
      <c r="X3294" s="601"/>
      <c r="Y3294" s="601"/>
      <c r="Z3294" s="601"/>
    </row>
    <row r="3295" spans="1:26" s="75" customFormat="1" hidden="1">
      <c r="A3295" s="709">
        <f t="shared" si="496"/>
        <v>396</v>
      </c>
      <c r="B3295" s="592" t="s">
        <v>2723</v>
      </c>
      <c r="C3295" s="593" t="s">
        <v>271</v>
      </c>
      <c r="D3295" s="594">
        <v>4118</v>
      </c>
      <c r="E3295" s="594">
        <v>672</v>
      </c>
      <c r="F3295" s="594" t="s">
        <v>222</v>
      </c>
      <c r="G3295" s="594">
        <v>827</v>
      </c>
      <c r="H3295" s="594">
        <v>2</v>
      </c>
      <c r="I3295" s="594">
        <v>2</v>
      </c>
      <c r="J3295" s="594">
        <v>12</v>
      </c>
      <c r="K3295" s="590" t="s">
        <v>33</v>
      </c>
      <c r="L3295" s="595">
        <f t="shared" si="497"/>
        <v>2362546.7999999998</v>
      </c>
      <c r="M3295" s="596">
        <f>G3295*2800</f>
        <v>2315600</v>
      </c>
      <c r="N3295" s="597"/>
      <c r="O3295" s="598">
        <f>M3295*0.3%</f>
        <v>6946.8</v>
      </c>
      <c r="P3295" s="597"/>
      <c r="Q3295" s="597">
        <v>40000</v>
      </c>
      <c r="R3295" s="599">
        <f>M3295/G3295</f>
        <v>2800</v>
      </c>
      <c r="S3295" s="594"/>
      <c r="T3295" s="600"/>
      <c r="U3295" s="709"/>
      <c r="V3295" s="589"/>
      <c r="W3295" s="601"/>
      <c r="X3295" s="601"/>
      <c r="Y3295" s="601"/>
      <c r="Z3295" s="601"/>
    </row>
    <row r="3296" spans="1:26" s="75" customFormat="1" hidden="1">
      <c r="A3296" s="709">
        <f t="shared" si="496"/>
        <v>397</v>
      </c>
      <c r="B3296" s="592" t="s">
        <v>2724</v>
      </c>
      <c r="C3296" s="593" t="s">
        <v>239</v>
      </c>
      <c r="D3296" s="594">
        <v>4217</v>
      </c>
      <c r="E3296" s="594">
        <v>698</v>
      </c>
      <c r="F3296" s="594" t="s">
        <v>222</v>
      </c>
      <c r="G3296" s="594">
        <v>837</v>
      </c>
      <c r="H3296" s="594">
        <v>2</v>
      </c>
      <c r="I3296" s="594">
        <v>2</v>
      </c>
      <c r="J3296" s="594">
        <v>12</v>
      </c>
      <c r="K3296" s="590" t="s">
        <v>33</v>
      </c>
      <c r="L3296" s="595">
        <f t="shared" si="497"/>
        <v>2390630.7999999998</v>
      </c>
      <c r="M3296" s="596">
        <f>G3296*2800</f>
        <v>2343600</v>
      </c>
      <c r="N3296" s="597"/>
      <c r="O3296" s="598">
        <f>M3296*0.3%</f>
        <v>7030.8</v>
      </c>
      <c r="P3296" s="597"/>
      <c r="Q3296" s="597">
        <v>40000</v>
      </c>
      <c r="R3296" s="599">
        <f>M3296/G3296</f>
        <v>2800</v>
      </c>
      <c r="S3296" s="594"/>
      <c r="T3296" s="600"/>
      <c r="U3296" s="709"/>
      <c r="V3296" s="589"/>
      <c r="W3296" s="601"/>
      <c r="X3296" s="601"/>
      <c r="Y3296" s="601"/>
      <c r="Z3296" s="601"/>
    </row>
    <row r="3297" spans="1:32" s="75" customFormat="1" hidden="1">
      <c r="A3297" s="709">
        <f t="shared" si="496"/>
        <v>398</v>
      </c>
      <c r="B3297" s="592" t="s">
        <v>2725</v>
      </c>
      <c r="C3297" s="593" t="s">
        <v>314</v>
      </c>
      <c r="D3297" s="594">
        <v>4508</v>
      </c>
      <c r="E3297" s="594">
        <v>1907</v>
      </c>
      <c r="F3297" s="594" t="s">
        <v>222</v>
      </c>
      <c r="G3297" s="594">
        <v>979</v>
      </c>
      <c r="H3297" s="594">
        <v>2</v>
      </c>
      <c r="I3297" s="594">
        <v>4</v>
      </c>
      <c r="J3297" s="594">
        <v>16</v>
      </c>
      <c r="K3297" s="590" t="s">
        <v>224</v>
      </c>
      <c r="L3297" s="595">
        <f t="shared" si="497"/>
        <v>319163</v>
      </c>
      <c r="M3297" s="596">
        <f>J3297*18000</f>
        <v>288000</v>
      </c>
      <c r="N3297" s="597">
        <v>25000</v>
      </c>
      <c r="O3297" s="598"/>
      <c r="P3297" s="597"/>
      <c r="Q3297" s="597">
        <v>6163</v>
      </c>
      <c r="R3297" s="599">
        <f>M3297/J3297</f>
        <v>18000</v>
      </c>
      <c r="S3297" s="594"/>
      <c r="T3297" s="600"/>
      <c r="U3297" s="709"/>
      <c r="V3297" s="589"/>
      <c r="W3297" s="601"/>
      <c r="X3297" s="601"/>
      <c r="Y3297" s="601"/>
      <c r="Z3297" s="601"/>
    </row>
    <row r="3298" spans="1:32" s="75" customFormat="1" hidden="1">
      <c r="A3298" s="709">
        <f t="shared" si="496"/>
        <v>399</v>
      </c>
      <c r="B3298" s="592" t="s">
        <v>2726</v>
      </c>
      <c r="C3298" s="593" t="s">
        <v>239</v>
      </c>
      <c r="D3298" s="594">
        <v>4128</v>
      </c>
      <c r="E3298" s="594">
        <v>728</v>
      </c>
      <c r="F3298" s="594" t="s">
        <v>222</v>
      </c>
      <c r="G3298" s="594">
        <v>837</v>
      </c>
      <c r="H3298" s="594">
        <v>2</v>
      </c>
      <c r="I3298" s="594">
        <v>2</v>
      </c>
      <c r="J3298" s="594">
        <v>12</v>
      </c>
      <c r="K3298" s="590" t="s">
        <v>33</v>
      </c>
      <c r="L3298" s="595">
        <f t="shared" si="497"/>
        <v>2390630.7999999998</v>
      </c>
      <c r="M3298" s="596">
        <f>G3298*2800</f>
        <v>2343600</v>
      </c>
      <c r="N3298" s="597"/>
      <c r="O3298" s="598">
        <f>M3298*0.3%</f>
        <v>7030.8</v>
      </c>
      <c r="P3298" s="597"/>
      <c r="Q3298" s="597">
        <v>40000</v>
      </c>
      <c r="R3298" s="599">
        <f>M3298/G3298</f>
        <v>2800</v>
      </c>
      <c r="S3298" s="594"/>
      <c r="T3298" s="600"/>
      <c r="U3298" s="709"/>
      <c r="V3298" s="589"/>
      <c r="W3298" s="601"/>
      <c r="X3298" s="601"/>
      <c r="Y3298" s="601"/>
      <c r="Z3298" s="601"/>
    </row>
    <row r="3299" spans="1:32" s="75" customFormat="1" hidden="1">
      <c r="A3299" s="709">
        <f t="shared" si="496"/>
        <v>400</v>
      </c>
      <c r="B3299" s="592" t="s">
        <v>2727</v>
      </c>
      <c r="C3299" s="593" t="s">
        <v>271</v>
      </c>
      <c r="D3299" s="594">
        <v>13908</v>
      </c>
      <c r="E3299" s="594">
        <v>1917</v>
      </c>
      <c r="F3299" s="594" t="s">
        <v>233</v>
      </c>
      <c r="G3299" s="594">
        <v>1074</v>
      </c>
      <c r="H3299" s="594">
        <v>5</v>
      </c>
      <c r="I3299" s="594">
        <v>4</v>
      </c>
      <c r="J3299" s="594">
        <v>100</v>
      </c>
      <c r="K3299" s="590" t="s">
        <v>33</v>
      </c>
      <c r="L3299" s="595">
        <f t="shared" si="497"/>
        <v>2302166.2000000002</v>
      </c>
      <c r="M3299" s="596">
        <f>G3299*2100</f>
        <v>2255400</v>
      </c>
      <c r="N3299" s="597"/>
      <c r="O3299" s="598">
        <f>M3299*0.3%</f>
        <v>6766.2</v>
      </c>
      <c r="P3299" s="597"/>
      <c r="Q3299" s="597">
        <v>40000</v>
      </c>
      <c r="R3299" s="599">
        <f>M3299/G3299</f>
        <v>2100</v>
      </c>
      <c r="S3299" s="594"/>
      <c r="T3299" s="600"/>
      <c r="U3299" s="709"/>
      <c r="V3299" s="589"/>
      <c r="W3299" s="601"/>
      <c r="X3299" s="601"/>
      <c r="Y3299" s="601"/>
      <c r="Z3299" s="601"/>
    </row>
    <row r="3300" spans="1:32" s="517" customFormat="1" hidden="1">
      <c r="A3300" s="709">
        <f t="shared" si="496"/>
        <v>401</v>
      </c>
      <c r="B3300" s="592" t="s">
        <v>2728</v>
      </c>
      <c r="C3300" s="593" t="s">
        <v>314</v>
      </c>
      <c r="D3300" s="594">
        <v>9151</v>
      </c>
      <c r="E3300" s="594">
        <v>1478</v>
      </c>
      <c r="F3300" s="594" t="s">
        <v>222</v>
      </c>
      <c r="G3300" s="594">
        <v>1201</v>
      </c>
      <c r="H3300" s="594">
        <v>3</v>
      </c>
      <c r="I3300" s="594">
        <v>3</v>
      </c>
      <c r="J3300" s="594">
        <v>20</v>
      </c>
      <c r="K3300" s="590" t="s">
        <v>224</v>
      </c>
      <c r="L3300" s="595">
        <f t="shared" si="497"/>
        <v>351848</v>
      </c>
      <c r="M3300" s="596">
        <f>J3300*16000</f>
        <v>320000</v>
      </c>
      <c r="N3300" s="597">
        <v>25000</v>
      </c>
      <c r="O3300" s="598"/>
      <c r="P3300" s="597"/>
      <c r="Q3300" s="597">
        <v>6848</v>
      </c>
      <c r="R3300" s="599">
        <f>M3300/J3300</f>
        <v>16000</v>
      </c>
      <c r="S3300" s="608"/>
      <c r="T3300" s="600"/>
      <c r="U3300" s="589"/>
      <c r="V3300" s="589"/>
      <c r="W3300" s="647"/>
      <c r="X3300" s="709"/>
      <c r="Y3300" s="1184"/>
      <c r="Z3300" s="1184"/>
      <c r="AA3300" s="516"/>
      <c r="AC3300" s="78"/>
      <c r="AD3300" s="550"/>
      <c r="AE3300" s="78"/>
      <c r="AF3300" s="550"/>
    </row>
    <row r="3301" spans="1:32" s="517" customFormat="1" hidden="1">
      <c r="A3301" s="709">
        <f t="shared" si="496"/>
        <v>402</v>
      </c>
      <c r="B3301" s="592" t="s">
        <v>2729</v>
      </c>
      <c r="C3301" s="593" t="s">
        <v>271</v>
      </c>
      <c r="D3301" s="594">
        <v>47970</v>
      </c>
      <c r="E3301" s="594">
        <v>5850</v>
      </c>
      <c r="F3301" s="594" t="s">
        <v>233</v>
      </c>
      <c r="G3301" s="594">
        <v>1116</v>
      </c>
      <c r="H3301" s="594">
        <v>14</v>
      </c>
      <c r="I3301" s="594">
        <v>1</v>
      </c>
      <c r="J3301" s="594">
        <v>76</v>
      </c>
      <c r="K3301" s="590" t="s">
        <v>33</v>
      </c>
      <c r="L3301" s="595">
        <f t="shared" si="497"/>
        <v>3022520.8</v>
      </c>
      <c r="M3301" s="596">
        <v>2973600</v>
      </c>
      <c r="N3301" s="597"/>
      <c r="O3301" s="598">
        <v>8920.8000000000011</v>
      </c>
      <c r="P3301" s="597"/>
      <c r="Q3301" s="597">
        <v>40000</v>
      </c>
      <c r="R3301" s="599">
        <f>M3301/G3301</f>
        <v>2664.516129032258</v>
      </c>
      <c r="S3301" s="608"/>
      <c r="T3301" s="600"/>
      <c r="U3301" s="589"/>
      <c r="V3301" s="589"/>
      <c r="W3301" s="647"/>
      <c r="X3301" s="709"/>
      <c r="Y3301" s="1184"/>
      <c r="Z3301" s="1184"/>
      <c r="AA3301" s="516"/>
      <c r="AC3301" s="78"/>
      <c r="AD3301" s="550"/>
      <c r="AE3301" s="78"/>
      <c r="AF3301" s="550"/>
    </row>
    <row r="3302" spans="1:32" s="517" customFormat="1" hidden="1">
      <c r="A3302" s="709">
        <f t="shared" si="496"/>
        <v>403</v>
      </c>
      <c r="B3302" s="592" t="s">
        <v>2730</v>
      </c>
      <c r="C3302" s="593" t="s">
        <v>271</v>
      </c>
      <c r="D3302" s="594">
        <v>23535</v>
      </c>
      <c r="E3302" s="594">
        <v>4645</v>
      </c>
      <c r="F3302" s="594" t="s">
        <v>233</v>
      </c>
      <c r="G3302" s="594">
        <v>866.9</v>
      </c>
      <c r="H3302" s="594">
        <v>9</v>
      </c>
      <c r="I3302" s="594">
        <v>1</v>
      </c>
      <c r="J3302" s="594">
        <v>72</v>
      </c>
      <c r="K3302" s="590" t="s">
        <v>33</v>
      </c>
      <c r="L3302" s="595">
        <f t="shared" si="497"/>
        <v>1864909.47</v>
      </c>
      <c r="M3302" s="596">
        <f>G3302*2100</f>
        <v>1820490</v>
      </c>
      <c r="N3302" s="597"/>
      <c r="O3302" s="598">
        <f>M3302*0.3%</f>
        <v>5461.47</v>
      </c>
      <c r="P3302" s="597"/>
      <c r="Q3302" s="597">
        <v>38958</v>
      </c>
      <c r="R3302" s="599">
        <f>M3302/G3302</f>
        <v>2100</v>
      </c>
      <c r="S3302" s="608"/>
      <c r="T3302" s="600"/>
      <c r="U3302" s="589"/>
      <c r="V3302" s="589"/>
      <c r="W3302" s="647"/>
      <c r="X3302" s="709"/>
      <c r="Y3302" s="1184"/>
      <c r="Z3302" s="1184"/>
      <c r="AA3302" s="516"/>
      <c r="AC3302" s="78"/>
      <c r="AD3302" s="550"/>
      <c r="AE3302" s="78"/>
      <c r="AF3302" s="550"/>
    </row>
    <row r="3303" spans="1:32" s="517" customFormat="1" ht="37.5" hidden="1">
      <c r="A3303" s="709">
        <f t="shared" si="496"/>
        <v>404</v>
      </c>
      <c r="B3303" s="592" t="s">
        <v>2731</v>
      </c>
      <c r="C3303" s="593" t="s">
        <v>271</v>
      </c>
      <c r="D3303" s="594">
        <v>23853</v>
      </c>
      <c r="E3303" s="594">
        <v>5787.6</v>
      </c>
      <c r="F3303" s="594" t="s">
        <v>233</v>
      </c>
      <c r="G3303" s="594">
        <v>838</v>
      </c>
      <c r="H3303" s="594">
        <v>9</v>
      </c>
      <c r="I3303" s="594">
        <v>2</v>
      </c>
      <c r="J3303" s="594">
        <v>96</v>
      </c>
      <c r="K3303" s="590" t="s">
        <v>219</v>
      </c>
      <c r="L3303" s="595">
        <f t="shared" si="497"/>
        <v>4142250</v>
      </c>
      <c r="M3303" s="596">
        <v>4036000</v>
      </c>
      <c r="N3303" s="597">
        <v>106250</v>
      </c>
      <c r="O3303" s="598"/>
      <c r="P3303" s="597"/>
      <c r="Q3303" s="597"/>
      <c r="R3303" s="582">
        <f>M3303/I3303</f>
        <v>2018000</v>
      </c>
      <c r="S3303" s="608"/>
      <c r="T3303" s="600"/>
      <c r="U3303" s="589"/>
      <c r="V3303" s="589"/>
      <c r="W3303" s="647"/>
      <c r="X3303" s="709"/>
      <c r="Y3303" s="1184"/>
      <c r="Z3303" s="1184"/>
      <c r="AA3303" s="516"/>
      <c r="AC3303" s="78"/>
      <c r="AD3303" s="550"/>
      <c r="AE3303" s="78"/>
      <c r="AF3303" s="550"/>
    </row>
    <row r="3304" spans="1:32" s="75" customFormat="1" hidden="1">
      <c r="A3304" s="1355">
        <f t="shared" si="496"/>
        <v>405</v>
      </c>
      <c r="B3304" s="592" t="s">
        <v>2732</v>
      </c>
      <c r="C3304" s="593" t="s">
        <v>271</v>
      </c>
      <c r="D3304" s="594">
        <v>30281</v>
      </c>
      <c r="E3304" s="594">
        <v>5022</v>
      </c>
      <c r="F3304" s="594" t="s">
        <v>233</v>
      </c>
      <c r="G3304" s="594">
        <v>2152</v>
      </c>
      <c r="H3304" s="594">
        <v>9</v>
      </c>
      <c r="I3304" s="594">
        <v>3</v>
      </c>
      <c r="J3304" s="594">
        <v>145</v>
      </c>
      <c r="K3304" s="590" t="s">
        <v>33</v>
      </c>
      <c r="L3304" s="1357">
        <f>M3304+N3304+O3304+P3304+Q3304+M3305+N3305+O3305+P3305+Q3305</f>
        <v>9266677.5999999996</v>
      </c>
      <c r="M3304" s="596">
        <f>G3304*2100</f>
        <v>4519200</v>
      </c>
      <c r="N3304" s="597"/>
      <c r="O3304" s="598">
        <f>M3304*0.3%</f>
        <v>13557.6</v>
      </c>
      <c r="P3304" s="597"/>
      <c r="Q3304" s="597">
        <v>40000</v>
      </c>
      <c r="R3304" s="599">
        <f>M3304/G3304</f>
        <v>2100</v>
      </c>
      <c r="S3304" s="594"/>
      <c r="T3304" s="600"/>
      <c r="U3304" s="709"/>
      <c r="V3304" s="601"/>
      <c r="W3304" s="601"/>
      <c r="X3304" s="601"/>
      <c r="Y3304" s="601"/>
      <c r="Z3304" s="601"/>
    </row>
    <row r="3305" spans="1:32" s="75" customFormat="1" ht="37.5" hidden="1">
      <c r="A3305" s="1355"/>
      <c r="B3305" s="592"/>
      <c r="C3305" s="593"/>
      <c r="D3305" s="594"/>
      <c r="E3305" s="594"/>
      <c r="F3305" s="594"/>
      <c r="G3305" s="594"/>
      <c r="H3305" s="594"/>
      <c r="I3305" s="594"/>
      <c r="J3305" s="594"/>
      <c r="K3305" s="590" t="s">
        <v>30</v>
      </c>
      <c r="L3305" s="1357"/>
      <c r="M3305" s="596">
        <v>4640000</v>
      </c>
      <c r="N3305" s="597"/>
      <c r="O3305" s="598">
        <v>13920</v>
      </c>
      <c r="P3305" s="597"/>
      <c r="Q3305" s="597">
        <v>40000</v>
      </c>
      <c r="R3305" s="599">
        <f>M3305/J3304</f>
        <v>32000</v>
      </c>
      <c r="S3305" s="594"/>
      <c r="T3305" s="600"/>
      <c r="U3305" s="709"/>
      <c r="V3305" s="601"/>
      <c r="W3305" s="601"/>
      <c r="X3305" s="601"/>
      <c r="Y3305" s="601"/>
      <c r="Z3305" s="601"/>
    </row>
    <row r="3306" spans="1:32" s="517" customFormat="1" ht="37.5" hidden="1">
      <c r="A3306" s="709">
        <f>A3304+1</f>
        <v>406</v>
      </c>
      <c r="B3306" s="592" t="s">
        <v>1791</v>
      </c>
      <c r="C3306" s="593" t="s">
        <v>396</v>
      </c>
      <c r="D3306" s="594">
        <v>2274</v>
      </c>
      <c r="E3306" s="594">
        <v>540</v>
      </c>
      <c r="F3306" s="594" t="s">
        <v>222</v>
      </c>
      <c r="G3306" s="594">
        <v>462</v>
      </c>
      <c r="H3306" s="594">
        <v>2</v>
      </c>
      <c r="I3306" s="594">
        <v>1</v>
      </c>
      <c r="J3306" s="594">
        <v>8</v>
      </c>
      <c r="K3306" s="590" t="s">
        <v>237</v>
      </c>
      <c r="L3306" s="595">
        <f t="shared" ref="L3306:L3329" si="498">M3306+N3306+O3306+P3306+Q3306</f>
        <v>204880</v>
      </c>
      <c r="M3306" s="596">
        <f>J3306*25000</f>
        <v>200000</v>
      </c>
      <c r="N3306" s="597"/>
      <c r="O3306" s="598">
        <f t="shared" ref="O3306:O3318" si="499">M3306*0.3%</f>
        <v>600</v>
      </c>
      <c r="P3306" s="597"/>
      <c r="Q3306" s="597">
        <v>4280</v>
      </c>
      <c r="R3306" s="599">
        <f t="shared" ref="R3306:R3314" si="500">M3306/J3306</f>
        <v>25000</v>
      </c>
      <c r="S3306" s="608"/>
      <c r="T3306" s="600"/>
      <c r="U3306" s="589"/>
      <c r="V3306" s="589"/>
      <c r="W3306" s="647"/>
      <c r="X3306" s="709"/>
      <c r="Y3306" s="1184"/>
      <c r="Z3306" s="1184"/>
      <c r="AA3306" s="516"/>
      <c r="AC3306" s="78"/>
      <c r="AD3306" s="550"/>
      <c r="AE3306" s="78"/>
      <c r="AF3306" s="550"/>
    </row>
    <row r="3307" spans="1:32" s="517" customFormat="1" ht="37.5" hidden="1">
      <c r="A3307" s="709">
        <f t="shared" ref="A3307:A3319" si="501">A3306+1</f>
        <v>407</v>
      </c>
      <c r="B3307" s="592" t="s">
        <v>2733</v>
      </c>
      <c r="C3307" s="593" t="s">
        <v>396</v>
      </c>
      <c r="D3307" s="594">
        <v>2471</v>
      </c>
      <c r="E3307" s="594">
        <v>540</v>
      </c>
      <c r="F3307" s="594" t="s">
        <v>222</v>
      </c>
      <c r="G3307" s="594">
        <v>443</v>
      </c>
      <c r="H3307" s="594">
        <v>2</v>
      </c>
      <c r="I3307" s="594">
        <v>1</v>
      </c>
      <c r="J3307" s="594">
        <v>8</v>
      </c>
      <c r="K3307" s="590" t="s">
        <v>404</v>
      </c>
      <c r="L3307" s="595">
        <f t="shared" si="498"/>
        <v>204880</v>
      </c>
      <c r="M3307" s="596">
        <f>J3307*25000</f>
        <v>200000</v>
      </c>
      <c r="N3307" s="597"/>
      <c r="O3307" s="598">
        <f t="shared" si="499"/>
        <v>600</v>
      </c>
      <c r="P3307" s="597"/>
      <c r="Q3307" s="597">
        <v>4280</v>
      </c>
      <c r="R3307" s="599">
        <f t="shared" si="500"/>
        <v>25000</v>
      </c>
      <c r="S3307" s="608"/>
      <c r="T3307" s="600"/>
      <c r="U3307" s="589"/>
      <c r="V3307" s="589"/>
      <c r="W3307" s="647"/>
      <c r="X3307" s="709"/>
      <c r="Y3307" s="1184"/>
      <c r="Z3307" s="1184"/>
      <c r="AA3307" s="516"/>
      <c r="AC3307" s="78"/>
      <c r="AD3307" s="550"/>
      <c r="AE3307" s="78"/>
      <c r="AF3307" s="550"/>
    </row>
    <row r="3308" spans="1:32" s="517" customFormat="1" ht="37.5" hidden="1">
      <c r="A3308" s="709">
        <f t="shared" si="501"/>
        <v>408</v>
      </c>
      <c r="B3308" s="592" t="s">
        <v>2734</v>
      </c>
      <c r="C3308" s="593" t="s">
        <v>396</v>
      </c>
      <c r="D3308" s="594">
        <v>2466</v>
      </c>
      <c r="E3308" s="594">
        <v>540</v>
      </c>
      <c r="F3308" s="594" t="s">
        <v>222</v>
      </c>
      <c r="G3308" s="594">
        <v>460</v>
      </c>
      <c r="H3308" s="594">
        <v>2</v>
      </c>
      <c r="I3308" s="594">
        <v>1</v>
      </c>
      <c r="J3308" s="594">
        <v>8</v>
      </c>
      <c r="K3308" s="590" t="s">
        <v>404</v>
      </c>
      <c r="L3308" s="595">
        <f t="shared" si="498"/>
        <v>204880</v>
      </c>
      <c r="M3308" s="596">
        <f>J3308*25000</f>
        <v>200000</v>
      </c>
      <c r="N3308" s="597"/>
      <c r="O3308" s="598">
        <f t="shared" si="499"/>
        <v>600</v>
      </c>
      <c r="P3308" s="597"/>
      <c r="Q3308" s="597">
        <v>4280</v>
      </c>
      <c r="R3308" s="599">
        <f t="shared" si="500"/>
        <v>25000</v>
      </c>
      <c r="S3308" s="608"/>
      <c r="T3308" s="600"/>
      <c r="U3308" s="589"/>
      <c r="V3308" s="589"/>
      <c r="W3308" s="647"/>
      <c r="X3308" s="709"/>
      <c r="Y3308" s="1184"/>
      <c r="Z3308" s="1184"/>
      <c r="AA3308" s="516"/>
      <c r="AC3308" s="78"/>
      <c r="AD3308" s="550"/>
      <c r="AE3308" s="78"/>
      <c r="AF3308" s="550"/>
    </row>
    <row r="3309" spans="1:32" s="75" customFormat="1" ht="37.5" hidden="1">
      <c r="A3309" s="709">
        <f t="shared" si="501"/>
        <v>409</v>
      </c>
      <c r="B3309" s="592" t="s">
        <v>2735</v>
      </c>
      <c r="C3309" s="593" t="s">
        <v>396</v>
      </c>
      <c r="D3309" s="594">
        <v>2391</v>
      </c>
      <c r="E3309" s="594">
        <v>550</v>
      </c>
      <c r="F3309" s="594" t="s">
        <v>222</v>
      </c>
      <c r="G3309" s="594">
        <v>435</v>
      </c>
      <c r="H3309" s="594">
        <v>2</v>
      </c>
      <c r="I3309" s="594">
        <v>1</v>
      </c>
      <c r="J3309" s="594">
        <v>8</v>
      </c>
      <c r="K3309" s="590" t="s">
        <v>404</v>
      </c>
      <c r="L3309" s="595">
        <f t="shared" si="498"/>
        <v>204880</v>
      </c>
      <c r="M3309" s="596">
        <f>J3309*25000</f>
        <v>200000</v>
      </c>
      <c r="N3309" s="597"/>
      <c r="O3309" s="598">
        <f t="shared" si="499"/>
        <v>600</v>
      </c>
      <c r="P3309" s="597"/>
      <c r="Q3309" s="597">
        <v>4280</v>
      </c>
      <c r="R3309" s="599">
        <f t="shared" si="500"/>
        <v>25000</v>
      </c>
      <c r="S3309" s="594"/>
      <c r="T3309" s="600"/>
      <c r="U3309" s="709"/>
      <c r="V3309" s="601"/>
      <c r="W3309" s="601"/>
      <c r="X3309" s="601"/>
      <c r="Y3309" s="601"/>
      <c r="Z3309" s="601"/>
    </row>
    <row r="3310" spans="1:32" s="75" customFormat="1" ht="37.5" hidden="1">
      <c r="A3310" s="709">
        <f t="shared" si="501"/>
        <v>410</v>
      </c>
      <c r="B3310" s="592" t="s">
        <v>2736</v>
      </c>
      <c r="C3310" s="593" t="s">
        <v>292</v>
      </c>
      <c r="D3310" s="594">
        <v>1354</v>
      </c>
      <c r="E3310" s="594">
        <v>650</v>
      </c>
      <c r="F3310" s="594" t="s">
        <v>222</v>
      </c>
      <c r="G3310" s="594">
        <v>278</v>
      </c>
      <c r="H3310" s="594">
        <v>2</v>
      </c>
      <c r="I3310" s="594">
        <v>4</v>
      </c>
      <c r="J3310" s="594">
        <v>8</v>
      </c>
      <c r="K3310" s="590" t="s">
        <v>404</v>
      </c>
      <c r="L3310" s="595">
        <f t="shared" si="498"/>
        <v>204880</v>
      </c>
      <c r="M3310" s="596">
        <f>J3310*25000</f>
        <v>200000</v>
      </c>
      <c r="N3310" s="597"/>
      <c r="O3310" s="598">
        <f t="shared" si="499"/>
        <v>600</v>
      </c>
      <c r="P3310" s="597"/>
      <c r="Q3310" s="597">
        <v>4280</v>
      </c>
      <c r="R3310" s="599">
        <f t="shared" si="500"/>
        <v>25000</v>
      </c>
      <c r="S3310" s="594"/>
      <c r="T3310" s="600"/>
      <c r="U3310" s="709"/>
      <c r="V3310" s="601"/>
      <c r="W3310" s="601"/>
      <c r="X3310" s="601"/>
      <c r="Y3310" s="601"/>
      <c r="Z3310" s="601"/>
    </row>
    <row r="3311" spans="1:32" s="75" customFormat="1" ht="37.5" hidden="1">
      <c r="A3311" s="709">
        <f t="shared" si="501"/>
        <v>411</v>
      </c>
      <c r="B3311" s="592" t="s">
        <v>2737</v>
      </c>
      <c r="C3311" s="593" t="s">
        <v>292</v>
      </c>
      <c r="D3311" s="594">
        <v>2396</v>
      </c>
      <c r="E3311" s="594">
        <v>450</v>
      </c>
      <c r="F3311" s="594" t="s">
        <v>222</v>
      </c>
      <c r="G3311" s="594">
        <v>484</v>
      </c>
      <c r="H3311" s="594">
        <v>2</v>
      </c>
      <c r="I3311" s="594">
        <v>2</v>
      </c>
      <c r="J3311" s="594">
        <v>16</v>
      </c>
      <c r="K3311" s="590" t="s">
        <v>404</v>
      </c>
      <c r="L3311" s="595">
        <f t="shared" si="498"/>
        <v>409760</v>
      </c>
      <c r="M3311" s="596">
        <v>400000</v>
      </c>
      <c r="N3311" s="597"/>
      <c r="O3311" s="598">
        <f t="shared" si="499"/>
        <v>1200</v>
      </c>
      <c r="P3311" s="597"/>
      <c r="Q3311" s="597">
        <v>8560</v>
      </c>
      <c r="R3311" s="599">
        <f t="shared" si="500"/>
        <v>25000</v>
      </c>
      <c r="S3311" s="594"/>
      <c r="T3311" s="600"/>
      <c r="U3311" s="709"/>
      <c r="V3311" s="601"/>
      <c r="W3311" s="601"/>
      <c r="X3311" s="601"/>
      <c r="Y3311" s="601"/>
      <c r="Z3311" s="601"/>
    </row>
    <row r="3312" spans="1:32" s="75" customFormat="1" ht="37.5" hidden="1">
      <c r="A3312" s="709">
        <f t="shared" si="501"/>
        <v>412</v>
      </c>
      <c r="B3312" s="592" t="s">
        <v>2738</v>
      </c>
      <c r="C3312" s="593" t="s">
        <v>292</v>
      </c>
      <c r="D3312" s="594">
        <v>2418</v>
      </c>
      <c r="E3312" s="594">
        <v>490</v>
      </c>
      <c r="F3312" s="594" t="s">
        <v>222</v>
      </c>
      <c r="G3312" s="594">
        <v>488</v>
      </c>
      <c r="H3312" s="594">
        <v>2</v>
      </c>
      <c r="I3312" s="594">
        <v>2</v>
      </c>
      <c r="J3312" s="594">
        <v>16</v>
      </c>
      <c r="K3312" s="590" t="s">
        <v>404</v>
      </c>
      <c r="L3312" s="595">
        <f t="shared" si="498"/>
        <v>409760</v>
      </c>
      <c r="M3312" s="596">
        <v>400000</v>
      </c>
      <c r="N3312" s="597"/>
      <c r="O3312" s="598">
        <f t="shared" si="499"/>
        <v>1200</v>
      </c>
      <c r="P3312" s="597"/>
      <c r="Q3312" s="597">
        <v>8560</v>
      </c>
      <c r="R3312" s="599">
        <f t="shared" si="500"/>
        <v>25000</v>
      </c>
      <c r="S3312" s="594"/>
      <c r="T3312" s="600"/>
      <c r="U3312" s="709"/>
      <c r="V3312" s="601"/>
      <c r="W3312" s="601"/>
      <c r="X3312" s="601"/>
      <c r="Y3312" s="601"/>
      <c r="Z3312" s="601"/>
    </row>
    <row r="3313" spans="1:37" s="75" customFormat="1" ht="37.5" hidden="1">
      <c r="A3313" s="709">
        <f t="shared" si="501"/>
        <v>413</v>
      </c>
      <c r="B3313" s="592" t="s">
        <v>2739</v>
      </c>
      <c r="C3313" s="593" t="s">
        <v>292</v>
      </c>
      <c r="D3313" s="594">
        <v>2459</v>
      </c>
      <c r="E3313" s="594">
        <v>480</v>
      </c>
      <c r="F3313" s="594" t="s">
        <v>222</v>
      </c>
      <c r="G3313" s="594">
        <v>488</v>
      </c>
      <c r="H3313" s="594">
        <v>2</v>
      </c>
      <c r="I3313" s="594">
        <v>2</v>
      </c>
      <c r="J3313" s="594">
        <v>16</v>
      </c>
      <c r="K3313" s="590" t="s">
        <v>404</v>
      </c>
      <c r="L3313" s="595">
        <f t="shared" si="498"/>
        <v>409760</v>
      </c>
      <c r="M3313" s="596">
        <v>400000</v>
      </c>
      <c r="N3313" s="597"/>
      <c r="O3313" s="598">
        <f t="shared" si="499"/>
        <v>1200</v>
      </c>
      <c r="P3313" s="597"/>
      <c r="Q3313" s="597">
        <f>ROUND(M3313*0.0214,0)</f>
        <v>8560</v>
      </c>
      <c r="R3313" s="599">
        <f t="shared" si="500"/>
        <v>25000</v>
      </c>
      <c r="S3313" s="594"/>
      <c r="T3313" s="600"/>
      <c r="U3313" s="709"/>
      <c r="V3313" s="601"/>
      <c r="W3313" s="601"/>
      <c r="X3313" s="601"/>
      <c r="Y3313" s="601"/>
      <c r="Z3313" s="601"/>
    </row>
    <row r="3314" spans="1:37" s="75" customFormat="1" ht="37.5" hidden="1">
      <c r="A3314" s="709">
        <f t="shared" si="501"/>
        <v>414</v>
      </c>
      <c r="B3314" s="592" t="s">
        <v>2740</v>
      </c>
      <c r="C3314" s="593" t="s">
        <v>292</v>
      </c>
      <c r="D3314" s="594">
        <v>2470</v>
      </c>
      <c r="E3314" s="594">
        <v>478</v>
      </c>
      <c r="F3314" s="594" t="s">
        <v>222</v>
      </c>
      <c r="G3314" s="594">
        <v>491</v>
      </c>
      <c r="H3314" s="594">
        <v>2</v>
      </c>
      <c r="I3314" s="594">
        <v>2</v>
      </c>
      <c r="J3314" s="594">
        <v>16</v>
      </c>
      <c r="K3314" s="590" t="s">
        <v>404</v>
      </c>
      <c r="L3314" s="595">
        <f t="shared" si="498"/>
        <v>409760</v>
      </c>
      <c r="M3314" s="596">
        <v>400000</v>
      </c>
      <c r="N3314" s="597"/>
      <c r="O3314" s="598">
        <f t="shared" si="499"/>
        <v>1200</v>
      </c>
      <c r="P3314" s="597"/>
      <c r="Q3314" s="597">
        <f>ROUND(M3314*0.0214,0)</f>
        <v>8560</v>
      </c>
      <c r="R3314" s="599">
        <f t="shared" si="500"/>
        <v>25000</v>
      </c>
      <c r="S3314" s="594"/>
      <c r="T3314" s="600"/>
      <c r="U3314" s="709"/>
      <c r="V3314" s="601"/>
      <c r="W3314" s="601"/>
      <c r="X3314" s="601"/>
      <c r="Y3314" s="601"/>
      <c r="Z3314" s="601"/>
    </row>
    <row r="3315" spans="1:37" s="75" customFormat="1" hidden="1">
      <c r="A3315" s="709">
        <f t="shared" si="501"/>
        <v>415</v>
      </c>
      <c r="B3315" s="592" t="s">
        <v>2741</v>
      </c>
      <c r="C3315" s="593" t="s">
        <v>217</v>
      </c>
      <c r="D3315" s="594">
        <v>9190</v>
      </c>
      <c r="E3315" s="594">
        <v>1300</v>
      </c>
      <c r="F3315" s="594" t="s">
        <v>222</v>
      </c>
      <c r="G3315" s="594">
        <v>836</v>
      </c>
      <c r="H3315" s="594">
        <v>5</v>
      </c>
      <c r="I3315" s="594">
        <v>3</v>
      </c>
      <c r="J3315" s="594">
        <v>60</v>
      </c>
      <c r="K3315" s="590" t="s">
        <v>33</v>
      </c>
      <c r="L3315" s="595">
        <f t="shared" si="498"/>
        <v>2974778</v>
      </c>
      <c r="M3315" s="596">
        <f>G3315*3500</f>
        <v>2926000</v>
      </c>
      <c r="N3315" s="597"/>
      <c r="O3315" s="598">
        <f t="shared" si="499"/>
        <v>8778</v>
      </c>
      <c r="P3315" s="597"/>
      <c r="Q3315" s="597">
        <v>40000</v>
      </c>
      <c r="R3315" s="599">
        <f>M3315/G3315</f>
        <v>3500</v>
      </c>
      <c r="S3315" s="594"/>
      <c r="T3315" s="600"/>
      <c r="U3315" s="709"/>
      <c r="V3315" s="601"/>
      <c r="W3315" s="601"/>
      <c r="X3315" s="601"/>
      <c r="Y3315" s="601"/>
      <c r="Z3315" s="601"/>
    </row>
    <row r="3316" spans="1:37" s="75" customFormat="1" hidden="1">
      <c r="A3316" s="709">
        <f t="shared" si="501"/>
        <v>416</v>
      </c>
      <c r="B3316" s="592" t="s">
        <v>2742</v>
      </c>
      <c r="C3316" s="593" t="s">
        <v>217</v>
      </c>
      <c r="D3316" s="594">
        <v>10503</v>
      </c>
      <c r="E3316" s="594">
        <v>1300</v>
      </c>
      <c r="F3316" s="594" t="s">
        <v>222</v>
      </c>
      <c r="G3316" s="594">
        <v>835</v>
      </c>
      <c r="H3316" s="594">
        <v>5</v>
      </c>
      <c r="I3316" s="594">
        <v>3</v>
      </c>
      <c r="J3316" s="594">
        <v>60</v>
      </c>
      <c r="K3316" s="590" t="s">
        <v>33</v>
      </c>
      <c r="L3316" s="595">
        <f t="shared" si="498"/>
        <v>2971267.5</v>
      </c>
      <c r="M3316" s="596">
        <f>G3316*3500</f>
        <v>2922500</v>
      </c>
      <c r="N3316" s="597"/>
      <c r="O3316" s="598">
        <f t="shared" si="499"/>
        <v>8767.5</v>
      </c>
      <c r="P3316" s="597"/>
      <c r="Q3316" s="597">
        <v>40000</v>
      </c>
      <c r="R3316" s="599">
        <f>M3316/G3316</f>
        <v>3500</v>
      </c>
      <c r="S3316" s="594"/>
      <c r="T3316" s="600"/>
      <c r="U3316" s="709"/>
      <c r="V3316" s="601"/>
      <c r="W3316" s="601"/>
      <c r="X3316" s="601"/>
      <c r="Y3316" s="601"/>
      <c r="Z3316" s="601"/>
    </row>
    <row r="3317" spans="1:37" s="75" customFormat="1" hidden="1">
      <c r="A3317" s="709">
        <f t="shared" si="501"/>
        <v>417</v>
      </c>
      <c r="B3317" s="592" t="s">
        <v>2744</v>
      </c>
      <c r="C3317" s="593" t="s">
        <v>217</v>
      </c>
      <c r="D3317" s="594">
        <v>29303</v>
      </c>
      <c r="E3317" s="594">
        <v>5508</v>
      </c>
      <c r="F3317" s="594" t="s">
        <v>233</v>
      </c>
      <c r="G3317" s="594">
        <v>1279</v>
      </c>
      <c r="H3317" s="594">
        <v>9</v>
      </c>
      <c r="I3317" s="594">
        <v>4</v>
      </c>
      <c r="J3317" s="594">
        <v>143</v>
      </c>
      <c r="K3317" s="590" t="s">
        <v>33</v>
      </c>
      <c r="L3317" s="595">
        <f t="shared" si="498"/>
        <v>2733957.7</v>
      </c>
      <c r="M3317" s="596">
        <f>G3317*2100</f>
        <v>2685900</v>
      </c>
      <c r="N3317" s="597"/>
      <c r="O3317" s="598">
        <f t="shared" si="499"/>
        <v>8057.7</v>
      </c>
      <c r="P3317" s="597"/>
      <c r="Q3317" s="597">
        <v>40000</v>
      </c>
      <c r="R3317" s="599">
        <f>M3317/G3317</f>
        <v>2100</v>
      </c>
      <c r="S3317" s="594"/>
      <c r="T3317" s="600"/>
      <c r="U3317" s="709"/>
      <c r="V3317" s="601"/>
      <c r="W3317" s="601"/>
      <c r="X3317" s="601"/>
      <c r="Y3317" s="601"/>
      <c r="Z3317" s="601"/>
    </row>
    <row r="3318" spans="1:37" s="75" customFormat="1" ht="37.5" hidden="1">
      <c r="A3318" s="709">
        <f t="shared" si="501"/>
        <v>418</v>
      </c>
      <c r="B3318" s="592" t="s">
        <v>2745</v>
      </c>
      <c r="C3318" s="593" t="s">
        <v>271</v>
      </c>
      <c r="D3318" s="594">
        <v>5805.3</v>
      </c>
      <c r="E3318" s="594">
        <v>4177.8</v>
      </c>
      <c r="F3318" s="594">
        <v>4016.4</v>
      </c>
      <c r="G3318" s="594">
        <v>881.1</v>
      </c>
      <c r="H3318" s="594">
        <v>9</v>
      </c>
      <c r="I3318" s="594">
        <v>2</v>
      </c>
      <c r="J3318" s="594">
        <v>97</v>
      </c>
      <c r="K3318" s="590" t="s">
        <v>368</v>
      </c>
      <c r="L3318" s="595">
        <f t="shared" si="498"/>
        <v>3153312</v>
      </c>
      <c r="M3318" s="596">
        <f>J3318*32000</f>
        <v>3104000</v>
      </c>
      <c r="N3318" s="597"/>
      <c r="O3318" s="598">
        <f t="shared" si="499"/>
        <v>9312</v>
      </c>
      <c r="P3318" s="597"/>
      <c r="Q3318" s="597">
        <v>40000</v>
      </c>
      <c r="R3318" s="599">
        <f>M3318/J3318</f>
        <v>32000</v>
      </c>
      <c r="S3318" s="594"/>
      <c r="T3318" s="600"/>
      <c r="U3318" s="709"/>
      <c r="V3318" s="601"/>
      <c r="W3318" s="601"/>
      <c r="X3318" s="601"/>
      <c r="Y3318" s="601"/>
      <c r="Z3318" s="601"/>
    </row>
    <row r="3319" spans="1:37" s="75" customFormat="1" hidden="1">
      <c r="A3319" s="709">
        <f t="shared" si="501"/>
        <v>419</v>
      </c>
      <c r="B3319" s="592" t="s">
        <v>2746</v>
      </c>
      <c r="C3319" s="593" t="s">
        <v>406</v>
      </c>
      <c r="D3319" s="594">
        <v>8185</v>
      </c>
      <c r="E3319" s="594">
        <v>1222</v>
      </c>
      <c r="F3319" s="594" t="s">
        <v>222</v>
      </c>
      <c r="G3319" s="594">
        <v>845</v>
      </c>
      <c r="H3319" s="594">
        <v>5</v>
      </c>
      <c r="I3319" s="594">
        <v>3</v>
      </c>
      <c r="J3319" s="594">
        <v>41</v>
      </c>
      <c r="K3319" s="590" t="s">
        <v>224</v>
      </c>
      <c r="L3319" s="595">
        <f t="shared" si="498"/>
        <v>695038</v>
      </c>
      <c r="M3319" s="596">
        <f>J3319*16000</f>
        <v>656000</v>
      </c>
      <c r="N3319" s="597">
        <v>25000</v>
      </c>
      <c r="O3319" s="598"/>
      <c r="P3319" s="597"/>
      <c r="Q3319" s="597">
        <v>14038</v>
      </c>
      <c r="R3319" s="599">
        <f>M3319/J3319</f>
        <v>16000</v>
      </c>
      <c r="S3319" s="594"/>
      <c r="T3319" s="600"/>
      <c r="U3319" s="709"/>
      <c r="V3319" s="601"/>
      <c r="W3319" s="601"/>
      <c r="X3319" s="601"/>
      <c r="Y3319" s="601"/>
      <c r="Z3319" s="601"/>
    </row>
    <row r="3320" spans="1:37" s="75" customFormat="1" hidden="1">
      <c r="A3320" s="709">
        <f>A3319+1</f>
        <v>420</v>
      </c>
      <c r="B3320" s="592" t="s">
        <v>2747</v>
      </c>
      <c r="C3320" s="593" t="s">
        <v>271</v>
      </c>
      <c r="D3320" s="650">
        <v>12909</v>
      </c>
      <c r="E3320" s="594">
        <v>3030</v>
      </c>
      <c r="F3320" s="594" t="s">
        <v>222</v>
      </c>
      <c r="G3320" s="594">
        <v>1131</v>
      </c>
      <c r="H3320" s="594">
        <v>5</v>
      </c>
      <c r="I3320" s="594">
        <v>4</v>
      </c>
      <c r="J3320" s="594">
        <v>64</v>
      </c>
      <c r="K3320" s="590" t="s">
        <v>224</v>
      </c>
      <c r="L3320" s="595">
        <f t="shared" si="498"/>
        <v>1075914</v>
      </c>
      <c r="M3320" s="596">
        <f>J3320*16000</f>
        <v>1024000</v>
      </c>
      <c r="N3320" s="597">
        <v>30000</v>
      </c>
      <c r="O3320" s="598"/>
      <c r="P3320" s="597"/>
      <c r="Q3320" s="597">
        <v>21914</v>
      </c>
      <c r="R3320" s="599">
        <f>M3320/J3320</f>
        <v>16000</v>
      </c>
      <c r="S3320" s="594"/>
      <c r="T3320" s="600"/>
      <c r="U3320" s="709"/>
      <c r="V3320" s="601"/>
      <c r="W3320" s="601"/>
      <c r="X3320" s="601"/>
      <c r="Y3320" s="601"/>
      <c r="Z3320" s="601"/>
    </row>
    <row r="3321" spans="1:37" s="75" customFormat="1" hidden="1">
      <c r="A3321" s="709">
        <f t="shared" ref="A3321:A3370" si="502">A3320+1</f>
        <v>421</v>
      </c>
      <c r="B3321" s="592" t="s">
        <v>2748</v>
      </c>
      <c r="C3321" s="593" t="s">
        <v>217</v>
      </c>
      <c r="D3321" s="594">
        <v>14576</v>
      </c>
      <c r="E3321" s="594">
        <v>2361</v>
      </c>
      <c r="F3321" s="594" t="s">
        <v>233</v>
      </c>
      <c r="G3321" s="594">
        <v>546</v>
      </c>
      <c r="H3321" s="594">
        <v>9</v>
      </c>
      <c r="I3321" s="594">
        <v>1</v>
      </c>
      <c r="J3321" s="594">
        <v>72</v>
      </c>
      <c r="K3321" s="590" t="s">
        <v>224</v>
      </c>
      <c r="L3321" s="595">
        <f t="shared" si="498"/>
        <v>1505816</v>
      </c>
      <c r="M3321" s="596">
        <v>1440000</v>
      </c>
      <c r="N3321" s="597">
        <v>35000</v>
      </c>
      <c r="O3321" s="598"/>
      <c r="P3321" s="597"/>
      <c r="Q3321" s="597">
        <v>30816.000000000004</v>
      </c>
      <c r="R3321" s="599">
        <f>M3321/J3321</f>
        <v>20000</v>
      </c>
      <c r="S3321" s="594"/>
      <c r="T3321" s="600"/>
      <c r="U3321" s="709"/>
      <c r="V3321" s="601"/>
      <c r="W3321" s="601"/>
      <c r="X3321" s="601"/>
      <c r="Y3321" s="601"/>
      <c r="Z3321" s="601"/>
    </row>
    <row r="3322" spans="1:37" s="75" customFormat="1" hidden="1">
      <c r="A3322" s="709">
        <f>A3321+1</f>
        <v>422</v>
      </c>
      <c r="B3322" s="592" t="s">
        <v>2750</v>
      </c>
      <c r="C3322" s="593" t="s">
        <v>217</v>
      </c>
      <c r="D3322" s="594">
        <v>17388</v>
      </c>
      <c r="E3322" s="594">
        <v>2633</v>
      </c>
      <c r="F3322" s="594" t="s">
        <v>222</v>
      </c>
      <c r="G3322" s="594">
        <v>1067</v>
      </c>
      <c r="H3322" s="594">
        <v>5</v>
      </c>
      <c r="I3322" s="594">
        <v>4</v>
      </c>
      <c r="J3322" s="594">
        <v>80</v>
      </c>
      <c r="K3322" s="590" t="s">
        <v>33</v>
      </c>
      <c r="L3322" s="595">
        <f t="shared" si="498"/>
        <v>3825621.5</v>
      </c>
      <c r="M3322" s="596">
        <f>G3322*3500</f>
        <v>3734500</v>
      </c>
      <c r="N3322" s="597"/>
      <c r="O3322" s="598">
        <f>M3322*0.3%</f>
        <v>11203.5</v>
      </c>
      <c r="P3322" s="597"/>
      <c r="Q3322" s="597">
        <v>79918</v>
      </c>
      <c r="R3322" s="599">
        <f>M3322/G3322</f>
        <v>3500</v>
      </c>
      <c r="S3322" s="594"/>
      <c r="T3322" s="600"/>
      <c r="U3322" s="709"/>
      <c r="V3322" s="601"/>
      <c r="W3322" s="601"/>
      <c r="X3322" s="601"/>
      <c r="Y3322" s="601"/>
      <c r="Z3322" s="601"/>
    </row>
    <row r="3323" spans="1:37" s="75" customFormat="1" hidden="1">
      <c r="A3323" s="709">
        <f t="shared" si="502"/>
        <v>423</v>
      </c>
      <c r="B3323" s="592" t="s">
        <v>2751</v>
      </c>
      <c r="C3323" s="593" t="s">
        <v>271</v>
      </c>
      <c r="D3323" s="594">
        <v>41661</v>
      </c>
      <c r="E3323" s="594">
        <v>7100</v>
      </c>
      <c r="F3323" s="594" t="s">
        <v>233</v>
      </c>
      <c r="G3323" s="594">
        <v>1926</v>
      </c>
      <c r="H3323" s="594">
        <v>9</v>
      </c>
      <c r="I3323" s="594">
        <v>5</v>
      </c>
      <c r="J3323" s="594">
        <v>160</v>
      </c>
      <c r="K3323" s="590" t="s">
        <v>224</v>
      </c>
      <c r="L3323" s="595">
        <f t="shared" si="498"/>
        <v>3275000</v>
      </c>
      <c r="M3323" s="596">
        <v>3200000</v>
      </c>
      <c r="N3323" s="597">
        <v>35000</v>
      </c>
      <c r="O3323" s="598"/>
      <c r="P3323" s="597"/>
      <c r="Q3323" s="597">
        <v>40000</v>
      </c>
      <c r="R3323" s="599">
        <f>M3323/J3323</f>
        <v>20000</v>
      </c>
      <c r="S3323" s="594"/>
      <c r="T3323" s="600"/>
      <c r="U3323" s="709"/>
      <c r="V3323" s="601"/>
      <c r="W3323" s="601"/>
      <c r="X3323" s="601"/>
      <c r="Y3323" s="601"/>
      <c r="Z3323" s="601"/>
    </row>
    <row r="3324" spans="1:37" s="75" customFormat="1" hidden="1">
      <c r="A3324" s="709">
        <f t="shared" si="502"/>
        <v>424</v>
      </c>
      <c r="B3324" s="592" t="s">
        <v>2752</v>
      </c>
      <c r="C3324" s="593" t="s">
        <v>271</v>
      </c>
      <c r="D3324" s="594">
        <v>23806</v>
      </c>
      <c r="E3324" s="594">
        <v>4833</v>
      </c>
      <c r="F3324" s="594" t="s">
        <v>233</v>
      </c>
      <c r="G3324" s="594">
        <v>1356</v>
      </c>
      <c r="H3324" s="594">
        <v>9</v>
      </c>
      <c r="I3324" s="594">
        <v>3</v>
      </c>
      <c r="J3324" s="594">
        <v>95</v>
      </c>
      <c r="K3324" s="590" t="s">
        <v>380</v>
      </c>
      <c r="L3324" s="595">
        <f t="shared" si="498"/>
        <v>21833500</v>
      </c>
      <c r="M3324" s="596">
        <f>E3324*4500</f>
        <v>21748500</v>
      </c>
      <c r="N3324" s="597">
        <v>45000</v>
      </c>
      <c r="O3324" s="598"/>
      <c r="P3324" s="597"/>
      <c r="Q3324" s="597">
        <v>40000</v>
      </c>
      <c r="R3324" s="599">
        <f>M3324/E3324</f>
        <v>4500</v>
      </c>
      <c r="S3324" s="594"/>
      <c r="T3324" s="600"/>
      <c r="U3324" s="709"/>
      <c r="V3324" s="601"/>
      <c r="W3324" s="601"/>
      <c r="X3324" s="601"/>
      <c r="Y3324" s="601"/>
      <c r="Z3324" s="601"/>
    </row>
    <row r="3325" spans="1:37" s="75" customFormat="1" hidden="1">
      <c r="A3325" s="709">
        <f t="shared" si="502"/>
        <v>425</v>
      </c>
      <c r="B3325" s="592" t="s">
        <v>2753</v>
      </c>
      <c r="C3325" s="593" t="s">
        <v>271</v>
      </c>
      <c r="D3325" s="650">
        <v>1697</v>
      </c>
      <c r="E3325" s="594">
        <v>540</v>
      </c>
      <c r="F3325" s="594" t="s">
        <v>222</v>
      </c>
      <c r="G3325" s="594">
        <v>368</v>
      </c>
      <c r="H3325" s="594">
        <v>2</v>
      </c>
      <c r="I3325" s="594">
        <v>2</v>
      </c>
      <c r="J3325" s="594">
        <v>8</v>
      </c>
      <c r="K3325" s="590" t="s">
        <v>238</v>
      </c>
      <c r="L3325" s="595">
        <f t="shared" si="498"/>
        <v>255622</v>
      </c>
      <c r="M3325" s="596">
        <f>J3325*27000</f>
        <v>216000</v>
      </c>
      <c r="N3325" s="597">
        <v>35000</v>
      </c>
      <c r="O3325" s="598"/>
      <c r="P3325" s="597"/>
      <c r="Q3325" s="597">
        <v>4622</v>
      </c>
      <c r="R3325" s="599">
        <f>M3325/J3325</f>
        <v>27000</v>
      </c>
      <c r="S3325" s="594"/>
      <c r="T3325" s="600"/>
      <c r="U3325" s="709"/>
      <c r="V3325" s="601"/>
      <c r="W3325" s="601"/>
      <c r="X3325" s="601"/>
      <c r="Y3325" s="601"/>
      <c r="Z3325" s="601"/>
    </row>
    <row r="3326" spans="1:37" s="75" customFormat="1" hidden="1">
      <c r="A3326" s="709">
        <f t="shared" si="502"/>
        <v>426</v>
      </c>
      <c r="B3326" s="592" t="s">
        <v>2754</v>
      </c>
      <c r="C3326" s="593" t="s">
        <v>271</v>
      </c>
      <c r="D3326" s="594">
        <v>26576</v>
      </c>
      <c r="E3326" s="594">
        <v>7546</v>
      </c>
      <c r="F3326" s="594" t="s">
        <v>233</v>
      </c>
      <c r="G3326" s="594">
        <v>1418.1</v>
      </c>
      <c r="H3326" s="594">
        <v>5</v>
      </c>
      <c r="I3326" s="594">
        <v>7</v>
      </c>
      <c r="J3326" s="594">
        <v>96</v>
      </c>
      <c r="K3326" s="590" t="s">
        <v>33</v>
      </c>
      <c r="L3326" s="595">
        <f t="shared" si="498"/>
        <v>3026944.03</v>
      </c>
      <c r="M3326" s="596">
        <f>G3326*2100</f>
        <v>2978010</v>
      </c>
      <c r="N3326" s="597"/>
      <c r="O3326" s="598">
        <f>M3326*0.3%</f>
        <v>8934.0300000000007</v>
      </c>
      <c r="P3326" s="597"/>
      <c r="Q3326" s="597">
        <v>40000</v>
      </c>
      <c r="R3326" s="599">
        <f>M3326/G3326</f>
        <v>2100</v>
      </c>
      <c r="S3326" s="594"/>
      <c r="T3326" s="600"/>
      <c r="U3326" s="709"/>
      <c r="V3326" s="601"/>
      <c r="W3326" s="601"/>
      <c r="X3326" s="601"/>
      <c r="Y3326" s="601"/>
      <c r="Z3326" s="601"/>
    </row>
    <row r="3327" spans="1:37" s="246" customFormat="1" hidden="1">
      <c r="A3327" s="709">
        <f t="shared" si="502"/>
        <v>427</v>
      </c>
      <c r="B3327" s="592" t="s">
        <v>2756</v>
      </c>
      <c r="C3327" s="593" t="s">
        <v>400</v>
      </c>
      <c r="D3327" s="594">
        <v>103314</v>
      </c>
      <c r="E3327" s="594">
        <v>11929.4</v>
      </c>
      <c r="F3327" s="594" t="s">
        <v>233</v>
      </c>
      <c r="G3327" s="594">
        <v>3046.1</v>
      </c>
      <c r="H3327" s="594">
        <v>10</v>
      </c>
      <c r="I3327" s="594">
        <v>8</v>
      </c>
      <c r="J3327" s="594">
        <v>451</v>
      </c>
      <c r="K3327" s="590" t="s">
        <v>33</v>
      </c>
      <c r="L3327" s="595">
        <f t="shared" si="498"/>
        <v>6456000.4299999997</v>
      </c>
      <c r="M3327" s="596">
        <f>G3327*2100</f>
        <v>6396810</v>
      </c>
      <c r="N3327" s="597"/>
      <c r="O3327" s="598">
        <f>M3327*0.3%</f>
        <v>19190.43</v>
      </c>
      <c r="P3327" s="597"/>
      <c r="Q3327" s="597">
        <v>40000</v>
      </c>
      <c r="R3327" s="599">
        <f>M3327/G3327</f>
        <v>2100</v>
      </c>
      <c r="S3327" s="591"/>
      <c r="T3327" s="589"/>
      <c r="U3327" s="589"/>
      <c r="V3327" s="591"/>
      <c r="W3327" s="589"/>
      <c r="X3327" s="591"/>
      <c r="Y3327" s="589"/>
      <c r="Z3327" s="589"/>
      <c r="AB3327" s="72"/>
      <c r="AD3327" s="72"/>
      <c r="AE3327" s="72"/>
      <c r="AF3327" s="72"/>
      <c r="AH3327" s="36"/>
      <c r="AI3327" s="72"/>
      <c r="AK3327" s="72"/>
    </row>
    <row r="3328" spans="1:37" s="246" customFormat="1" ht="37.5" hidden="1">
      <c r="A3328" s="709">
        <f t="shared" si="502"/>
        <v>428</v>
      </c>
      <c r="B3328" s="592" t="s">
        <v>2757</v>
      </c>
      <c r="C3328" s="593" t="s">
        <v>217</v>
      </c>
      <c r="D3328" s="650">
        <v>12950</v>
      </c>
      <c r="E3328" s="594">
        <v>2731.7</v>
      </c>
      <c r="F3328" s="594" t="s">
        <v>233</v>
      </c>
      <c r="G3328" s="594">
        <v>417</v>
      </c>
      <c r="H3328" s="594">
        <v>12</v>
      </c>
      <c r="I3328" s="594">
        <v>1</v>
      </c>
      <c r="J3328" s="594">
        <v>46</v>
      </c>
      <c r="K3328" s="590" t="s">
        <v>30</v>
      </c>
      <c r="L3328" s="595">
        <f t="shared" si="498"/>
        <v>1507917</v>
      </c>
      <c r="M3328" s="596">
        <f>J3328*32000</f>
        <v>1472000</v>
      </c>
      <c r="N3328" s="597"/>
      <c r="O3328" s="598">
        <f>M3328*0.3%</f>
        <v>4416</v>
      </c>
      <c r="P3328" s="597"/>
      <c r="Q3328" s="597">
        <v>31501</v>
      </c>
      <c r="R3328" s="599">
        <f>M3328/J3328</f>
        <v>32000</v>
      </c>
      <c r="S3328" s="1185"/>
      <c r="T3328" s="1186"/>
      <c r="U3328" s="589"/>
      <c r="V3328" s="591"/>
      <c r="W3328" s="589"/>
      <c r="X3328" s="591"/>
      <c r="Y3328" s="589"/>
      <c r="Z3328" s="589"/>
      <c r="AB3328" s="72"/>
      <c r="AD3328" s="72"/>
      <c r="AE3328" s="72"/>
      <c r="AF3328" s="72"/>
      <c r="AH3328" s="36"/>
      <c r="AI3328" s="14"/>
      <c r="AK3328" s="72"/>
    </row>
    <row r="3329" spans="1:37" s="246" customFormat="1" ht="56.25" hidden="1">
      <c r="A3329" s="709">
        <f t="shared" si="502"/>
        <v>429</v>
      </c>
      <c r="B3329" s="592" t="s">
        <v>3349</v>
      </c>
      <c r="C3329" s="593" t="s">
        <v>229</v>
      </c>
      <c r="D3329" s="594">
        <v>1367</v>
      </c>
      <c r="E3329" s="594">
        <v>515</v>
      </c>
      <c r="F3329" s="594" t="s">
        <v>222</v>
      </c>
      <c r="G3329" s="594">
        <v>287.3</v>
      </c>
      <c r="H3329" s="594">
        <v>2</v>
      </c>
      <c r="I3329" s="594">
        <v>1</v>
      </c>
      <c r="J3329" s="594">
        <v>8</v>
      </c>
      <c r="K3329" s="588" t="s">
        <v>3818</v>
      </c>
      <c r="L3329" s="595">
        <f t="shared" si="498"/>
        <v>837120</v>
      </c>
      <c r="M3329" s="596">
        <v>800000</v>
      </c>
      <c r="N3329" s="597">
        <v>20000</v>
      </c>
      <c r="O3329" s="598"/>
      <c r="P3329" s="597"/>
      <c r="Q3329" s="675">
        <v>17120.000000000004</v>
      </c>
      <c r="R3329" s="599">
        <f>M3329/E3329</f>
        <v>1553.3980582524273</v>
      </c>
      <c r="S3329" s="1185"/>
      <c r="T3329" s="1186"/>
      <c r="U3329" s="589"/>
      <c r="V3329" s="589"/>
      <c r="W3329" s="589"/>
      <c r="X3329" s="591"/>
      <c r="Y3329" s="589"/>
      <c r="Z3329" s="589"/>
      <c r="AB3329" s="72"/>
      <c r="AD3329" s="72"/>
      <c r="AE3329" s="72"/>
      <c r="AF3329" s="72"/>
      <c r="AH3329" s="36"/>
      <c r="AI3329" s="14"/>
      <c r="AK3329" s="72"/>
    </row>
    <row r="3330" spans="1:37" s="246" customFormat="1" hidden="1">
      <c r="A3330" s="709">
        <f t="shared" si="502"/>
        <v>430</v>
      </c>
      <c r="B3330" s="592" t="s">
        <v>3350</v>
      </c>
      <c r="C3330" s="593" t="s">
        <v>229</v>
      </c>
      <c r="D3330" s="594">
        <v>1463</v>
      </c>
      <c r="E3330" s="594">
        <v>520</v>
      </c>
      <c r="F3330" s="594" t="s">
        <v>222</v>
      </c>
      <c r="G3330" s="594">
        <v>292.60000000000002</v>
      </c>
      <c r="H3330" s="594">
        <v>2</v>
      </c>
      <c r="I3330" s="594">
        <v>1</v>
      </c>
      <c r="J3330" s="594">
        <v>8</v>
      </c>
      <c r="K3330" s="590" t="s">
        <v>398</v>
      </c>
      <c r="L3330" s="584">
        <f>M3330+N3330+O3330+Q3330</f>
        <v>682496</v>
      </c>
      <c r="M3330" s="596">
        <v>643720</v>
      </c>
      <c r="N3330" s="597">
        <v>25000</v>
      </c>
      <c r="O3330" s="598"/>
      <c r="P3330" s="594"/>
      <c r="Q3330" s="675">
        <v>13776</v>
      </c>
      <c r="R3330" s="599">
        <f>M3330/G3330</f>
        <v>2200</v>
      </c>
      <c r="S3330" s="1185"/>
      <c r="T3330" s="1186"/>
      <c r="U3330" s="589"/>
      <c r="V3330" s="589"/>
      <c r="W3330" s="589"/>
      <c r="X3330" s="591"/>
      <c r="Y3330" s="589"/>
      <c r="Z3330" s="589"/>
      <c r="AB3330" s="72"/>
      <c r="AD3330" s="72"/>
      <c r="AE3330" s="72"/>
      <c r="AF3330" s="72"/>
      <c r="AH3330" s="36"/>
      <c r="AI3330" s="14"/>
      <c r="AK3330" s="72"/>
    </row>
    <row r="3331" spans="1:37" s="246" customFormat="1" hidden="1">
      <c r="A3331" s="709">
        <f t="shared" si="502"/>
        <v>431</v>
      </c>
      <c r="B3331" s="592" t="s">
        <v>3822</v>
      </c>
      <c r="C3331" s="593" t="s">
        <v>271</v>
      </c>
      <c r="D3331" s="594">
        <v>12493</v>
      </c>
      <c r="E3331" s="594">
        <v>3035</v>
      </c>
      <c r="F3331" s="594" t="s">
        <v>222</v>
      </c>
      <c r="G3331" s="594">
        <v>1148</v>
      </c>
      <c r="H3331" s="594">
        <v>5</v>
      </c>
      <c r="I3331" s="594">
        <v>4</v>
      </c>
      <c r="J3331" s="594">
        <v>68</v>
      </c>
      <c r="K3331" s="588" t="s">
        <v>33</v>
      </c>
      <c r="L3331" s="595">
        <f>M3331+N3331+O3331+P3331+Q3331</f>
        <v>4070054</v>
      </c>
      <c r="M3331" s="596">
        <f>G3331*3500</f>
        <v>4018000</v>
      </c>
      <c r="N3331" s="597"/>
      <c r="O3331" s="598">
        <f>M3331*0.3%</f>
        <v>12054</v>
      </c>
      <c r="P3331" s="597"/>
      <c r="Q3331" s="675">
        <v>40000</v>
      </c>
      <c r="R3331" s="599">
        <f>M3331/G3331</f>
        <v>3500</v>
      </c>
      <c r="S3331" s="1185"/>
      <c r="T3331" s="1186"/>
      <c r="U3331" s="589"/>
      <c r="V3331" s="589"/>
      <c r="W3331" s="589"/>
      <c r="X3331" s="591"/>
      <c r="Y3331" s="589"/>
      <c r="Z3331" s="589"/>
      <c r="AB3331" s="72"/>
      <c r="AD3331" s="72"/>
      <c r="AE3331" s="72"/>
      <c r="AF3331" s="72"/>
      <c r="AH3331" s="36"/>
      <c r="AI3331" s="14"/>
      <c r="AK3331" s="72"/>
    </row>
    <row r="3332" spans="1:37" s="246" customFormat="1" ht="37.5" hidden="1">
      <c r="A3332" s="709">
        <f t="shared" si="502"/>
        <v>432</v>
      </c>
      <c r="B3332" s="592" t="s">
        <v>3830</v>
      </c>
      <c r="C3332" s="593" t="s">
        <v>271</v>
      </c>
      <c r="D3332" s="561">
        <v>6291</v>
      </c>
      <c r="E3332" s="646">
        <v>2446.1999999999998</v>
      </c>
      <c r="F3332" s="594" t="s">
        <v>222</v>
      </c>
      <c r="G3332" s="561">
        <v>581</v>
      </c>
      <c r="H3332" s="582">
        <v>5</v>
      </c>
      <c r="I3332" s="582">
        <v>2</v>
      </c>
      <c r="J3332" s="561">
        <v>37</v>
      </c>
      <c r="K3332" s="588" t="s">
        <v>30</v>
      </c>
      <c r="L3332" s="595">
        <f>M3332+N3332+O3332+P3332+Q3332</f>
        <v>1023376</v>
      </c>
      <c r="M3332" s="563">
        <f>J3332*27000</f>
        <v>999000</v>
      </c>
      <c r="N3332" s="564"/>
      <c r="O3332" s="565">
        <f>M3332*0.3%</f>
        <v>2997</v>
      </c>
      <c r="P3332" s="564"/>
      <c r="Q3332" s="675">
        <v>21379</v>
      </c>
      <c r="R3332" s="599">
        <f>M3332/J3332</f>
        <v>27000</v>
      </c>
      <c r="S3332" s="1185"/>
      <c r="T3332" s="1186"/>
      <c r="U3332" s="589"/>
      <c r="V3332" s="589"/>
      <c r="W3332" s="589"/>
      <c r="X3332" s="591"/>
      <c r="Y3332" s="589"/>
      <c r="Z3332" s="589"/>
      <c r="AB3332" s="72"/>
      <c r="AD3332" s="72"/>
      <c r="AE3332" s="72"/>
      <c r="AF3332" s="72"/>
      <c r="AH3332" s="36"/>
      <c r="AI3332" s="14"/>
      <c r="AK3332" s="72"/>
    </row>
    <row r="3333" spans="1:37" s="246" customFormat="1" hidden="1">
      <c r="A3333" s="709">
        <f t="shared" si="502"/>
        <v>433</v>
      </c>
      <c r="B3333" s="592" t="s">
        <v>3832</v>
      </c>
      <c r="C3333" s="593" t="s">
        <v>271</v>
      </c>
      <c r="D3333" s="561">
        <v>9810</v>
      </c>
      <c r="E3333" s="646">
        <v>2970</v>
      </c>
      <c r="F3333" s="594" t="s">
        <v>230</v>
      </c>
      <c r="G3333" s="561">
        <v>1620</v>
      </c>
      <c r="H3333" s="582">
        <v>5</v>
      </c>
      <c r="I3333" s="582">
        <v>6</v>
      </c>
      <c r="J3333" s="561">
        <v>99</v>
      </c>
      <c r="K3333" s="588" t="s">
        <v>33</v>
      </c>
      <c r="L3333" s="595">
        <f>M3333+N3333+O3333+P3333+Q3333</f>
        <v>5239552</v>
      </c>
      <c r="M3333" s="731">
        <f>G3333*3200</f>
        <v>5184000</v>
      </c>
      <c r="N3333" s="728"/>
      <c r="O3333" s="565">
        <f>M3333*0.3%</f>
        <v>15552</v>
      </c>
      <c r="P3333" s="728"/>
      <c r="Q3333" s="675">
        <v>40000</v>
      </c>
      <c r="R3333" s="599">
        <f>M3333/G3333</f>
        <v>3200</v>
      </c>
      <c r="S3333" s="1185"/>
      <c r="T3333" s="1186"/>
      <c r="U3333" s="589"/>
      <c r="V3333" s="589"/>
      <c r="W3333" s="589"/>
      <c r="X3333" s="591"/>
      <c r="Y3333" s="589"/>
      <c r="Z3333" s="589"/>
      <c r="AB3333" s="72"/>
      <c r="AD3333" s="72"/>
      <c r="AE3333" s="72"/>
      <c r="AF3333" s="72"/>
      <c r="AH3333" s="36"/>
      <c r="AI3333" s="14"/>
      <c r="AK3333" s="72"/>
    </row>
    <row r="3334" spans="1:37" s="246" customFormat="1" ht="37.5" hidden="1">
      <c r="A3334" s="709">
        <f t="shared" si="502"/>
        <v>434</v>
      </c>
      <c r="B3334" s="592" t="s">
        <v>494</v>
      </c>
      <c r="C3334" s="593" t="s">
        <v>217</v>
      </c>
      <c r="D3334" s="644">
        <v>31375</v>
      </c>
      <c r="E3334" s="593">
        <v>5444</v>
      </c>
      <c r="F3334" s="594" t="s">
        <v>233</v>
      </c>
      <c r="G3334" s="593">
        <v>1353</v>
      </c>
      <c r="H3334" s="593">
        <v>9</v>
      </c>
      <c r="I3334" s="593">
        <v>4</v>
      </c>
      <c r="J3334" s="593">
        <v>144</v>
      </c>
      <c r="K3334" s="588" t="s">
        <v>366</v>
      </c>
      <c r="L3334" s="595">
        <f>M3334+N3334+O3334+P3334+Q3334</f>
        <v>8148750</v>
      </c>
      <c r="M3334" s="585">
        <v>8000000</v>
      </c>
      <c r="N3334" s="586">
        <v>148750</v>
      </c>
      <c r="O3334" s="598"/>
      <c r="P3334" s="564"/>
      <c r="Q3334" s="675"/>
      <c r="R3334" s="582">
        <f>M3334/I3334</f>
        <v>2000000</v>
      </c>
      <c r="S3334" s="1185"/>
      <c r="T3334" s="1186"/>
      <c r="U3334" s="589"/>
      <c r="V3334" s="589"/>
      <c r="W3334" s="589"/>
      <c r="X3334" s="591"/>
      <c r="Y3334" s="589"/>
      <c r="Z3334" s="589"/>
      <c r="AB3334" s="72"/>
      <c r="AD3334" s="72"/>
      <c r="AE3334" s="72"/>
      <c r="AF3334" s="72"/>
      <c r="AH3334" s="36"/>
      <c r="AI3334" s="14"/>
      <c r="AK3334" s="72"/>
    </row>
    <row r="3335" spans="1:37" s="246" customFormat="1" hidden="1">
      <c r="A3335" s="709">
        <f t="shared" si="502"/>
        <v>435</v>
      </c>
      <c r="B3335" s="592" t="s">
        <v>3358</v>
      </c>
      <c r="C3335" s="593" t="s">
        <v>229</v>
      </c>
      <c r="D3335" s="594">
        <v>1203</v>
      </c>
      <c r="E3335" s="594">
        <v>480</v>
      </c>
      <c r="F3335" s="594" t="s">
        <v>222</v>
      </c>
      <c r="G3335" s="594">
        <v>270</v>
      </c>
      <c r="H3335" s="594">
        <v>2</v>
      </c>
      <c r="I3335" s="594">
        <v>1</v>
      </c>
      <c r="J3335" s="594">
        <v>8</v>
      </c>
      <c r="K3335" s="590" t="s">
        <v>398</v>
      </c>
      <c r="L3335" s="584">
        <f>M3335+N3335+O3335+Q3335</f>
        <v>631712</v>
      </c>
      <c r="M3335" s="596">
        <v>594000</v>
      </c>
      <c r="N3335" s="597">
        <v>25000</v>
      </c>
      <c r="O3335" s="598"/>
      <c r="P3335" s="594"/>
      <c r="Q3335" s="675">
        <v>12712</v>
      </c>
      <c r="R3335" s="599">
        <f>M3335/G3335</f>
        <v>2200</v>
      </c>
      <c r="S3335" s="1185"/>
      <c r="T3335" s="1186"/>
      <c r="U3335" s="589"/>
      <c r="V3335" s="589"/>
      <c r="W3335" s="589"/>
      <c r="X3335" s="591"/>
      <c r="Y3335" s="589"/>
      <c r="Z3335" s="589"/>
      <c r="AB3335" s="72"/>
      <c r="AD3335" s="72"/>
      <c r="AE3335" s="72"/>
      <c r="AF3335" s="72"/>
      <c r="AH3335" s="36"/>
      <c r="AI3335" s="14"/>
      <c r="AK3335" s="72"/>
    </row>
    <row r="3336" spans="1:37" s="246" customFormat="1" hidden="1">
      <c r="A3336" s="709">
        <f t="shared" si="502"/>
        <v>436</v>
      </c>
      <c r="B3336" s="592" t="s">
        <v>3359</v>
      </c>
      <c r="C3336" s="593" t="s">
        <v>229</v>
      </c>
      <c r="D3336" s="594">
        <v>1306</v>
      </c>
      <c r="E3336" s="594">
        <v>480</v>
      </c>
      <c r="F3336" s="594" t="s">
        <v>222</v>
      </c>
      <c r="G3336" s="594">
        <v>236</v>
      </c>
      <c r="H3336" s="594">
        <v>2</v>
      </c>
      <c r="I3336" s="594">
        <v>1</v>
      </c>
      <c r="J3336" s="594">
        <v>8</v>
      </c>
      <c r="K3336" s="590" t="s">
        <v>398</v>
      </c>
      <c r="L3336" s="584">
        <f>M3336+N3336+O3336+Q3336</f>
        <v>555311</v>
      </c>
      <c r="M3336" s="596">
        <v>519200</v>
      </c>
      <c r="N3336" s="597">
        <v>25000</v>
      </c>
      <c r="O3336" s="598"/>
      <c r="P3336" s="594"/>
      <c r="Q3336" s="675">
        <v>11111</v>
      </c>
      <c r="R3336" s="599">
        <f>M3336/G3336</f>
        <v>2200</v>
      </c>
      <c r="S3336" s="1185"/>
      <c r="T3336" s="1186"/>
      <c r="U3336" s="589"/>
      <c r="V3336" s="589"/>
      <c r="W3336" s="589"/>
      <c r="X3336" s="591"/>
      <c r="Y3336" s="589"/>
      <c r="Z3336" s="589"/>
      <c r="AB3336" s="72"/>
      <c r="AD3336" s="72"/>
      <c r="AE3336" s="72"/>
      <c r="AF3336" s="72"/>
      <c r="AH3336" s="36"/>
      <c r="AI3336" s="14"/>
      <c r="AK3336" s="72"/>
    </row>
    <row r="3337" spans="1:37" s="246" customFormat="1" ht="37.5" hidden="1">
      <c r="A3337" s="709">
        <f t="shared" si="502"/>
        <v>437</v>
      </c>
      <c r="B3337" s="1187" t="s">
        <v>3840</v>
      </c>
      <c r="C3337" s="593" t="s">
        <v>217</v>
      </c>
      <c r="D3337" s="594">
        <v>14691</v>
      </c>
      <c r="E3337" s="594">
        <v>3296</v>
      </c>
      <c r="F3337" s="594" t="s">
        <v>233</v>
      </c>
      <c r="G3337" s="594">
        <v>1132</v>
      </c>
      <c r="H3337" s="594">
        <v>9</v>
      </c>
      <c r="I3337" s="594">
        <v>6</v>
      </c>
      <c r="J3337" s="594">
        <v>90</v>
      </c>
      <c r="K3337" s="588" t="s">
        <v>30</v>
      </c>
      <c r="L3337" s="595">
        <f>M3337+N3337+O3337+P3337+Q3337</f>
        <v>2934400</v>
      </c>
      <c r="M3337" s="563">
        <f>J3337*32000</f>
        <v>2880000</v>
      </c>
      <c r="N3337" s="564"/>
      <c r="O3337" s="565">
        <f>M3337*0.005</f>
        <v>14400</v>
      </c>
      <c r="P3337" s="564"/>
      <c r="Q3337" s="675">
        <v>40000</v>
      </c>
      <c r="R3337" s="599">
        <f>M3337/J3337</f>
        <v>32000</v>
      </c>
      <c r="S3337" s="1185"/>
      <c r="T3337" s="1186"/>
      <c r="U3337" s="589"/>
      <c r="V3337" s="589"/>
      <c r="W3337" s="589"/>
      <c r="X3337" s="591"/>
      <c r="Y3337" s="589"/>
      <c r="Z3337" s="589"/>
      <c r="AB3337" s="72"/>
      <c r="AD3337" s="72"/>
      <c r="AE3337" s="72"/>
      <c r="AF3337" s="72"/>
      <c r="AH3337" s="36"/>
      <c r="AI3337" s="14"/>
      <c r="AK3337" s="72"/>
    </row>
    <row r="3338" spans="1:37" s="246" customFormat="1" hidden="1">
      <c r="A3338" s="709">
        <f t="shared" si="502"/>
        <v>438</v>
      </c>
      <c r="B3338" s="592" t="s">
        <v>3364</v>
      </c>
      <c r="C3338" s="593" t="s">
        <v>396</v>
      </c>
      <c r="D3338" s="594">
        <v>2460</v>
      </c>
      <c r="E3338" s="594">
        <v>363</v>
      </c>
      <c r="F3338" s="594" t="s">
        <v>222</v>
      </c>
      <c r="G3338" s="594">
        <v>492</v>
      </c>
      <c r="H3338" s="594">
        <v>2</v>
      </c>
      <c r="I3338" s="594">
        <v>1</v>
      </c>
      <c r="J3338" s="594">
        <v>8</v>
      </c>
      <c r="K3338" s="590" t="s">
        <v>224</v>
      </c>
      <c r="L3338" s="584">
        <f>M3338+N3338+O3338+Q3338</f>
        <v>167082</v>
      </c>
      <c r="M3338" s="596">
        <v>144000</v>
      </c>
      <c r="N3338" s="597">
        <v>20000</v>
      </c>
      <c r="O3338" s="598"/>
      <c r="P3338" s="594"/>
      <c r="Q3338" s="675">
        <v>3082</v>
      </c>
      <c r="R3338" s="599">
        <f>M3338/J3338</f>
        <v>18000</v>
      </c>
      <c r="S3338" s="1185"/>
      <c r="T3338" s="1186"/>
      <c r="U3338" s="589"/>
      <c r="V3338" s="589"/>
      <c r="W3338" s="589"/>
      <c r="X3338" s="591"/>
      <c r="Y3338" s="589"/>
      <c r="Z3338" s="589"/>
      <c r="AB3338" s="72"/>
      <c r="AD3338" s="72"/>
      <c r="AE3338" s="72"/>
      <c r="AF3338" s="72"/>
      <c r="AH3338" s="36"/>
      <c r="AI3338" s="14"/>
      <c r="AK3338" s="72"/>
    </row>
    <row r="3339" spans="1:37" s="246" customFormat="1" hidden="1">
      <c r="A3339" s="709">
        <f t="shared" si="502"/>
        <v>439</v>
      </c>
      <c r="B3339" s="592" t="s">
        <v>3839</v>
      </c>
      <c r="C3339" s="593" t="s">
        <v>217</v>
      </c>
      <c r="D3339" s="618">
        <v>10133</v>
      </c>
      <c r="E3339" s="619">
        <v>2200</v>
      </c>
      <c r="F3339" s="643" t="s">
        <v>233</v>
      </c>
      <c r="G3339" s="620">
        <v>761</v>
      </c>
      <c r="H3339" s="651">
        <v>5</v>
      </c>
      <c r="I3339" s="620">
        <v>3</v>
      </c>
      <c r="J3339" s="620">
        <v>60</v>
      </c>
      <c r="K3339" s="588" t="s">
        <v>252</v>
      </c>
      <c r="L3339" s="562">
        <f>M3339+N3339+O3339+P3339+Q3339</f>
        <v>2895700</v>
      </c>
      <c r="M3339" s="563">
        <f>G3339*3700</f>
        <v>2815700</v>
      </c>
      <c r="N3339" s="636">
        <v>40000</v>
      </c>
      <c r="O3339" s="598"/>
      <c r="P3339" s="564"/>
      <c r="Q3339" s="675">
        <v>40000</v>
      </c>
      <c r="R3339" s="582">
        <f>M3339/G3339</f>
        <v>3700</v>
      </c>
      <c r="S3339" s="1185"/>
      <c r="T3339" s="1186"/>
      <c r="U3339" s="589"/>
      <c r="V3339" s="589"/>
      <c r="W3339" s="589"/>
      <c r="X3339" s="591"/>
      <c r="Y3339" s="589"/>
      <c r="Z3339" s="589"/>
      <c r="AB3339" s="72"/>
      <c r="AD3339" s="72"/>
      <c r="AE3339" s="72"/>
      <c r="AF3339" s="72"/>
      <c r="AH3339" s="36"/>
      <c r="AI3339" s="14"/>
      <c r="AK3339" s="72"/>
    </row>
    <row r="3340" spans="1:37" s="246" customFormat="1" ht="37.5" hidden="1">
      <c r="A3340" s="709">
        <f t="shared" si="502"/>
        <v>440</v>
      </c>
      <c r="B3340" s="592" t="s">
        <v>3355</v>
      </c>
      <c r="C3340" s="593" t="s">
        <v>217</v>
      </c>
      <c r="D3340" s="618">
        <v>15627</v>
      </c>
      <c r="E3340" s="619">
        <v>2908</v>
      </c>
      <c r="F3340" s="594" t="s">
        <v>230</v>
      </c>
      <c r="G3340" s="620">
        <v>1439</v>
      </c>
      <c r="H3340" s="651">
        <v>5</v>
      </c>
      <c r="I3340" s="620">
        <v>6</v>
      </c>
      <c r="J3340" s="620">
        <v>90</v>
      </c>
      <c r="K3340" s="588" t="s">
        <v>30</v>
      </c>
      <c r="L3340" s="595">
        <f>M3340+N3340+O3340+P3340+Q3340</f>
        <v>2477290</v>
      </c>
      <c r="M3340" s="596">
        <f>J3340*27000</f>
        <v>2430000</v>
      </c>
      <c r="N3340" s="564"/>
      <c r="O3340" s="598">
        <f>M3340*0.3%</f>
        <v>7290</v>
      </c>
      <c r="P3340" s="597"/>
      <c r="Q3340" s="675">
        <v>40000</v>
      </c>
      <c r="R3340" s="599">
        <f>M3340/J3340</f>
        <v>27000</v>
      </c>
      <c r="S3340" s="1185"/>
      <c r="T3340" s="1186"/>
      <c r="U3340" s="589"/>
      <c r="V3340" s="589"/>
      <c r="W3340" s="589"/>
      <c r="X3340" s="591"/>
      <c r="Y3340" s="589"/>
      <c r="Z3340" s="589"/>
      <c r="AB3340" s="72"/>
      <c r="AD3340" s="72"/>
      <c r="AE3340" s="72"/>
      <c r="AF3340" s="72"/>
      <c r="AH3340" s="36"/>
      <c r="AI3340" s="14"/>
      <c r="AK3340" s="72"/>
    </row>
    <row r="3341" spans="1:37" s="246" customFormat="1" hidden="1">
      <c r="A3341" s="709">
        <f t="shared" si="502"/>
        <v>441</v>
      </c>
      <c r="B3341" s="592" t="s">
        <v>3837</v>
      </c>
      <c r="C3341" s="593" t="s">
        <v>271</v>
      </c>
      <c r="D3341" s="594">
        <v>3515</v>
      </c>
      <c r="E3341" s="594">
        <v>2921</v>
      </c>
      <c r="F3341" s="594" t="s">
        <v>222</v>
      </c>
      <c r="G3341" s="594">
        <v>700</v>
      </c>
      <c r="H3341" s="594">
        <v>2</v>
      </c>
      <c r="I3341" s="594">
        <v>1</v>
      </c>
      <c r="J3341" s="594">
        <v>30</v>
      </c>
      <c r="K3341" s="588" t="s">
        <v>224</v>
      </c>
      <c r="L3341" s="595">
        <f>M3341+N3341+O3341+P3341+Q3341</f>
        <v>1445660</v>
      </c>
      <c r="M3341" s="596">
        <v>1386000</v>
      </c>
      <c r="N3341" s="597">
        <v>30000</v>
      </c>
      <c r="O3341" s="598"/>
      <c r="P3341" s="597"/>
      <c r="Q3341" s="675">
        <v>29660</v>
      </c>
      <c r="R3341" s="1116">
        <f>M3341/J3341</f>
        <v>46200</v>
      </c>
      <c r="S3341" s="1185"/>
      <c r="T3341" s="1186"/>
      <c r="U3341" s="589"/>
      <c r="V3341" s="589"/>
      <c r="W3341" s="589"/>
      <c r="X3341" s="591"/>
      <c r="Y3341" s="589"/>
      <c r="Z3341" s="589"/>
      <c r="AB3341" s="72"/>
      <c r="AD3341" s="72"/>
      <c r="AE3341" s="72"/>
      <c r="AF3341" s="72"/>
      <c r="AH3341" s="36"/>
      <c r="AI3341" s="14"/>
      <c r="AK3341" s="72"/>
    </row>
    <row r="3342" spans="1:37" s="246" customFormat="1" hidden="1">
      <c r="A3342" s="709">
        <f t="shared" si="502"/>
        <v>442</v>
      </c>
      <c r="B3342" s="592" t="s">
        <v>3378</v>
      </c>
      <c r="C3342" s="593" t="s">
        <v>271</v>
      </c>
      <c r="D3342" s="594">
        <v>6786</v>
      </c>
      <c r="E3342" s="594">
        <v>1118</v>
      </c>
      <c r="F3342" s="594" t="s">
        <v>241</v>
      </c>
      <c r="G3342" s="594">
        <v>1037</v>
      </c>
      <c r="H3342" s="594">
        <v>4</v>
      </c>
      <c r="I3342" s="594">
        <v>2</v>
      </c>
      <c r="J3342" s="594">
        <v>24</v>
      </c>
      <c r="K3342" s="590" t="s">
        <v>224</v>
      </c>
      <c r="L3342" s="584">
        <f>M3342+N3342+O3342+Q3342</f>
        <v>424219</v>
      </c>
      <c r="M3342" s="596">
        <v>384000</v>
      </c>
      <c r="N3342" s="597">
        <v>32001</v>
      </c>
      <c r="O3342" s="598"/>
      <c r="P3342" s="594"/>
      <c r="Q3342" s="675">
        <v>8218</v>
      </c>
      <c r="R3342" s="1116">
        <f>M3342/J3342</f>
        <v>16000</v>
      </c>
      <c r="S3342" s="1185"/>
      <c r="T3342" s="1186"/>
      <c r="U3342" s="589"/>
      <c r="V3342" s="589"/>
      <c r="W3342" s="589"/>
      <c r="X3342" s="591"/>
      <c r="Y3342" s="589"/>
      <c r="Z3342" s="589"/>
      <c r="AB3342" s="72"/>
      <c r="AD3342" s="72"/>
      <c r="AE3342" s="72"/>
      <c r="AF3342" s="72"/>
      <c r="AH3342" s="36"/>
      <c r="AI3342" s="14"/>
      <c r="AK3342" s="72"/>
    </row>
    <row r="3343" spans="1:37" s="246" customFormat="1" hidden="1">
      <c r="A3343" s="709">
        <f t="shared" si="502"/>
        <v>443</v>
      </c>
      <c r="B3343" s="592" t="s">
        <v>3834</v>
      </c>
      <c r="C3343" s="593" t="s">
        <v>271</v>
      </c>
      <c r="D3343" s="594">
        <v>7240</v>
      </c>
      <c r="E3343" s="594">
        <v>4077</v>
      </c>
      <c r="F3343" s="594" t="s">
        <v>222</v>
      </c>
      <c r="G3343" s="594">
        <v>2429</v>
      </c>
      <c r="H3343" s="594">
        <v>6</v>
      </c>
      <c r="I3343" s="594">
        <v>7</v>
      </c>
      <c r="J3343" s="594">
        <v>140</v>
      </c>
      <c r="K3343" s="588" t="s">
        <v>224</v>
      </c>
      <c r="L3343" s="595">
        <f>M3343+N3343+O3343+P3343+Q3343</f>
        <v>2875000</v>
      </c>
      <c r="M3343" s="596">
        <f>J3343*20000</f>
        <v>2800000</v>
      </c>
      <c r="N3343" s="597">
        <v>35000</v>
      </c>
      <c r="O3343" s="598"/>
      <c r="P3343" s="597"/>
      <c r="Q3343" s="675">
        <v>40000</v>
      </c>
      <c r="R3343" s="599">
        <f>M3343/J3343</f>
        <v>20000</v>
      </c>
      <c r="S3343" s="1185"/>
      <c r="T3343" s="1186"/>
      <c r="U3343" s="589"/>
      <c r="V3343" s="589"/>
      <c r="W3343" s="589"/>
      <c r="X3343" s="591"/>
      <c r="Y3343" s="589"/>
      <c r="Z3343" s="589"/>
      <c r="AB3343" s="72"/>
      <c r="AD3343" s="72"/>
      <c r="AE3343" s="72"/>
      <c r="AF3343" s="72"/>
      <c r="AH3343" s="36"/>
      <c r="AI3343" s="14"/>
      <c r="AK3343" s="72"/>
    </row>
    <row r="3344" spans="1:37" s="246" customFormat="1" hidden="1">
      <c r="A3344" s="709">
        <f t="shared" si="502"/>
        <v>444</v>
      </c>
      <c r="B3344" s="592" t="s">
        <v>3382</v>
      </c>
      <c r="C3344" s="593" t="s">
        <v>296</v>
      </c>
      <c r="D3344" s="594">
        <v>2273</v>
      </c>
      <c r="E3344" s="594">
        <v>511.8</v>
      </c>
      <c r="F3344" s="594" t="s">
        <v>227</v>
      </c>
      <c r="G3344" s="594">
        <v>437.8</v>
      </c>
      <c r="H3344" s="594">
        <v>2</v>
      </c>
      <c r="I3344" s="594">
        <v>2</v>
      </c>
      <c r="J3344" s="594">
        <v>12</v>
      </c>
      <c r="K3344" s="590" t="s">
        <v>33</v>
      </c>
      <c r="L3344" s="584">
        <f>M3344+N3344+O3344+Q3344</f>
        <v>959055</v>
      </c>
      <c r="M3344" s="596">
        <v>919380</v>
      </c>
      <c r="N3344" s="597">
        <v>20000</v>
      </c>
      <c r="O3344" s="598"/>
      <c r="P3344" s="594"/>
      <c r="Q3344" s="675">
        <v>19675</v>
      </c>
      <c r="R3344" s="599">
        <f>M3344/G3344</f>
        <v>2100</v>
      </c>
      <c r="S3344" s="1185"/>
      <c r="T3344" s="1186"/>
      <c r="U3344" s="589"/>
      <c r="V3344" s="589"/>
      <c r="W3344" s="589"/>
      <c r="X3344" s="591"/>
      <c r="Y3344" s="589"/>
      <c r="Z3344" s="589"/>
      <c r="AB3344" s="72"/>
      <c r="AD3344" s="72"/>
      <c r="AE3344" s="72"/>
      <c r="AF3344" s="72"/>
      <c r="AH3344" s="36"/>
      <c r="AI3344" s="14"/>
      <c r="AK3344" s="72"/>
    </row>
    <row r="3345" spans="1:37" s="246" customFormat="1" hidden="1">
      <c r="A3345" s="709">
        <f t="shared" si="502"/>
        <v>445</v>
      </c>
      <c r="B3345" s="592" t="s">
        <v>3383</v>
      </c>
      <c r="C3345" s="593" t="s">
        <v>296</v>
      </c>
      <c r="D3345" s="594">
        <v>2270</v>
      </c>
      <c r="E3345" s="594">
        <v>511.4</v>
      </c>
      <c r="F3345" s="594" t="s">
        <v>227</v>
      </c>
      <c r="G3345" s="594">
        <v>437.8</v>
      </c>
      <c r="H3345" s="594">
        <v>2</v>
      </c>
      <c r="I3345" s="594">
        <v>2</v>
      </c>
      <c r="J3345" s="594">
        <v>12</v>
      </c>
      <c r="K3345" s="590" t="s">
        <v>33</v>
      </c>
      <c r="L3345" s="584">
        <f>M3345+N3345+O3345+Q3345</f>
        <v>959055</v>
      </c>
      <c r="M3345" s="596">
        <v>919380</v>
      </c>
      <c r="N3345" s="597">
        <v>20000</v>
      </c>
      <c r="O3345" s="598"/>
      <c r="P3345" s="594"/>
      <c r="Q3345" s="675">
        <v>19675</v>
      </c>
      <c r="R3345" s="599">
        <f>M3345/G3345</f>
        <v>2100</v>
      </c>
      <c r="S3345" s="1185"/>
      <c r="T3345" s="1186"/>
      <c r="U3345" s="589"/>
      <c r="V3345" s="589"/>
      <c r="W3345" s="589"/>
      <c r="X3345" s="591"/>
      <c r="Y3345" s="589"/>
      <c r="Z3345" s="589"/>
      <c r="AB3345" s="72"/>
      <c r="AD3345" s="72"/>
      <c r="AE3345" s="72"/>
      <c r="AF3345" s="72"/>
      <c r="AH3345" s="36"/>
      <c r="AI3345" s="14"/>
      <c r="AK3345" s="72"/>
    </row>
    <row r="3346" spans="1:37" s="246" customFormat="1" ht="37.5" hidden="1">
      <c r="A3346" s="709">
        <f t="shared" si="502"/>
        <v>446</v>
      </c>
      <c r="B3346" s="592" t="s">
        <v>3385</v>
      </c>
      <c r="C3346" s="593" t="s">
        <v>271</v>
      </c>
      <c r="D3346" s="603">
        <v>25010</v>
      </c>
      <c r="E3346" s="594">
        <v>2028</v>
      </c>
      <c r="F3346" s="594" t="s">
        <v>233</v>
      </c>
      <c r="G3346" s="603">
        <v>1014.3</v>
      </c>
      <c r="H3346" s="609">
        <v>9</v>
      </c>
      <c r="I3346" s="609">
        <v>2</v>
      </c>
      <c r="J3346" s="609">
        <v>228</v>
      </c>
      <c r="K3346" s="588" t="s">
        <v>30</v>
      </c>
      <c r="L3346" s="595">
        <f>M3346+N3346+O3346+P3346+Q3346</f>
        <v>7357888</v>
      </c>
      <c r="M3346" s="611">
        <f>J3346*32000</f>
        <v>7296000</v>
      </c>
      <c r="N3346" s="612"/>
      <c r="O3346" s="598">
        <f>M3346*0.3%</f>
        <v>21888</v>
      </c>
      <c r="P3346" s="586"/>
      <c r="Q3346" s="675">
        <v>40000</v>
      </c>
      <c r="R3346" s="599">
        <f>M3346/J3346</f>
        <v>32000</v>
      </c>
      <c r="S3346" s="1185"/>
      <c r="T3346" s="1186"/>
      <c r="U3346" s="589"/>
      <c r="V3346" s="589"/>
      <c r="W3346" s="589"/>
      <c r="X3346" s="591"/>
      <c r="Y3346" s="589"/>
      <c r="Z3346" s="589"/>
      <c r="AB3346" s="72"/>
      <c r="AD3346" s="72"/>
      <c r="AE3346" s="72"/>
      <c r="AF3346" s="72"/>
      <c r="AH3346" s="36"/>
      <c r="AI3346" s="14"/>
      <c r="AK3346" s="72"/>
    </row>
    <row r="3347" spans="1:37" s="246" customFormat="1" hidden="1">
      <c r="A3347" s="709">
        <f t="shared" si="502"/>
        <v>447</v>
      </c>
      <c r="B3347" s="674" t="s">
        <v>3387</v>
      </c>
      <c r="C3347" s="593" t="s">
        <v>271</v>
      </c>
      <c r="D3347" s="708">
        <v>11248</v>
      </c>
      <c r="E3347" s="708">
        <v>2230</v>
      </c>
      <c r="F3347" s="594" t="s">
        <v>222</v>
      </c>
      <c r="G3347" s="708">
        <v>1121</v>
      </c>
      <c r="H3347" s="708">
        <v>4</v>
      </c>
      <c r="I3347" s="708">
        <v>4</v>
      </c>
      <c r="J3347" s="708">
        <v>40</v>
      </c>
      <c r="K3347" s="588" t="s">
        <v>33</v>
      </c>
      <c r="L3347" s="595">
        <f>M3347+N3347+O3347+P3347+Q3347+M3348+N3348+O3348+P3348+Q3348</f>
        <v>6813089</v>
      </c>
      <c r="M3347" s="611">
        <v>3363000</v>
      </c>
      <c r="N3347" s="586"/>
      <c r="O3347" s="598">
        <f>M3347*0.3%</f>
        <v>10089</v>
      </c>
      <c r="P3347" s="586"/>
      <c r="Q3347" s="675">
        <v>40000</v>
      </c>
      <c r="R3347" s="599">
        <f>M3347/G3347</f>
        <v>3000</v>
      </c>
      <c r="S3347" s="1185"/>
      <c r="T3347" s="1186"/>
      <c r="U3347" s="589"/>
      <c r="V3347" s="589"/>
      <c r="W3347" s="589"/>
      <c r="X3347" s="591"/>
      <c r="Y3347" s="589"/>
      <c r="Z3347" s="589"/>
      <c r="AB3347" s="72"/>
      <c r="AD3347" s="72"/>
      <c r="AE3347" s="72"/>
      <c r="AF3347" s="72"/>
      <c r="AH3347" s="36"/>
      <c r="AI3347" s="14"/>
      <c r="AK3347" s="72"/>
    </row>
    <row r="3348" spans="1:37" s="75" customFormat="1" hidden="1">
      <c r="A3348" s="709"/>
      <c r="B3348" s="592"/>
      <c r="C3348" s="593"/>
      <c r="D3348" s="650"/>
      <c r="E3348" s="594"/>
      <c r="F3348" s="594"/>
      <c r="G3348" s="594"/>
      <c r="H3348" s="594"/>
      <c r="I3348" s="594"/>
      <c r="J3348" s="594"/>
      <c r="K3348" s="720" t="s">
        <v>38</v>
      </c>
      <c r="L3348" s="992"/>
      <c r="M3348" s="962">
        <v>3345000</v>
      </c>
      <c r="N3348" s="722"/>
      <c r="O3348" s="963">
        <v>25000</v>
      </c>
      <c r="P3348" s="722"/>
      <c r="Q3348" s="722">
        <v>30000</v>
      </c>
      <c r="R3348" s="599"/>
      <c r="S3348" s="594"/>
      <c r="T3348" s="600"/>
      <c r="U3348" s="709"/>
      <c r="V3348" s="601"/>
      <c r="W3348" s="601"/>
      <c r="X3348" s="601"/>
      <c r="Y3348" s="601"/>
      <c r="Z3348" s="601"/>
    </row>
    <row r="3349" spans="1:37" s="246" customFormat="1" ht="37.5" hidden="1">
      <c r="A3349" s="709">
        <f>A3347+1</f>
        <v>448</v>
      </c>
      <c r="B3349" s="592" t="s">
        <v>4079</v>
      </c>
      <c r="C3349" s="593" t="s">
        <v>271</v>
      </c>
      <c r="D3349" s="561">
        <v>26055</v>
      </c>
      <c r="E3349" s="561">
        <v>5839</v>
      </c>
      <c r="F3349" s="594" t="s">
        <v>233</v>
      </c>
      <c r="G3349" s="561">
        <v>1101</v>
      </c>
      <c r="H3349" s="1188" t="s">
        <v>3817</v>
      </c>
      <c r="I3349" s="561">
        <v>3</v>
      </c>
      <c r="J3349" s="561">
        <v>52</v>
      </c>
      <c r="K3349" s="588" t="s">
        <v>30</v>
      </c>
      <c r="L3349" s="595">
        <f>M3349+N3349+O3349+P3349+Q3349</f>
        <v>1704602</v>
      </c>
      <c r="M3349" s="563">
        <f>J3349*32000</f>
        <v>1664000</v>
      </c>
      <c r="N3349" s="564"/>
      <c r="O3349" s="587">
        <f>M3349*0.3%</f>
        <v>4992</v>
      </c>
      <c r="P3349" s="564"/>
      <c r="Q3349" s="675">
        <v>35610</v>
      </c>
      <c r="R3349" s="599">
        <f>M3349/J3349</f>
        <v>32000</v>
      </c>
      <c r="S3349" s="1185"/>
      <c r="T3349" s="1186"/>
      <c r="U3349" s="589"/>
      <c r="V3349" s="589"/>
      <c r="W3349" s="589"/>
      <c r="X3349" s="591"/>
      <c r="Y3349" s="589"/>
      <c r="Z3349" s="589"/>
      <c r="AB3349" s="72"/>
      <c r="AD3349" s="72"/>
      <c r="AE3349" s="72"/>
      <c r="AF3349" s="72"/>
      <c r="AH3349" s="36"/>
      <c r="AI3349" s="14"/>
      <c r="AK3349" s="72"/>
    </row>
    <row r="3350" spans="1:37" s="246" customFormat="1" hidden="1">
      <c r="A3350" s="709">
        <f t="shared" si="502"/>
        <v>449</v>
      </c>
      <c r="B3350" s="1011" t="s">
        <v>3827</v>
      </c>
      <c r="C3350" s="593" t="s">
        <v>271</v>
      </c>
      <c r="D3350" s="618">
        <v>22880</v>
      </c>
      <c r="E3350" s="619">
        <v>6420</v>
      </c>
      <c r="F3350" s="594" t="s">
        <v>233</v>
      </c>
      <c r="G3350" s="619">
        <v>751</v>
      </c>
      <c r="H3350" s="561">
        <v>16</v>
      </c>
      <c r="I3350" s="561">
        <v>1</v>
      </c>
      <c r="J3350" s="650">
        <v>81</v>
      </c>
      <c r="K3350" s="588" t="s">
        <v>33</v>
      </c>
      <c r="L3350" s="595">
        <f>M3350+N3350+O3350+P3350+Q3350</f>
        <v>1615581.3</v>
      </c>
      <c r="M3350" s="596">
        <f>G3350*2100</f>
        <v>1577100</v>
      </c>
      <c r="N3350" s="597"/>
      <c r="O3350" s="598">
        <f>M3350*0.3%</f>
        <v>4731.3</v>
      </c>
      <c r="P3350" s="597"/>
      <c r="Q3350" s="675">
        <v>33750</v>
      </c>
      <c r="R3350" s="599">
        <f>M3350/G3350</f>
        <v>2100</v>
      </c>
      <c r="S3350" s="1185"/>
      <c r="T3350" s="1186"/>
      <c r="U3350" s="589"/>
      <c r="V3350" s="589"/>
      <c r="W3350" s="589"/>
      <c r="X3350" s="591"/>
      <c r="Y3350" s="589"/>
      <c r="Z3350" s="589"/>
      <c r="AB3350" s="72"/>
      <c r="AD3350" s="72"/>
      <c r="AE3350" s="72"/>
      <c r="AF3350" s="72"/>
      <c r="AH3350" s="36"/>
      <c r="AI3350" s="14"/>
      <c r="AK3350" s="72"/>
    </row>
    <row r="3351" spans="1:37" s="246" customFormat="1" hidden="1">
      <c r="A3351" s="709">
        <f t="shared" si="502"/>
        <v>450</v>
      </c>
      <c r="B3351" s="592" t="s">
        <v>3838</v>
      </c>
      <c r="C3351" s="593" t="s">
        <v>292</v>
      </c>
      <c r="D3351" s="594">
        <v>1758</v>
      </c>
      <c r="E3351" s="594">
        <v>452</v>
      </c>
      <c r="F3351" s="594" t="s">
        <v>251</v>
      </c>
      <c r="G3351" s="594">
        <v>550</v>
      </c>
      <c r="H3351" s="594">
        <v>2</v>
      </c>
      <c r="I3351" s="594">
        <v>2</v>
      </c>
      <c r="J3351" s="594">
        <v>8</v>
      </c>
      <c r="K3351" s="590" t="s">
        <v>38</v>
      </c>
      <c r="L3351" s="584">
        <f>M3351+N3351+O3351+Q3351</f>
        <v>897178</v>
      </c>
      <c r="M3351" s="596">
        <v>858800</v>
      </c>
      <c r="N3351" s="597">
        <v>20000</v>
      </c>
      <c r="O3351" s="598"/>
      <c r="P3351" s="594"/>
      <c r="Q3351" s="675">
        <v>18378</v>
      </c>
      <c r="R3351" s="599">
        <f>M3351/E3351</f>
        <v>1900</v>
      </c>
      <c r="S3351" s="1185"/>
      <c r="T3351" s="1186"/>
      <c r="U3351" s="589"/>
      <c r="V3351" s="589"/>
      <c r="W3351" s="589"/>
      <c r="X3351" s="591"/>
      <c r="Y3351" s="589"/>
      <c r="Z3351" s="589"/>
      <c r="AB3351" s="72"/>
      <c r="AD3351" s="72"/>
      <c r="AE3351" s="72"/>
      <c r="AF3351" s="72"/>
      <c r="AH3351" s="36"/>
      <c r="AI3351" s="14"/>
      <c r="AK3351" s="72"/>
    </row>
    <row r="3352" spans="1:37" s="246" customFormat="1" hidden="1">
      <c r="A3352" s="709">
        <f t="shared" si="502"/>
        <v>451</v>
      </c>
      <c r="B3352" s="592" t="s">
        <v>3390</v>
      </c>
      <c r="C3352" s="593" t="s">
        <v>271</v>
      </c>
      <c r="D3352" s="582">
        <v>61909</v>
      </c>
      <c r="E3352" s="582">
        <v>8960</v>
      </c>
      <c r="F3352" s="594" t="s">
        <v>233</v>
      </c>
      <c r="G3352" s="582">
        <v>2467.4</v>
      </c>
      <c r="H3352" s="582">
        <v>9</v>
      </c>
      <c r="I3352" s="582">
        <v>6</v>
      </c>
      <c r="J3352" s="582">
        <v>222</v>
      </c>
      <c r="K3352" s="588" t="s">
        <v>224</v>
      </c>
      <c r="L3352" s="595">
        <f>M3352+N3352+O3352+P3352+Q3352</f>
        <v>5205000</v>
      </c>
      <c r="M3352" s="585">
        <v>5130000</v>
      </c>
      <c r="N3352" s="597">
        <v>35000</v>
      </c>
      <c r="O3352" s="598"/>
      <c r="P3352" s="586"/>
      <c r="Q3352" s="675">
        <v>40000</v>
      </c>
      <c r="R3352" s="599">
        <f>M3352/J3352</f>
        <v>23108.108108108107</v>
      </c>
      <c r="S3352" s="1185"/>
      <c r="T3352" s="1186"/>
      <c r="U3352" s="589"/>
      <c r="V3352" s="589"/>
      <c r="W3352" s="589"/>
      <c r="X3352" s="591"/>
      <c r="Y3352" s="589"/>
      <c r="Z3352" s="589"/>
      <c r="AB3352" s="72"/>
      <c r="AD3352" s="72"/>
      <c r="AE3352" s="72"/>
      <c r="AF3352" s="72"/>
      <c r="AH3352" s="36"/>
      <c r="AI3352" s="14"/>
      <c r="AK3352" s="72"/>
    </row>
    <row r="3353" spans="1:37" s="246" customFormat="1" hidden="1">
      <c r="A3353" s="709">
        <f t="shared" si="502"/>
        <v>452</v>
      </c>
      <c r="B3353" s="592" t="s">
        <v>3841</v>
      </c>
      <c r="C3353" s="593" t="s">
        <v>271</v>
      </c>
      <c r="D3353" s="594">
        <v>11911</v>
      </c>
      <c r="E3353" s="594">
        <v>2592</v>
      </c>
      <c r="F3353" s="594" t="s">
        <v>222</v>
      </c>
      <c r="G3353" s="594">
        <v>996</v>
      </c>
      <c r="H3353" s="594">
        <v>4</v>
      </c>
      <c r="I3353" s="594">
        <v>4</v>
      </c>
      <c r="J3353" s="594">
        <v>28</v>
      </c>
      <c r="K3353" s="588" t="s">
        <v>33</v>
      </c>
      <c r="L3353" s="595">
        <f>M3353+N3353+O3353+P3353+Q3353</f>
        <v>2837166.4</v>
      </c>
      <c r="M3353" s="596">
        <f>G3353*2800</f>
        <v>2788800</v>
      </c>
      <c r="N3353" s="597"/>
      <c r="O3353" s="598">
        <f>M3353*0.3%</f>
        <v>8366.4</v>
      </c>
      <c r="P3353" s="597"/>
      <c r="Q3353" s="675">
        <v>40000</v>
      </c>
      <c r="R3353" s="599">
        <f>M3353/G3353</f>
        <v>2800</v>
      </c>
      <c r="S3353" s="1185"/>
      <c r="T3353" s="1186"/>
      <c r="U3353" s="589"/>
      <c r="V3353" s="589"/>
      <c r="W3353" s="589"/>
      <c r="X3353" s="591"/>
      <c r="Y3353" s="589"/>
      <c r="Z3353" s="589"/>
      <c r="AB3353" s="72"/>
      <c r="AD3353" s="72"/>
      <c r="AE3353" s="72"/>
      <c r="AF3353" s="72"/>
      <c r="AH3353" s="36"/>
      <c r="AI3353" s="14"/>
      <c r="AK3353" s="72"/>
    </row>
    <row r="3354" spans="1:37" s="246" customFormat="1" hidden="1">
      <c r="A3354" s="709">
        <f t="shared" si="502"/>
        <v>453</v>
      </c>
      <c r="B3354" s="592" t="s">
        <v>3399</v>
      </c>
      <c r="C3354" s="593" t="s">
        <v>229</v>
      </c>
      <c r="D3354" s="594">
        <v>1357</v>
      </c>
      <c r="E3354" s="594">
        <v>602</v>
      </c>
      <c r="F3354" s="594" t="s">
        <v>222</v>
      </c>
      <c r="G3354" s="594">
        <v>261</v>
      </c>
      <c r="H3354" s="594">
        <v>2</v>
      </c>
      <c r="I3354" s="594">
        <v>2</v>
      </c>
      <c r="J3354" s="594">
        <v>8</v>
      </c>
      <c r="K3354" s="590" t="s">
        <v>398</v>
      </c>
      <c r="L3354" s="584">
        <f>M3354+N3354+O3354+Q3354</f>
        <v>611488</v>
      </c>
      <c r="M3354" s="596">
        <v>574200</v>
      </c>
      <c r="N3354" s="597">
        <v>25000</v>
      </c>
      <c r="O3354" s="598"/>
      <c r="P3354" s="594"/>
      <c r="Q3354" s="675">
        <v>12288</v>
      </c>
      <c r="R3354" s="599">
        <f>M3354/G3354</f>
        <v>2200</v>
      </c>
      <c r="S3354" s="1185"/>
      <c r="T3354" s="1186"/>
      <c r="U3354" s="589"/>
      <c r="V3354" s="589"/>
      <c r="W3354" s="589"/>
      <c r="X3354" s="591"/>
      <c r="Y3354" s="589"/>
      <c r="Z3354" s="589"/>
      <c r="AB3354" s="72"/>
      <c r="AD3354" s="72"/>
      <c r="AE3354" s="72"/>
      <c r="AF3354" s="72"/>
      <c r="AH3354" s="36"/>
      <c r="AI3354" s="14"/>
      <c r="AK3354" s="72"/>
    </row>
    <row r="3355" spans="1:37" s="246" customFormat="1" ht="37.5" hidden="1">
      <c r="A3355" s="709">
        <f t="shared" si="502"/>
        <v>454</v>
      </c>
      <c r="B3355" s="834" t="s">
        <v>3826</v>
      </c>
      <c r="C3355" s="593" t="s">
        <v>271</v>
      </c>
      <c r="D3355" s="582">
        <v>10633</v>
      </c>
      <c r="E3355" s="582">
        <v>2311</v>
      </c>
      <c r="F3355" s="594" t="s">
        <v>233</v>
      </c>
      <c r="G3355" s="582">
        <v>481.1</v>
      </c>
      <c r="H3355" s="582">
        <v>5</v>
      </c>
      <c r="I3355" s="582">
        <v>1</v>
      </c>
      <c r="J3355" s="582">
        <v>77</v>
      </c>
      <c r="K3355" s="588" t="s">
        <v>30</v>
      </c>
      <c r="L3355" s="595">
        <f>M3355+N3355+O3355+P3355+Q3355</f>
        <v>2343252.3199999998</v>
      </c>
      <c r="M3355" s="585">
        <v>2287439</v>
      </c>
      <c r="N3355" s="586"/>
      <c r="O3355" s="587">
        <v>6862.32</v>
      </c>
      <c r="P3355" s="586"/>
      <c r="Q3355" s="675">
        <v>48951</v>
      </c>
      <c r="R3355" s="599">
        <f>M3355/J3355</f>
        <v>29707</v>
      </c>
      <c r="S3355" s="1185"/>
      <c r="T3355" s="1186"/>
      <c r="U3355" s="589"/>
      <c r="V3355" s="589"/>
      <c r="W3355" s="589"/>
      <c r="X3355" s="591"/>
      <c r="Y3355" s="589"/>
      <c r="Z3355" s="589"/>
      <c r="AB3355" s="72"/>
      <c r="AD3355" s="72"/>
      <c r="AE3355" s="72"/>
      <c r="AF3355" s="72"/>
      <c r="AH3355" s="36"/>
      <c r="AI3355" s="14"/>
      <c r="AK3355" s="72"/>
    </row>
    <row r="3356" spans="1:37" s="75" customFormat="1" ht="37.5" hidden="1">
      <c r="A3356" s="709">
        <f t="shared" si="502"/>
        <v>455</v>
      </c>
      <c r="B3356" s="592" t="s">
        <v>3402</v>
      </c>
      <c r="C3356" s="593" t="s">
        <v>229</v>
      </c>
      <c r="D3356" s="594">
        <v>3411</v>
      </c>
      <c r="E3356" s="594">
        <v>328</v>
      </c>
      <c r="F3356" s="594" t="s">
        <v>222</v>
      </c>
      <c r="G3356" s="594">
        <v>697.7</v>
      </c>
      <c r="H3356" s="594">
        <v>2</v>
      </c>
      <c r="I3356" s="594">
        <v>3</v>
      </c>
      <c r="J3356" s="594">
        <v>26</v>
      </c>
      <c r="K3356" s="590" t="s">
        <v>30</v>
      </c>
      <c r="L3356" s="584">
        <f>M3356+N3356+O3356+Q3356</f>
        <v>688910</v>
      </c>
      <c r="M3356" s="596">
        <v>650000</v>
      </c>
      <c r="N3356" s="597">
        <v>25000</v>
      </c>
      <c r="O3356" s="598"/>
      <c r="P3356" s="594"/>
      <c r="Q3356" s="675">
        <v>13910</v>
      </c>
      <c r="R3356" s="1116">
        <f>M3356/J3356</f>
        <v>25000</v>
      </c>
      <c r="S3356" s="586"/>
      <c r="T3356" s="600"/>
      <c r="U3356" s="709"/>
      <c r="V3356" s="589"/>
      <c r="W3356" s="601"/>
      <c r="X3356" s="601"/>
      <c r="Y3356" s="601"/>
      <c r="Z3356" s="601"/>
    </row>
    <row r="3357" spans="1:37" s="113" customFormat="1" ht="37.5" hidden="1">
      <c r="A3357" s="709">
        <f t="shared" si="502"/>
        <v>456</v>
      </c>
      <c r="B3357" s="592" t="s">
        <v>695</v>
      </c>
      <c r="C3357" s="593" t="s">
        <v>271</v>
      </c>
      <c r="D3357" s="582">
        <v>27781</v>
      </c>
      <c r="E3357" s="646">
        <v>7104</v>
      </c>
      <c r="F3357" s="594" t="s">
        <v>233</v>
      </c>
      <c r="G3357" s="582">
        <v>699.1</v>
      </c>
      <c r="H3357" s="582">
        <v>9</v>
      </c>
      <c r="I3357" s="582">
        <v>2</v>
      </c>
      <c r="J3357" s="582">
        <v>226</v>
      </c>
      <c r="K3357" s="588" t="s">
        <v>366</v>
      </c>
      <c r="L3357" s="595">
        <f>M3357+N3357+O3357+P3357+Q3357</f>
        <v>4106250</v>
      </c>
      <c r="M3357" s="585">
        <v>4000000</v>
      </c>
      <c r="N3357" s="586">
        <v>106250</v>
      </c>
      <c r="O3357" s="565"/>
      <c r="P3357" s="564"/>
      <c r="Q3357" s="675"/>
      <c r="R3357" s="582">
        <f>M3357/I3357</f>
        <v>2000000</v>
      </c>
      <c r="S3357" s="586"/>
      <c r="T3357" s="588"/>
      <c r="U3357" s="1189"/>
      <c r="V3357" s="589"/>
      <c r="W3357" s="639"/>
      <c r="X3357" s="639"/>
      <c r="Y3357" s="639"/>
      <c r="Z3357" s="639"/>
    </row>
    <row r="3358" spans="1:37" s="75" customFormat="1" hidden="1">
      <c r="A3358" s="709">
        <f t="shared" si="502"/>
        <v>457</v>
      </c>
      <c r="B3358" s="592" t="s">
        <v>3836</v>
      </c>
      <c r="C3358" s="593" t="s">
        <v>217</v>
      </c>
      <c r="D3358" s="582">
        <v>62917</v>
      </c>
      <c r="E3358" s="626">
        <v>7500</v>
      </c>
      <c r="F3358" s="643" t="s">
        <v>233</v>
      </c>
      <c r="G3358" s="625">
        <v>2737.6</v>
      </c>
      <c r="H3358" s="625">
        <v>9</v>
      </c>
      <c r="I3358" s="582">
        <v>6</v>
      </c>
      <c r="J3358" s="582">
        <v>320</v>
      </c>
      <c r="K3358" s="588" t="s">
        <v>224</v>
      </c>
      <c r="L3358" s="595">
        <f>M3358+N3358+O3358+P3358+Q3358</f>
        <v>6475000</v>
      </c>
      <c r="M3358" s="596">
        <v>6400000</v>
      </c>
      <c r="N3358" s="597">
        <v>35000</v>
      </c>
      <c r="O3358" s="587"/>
      <c r="P3358" s="586"/>
      <c r="Q3358" s="675">
        <v>40000</v>
      </c>
      <c r="R3358" s="1116">
        <f>M3358/J3358</f>
        <v>20000</v>
      </c>
      <c r="S3358" s="601"/>
      <c r="T3358" s="601"/>
      <c r="U3358" s="709"/>
      <c r="V3358" s="589"/>
      <c r="W3358" s="601"/>
      <c r="X3358" s="601"/>
      <c r="Y3358" s="601"/>
      <c r="Z3358" s="601"/>
    </row>
    <row r="3359" spans="1:37" hidden="1">
      <c r="A3359" s="709">
        <f t="shared" si="502"/>
        <v>458</v>
      </c>
      <c r="B3359" s="592" t="s">
        <v>3835</v>
      </c>
      <c r="C3359" s="593" t="s">
        <v>271</v>
      </c>
      <c r="D3359" s="582">
        <v>51687</v>
      </c>
      <c r="E3359" s="626">
        <v>6500</v>
      </c>
      <c r="F3359" s="594" t="s">
        <v>233</v>
      </c>
      <c r="G3359" s="625">
        <v>2215</v>
      </c>
      <c r="H3359" s="625">
        <v>9</v>
      </c>
      <c r="I3359" s="582">
        <v>5</v>
      </c>
      <c r="J3359" s="582">
        <v>270</v>
      </c>
      <c r="K3359" s="588" t="s">
        <v>100</v>
      </c>
      <c r="L3359" s="595">
        <f>M3359+N3359+O3359+P3359+Q3359</f>
        <v>1562100</v>
      </c>
      <c r="M3359" s="596">
        <v>1500000</v>
      </c>
      <c r="N3359" s="597">
        <v>30000</v>
      </c>
      <c r="O3359" s="587"/>
      <c r="P3359" s="597"/>
      <c r="Q3359" s="675">
        <v>32100</v>
      </c>
      <c r="R3359" s="599">
        <f>M3359/G3359</f>
        <v>677.20090293453723</v>
      </c>
      <c r="S3359" s="586"/>
      <c r="T3359" s="588"/>
      <c r="U3359" s="589"/>
      <c r="V3359" s="589"/>
    </row>
    <row r="3360" spans="1:37" s="517" customFormat="1" hidden="1">
      <c r="A3360" s="709">
        <f t="shared" si="502"/>
        <v>459</v>
      </c>
      <c r="B3360" s="592" t="s">
        <v>3831</v>
      </c>
      <c r="C3360" s="593" t="s">
        <v>217</v>
      </c>
      <c r="D3360" s="582">
        <v>20494</v>
      </c>
      <c r="E3360" s="646">
        <v>2652.4</v>
      </c>
      <c r="F3360" s="594" t="s">
        <v>233</v>
      </c>
      <c r="G3360" s="582">
        <v>895</v>
      </c>
      <c r="H3360" s="582">
        <v>9</v>
      </c>
      <c r="I3360" s="582">
        <v>2</v>
      </c>
      <c r="J3360" s="582">
        <v>84</v>
      </c>
      <c r="K3360" s="588" t="s">
        <v>33</v>
      </c>
      <c r="L3360" s="595">
        <f>M3360+N3360+O3360+P3360+Q3360</f>
        <v>1925359.5</v>
      </c>
      <c r="M3360" s="596">
        <f>G3360*2100</f>
        <v>1879500</v>
      </c>
      <c r="N3360" s="597"/>
      <c r="O3360" s="565">
        <f>M3360*0.3%</f>
        <v>5638.5</v>
      </c>
      <c r="P3360" s="597"/>
      <c r="Q3360" s="675">
        <v>40221</v>
      </c>
      <c r="R3360" s="599">
        <f>M3360/G3360</f>
        <v>2100</v>
      </c>
      <c r="S3360" s="591"/>
      <c r="T3360" s="589"/>
      <c r="U3360" s="589"/>
      <c r="V3360" s="589"/>
      <c r="W3360" s="1190"/>
      <c r="X3360" s="799"/>
      <c r="Y3360" s="1190"/>
      <c r="Z3360" s="589"/>
      <c r="AA3360" s="246"/>
      <c r="AB3360" s="72"/>
      <c r="AC3360" s="246"/>
      <c r="AD3360" s="72"/>
      <c r="AE3360" s="72"/>
      <c r="AF3360" s="516"/>
      <c r="AH3360" s="36"/>
      <c r="AI3360" s="14"/>
      <c r="AJ3360" s="246"/>
      <c r="AK3360" s="72"/>
    </row>
    <row r="3361" spans="1:37" s="75" customFormat="1" hidden="1">
      <c r="A3361" s="709">
        <f t="shared" si="502"/>
        <v>460</v>
      </c>
      <c r="B3361" s="592" t="s">
        <v>716</v>
      </c>
      <c r="C3361" s="593" t="s">
        <v>217</v>
      </c>
      <c r="D3361" s="582">
        <v>23915</v>
      </c>
      <c r="E3361" s="646">
        <v>4232.3</v>
      </c>
      <c r="F3361" s="594" t="s">
        <v>233</v>
      </c>
      <c r="G3361" s="582">
        <v>979</v>
      </c>
      <c r="H3361" s="582">
        <v>9</v>
      </c>
      <c r="I3361" s="582">
        <v>3</v>
      </c>
      <c r="J3361" s="582">
        <v>108</v>
      </c>
      <c r="K3361" s="588" t="s">
        <v>33</v>
      </c>
      <c r="L3361" s="595">
        <f>M3361+N3361+O3361+P3361+Q3361</f>
        <v>2106063.7000000002</v>
      </c>
      <c r="M3361" s="585">
        <f>G3361*2100</f>
        <v>2055900</v>
      </c>
      <c r="N3361" s="564"/>
      <c r="O3361" s="613">
        <f>M3361*0.003</f>
        <v>6167.7</v>
      </c>
      <c r="P3361" s="586"/>
      <c r="Q3361" s="675">
        <v>43996</v>
      </c>
      <c r="R3361" s="599">
        <f>M3361/G3361</f>
        <v>2100</v>
      </c>
      <c r="S3361" s="586"/>
      <c r="T3361" s="600"/>
      <c r="U3361" s="709"/>
      <c r="V3361" s="589"/>
      <c r="W3361" s="601"/>
      <c r="X3361" s="601"/>
      <c r="Y3361" s="601"/>
      <c r="Z3361" s="601"/>
    </row>
    <row r="3362" spans="1:37" s="75" customFormat="1" hidden="1">
      <c r="A3362" s="709">
        <f t="shared" si="502"/>
        <v>461</v>
      </c>
      <c r="B3362" s="592" t="s">
        <v>3403</v>
      </c>
      <c r="C3362" s="593" t="s">
        <v>229</v>
      </c>
      <c r="D3362" s="594">
        <v>1305</v>
      </c>
      <c r="E3362" s="594">
        <v>480</v>
      </c>
      <c r="F3362" s="594" t="s">
        <v>222</v>
      </c>
      <c r="G3362" s="594">
        <v>278</v>
      </c>
      <c r="H3362" s="594">
        <v>2</v>
      </c>
      <c r="I3362" s="594">
        <v>1</v>
      </c>
      <c r="J3362" s="594">
        <v>8</v>
      </c>
      <c r="K3362" s="590" t="s">
        <v>398</v>
      </c>
      <c r="L3362" s="584">
        <f>M3362+N3362+O3362+Q3362</f>
        <v>649688</v>
      </c>
      <c r="M3362" s="596">
        <v>611600</v>
      </c>
      <c r="N3362" s="597">
        <v>25000</v>
      </c>
      <c r="O3362" s="598"/>
      <c r="P3362" s="594"/>
      <c r="Q3362" s="675">
        <v>13088</v>
      </c>
      <c r="R3362" s="599">
        <f>M3362/G3362</f>
        <v>2200</v>
      </c>
      <c r="S3362" s="586"/>
      <c r="T3362" s="600"/>
      <c r="U3362" s="709"/>
      <c r="V3362" s="589"/>
      <c r="W3362" s="601"/>
      <c r="X3362" s="601"/>
      <c r="Y3362" s="601"/>
      <c r="Z3362" s="601"/>
    </row>
    <row r="3363" spans="1:37" s="75" customFormat="1" hidden="1">
      <c r="A3363" s="709">
        <f t="shared" si="502"/>
        <v>462</v>
      </c>
      <c r="B3363" s="592" t="s">
        <v>3825</v>
      </c>
      <c r="C3363" s="593" t="s">
        <v>271</v>
      </c>
      <c r="D3363" s="594">
        <v>10053</v>
      </c>
      <c r="E3363" s="594">
        <v>2276.8000000000002</v>
      </c>
      <c r="F3363" s="594" t="s">
        <v>222</v>
      </c>
      <c r="G3363" s="594">
        <v>908</v>
      </c>
      <c r="H3363" s="594">
        <v>5</v>
      </c>
      <c r="I3363" s="594">
        <v>3</v>
      </c>
      <c r="J3363" s="594">
        <v>30</v>
      </c>
      <c r="K3363" s="588" t="s">
        <v>33</v>
      </c>
      <c r="L3363" s="595">
        <f>M3363+N3363+O3363+P3363+Q3363</f>
        <v>3227534</v>
      </c>
      <c r="M3363" s="596">
        <f>G3363*3500</f>
        <v>3178000</v>
      </c>
      <c r="N3363" s="597"/>
      <c r="O3363" s="598">
        <f>M3363*0.3%</f>
        <v>9534</v>
      </c>
      <c r="P3363" s="597"/>
      <c r="Q3363" s="675">
        <v>40000</v>
      </c>
      <c r="R3363" s="599">
        <f>M3363/G3363</f>
        <v>3500</v>
      </c>
      <c r="S3363" s="586"/>
      <c r="T3363" s="600"/>
      <c r="U3363" s="709"/>
      <c r="V3363" s="589"/>
      <c r="W3363" s="601"/>
      <c r="X3363" s="601"/>
      <c r="Y3363" s="601"/>
      <c r="Z3363" s="601"/>
    </row>
    <row r="3364" spans="1:37" s="75" customFormat="1" hidden="1">
      <c r="A3364" s="709">
        <f t="shared" si="502"/>
        <v>463</v>
      </c>
      <c r="B3364" s="592" t="s">
        <v>3833</v>
      </c>
      <c r="C3364" s="593" t="s">
        <v>271</v>
      </c>
      <c r="D3364" s="594">
        <v>922</v>
      </c>
      <c r="E3364" s="594">
        <v>297</v>
      </c>
      <c r="F3364" s="594" t="s">
        <v>222</v>
      </c>
      <c r="G3364" s="594">
        <v>199.8</v>
      </c>
      <c r="H3364" s="594">
        <v>2</v>
      </c>
      <c r="I3364" s="594">
        <v>1</v>
      </c>
      <c r="J3364" s="594">
        <v>8</v>
      </c>
      <c r="K3364" s="588" t="s">
        <v>38</v>
      </c>
      <c r="L3364" s="595">
        <f>M3364+N3364+O3364+P3364+Q3364</f>
        <v>760617.5</v>
      </c>
      <c r="M3364" s="596">
        <f>E3364*2500</f>
        <v>742500</v>
      </c>
      <c r="N3364" s="597"/>
      <c r="O3364" s="598">
        <f>M3364*0.3%</f>
        <v>2227.5</v>
      </c>
      <c r="P3364" s="597"/>
      <c r="Q3364" s="675">
        <v>15890</v>
      </c>
      <c r="R3364" s="599">
        <f>M3364/E3364</f>
        <v>2500</v>
      </c>
      <c r="S3364" s="586"/>
      <c r="T3364" s="600"/>
      <c r="U3364" s="709"/>
      <c r="V3364" s="589"/>
      <c r="W3364" s="601"/>
      <c r="X3364" s="601"/>
      <c r="Y3364" s="601"/>
      <c r="Z3364" s="601"/>
    </row>
    <row r="3365" spans="1:37" s="75" customFormat="1" hidden="1">
      <c r="A3365" s="709">
        <f t="shared" si="502"/>
        <v>464</v>
      </c>
      <c r="B3365" s="592" t="s">
        <v>3406</v>
      </c>
      <c r="C3365" s="593" t="s">
        <v>229</v>
      </c>
      <c r="D3365" s="594">
        <v>1462</v>
      </c>
      <c r="E3365" s="594">
        <v>480</v>
      </c>
      <c r="F3365" s="594" t="s">
        <v>222</v>
      </c>
      <c r="G3365" s="594">
        <v>329.4</v>
      </c>
      <c r="H3365" s="594">
        <v>2</v>
      </c>
      <c r="I3365" s="594">
        <v>1</v>
      </c>
      <c r="J3365" s="594">
        <v>8</v>
      </c>
      <c r="K3365" s="590" t="s">
        <v>398</v>
      </c>
      <c r="L3365" s="584">
        <f>M3365+N3365+O3365+Q3365</f>
        <v>765188</v>
      </c>
      <c r="M3365" s="596">
        <v>724680</v>
      </c>
      <c r="N3365" s="597">
        <v>25000</v>
      </c>
      <c r="O3365" s="598"/>
      <c r="P3365" s="594"/>
      <c r="Q3365" s="675">
        <v>15508</v>
      </c>
      <c r="R3365" s="599">
        <f>M3365/G3365</f>
        <v>2200</v>
      </c>
      <c r="S3365" s="586"/>
      <c r="T3365" s="600"/>
      <c r="U3365" s="709"/>
      <c r="V3365" s="589"/>
      <c r="W3365" s="601"/>
      <c r="X3365" s="601"/>
      <c r="Y3365" s="601"/>
      <c r="Z3365" s="601"/>
    </row>
    <row r="3366" spans="1:37" s="75" customFormat="1" hidden="1">
      <c r="A3366" s="709">
        <f t="shared" si="502"/>
        <v>465</v>
      </c>
      <c r="B3366" s="592" t="s">
        <v>3407</v>
      </c>
      <c r="C3366" s="593" t="s">
        <v>229</v>
      </c>
      <c r="D3366" s="594">
        <v>1564</v>
      </c>
      <c r="E3366" s="594">
        <v>480</v>
      </c>
      <c r="F3366" s="594" t="s">
        <v>313</v>
      </c>
      <c r="G3366" s="594">
        <v>324</v>
      </c>
      <c r="H3366" s="594">
        <v>2</v>
      </c>
      <c r="I3366" s="594">
        <v>1</v>
      </c>
      <c r="J3366" s="594">
        <v>8</v>
      </c>
      <c r="K3366" s="590" t="s">
        <v>398</v>
      </c>
      <c r="L3366" s="584">
        <f>M3366+N3366+O3366+Q3366</f>
        <v>753054</v>
      </c>
      <c r="M3366" s="596">
        <v>712800</v>
      </c>
      <c r="N3366" s="597">
        <v>25000</v>
      </c>
      <c r="O3366" s="598"/>
      <c r="P3366" s="594"/>
      <c r="Q3366" s="675">
        <v>15254</v>
      </c>
      <c r="R3366" s="599">
        <f>M3366/G3366</f>
        <v>2200</v>
      </c>
      <c r="S3366" s="586"/>
      <c r="T3366" s="600"/>
      <c r="U3366" s="709"/>
      <c r="V3366" s="589"/>
      <c r="W3366" s="601"/>
      <c r="X3366" s="601"/>
      <c r="Y3366" s="601"/>
      <c r="Z3366" s="601"/>
    </row>
    <row r="3367" spans="1:37" s="75" customFormat="1" hidden="1">
      <c r="A3367" s="709">
        <f t="shared" si="502"/>
        <v>466</v>
      </c>
      <c r="B3367" s="581" t="s">
        <v>798</v>
      </c>
      <c r="C3367" s="593" t="s">
        <v>217</v>
      </c>
      <c r="D3367" s="561">
        <v>32576</v>
      </c>
      <c r="E3367" s="646">
        <v>5393.6</v>
      </c>
      <c r="F3367" s="594" t="s">
        <v>233</v>
      </c>
      <c r="G3367" s="561">
        <v>1397</v>
      </c>
      <c r="H3367" s="582">
        <v>9</v>
      </c>
      <c r="I3367" s="582">
        <v>4</v>
      </c>
      <c r="J3367" s="561">
        <v>144</v>
      </c>
      <c r="K3367" s="588" t="s">
        <v>224</v>
      </c>
      <c r="L3367" s="595">
        <f>M3367+N3367+O3367+P3367+Q3367</f>
        <v>2955000</v>
      </c>
      <c r="M3367" s="731">
        <f>J3367*20000</f>
        <v>2880000</v>
      </c>
      <c r="N3367" s="597">
        <v>35000</v>
      </c>
      <c r="O3367" s="732"/>
      <c r="P3367" s="728"/>
      <c r="Q3367" s="675">
        <v>40000</v>
      </c>
      <c r="R3367" s="599">
        <f>M3367/J3367</f>
        <v>20000</v>
      </c>
      <c r="S3367" s="586"/>
      <c r="T3367" s="600"/>
      <c r="U3367" s="709"/>
      <c r="V3367" s="589"/>
      <c r="W3367" s="601"/>
      <c r="X3367" s="601"/>
      <c r="Y3367" s="601"/>
      <c r="Z3367" s="601"/>
    </row>
    <row r="3368" spans="1:37" s="75" customFormat="1" hidden="1">
      <c r="A3368" s="709">
        <f t="shared" si="502"/>
        <v>467</v>
      </c>
      <c r="B3368" s="592" t="s">
        <v>3828</v>
      </c>
      <c r="C3368" s="593" t="s">
        <v>217</v>
      </c>
      <c r="D3368" s="561">
        <v>31673</v>
      </c>
      <c r="E3368" s="646">
        <v>5394</v>
      </c>
      <c r="F3368" s="594" t="s">
        <v>233</v>
      </c>
      <c r="G3368" s="561">
        <v>1391</v>
      </c>
      <c r="H3368" s="582">
        <v>9</v>
      </c>
      <c r="I3368" s="582">
        <v>4</v>
      </c>
      <c r="J3368" s="561">
        <v>144</v>
      </c>
      <c r="K3368" s="588" t="s">
        <v>33</v>
      </c>
      <c r="L3368" s="595">
        <f>M3368+N3368+O3368+P3368+Q3368</f>
        <v>2969863.3</v>
      </c>
      <c r="M3368" s="563">
        <f>G3368*2100</f>
        <v>2921100</v>
      </c>
      <c r="N3368" s="564"/>
      <c r="O3368" s="565">
        <f>M3368*0.003</f>
        <v>8763.3000000000011</v>
      </c>
      <c r="P3368" s="564"/>
      <c r="Q3368" s="675">
        <v>40000</v>
      </c>
      <c r="R3368" s="599">
        <f>M3368/G3368</f>
        <v>2100</v>
      </c>
      <c r="S3368" s="586"/>
      <c r="T3368" s="600"/>
      <c r="U3368" s="709"/>
      <c r="V3368" s="589"/>
      <c r="W3368" s="601"/>
      <c r="X3368" s="601"/>
      <c r="Y3368" s="601"/>
      <c r="Z3368" s="601"/>
    </row>
    <row r="3369" spans="1:37" s="246" customFormat="1" hidden="1">
      <c r="A3369" s="709">
        <f t="shared" si="502"/>
        <v>468</v>
      </c>
      <c r="B3369" s="592" t="s">
        <v>3829</v>
      </c>
      <c r="C3369" s="593" t="s">
        <v>271</v>
      </c>
      <c r="D3369" s="650">
        <v>12573</v>
      </c>
      <c r="E3369" s="594">
        <v>3030</v>
      </c>
      <c r="F3369" s="594" t="s">
        <v>222</v>
      </c>
      <c r="G3369" s="594">
        <v>1147</v>
      </c>
      <c r="H3369" s="594">
        <v>5</v>
      </c>
      <c r="I3369" s="594">
        <v>4</v>
      </c>
      <c r="J3369" s="594">
        <v>80</v>
      </c>
      <c r="K3369" s="588" t="s">
        <v>238</v>
      </c>
      <c r="L3369" s="595">
        <f>M3369+N3369+O3369+P3369+Q3369</f>
        <v>2235000</v>
      </c>
      <c r="M3369" s="596">
        <f>J3369*27000</f>
        <v>2160000</v>
      </c>
      <c r="N3369" s="597">
        <v>35000</v>
      </c>
      <c r="O3369" s="598"/>
      <c r="P3369" s="597"/>
      <c r="Q3369" s="675">
        <v>40000</v>
      </c>
      <c r="R3369" s="599">
        <f>M3369/J3369</f>
        <v>27000</v>
      </c>
      <c r="S3369" s="1185"/>
      <c r="T3369" s="1186"/>
      <c r="U3369" s="589"/>
      <c r="V3369" s="589"/>
      <c r="W3369" s="589"/>
      <c r="X3369" s="591"/>
      <c r="Y3369" s="589"/>
      <c r="Z3369" s="589"/>
      <c r="AB3369" s="72"/>
      <c r="AD3369" s="72"/>
      <c r="AE3369" s="72"/>
      <c r="AF3369" s="72"/>
      <c r="AH3369" s="36"/>
      <c r="AI3369" s="14"/>
      <c r="AK3369" s="72"/>
    </row>
    <row r="3370" spans="1:37" s="82" customFormat="1" hidden="1">
      <c r="A3370" s="709">
        <f t="shared" si="502"/>
        <v>469</v>
      </c>
      <c r="B3370" s="592" t="s">
        <v>4003</v>
      </c>
      <c r="C3370" s="593" t="s">
        <v>271</v>
      </c>
      <c r="D3370" s="582">
        <v>15990</v>
      </c>
      <c r="E3370" s="582">
        <v>976</v>
      </c>
      <c r="F3370" s="643" t="s">
        <v>233</v>
      </c>
      <c r="G3370" s="582">
        <v>400.1</v>
      </c>
      <c r="H3370" s="582">
        <v>9</v>
      </c>
      <c r="I3370" s="582">
        <v>1</v>
      </c>
      <c r="J3370" s="582">
        <v>32</v>
      </c>
      <c r="K3370" s="588" t="s">
        <v>33</v>
      </c>
      <c r="L3370" s="775">
        <f>M3370+N3370+O3370+P3370+Q3370</f>
        <v>862730.63</v>
      </c>
      <c r="M3370" s="967">
        <f>G3370*2100</f>
        <v>840210</v>
      </c>
      <c r="N3370" s="645"/>
      <c r="O3370" s="1191">
        <f>M3370*0.3%</f>
        <v>2520.63</v>
      </c>
      <c r="P3370" s="645"/>
      <c r="Q3370" s="1184">
        <v>20000</v>
      </c>
      <c r="R3370" s="599">
        <f>M3370/G3370</f>
        <v>2100</v>
      </c>
      <c r="S3370" s="1192" t="s">
        <v>4000</v>
      </c>
      <c r="T3370" s="589"/>
      <c r="U3370" s="589"/>
      <c r="V3370" s="591"/>
      <c r="W3370" s="589"/>
      <c r="X3370" s="589"/>
      <c r="Y3370" s="589"/>
      <c r="Z3370" s="591"/>
      <c r="AA3370" s="105"/>
      <c r="AB3370" s="84"/>
      <c r="AD3370" s="83"/>
    </row>
    <row r="3371" spans="1:37" s="82" customFormat="1" hidden="1">
      <c r="A3371" s="709">
        <f>A3370+1</f>
        <v>470</v>
      </c>
      <c r="B3371" s="592" t="s">
        <v>4004</v>
      </c>
      <c r="C3371" s="593" t="s">
        <v>217</v>
      </c>
      <c r="D3371" s="582">
        <v>16074</v>
      </c>
      <c r="E3371" s="582">
        <v>2560</v>
      </c>
      <c r="F3371" s="594" t="s">
        <v>233</v>
      </c>
      <c r="G3371" s="582">
        <v>676</v>
      </c>
      <c r="H3371" s="582">
        <v>9</v>
      </c>
      <c r="I3371" s="582">
        <v>2</v>
      </c>
      <c r="J3371" s="582">
        <v>72</v>
      </c>
      <c r="K3371" s="588" t="s">
        <v>33</v>
      </c>
      <c r="L3371" s="775">
        <f>M3371+M3372+N3372+N3371+O3371+O3372+P3372+P3371+Q3371+Q3372</f>
        <v>12320456</v>
      </c>
      <c r="M3371" s="775">
        <v>1487200</v>
      </c>
      <c r="N3371" s="597"/>
      <c r="O3371" s="1191">
        <v>9000</v>
      </c>
      <c r="P3371" s="597"/>
      <c r="Q3371" s="1184">
        <v>20000</v>
      </c>
      <c r="R3371" s="599">
        <f>M3371/G3371</f>
        <v>2200</v>
      </c>
      <c r="S3371" s="1192" t="s">
        <v>4000</v>
      </c>
      <c r="T3371" s="589"/>
      <c r="U3371" s="589"/>
      <c r="V3371" s="591"/>
      <c r="W3371" s="589"/>
      <c r="X3371" s="589"/>
      <c r="Y3371" s="589"/>
      <c r="Z3371" s="591"/>
      <c r="AA3371" s="105"/>
      <c r="AB3371" s="84"/>
      <c r="AD3371" s="83"/>
    </row>
    <row r="3372" spans="1:37" s="82" customFormat="1" hidden="1">
      <c r="A3372" s="709"/>
      <c r="B3372" s="592"/>
      <c r="C3372" s="593"/>
      <c r="D3372" s="650"/>
      <c r="E3372" s="594"/>
      <c r="F3372" s="594"/>
      <c r="G3372" s="594"/>
      <c r="H3372" s="594"/>
      <c r="I3372" s="594"/>
      <c r="J3372" s="594"/>
      <c r="K3372" s="588" t="s">
        <v>284</v>
      </c>
      <c r="L3372" s="775"/>
      <c r="M3372" s="775">
        <v>10752000</v>
      </c>
      <c r="N3372" s="586">
        <v>32256</v>
      </c>
      <c r="O3372" s="1191"/>
      <c r="P3372" s="586"/>
      <c r="Q3372" s="557">
        <v>20000</v>
      </c>
      <c r="R3372" s="599"/>
      <c r="S3372" s="1192"/>
      <c r="T3372" s="589"/>
      <c r="U3372" s="589"/>
      <c r="V3372" s="591"/>
      <c r="W3372" s="589"/>
      <c r="X3372" s="589"/>
      <c r="Y3372" s="589"/>
      <c r="Z3372" s="591"/>
      <c r="AA3372" s="105"/>
      <c r="AB3372" s="84"/>
      <c r="AD3372" s="83"/>
    </row>
    <row r="3373" spans="1:37" s="82" customFormat="1" hidden="1">
      <c r="A3373" s="580">
        <f>A3371+1</f>
        <v>471</v>
      </c>
      <c r="B3373" s="592" t="s">
        <v>3789</v>
      </c>
      <c r="C3373" s="593" t="s">
        <v>217</v>
      </c>
      <c r="D3373" s="594">
        <v>8956</v>
      </c>
      <c r="E3373" s="594">
        <v>2695</v>
      </c>
      <c r="F3373" s="594" t="s">
        <v>222</v>
      </c>
      <c r="G3373" s="594">
        <v>832</v>
      </c>
      <c r="H3373" s="594">
        <v>5</v>
      </c>
      <c r="I3373" s="594">
        <v>3</v>
      </c>
      <c r="J3373" s="594">
        <v>60</v>
      </c>
      <c r="K3373" s="588" t="s">
        <v>284</v>
      </c>
      <c r="L3373" s="967">
        <f>M3373+M3374+N3374+N3373+O3373+O3374+P3373+P3374+Q3374+Q3373</f>
        <v>13188404.199999999</v>
      </c>
      <c r="M3373" s="775">
        <v>10243800</v>
      </c>
      <c r="N3373" s="564">
        <v>35000</v>
      </c>
      <c r="O3373" s="1191"/>
      <c r="P3373" s="597"/>
      <c r="Q3373" s="1184">
        <f>ROUND(M3373*0.0214,0)</f>
        <v>219217</v>
      </c>
      <c r="R3373" s="599">
        <f>M3373/E3373</f>
        <v>3801.0389610389611</v>
      </c>
      <c r="S3373" s="1192" t="s">
        <v>4005</v>
      </c>
      <c r="T3373" s="589"/>
      <c r="U3373" s="589"/>
      <c r="V3373" s="591"/>
      <c r="W3373" s="589"/>
      <c r="X3373" s="589"/>
      <c r="Y3373" s="589"/>
      <c r="Z3373" s="591"/>
      <c r="AA3373" s="105"/>
      <c r="AB3373" s="84"/>
      <c r="AD3373" s="83"/>
    </row>
    <row r="3374" spans="1:37" s="82" customFormat="1" hidden="1">
      <c r="A3374" s="580"/>
      <c r="B3374" s="592"/>
      <c r="C3374" s="593"/>
      <c r="D3374" s="594"/>
      <c r="E3374" s="594"/>
      <c r="F3374" s="594"/>
      <c r="G3374" s="594"/>
      <c r="H3374" s="594"/>
      <c r="I3374" s="594"/>
      <c r="J3374" s="594"/>
      <c r="K3374" s="588" t="s">
        <v>33</v>
      </c>
      <c r="L3374" s="967"/>
      <c r="M3374" s="775">
        <v>2662400</v>
      </c>
      <c r="N3374" s="564"/>
      <c r="O3374" s="1191">
        <v>7987.2</v>
      </c>
      <c r="P3374" s="597"/>
      <c r="Q3374" s="1184">
        <v>20000</v>
      </c>
      <c r="R3374" s="599"/>
      <c r="S3374" s="1192"/>
      <c r="T3374" s="589"/>
      <c r="U3374" s="589"/>
      <c r="V3374" s="591"/>
      <c r="W3374" s="589"/>
      <c r="X3374" s="589"/>
      <c r="Y3374" s="589"/>
      <c r="Z3374" s="591"/>
      <c r="AA3374" s="105"/>
      <c r="AB3374" s="84"/>
      <c r="AD3374" s="83"/>
    </row>
    <row r="3375" spans="1:37" s="82" customFormat="1" hidden="1">
      <c r="A3375" s="1193">
        <f>A3373+1</f>
        <v>472</v>
      </c>
      <c r="B3375" s="592" t="s">
        <v>3804</v>
      </c>
      <c r="C3375" s="593" t="s">
        <v>271</v>
      </c>
      <c r="D3375" s="618">
        <v>9426</v>
      </c>
      <c r="E3375" s="619">
        <v>1920</v>
      </c>
      <c r="F3375" s="620" t="s">
        <v>230</v>
      </c>
      <c r="G3375" s="619">
        <v>2492.5</v>
      </c>
      <c r="H3375" s="602">
        <v>5</v>
      </c>
      <c r="I3375" s="602">
        <v>2</v>
      </c>
      <c r="J3375" s="650">
        <v>17</v>
      </c>
      <c r="K3375" s="1194" t="s">
        <v>33</v>
      </c>
      <c r="L3375" s="967">
        <f>M3375+N3375+O3375+Q3375</f>
        <v>3617114</v>
      </c>
      <c r="M3375" s="967">
        <v>3510000</v>
      </c>
      <c r="N3375" s="586">
        <v>32000</v>
      </c>
      <c r="O3375" s="1195"/>
      <c r="P3375" s="586"/>
      <c r="Q3375" s="1184">
        <f>ROUND(M3375*0.0214,0)</f>
        <v>75114</v>
      </c>
      <c r="R3375" s="599">
        <f>M3375/G3375</f>
        <v>1408.2246740220662</v>
      </c>
      <c r="S3375" s="1192" t="s">
        <v>4005</v>
      </c>
      <c r="T3375" s="589"/>
      <c r="U3375" s="589"/>
      <c r="V3375" s="591"/>
      <c r="W3375" s="589"/>
      <c r="X3375" s="589"/>
      <c r="Y3375" s="589"/>
      <c r="Z3375" s="591"/>
      <c r="AA3375" s="105"/>
      <c r="AB3375" s="84"/>
      <c r="AD3375" s="83"/>
    </row>
    <row r="3376" spans="1:37" s="136" customFormat="1" hidden="1">
      <c r="A3376" s="716">
        <f>A3375+1</f>
        <v>473</v>
      </c>
      <c r="B3376" s="961" t="s">
        <v>1479</v>
      </c>
      <c r="C3376" s="718" t="s">
        <v>271</v>
      </c>
      <c r="D3376" s="719">
        <v>24749</v>
      </c>
      <c r="E3376" s="719">
        <v>5166</v>
      </c>
      <c r="F3376" s="719" t="s">
        <v>222</v>
      </c>
      <c r="G3376" s="719">
        <v>1638</v>
      </c>
      <c r="H3376" s="719">
        <v>6</v>
      </c>
      <c r="I3376" s="719">
        <v>6</v>
      </c>
      <c r="J3376" s="719">
        <v>120</v>
      </c>
      <c r="K3376" s="720" t="s">
        <v>224</v>
      </c>
      <c r="L3376" s="721">
        <f t="shared" ref="L3376:L3390" si="503">M3376+N3376+O3376+P3376+Q3376</f>
        <v>2346044.5699999998</v>
      </c>
      <c r="M3376" s="962">
        <v>2292900</v>
      </c>
      <c r="N3376" s="722">
        <v>35149</v>
      </c>
      <c r="O3376" s="963"/>
      <c r="P3376" s="722"/>
      <c r="Q3376" s="722">
        <v>17995.57</v>
      </c>
      <c r="R3376" s="724">
        <f t="shared" ref="R3376:R3385" si="504">M3376/J3376</f>
        <v>19107.5</v>
      </c>
      <c r="S3376" s="725">
        <f t="shared" ref="S3376:S3401" si="505">L3376-M3376-N3376-O3376-P3376-Q3376</f>
        <v>-1.673470251262188E-10</v>
      </c>
      <c r="T3376" s="726"/>
      <c r="U3376" s="965"/>
      <c r="V3376" s="965" t="e">
        <f>B3376='1.перечень МКД'!#REF!</f>
        <v>#REF!</v>
      </c>
      <c r="W3376" s="727"/>
      <c r="X3376" s="727"/>
      <c r="Y3376" s="727"/>
      <c r="Z3376" s="727"/>
    </row>
    <row r="3377" spans="1:26" s="136" customFormat="1" hidden="1">
      <c r="A3377" s="716">
        <f t="shared" ref="A3377:A3402" si="506">A3376+1</f>
        <v>474</v>
      </c>
      <c r="B3377" s="961" t="s">
        <v>1581</v>
      </c>
      <c r="C3377" s="718" t="s">
        <v>217</v>
      </c>
      <c r="D3377" s="719">
        <v>30527</v>
      </c>
      <c r="E3377" s="719">
        <v>5508</v>
      </c>
      <c r="F3377" s="719" t="s">
        <v>233</v>
      </c>
      <c r="G3377" s="719">
        <v>1332.5</v>
      </c>
      <c r="H3377" s="719">
        <v>9</v>
      </c>
      <c r="I3377" s="719">
        <v>4</v>
      </c>
      <c r="J3377" s="719">
        <v>144</v>
      </c>
      <c r="K3377" s="720" t="s">
        <v>224</v>
      </c>
      <c r="L3377" s="721">
        <f t="shared" si="503"/>
        <v>3066654</v>
      </c>
      <c r="M3377" s="962">
        <v>3012900</v>
      </c>
      <c r="N3377" s="722">
        <v>33954</v>
      </c>
      <c r="O3377" s="963"/>
      <c r="P3377" s="722"/>
      <c r="Q3377" s="722">
        <v>19800</v>
      </c>
      <c r="R3377" s="724">
        <f t="shared" si="504"/>
        <v>20922.916666666668</v>
      </c>
      <c r="S3377" s="725">
        <f t="shared" si="505"/>
        <v>0</v>
      </c>
      <c r="T3377" s="726"/>
      <c r="U3377" s="965"/>
      <c r="V3377" s="965"/>
      <c r="W3377" s="727"/>
      <c r="X3377" s="727"/>
      <c r="Y3377" s="727"/>
      <c r="Z3377" s="727"/>
    </row>
    <row r="3378" spans="1:26" s="136" customFormat="1" hidden="1">
      <c r="A3378" s="716">
        <f t="shared" si="506"/>
        <v>475</v>
      </c>
      <c r="B3378" s="961" t="s">
        <v>1764</v>
      </c>
      <c r="C3378" s="718" t="s">
        <v>217</v>
      </c>
      <c r="D3378" s="719">
        <v>16232</v>
      </c>
      <c r="E3378" s="719">
        <v>3339</v>
      </c>
      <c r="F3378" s="719" t="s">
        <v>233</v>
      </c>
      <c r="G3378" s="719">
        <v>701</v>
      </c>
      <c r="H3378" s="719">
        <v>9</v>
      </c>
      <c r="I3378" s="719">
        <v>2</v>
      </c>
      <c r="J3378" s="719">
        <v>72</v>
      </c>
      <c r="K3378" s="720" t="s">
        <v>238</v>
      </c>
      <c r="L3378" s="721">
        <f t="shared" si="503"/>
        <v>2001724.71</v>
      </c>
      <c r="M3378" s="962">
        <v>1944000</v>
      </c>
      <c r="N3378" s="722">
        <v>35000</v>
      </c>
      <c r="O3378" s="963"/>
      <c r="P3378" s="722"/>
      <c r="Q3378" s="722">
        <v>22724.71</v>
      </c>
      <c r="R3378" s="724">
        <f t="shared" si="504"/>
        <v>27000</v>
      </c>
      <c r="S3378" s="725">
        <f t="shared" si="505"/>
        <v>-3.637978807091713E-11</v>
      </c>
      <c r="T3378" s="726"/>
      <c r="U3378" s="965"/>
      <c r="V3378" s="965"/>
      <c r="W3378" s="727"/>
      <c r="X3378" s="727"/>
      <c r="Y3378" s="727"/>
      <c r="Z3378" s="727"/>
    </row>
    <row r="3379" spans="1:26" s="142" customFormat="1" hidden="1">
      <c r="A3379" s="716">
        <f t="shared" si="506"/>
        <v>476</v>
      </c>
      <c r="B3379" s="961" t="s">
        <v>3372</v>
      </c>
      <c r="C3379" s="718" t="s">
        <v>3814</v>
      </c>
      <c r="D3379" s="719">
        <v>3533</v>
      </c>
      <c r="E3379" s="719">
        <v>550</v>
      </c>
      <c r="F3379" s="719" t="s">
        <v>222</v>
      </c>
      <c r="G3379" s="719">
        <v>619</v>
      </c>
      <c r="H3379" s="719">
        <v>2</v>
      </c>
      <c r="I3379" s="719">
        <v>3</v>
      </c>
      <c r="J3379" s="719">
        <v>25</v>
      </c>
      <c r="K3379" s="1036" t="s">
        <v>224</v>
      </c>
      <c r="L3379" s="721">
        <f t="shared" si="503"/>
        <v>583400</v>
      </c>
      <c r="M3379" s="962">
        <v>550000</v>
      </c>
      <c r="N3379" s="722">
        <v>30000</v>
      </c>
      <c r="O3379" s="963"/>
      <c r="P3379" s="722"/>
      <c r="Q3379" s="722">
        <v>3400</v>
      </c>
      <c r="R3379" s="1031">
        <f t="shared" si="504"/>
        <v>22000</v>
      </c>
      <c r="S3379" s="725">
        <f t="shared" si="505"/>
        <v>0</v>
      </c>
      <c r="T3379" s="1036"/>
      <c r="U3379" s="965"/>
      <c r="V3379" s="965"/>
      <c r="W3379" s="1030"/>
      <c r="X3379" s="1030"/>
      <c r="Y3379" s="1030"/>
      <c r="Z3379" s="1030"/>
    </row>
    <row r="3380" spans="1:26" s="142" customFormat="1" hidden="1">
      <c r="A3380" s="716">
        <f t="shared" si="506"/>
        <v>477</v>
      </c>
      <c r="B3380" s="961" t="s">
        <v>3373</v>
      </c>
      <c r="C3380" s="718" t="s">
        <v>3814</v>
      </c>
      <c r="D3380" s="719">
        <v>2983</v>
      </c>
      <c r="E3380" s="719">
        <v>465</v>
      </c>
      <c r="F3380" s="719" t="s">
        <v>222</v>
      </c>
      <c r="G3380" s="719">
        <v>616</v>
      </c>
      <c r="H3380" s="719">
        <v>2</v>
      </c>
      <c r="I3380" s="719">
        <v>3</v>
      </c>
      <c r="J3380" s="719">
        <v>24</v>
      </c>
      <c r="K3380" s="1036" t="s">
        <v>224</v>
      </c>
      <c r="L3380" s="721">
        <f t="shared" si="503"/>
        <v>561148</v>
      </c>
      <c r="M3380" s="962">
        <v>528000</v>
      </c>
      <c r="N3380" s="722">
        <v>30000</v>
      </c>
      <c r="O3380" s="963"/>
      <c r="P3380" s="722"/>
      <c r="Q3380" s="722">
        <v>3148</v>
      </c>
      <c r="R3380" s="1031">
        <f t="shared" si="504"/>
        <v>22000</v>
      </c>
      <c r="S3380" s="725">
        <f t="shared" si="505"/>
        <v>0</v>
      </c>
      <c r="T3380" s="1036"/>
      <c r="U3380" s="965"/>
      <c r="V3380" s="965"/>
      <c r="W3380" s="1030"/>
      <c r="X3380" s="1030"/>
      <c r="Y3380" s="1030"/>
      <c r="Z3380" s="1030"/>
    </row>
    <row r="3381" spans="1:26" s="142" customFormat="1" hidden="1">
      <c r="A3381" s="716">
        <f t="shared" si="506"/>
        <v>478</v>
      </c>
      <c r="B3381" s="1082" t="s">
        <v>3377</v>
      </c>
      <c r="C3381" s="718" t="s">
        <v>217</v>
      </c>
      <c r="D3381" s="1035">
        <v>12360</v>
      </c>
      <c r="E3381" s="1035">
        <v>1700</v>
      </c>
      <c r="F3381" s="719" t="s">
        <v>222</v>
      </c>
      <c r="G3381" s="1196">
        <v>1131</v>
      </c>
      <c r="H3381" s="1196">
        <v>5</v>
      </c>
      <c r="I3381" s="1196">
        <v>4</v>
      </c>
      <c r="J3381" s="1196">
        <v>80</v>
      </c>
      <c r="K3381" s="1036" t="s">
        <v>224</v>
      </c>
      <c r="L3381" s="721">
        <f t="shared" si="503"/>
        <v>1570568</v>
      </c>
      <c r="M3381" s="1028">
        <v>1520000</v>
      </c>
      <c r="N3381" s="722">
        <v>35000</v>
      </c>
      <c r="O3381" s="963"/>
      <c r="P3381" s="1029"/>
      <c r="Q3381" s="722">
        <v>15568</v>
      </c>
      <c r="R3381" s="1035">
        <f t="shared" si="504"/>
        <v>19000</v>
      </c>
      <c r="S3381" s="725">
        <f t="shared" si="505"/>
        <v>0</v>
      </c>
      <c r="T3381" s="1036"/>
      <c r="U3381" s="965"/>
      <c r="V3381" s="965"/>
      <c r="W3381" s="1030"/>
      <c r="X3381" s="1030"/>
      <c r="Y3381" s="1030"/>
      <c r="Z3381" s="1030"/>
    </row>
    <row r="3382" spans="1:26" s="136" customFormat="1" hidden="1">
      <c r="A3382" s="716">
        <f t="shared" si="506"/>
        <v>479</v>
      </c>
      <c r="B3382" s="961" t="s">
        <v>1624</v>
      </c>
      <c r="C3382" s="718" t="s">
        <v>217</v>
      </c>
      <c r="D3382" s="719">
        <v>12097</v>
      </c>
      <c r="E3382" s="719">
        <v>2687.9</v>
      </c>
      <c r="F3382" s="719" t="s">
        <v>233</v>
      </c>
      <c r="G3382" s="719">
        <v>546</v>
      </c>
      <c r="H3382" s="719">
        <v>9</v>
      </c>
      <c r="I3382" s="719">
        <v>1</v>
      </c>
      <c r="J3382" s="719">
        <v>72</v>
      </c>
      <c r="K3382" s="720" t="s">
        <v>224</v>
      </c>
      <c r="L3382" s="721">
        <f t="shared" si="503"/>
        <v>1618398.01</v>
      </c>
      <c r="M3382" s="962">
        <v>1572900</v>
      </c>
      <c r="N3382" s="722">
        <v>32883</v>
      </c>
      <c r="O3382" s="963"/>
      <c r="P3382" s="722"/>
      <c r="Q3382" s="722">
        <v>12615.01</v>
      </c>
      <c r="R3382" s="724">
        <f t="shared" si="504"/>
        <v>21845.833333333332</v>
      </c>
      <c r="S3382" s="725">
        <f t="shared" si="505"/>
        <v>0</v>
      </c>
      <c r="T3382" s="726"/>
      <c r="U3382" s="965"/>
      <c r="V3382" s="965"/>
      <c r="W3382" s="727"/>
      <c r="X3382" s="727"/>
      <c r="Y3382" s="727"/>
      <c r="Z3382" s="727"/>
    </row>
    <row r="3383" spans="1:26" s="136" customFormat="1" hidden="1">
      <c r="A3383" s="716">
        <f t="shared" si="506"/>
        <v>480</v>
      </c>
      <c r="B3383" s="961" t="s">
        <v>1670</v>
      </c>
      <c r="C3383" s="718" t="s">
        <v>217</v>
      </c>
      <c r="D3383" s="719">
        <v>12505</v>
      </c>
      <c r="E3383" s="719">
        <v>2770</v>
      </c>
      <c r="F3383" s="719" t="s">
        <v>222</v>
      </c>
      <c r="G3383" s="719">
        <v>1240</v>
      </c>
      <c r="H3383" s="719">
        <v>5</v>
      </c>
      <c r="I3383" s="719">
        <v>4</v>
      </c>
      <c r="J3383" s="719">
        <v>80</v>
      </c>
      <c r="K3383" s="720" t="s">
        <v>224</v>
      </c>
      <c r="L3383" s="721">
        <f t="shared" si="503"/>
        <v>1467920.16</v>
      </c>
      <c r="M3383" s="962">
        <v>1412900</v>
      </c>
      <c r="N3383" s="722">
        <v>41847</v>
      </c>
      <c r="O3383" s="963"/>
      <c r="P3383" s="722"/>
      <c r="Q3383" s="722">
        <v>13173.16</v>
      </c>
      <c r="R3383" s="724">
        <f t="shared" si="504"/>
        <v>17661.25</v>
      </c>
      <c r="S3383" s="725">
        <f t="shared" si="505"/>
        <v>-8.3673512563109398E-11</v>
      </c>
      <c r="T3383" s="726"/>
      <c r="U3383" s="965"/>
      <c r="V3383" s="965"/>
      <c r="W3383" s="727"/>
      <c r="X3383" s="727"/>
      <c r="Y3383" s="727"/>
      <c r="Z3383" s="727"/>
    </row>
    <row r="3384" spans="1:26" s="136" customFormat="1" hidden="1">
      <c r="A3384" s="716">
        <f t="shared" si="506"/>
        <v>481</v>
      </c>
      <c r="B3384" s="961" t="s">
        <v>1506</v>
      </c>
      <c r="C3384" s="718" t="s">
        <v>271</v>
      </c>
      <c r="D3384" s="719">
        <v>14425</v>
      </c>
      <c r="E3384" s="719">
        <v>2545</v>
      </c>
      <c r="F3384" s="719" t="s">
        <v>233</v>
      </c>
      <c r="G3384" s="719">
        <v>1007.5</v>
      </c>
      <c r="H3384" s="719">
        <v>5</v>
      </c>
      <c r="I3384" s="719">
        <v>4</v>
      </c>
      <c r="J3384" s="719">
        <v>68</v>
      </c>
      <c r="K3384" s="720" t="s">
        <v>224</v>
      </c>
      <c r="L3384" s="721">
        <f t="shared" si="503"/>
        <v>1267035.5</v>
      </c>
      <c r="M3384" s="962">
        <v>1220900</v>
      </c>
      <c r="N3384" s="722">
        <v>33367</v>
      </c>
      <c r="O3384" s="963"/>
      <c r="P3384" s="722"/>
      <c r="Q3384" s="722">
        <v>12768.5</v>
      </c>
      <c r="R3384" s="724">
        <f t="shared" si="504"/>
        <v>17954.411764705881</v>
      </c>
      <c r="S3384" s="725">
        <f t="shared" si="505"/>
        <v>0</v>
      </c>
      <c r="T3384" s="726"/>
      <c r="U3384" s="965"/>
      <c r="V3384" s="965" t="e">
        <f>B3384='1.перечень МКД'!#REF!</f>
        <v>#REF!</v>
      </c>
      <c r="W3384" s="727"/>
      <c r="X3384" s="727"/>
      <c r="Y3384" s="727"/>
      <c r="Z3384" s="727"/>
    </row>
    <row r="3385" spans="1:26" s="142" customFormat="1" hidden="1">
      <c r="A3385" s="716">
        <f t="shared" si="506"/>
        <v>482</v>
      </c>
      <c r="B3385" s="1082" t="s">
        <v>3776</v>
      </c>
      <c r="C3385" s="718" t="s">
        <v>217</v>
      </c>
      <c r="D3385" s="1163">
        <v>6836</v>
      </c>
      <c r="E3385" s="719">
        <v>6836</v>
      </c>
      <c r="F3385" s="1032" t="s">
        <v>233</v>
      </c>
      <c r="G3385" s="1163">
        <v>288.10000000000002</v>
      </c>
      <c r="H3385" s="1197">
        <v>9</v>
      </c>
      <c r="I3385" s="1197">
        <v>1</v>
      </c>
      <c r="J3385" s="1197">
        <v>26</v>
      </c>
      <c r="K3385" s="720" t="s">
        <v>224</v>
      </c>
      <c r="L3385" s="992">
        <f t="shared" si="503"/>
        <v>611192.27</v>
      </c>
      <c r="M3385" s="1198">
        <v>572000</v>
      </c>
      <c r="N3385" s="1199">
        <v>30896</v>
      </c>
      <c r="O3385" s="1200"/>
      <c r="P3385" s="1029"/>
      <c r="Q3385" s="1201">
        <v>8296.27</v>
      </c>
      <c r="R3385" s="724">
        <f t="shared" si="504"/>
        <v>22000</v>
      </c>
      <c r="S3385" s="725">
        <f t="shared" si="505"/>
        <v>1.8189894035458565E-11</v>
      </c>
      <c r="T3385" s="1036"/>
      <c r="U3385" s="965"/>
      <c r="V3385" s="965" t="e">
        <f>B3385='1.перечень МКД'!#REF!</f>
        <v>#REF!</v>
      </c>
      <c r="W3385" s="1030"/>
      <c r="X3385" s="1030"/>
      <c r="Y3385" s="1030"/>
      <c r="Z3385" s="1030"/>
    </row>
    <row r="3386" spans="1:26" s="136" customFormat="1" hidden="1">
      <c r="A3386" s="716">
        <f t="shared" si="506"/>
        <v>483</v>
      </c>
      <c r="B3386" s="961" t="s">
        <v>1602</v>
      </c>
      <c r="C3386" s="718" t="s">
        <v>271</v>
      </c>
      <c r="D3386" s="719">
        <v>22117</v>
      </c>
      <c r="E3386" s="719">
        <v>2100</v>
      </c>
      <c r="F3386" s="719" t="s">
        <v>233</v>
      </c>
      <c r="G3386" s="719">
        <v>1108</v>
      </c>
      <c r="H3386" s="719">
        <v>5</v>
      </c>
      <c r="I3386" s="719">
        <v>4</v>
      </c>
      <c r="J3386" s="719">
        <v>48</v>
      </c>
      <c r="K3386" s="720" t="s">
        <v>38</v>
      </c>
      <c r="L3386" s="721">
        <f t="shared" si="503"/>
        <v>6050341</v>
      </c>
      <c r="M3386" s="962">
        <v>6000000</v>
      </c>
      <c r="N3386" s="722"/>
      <c r="O3386" s="723">
        <v>20641</v>
      </c>
      <c r="P3386" s="722"/>
      <c r="Q3386" s="722">
        <v>29700</v>
      </c>
      <c r="R3386" s="724">
        <f>M3386/E3386</f>
        <v>2857.1428571428573</v>
      </c>
      <c r="S3386" s="725">
        <f t="shared" si="505"/>
        <v>0</v>
      </c>
      <c r="T3386" s="726"/>
      <c r="U3386" s="965"/>
      <c r="V3386" s="965"/>
      <c r="W3386" s="727"/>
      <c r="X3386" s="727"/>
      <c r="Y3386" s="727"/>
      <c r="Z3386" s="727"/>
    </row>
    <row r="3387" spans="1:26" s="136" customFormat="1" hidden="1">
      <c r="A3387" s="716">
        <f t="shared" si="506"/>
        <v>484</v>
      </c>
      <c r="B3387" s="961" t="s">
        <v>1771</v>
      </c>
      <c r="C3387" s="718" t="s">
        <v>271</v>
      </c>
      <c r="D3387" s="719">
        <v>24858</v>
      </c>
      <c r="E3387" s="719">
        <v>3295.6</v>
      </c>
      <c r="F3387" s="719" t="s">
        <v>222</v>
      </c>
      <c r="G3387" s="719">
        <v>1887.7</v>
      </c>
      <c r="H3387" s="719">
        <v>5</v>
      </c>
      <c r="I3387" s="719">
        <v>4</v>
      </c>
      <c r="J3387" s="719">
        <v>69</v>
      </c>
      <c r="K3387" s="720" t="s">
        <v>224</v>
      </c>
      <c r="L3387" s="721">
        <f t="shared" si="503"/>
        <v>8292044</v>
      </c>
      <c r="M3387" s="962">
        <v>8239000</v>
      </c>
      <c r="N3387" s="722">
        <v>33244</v>
      </c>
      <c r="O3387" s="963"/>
      <c r="P3387" s="722"/>
      <c r="Q3387" s="722">
        <v>19800</v>
      </c>
      <c r="R3387" s="1035">
        <f>M3387/J3387</f>
        <v>119405.79710144928</v>
      </c>
      <c r="S3387" s="725">
        <f t="shared" si="505"/>
        <v>0</v>
      </c>
      <c r="T3387" s="726"/>
      <c r="U3387" s="965"/>
      <c r="V3387" s="965"/>
      <c r="W3387" s="727"/>
      <c r="X3387" s="727"/>
      <c r="Y3387" s="727"/>
      <c r="Z3387" s="727"/>
    </row>
    <row r="3388" spans="1:26" s="136" customFormat="1" ht="37.5" hidden="1">
      <c r="A3388" s="716">
        <f t="shared" si="506"/>
        <v>485</v>
      </c>
      <c r="B3388" s="961" t="s">
        <v>1780</v>
      </c>
      <c r="C3388" s="718" t="s">
        <v>271</v>
      </c>
      <c r="D3388" s="719">
        <v>11505</v>
      </c>
      <c r="E3388" s="719">
        <v>756</v>
      </c>
      <c r="F3388" s="719" t="s">
        <v>222</v>
      </c>
      <c r="G3388" s="719">
        <v>983</v>
      </c>
      <c r="H3388" s="719">
        <v>4</v>
      </c>
      <c r="I3388" s="719">
        <v>4</v>
      </c>
      <c r="J3388" s="719">
        <v>35</v>
      </c>
      <c r="K3388" s="720" t="s">
        <v>3815</v>
      </c>
      <c r="L3388" s="721">
        <f t="shared" si="503"/>
        <v>5072785</v>
      </c>
      <c r="M3388" s="962">
        <v>5016000</v>
      </c>
      <c r="N3388" s="722">
        <v>27085</v>
      </c>
      <c r="O3388" s="963"/>
      <c r="P3388" s="722"/>
      <c r="Q3388" s="722">
        <v>29700</v>
      </c>
      <c r="R3388" s="724">
        <f>M3388/E3388</f>
        <v>6634.9206349206352</v>
      </c>
      <c r="S3388" s="725">
        <f t="shared" si="505"/>
        <v>0</v>
      </c>
      <c r="T3388" s="726"/>
      <c r="U3388" s="965"/>
      <c r="V3388" s="965"/>
      <c r="W3388" s="727"/>
      <c r="X3388" s="727"/>
      <c r="Y3388" s="727"/>
      <c r="Z3388" s="727"/>
    </row>
    <row r="3389" spans="1:26" s="136" customFormat="1" hidden="1">
      <c r="A3389" s="716">
        <f t="shared" si="506"/>
        <v>486</v>
      </c>
      <c r="B3389" s="961" t="s">
        <v>1781</v>
      </c>
      <c r="C3389" s="718" t="s">
        <v>271</v>
      </c>
      <c r="D3389" s="719">
        <v>5323</v>
      </c>
      <c r="E3389" s="719">
        <v>1135</v>
      </c>
      <c r="F3389" s="719" t="s">
        <v>222</v>
      </c>
      <c r="G3389" s="719">
        <v>581</v>
      </c>
      <c r="H3389" s="719">
        <v>4</v>
      </c>
      <c r="I3389" s="719">
        <v>2</v>
      </c>
      <c r="J3389" s="719">
        <v>24</v>
      </c>
      <c r="K3389" s="720" t="s">
        <v>224</v>
      </c>
      <c r="L3389" s="721">
        <f t="shared" si="503"/>
        <v>485379.04</v>
      </c>
      <c r="M3389" s="962">
        <v>454000</v>
      </c>
      <c r="N3389" s="722">
        <v>24324</v>
      </c>
      <c r="O3389" s="963"/>
      <c r="P3389" s="722"/>
      <c r="Q3389" s="722">
        <v>7055.04</v>
      </c>
      <c r="R3389" s="724">
        <f>M3389/J3389</f>
        <v>18916.666666666668</v>
      </c>
      <c r="S3389" s="725">
        <f t="shared" si="505"/>
        <v>-2.0918378140777349E-11</v>
      </c>
      <c r="T3389" s="726"/>
      <c r="U3389" s="965"/>
      <c r="V3389" s="965"/>
      <c r="W3389" s="727"/>
      <c r="X3389" s="727"/>
      <c r="Y3389" s="727"/>
      <c r="Z3389" s="727"/>
    </row>
    <row r="3390" spans="1:26" s="136" customFormat="1" hidden="1">
      <c r="A3390" s="716">
        <f t="shared" si="506"/>
        <v>487</v>
      </c>
      <c r="B3390" s="961" t="s">
        <v>1475</v>
      </c>
      <c r="C3390" s="718" t="s">
        <v>271</v>
      </c>
      <c r="D3390" s="719">
        <v>12380</v>
      </c>
      <c r="E3390" s="719">
        <v>2608</v>
      </c>
      <c r="F3390" s="719" t="s">
        <v>222</v>
      </c>
      <c r="G3390" s="719">
        <v>1140</v>
      </c>
      <c r="H3390" s="719">
        <v>5</v>
      </c>
      <c r="I3390" s="719">
        <v>4</v>
      </c>
      <c r="J3390" s="719">
        <v>80</v>
      </c>
      <c r="K3390" s="720" t="s">
        <v>224</v>
      </c>
      <c r="L3390" s="721">
        <f t="shared" si="503"/>
        <v>1483302.87</v>
      </c>
      <c r="M3390" s="962">
        <v>1412900</v>
      </c>
      <c r="N3390" s="722">
        <v>32234</v>
      </c>
      <c r="O3390" s="723"/>
      <c r="P3390" s="722"/>
      <c r="Q3390" s="722">
        <v>38168.870000000003</v>
      </c>
      <c r="R3390" s="724">
        <f>M3390/G3390</f>
        <v>1239.3859649122808</v>
      </c>
      <c r="S3390" s="725">
        <f t="shared" si="505"/>
        <v>1.0913936421275139E-10</v>
      </c>
      <c r="T3390" s="726"/>
      <c r="U3390" s="965"/>
      <c r="V3390" s="965" t="e">
        <f>B3390='1.перечень МКД'!#REF!</f>
        <v>#REF!</v>
      </c>
      <c r="W3390" s="727"/>
      <c r="X3390" s="727"/>
      <c r="Y3390" s="727"/>
      <c r="Z3390" s="727"/>
    </row>
    <row r="3391" spans="1:26" s="136" customFormat="1" hidden="1">
      <c r="A3391" s="716">
        <f t="shared" si="506"/>
        <v>488</v>
      </c>
      <c r="B3391" s="961" t="s">
        <v>1490</v>
      </c>
      <c r="C3391" s="718" t="s">
        <v>271</v>
      </c>
      <c r="D3391" s="719">
        <v>13196</v>
      </c>
      <c r="E3391" s="719">
        <v>2410</v>
      </c>
      <c r="F3391" s="719" t="s">
        <v>222</v>
      </c>
      <c r="G3391" s="719">
        <v>1138</v>
      </c>
      <c r="H3391" s="719">
        <v>5</v>
      </c>
      <c r="I3391" s="719">
        <v>4</v>
      </c>
      <c r="J3391" s="719">
        <v>70</v>
      </c>
      <c r="K3391" s="720" t="s">
        <v>33</v>
      </c>
      <c r="L3391" s="721">
        <f>M3391+N3391+O3391+Q3391</f>
        <v>4044591</v>
      </c>
      <c r="M3391" s="962">
        <v>3983000</v>
      </c>
      <c r="N3391" s="722"/>
      <c r="O3391" s="963">
        <v>21791</v>
      </c>
      <c r="P3391" s="722"/>
      <c r="Q3391" s="1029">
        <v>39800</v>
      </c>
      <c r="R3391" s="724">
        <f>M3391/G3391</f>
        <v>3500</v>
      </c>
      <c r="S3391" s="725">
        <f t="shared" si="505"/>
        <v>0</v>
      </c>
      <c r="T3391" s="726"/>
      <c r="U3391" s="965"/>
      <c r="V3391" s="965" t="e">
        <f>'.'!B3391='1.перечень МКД'!#REF!</f>
        <v>#REF!</v>
      </c>
      <c r="W3391" s="727"/>
      <c r="X3391" s="727"/>
      <c r="Y3391" s="727"/>
      <c r="Z3391" s="727"/>
    </row>
    <row r="3392" spans="1:26" s="136" customFormat="1" hidden="1">
      <c r="A3392" s="716">
        <f t="shared" si="506"/>
        <v>489</v>
      </c>
      <c r="B3392" s="961" t="s">
        <v>1554</v>
      </c>
      <c r="C3392" s="718" t="s">
        <v>217</v>
      </c>
      <c r="D3392" s="719">
        <v>12236</v>
      </c>
      <c r="E3392" s="719">
        <v>2430</v>
      </c>
      <c r="F3392" s="719" t="s">
        <v>222</v>
      </c>
      <c r="G3392" s="719">
        <v>1144</v>
      </c>
      <c r="H3392" s="719">
        <v>5</v>
      </c>
      <c r="I3392" s="719">
        <v>4</v>
      </c>
      <c r="J3392" s="719">
        <v>80</v>
      </c>
      <c r="K3392" s="720" t="s">
        <v>224</v>
      </c>
      <c r="L3392" s="721">
        <f t="shared" ref="L3392:L3402" si="507">M3392+N3392+O3392+P3392+Q3392</f>
        <v>1471088.23</v>
      </c>
      <c r="M3392" s="962">
        <v>1412900</v>
      </c>
      <c r="N3392" s="722">
        <v>42816</v>
      </c>
      <c r="O3392" s="963"/>
      <c r="P3392" s="722"/>
      <c r="Q3392" s="722">
        <v>15372.23</v>
      </c>
      <c r="R3392" s="724">
        <f t="shared" ref="R3392:R3397" si="508">M3392/J3392</f>
        <v>17661.25</v>
      </c>
      <c r="S3392" s="725">
        <f t="shared" si="505"/>
        <v>-1.8189894035458565E-11</v>
      </c>
      <c r="T3392" s="726"/>
      <c r="U3392" s="965"/>
      <c r="V3392" s="965"/>
      <c r="W3392" s="727"/>
      <c r="X3392" s="727"/>
      <c r="Y3392" s="727"/>
      <c r="Z3392" s="727"/>
    </row>
    <row r="3393" spans="1:220" s="136" customFormat="1" ht="37.5" hidden="1">
      <c r="A3393" s="716">
        <f t="shared" si="506"/>
        <v>490</v>
      </c>
      <c r="B3393" s="961" t="s">
        <v>1556</v>
      </c>
      <c r="C3393" s="718" t="s">
        <v>217</v>
      </c>
      <c r="D3393" s="719">
        <v>12544</v>
      </c>
      <c r="E3393" s="719">
        <v>2882</v>
      </c>
      <c r="F3393" s="719" t="s">
        <v>222</v>
      </c>
      <c r="G3393" s="719">
        <v>1144</v>
      </c>
      <c r="H3393" s="719">
        <v>5</v>
      </c>
      <c r="I3393" s="719">
        <v>4</v>
      </c>
      <c r="J3393" s="719">
        <v>79</v>
      </c>
      <c r="K3393" s="720" t="s">
        <v>30</v>
      </c>
      <c r="L3393" s="721">
        <f t="shared" si="507"/>
        <v>2175545.4</v>
      </c>
      <c r="M3393" s="962">
        <v>2133000</v>
      </c>
      <c r="N3393" s="722"/>
      <c r="O3393" s="723">
        <v>15183</v>
      </c>
      <c r="P3393" s="722"/>
      <c r="Q3393" s="722">
        <v>27362.400000000001</v>
      </c>
      <c r="R3393" s="724">
        <f t="shared" si="508"/>
        <v>27000</v>
      </c>
      <c r="S3393" s="725">
        <f t="shared" si="505"/>
        <v>-9.4587448984384537E-11</v>
      </c>
      <c r="T3393" s="726"/>
      <c r="U3393" s="965"/>
      <c r="V3393" s="965"/>
      <c r="W3393" s="727"/>
      <c r="X3393" s="727"/>
      <c r="Y3393" s="727"/>
      <c r="Z3393" s="727"/>
    </row>
    <row r="3394" spans="1:220" s="136" customFormat="1" ht="37.5" hidden="1">
      <c r="A3394" s="716">
        <f t="shared" si="506"/>
        <v>491</v>
      </c>
      <c r="B3394" s="961" t="s">
        <v>1558</v>
      </c>
      <c r="C3394" s="718" t="s">
        <v>271</v>
      </c>
      <c r="D3394" s="719">
        <v>6360</v>
      </c>
      <c r="E3394" s="719">
        <v>597</v>
      </c>
      <c r="F3394" s="719" t="s">
        <v>222</v>
      </c>
      <c r="G3394" s="719">
        <v>591</v>
      </c>
      <c r="H3394" s="719">
        <v>5</v>
      </c>
      <c r="I3394" s="719">
        <v>2</v>
      </c>
      <c r="J3394" s="719">
        <v>40</v>
      </c>
      <c r="K3394" s="720" t="s">
        <v>30</v>
      </c>
      <c r="L3394" s="721">
        <f t="shared" si="507"/>
        <v>1115783.3999999999</v>
      </c>
      <c r="M3394" s="962">
        <v>1080000</v>
      </c>
      <c r="N3394" s="722"/>
      <c r="O3394" s="723">
        <v>14450</v>
      </c>
      <c r="P3394" s="722"/>
      <c r="Q3394" s="722">
        <v>21333.4</v>
      </c>
      <c r="R3394" s="724">
        <f t="shared" si="508"/>
        <v>27000</v>
      </c>
      <c r="S3394" s="725">
        <f t="shared" si="505"/>
        <v>-9.4587448984384537E-11</v>
      </c>
      <c r="T3394" s="726"/>
      <c r="U3394" s="965"/>
      <c r="V3394" s="965"/>
      <c r="W3394" s="727"/>
      <c r="X3394" s="727"/>
      <c r="Y3394" s="727"/>
      <c r="Z3394" s="727"/>
    </row>
    <row r="3395" spans="1:220" s="136" customFormat="1" hidden="1">
      <c r="A3395" s="716">
        <f t="shared" si="506"/>
        <v>492</v>
      </c>
      <c r="B3395" s="961" t="s">
        <v>1559</v>
      </c>
      <c r="C3395" s="718" t="s">
        <v>217</v>
      </c>
      <c r="D3395" s="719">
        <v>12487</v>
      </c>
      <c r="E3395" s="719">
        <v>2192</v>
      </c>
      <c r="F3395" s="719" t="s">
        <v>222</v>
      </c>
      <c r="G3395" s="719">
        <v>1147</v>
      </c>
      <c r="H3395" s="719">
        <v>5</v>
      </c>
      <c r="I3395" s="719">
        <v>4</v>
      </c>
      <c r="J3395" s="719">
        <v>80</v>
      </c>
      <c r="K3395" s="720" t="s">
        <v>224</v>
      </c>
      <c r="L3395" s="721">
        <f t="shared" si="507"/>
        <v>1471425.97</v>
      </c>
      <c r="M3395" s="962">
        <v>1412900</v>
      </c>
      <c r="N3395" s="722">
        <v>43379</v>
      </c>
      <c r="O3395" s="963"/>
      <c r="P3395" s="722"/>
      <c r="Q3395" s="722">
        <v>15146.97</v>
      </c>
      <c r="R3395" s="724">
        <f t="shared" si="508"/>
        <v>17661.25</v>
      </c>
      <c r="S3395" s="725">
        <f t="shared" si="505"/>
        <v>-2.7284841053187847E-11</v>
      </c>
      <c r="T3395" s="726"/>
      <c r="U3395" s="965"/>
      <c r="V3395" s="965"/>
      <c r="W3395" s="727"/>
      <c r="X3395" s="727"/>
      <c r="Y3395" s="727"/>
      <c r="Z3395" s="727"/>
    </row>
    <row r="3396" spans="1:220" s="136" customFormat="1" ht="37.5" hidden="1">
      <c r="A3396" s="716">
        <f t="shared" si="506"/>
        <v>493</v>
      </c>
      <c r="B3396" s="961" t="s">
        <v>1560</v>
      </c>
      <c r="C3396" s="718" t="s">
        <v>217</v>
      </c>
      <c r="D3396" s="719">
        <v>12236</v>
      </c>
      <c r="E3396" s="719">
        <v>2382</v>
      </c>
      <c r="F3396" s="719" t="s">
        <v>222</v>
      </c>
      <c r="G3396" s="719">
        <v>1144</v>
      </c>
      <c r="H3396" s="719">
        <v>5</v>
      </c>
      <c r="I3396" s="719">
        <v>4</v>
      </c>
      <c r="J3396" s="719">
        <v>80</v>
      </c>
      <c r="K3396" s="720" t="s">
        <v>30</v>
      </c>
      <c r="L3396" s="721">
        <f t="shared" si="507"/>
        <v>2200971</v>
      </c>
      <c r="M3396" s="962">
        <v>2160000</v>
      </c>
      <c r="N3396" s="722"/>
      <c r="O3396" s="723">
        <v>6480</v>
      </c>
      <c r="P3396" s="722"/>
      <c r="Q3396" s="722">
        <v>34491</v>
      </c>
      <c r="R3396" s="724">
        <f t="shared" si="508"/>
        <v>27000</v>
      </c>
      <c r="S3396" s="725">
        <f t="shared" si="505"/>
        <v>0</v>
      </c>
      <c r="T3396" s="726"/>
      <c r="U3396" s="965"/>
      <c r="V3396" s="965"/>
      <c r="W3396" s="727"/>
      <c r="X3396" s="727"/>
      <c r="Y3396" s="727"/>
      <c r="Z3396" s="727"/>
    </row>
    <row r="3397" spans="1:220" s="136" customFormat="1" hidden="1">
      <c r="A3397" s="716">
        <f t="shared" si="506"/>
        <v>494</v>
      </c>
      <c r="B3397" s="961" t="s">
        <v>1562</v>
      </c>
      <c r="C3397" s="718" t="s">
        <v>217</v>
      </c>
      <c r="D3397" s="719">
        <v>12270</v>
      </c>
      <c r="E3397" s="719">
        <v>1600</v>
      </c>
      <c r="F3397" s="719" t="s">
        <v>222</v>
      </c>
      <c r="G3397" s="719">
        <v>1148</v>
      </c>
      <c r="H3397" s="719">
        <v>5</v>
      </c>
      <c r="I3397" s="719">
        <v>4</v>
      </c>
      <c r="J3397" s="719">
        <v>80</v>
      </c>
      <c r="K3397" s="720" t="s">
        <v>224</v>
      </c>
      <c r="L3397" s="721">
        <f t="shared" si="507"/>
        <v>1471321.3</v>
      </c>
      <c r="M3397" s="962">
        <v>1412900</v>
      </c>
      <c r="N3397" s="722">
        <v>43272</v>
      </c>
      <c r="O3397" s="963"/>
      <c r="P3397" s="722"/>
      <c r="Q3397" s="722">
        <v>15149.3</v>
      </c>
      <c r="R3397" s="724">
        <f t="shared" si="508"/>
        <v>17661.25</v>
      </c>
      <c r="S3397" s="725">
        <f t="shared" si="505"/>
        <v>4.7293724492192268E-11</v>
      </c>
      <c r="T3397" s="726"/>
      <c r="U3397" s="965"/>
      <c r="V3397" s="965"/>
      <c r="W3397" s="727"/>
      <c r="X3397" s="727"/>
      <c r="Y3397" s="727"/>
      <c r="Z3397" s="727"/>
    </row>
    <row r="3398" spans="1:220" s="136" customFormat="1" hidden="1">
      <c r="A3398" s="716">
        <f t="shared" si="506"/>
        <v>495</v>
      </c>
      <c r="B3398" s="961" t="s">
        <v>1564</v>
      </c>
      <c r="C3398" s="718" t="s">
        <v>217</v>
      </c>
      <c r="D3398" s="719">
        <v>14155</v>
      </c>
      <c r="E3398" s="719">
        <v>1700</v>
      </c>
      <c r="F3398" s="719" t="s">
        <v>222</v>
      </c>
      <c r="G3398" s="719">
        <v>1136</v>
      </c>
      <c r="H3398" s="719">
        <v>5</v>
      </c>
      <c r="I3398" s="719">
        <v>4</v>
      </c>
      <c r="J3398" s="719">
        <v>80</v>
      </c>
      <c r="K3398" s="720" t="s">
        <v>33</v>
      </c>
      <c r="L3398" s="721">
        <f t="shared" si="507"/>
        <v>4027728</v>
      </c>
      <c r="M3398" s="962">
        <v>3976000</v>
      </c>
      <c r="N3398" s="722"/>
      <c r="O3398" s="723">
        <v>11928</v>
      </c>
      <c r="P3398" s="722"/>
      <c r="Q3398" s="722">
        <v>39800</v>
      </c>
      <c r="R3398" s="724">
        <f>M3398/G3398</f>
        <v>3500</v>
      </c>
      <c r="S3398" s="725">
        <f t="shared" si="505"/>
        <v>0</v>
      </c>
      <c r="T3398" s="726"/>
      <c r="U3398" s="965"/>
      <c r="V3398" s="965"/>
      <c r="W3398" s="727"/>
      <c r="X3398" s="727"/>
      <c r="Y3398" s="727"/>
      <c r="Z3398" s="727"/>
    </row>
    <row r="3399" spans="1:220" s="136" customFormat="1" ht="37.5" hidden="1">
      <c r="A3399" s="716">
        <f t="shared" si="506"/>
        <v>496</v>
      </c>
      <c r="B3399" s="961" t="s">
        <v>1578</v>
      </c>
      <c r="C3399" s="718" t="s">
        <v>217</v>
      </c>
      <c r="D3399" s="719">
        <v>9832</v>
      </c>
      <c r="E3399" s="719">
        <v>2350</v>
      </c>
      <c r="F3399" s="719" t="s">
        <v>233</v>
      </c>
      <c r="G3399" s="719">
        <v>692</v>
      </c>
      <c r="H3399" s="719">
        <v>5</v>
      </c>
      <c r="I3399" s="719">
        <v>4</v>
      </c>
      <c r="J3399" s="719">
        <v>60</v>
      </c>
      <c r="K3399" s="720" t="s">
        <v>30</v>
      </c>
      <c r="L3399" s="721">
        <f t="shared" si="507"/>
        <v>1662307.4</v>
      </c>
      <c r="M3399" s="962">
        <v>1620000</v>
      </c>
      <c r="N3399" s="722"/>
      <c r="O3399" s="723">
        <v>14945</v>
      </c>
      <c r="P3399" s="722"/>
      <c r="Q3399" s="722">
        <v>27362.400000000001</v>
      </c>
      <c r="R3399" s="724">
        <f>M3399/J3399</f>
        <v>27000</v>
      </c>
      <c r="S3399" s="725">
        <f t="shared" si="505"/>
        <v>-9.4587448984384537E-11</v>
      </c>
      <c r="T3399" s="726"/>
      <c r="U3399" s="965"/>
      <c r="V3399" s="965"/>
      <c r="W3399" s="727"/>
      <c r="X3399" s="727"/>
      <c r="Y3399" s="727"/>
      <c r="Z3399" s="727"/>
    </row>
    <row r="3400" spans="1:220" s="136" customFormat="1" hidden="1">
      <c r="A3400" s="716">
        <f t="shared" si="506"/>
        <v>497</v>
      </c>
      <c r="B3400" s="961" t="s">
        <v>1580</v>
      </c>
      <c r="C3400" s="718" t="s">
        <v>271</v>
      </c>
      <c r="D3400" s="719">
        <v>17828</v>
      </c>
      <c r="E3400" s="719">
        <v>548</v>
      </c>
      <c r="F3400" s="719" t="s">
        <v>222</v>
      </c>
      <c r="G3400" s="719">
        <v>1643</v>
      </c>
      <c r="H3400" s="719">
        <v>5</v>
      </c>
      <c r="I3400" s="719">
        <v>6</v>
      </c>
      <c r="J3400" s="719">
        <v>100</v>
      </c>
      <c r="K3400" s="720" t="s">
        <v>33</v>
      </c>
      <c r="L3400" s="721">
        <f t="shared" si="507"/>
        <v>5815225</v>
      </c>
      <c r="M3400" s="962">
        <v>5750500</v>
      </c>
      <c r="N3400" s="722"/>
      <c r="O3400" s="723">
        <v>24925</v>
      </c>
      <c r="P3400" s="722"/>
      <c r="Q3400" s="722">
        <v>39800</v>
      </c>
      <c r="R3400" s="724">
        <f>M3400/G3400</f>
        <v>3500</v>
      </c>
      <c r="S3400" s="725">
        <f t="shared" si="505"/>
        <v>0</v>
      </c>
      <c r="T3400" s="726"/>
      <c r="U3400" s="965"/>
      <c r="V3400" s="965"/>
      <c r="W3400" s="727"/>
      <c r="X3400" s="727"/>
      <c r="Y3400" s="727"/>
      <c r="Z3400" s="727"/>
    </row>
    <row r="3401" spans="1:220" s="148" customFormat="1" hidden="1">
      <c r="A3401" s="716">
        <f t="shared" si="506"/>
        <v>498</v>
      </c>
      <c r="B3401" s="961" t="s">
        <v>662</v>
      </c>
      <c r="C3401" s="1202" t="s">
        <v>271</v>
      </c>
      <c r="D3401" s="1163">
        <v>3395</v>
      </c>
      <c r="E3401" s="719">
        <v>758.87</v>
      </c>
      <c r="F3401" s="1203" t="s">
        <v>222</v>
      </c>
      <c r="G3401" s="1163">
        <v>679</v>
      </c>
      <c r="H3401" s="1197">
        <v>2</v>
      </c>
      <c r="I3401" s="1197">
        <v>2</v>
      </c>
      <c r="J3401" s="1197">
        <v>12</v>
      </c>
      <c r="K3401" s="720" t="s">
        <v>224</v>
      </c>
      <c r="L3401" s="992">
        <f t="shared" si="507"/>
        <v>1917153</v>
      </c>
      <c r="M3401" s="1028">
        <v>1882188</v>
      </c>
      <c r="N3401" s="1199">
        <v>34965</v>
      </c>
      <c r="O3401" s="723"/>
      <c r="P3401" s="1029"/>
      <c r="Q3401" s="1029"/>
      <c r="R3401" s="1035">
        <f>M3401/J3401</f>
        <v>156849</v>
      </c>
      <c r="S3401" s="1029">
        <f t="shared" si="505"/>
        <v>0</v>
      </c>
      <c r="T3401" s="1204"/>
      <c r="U3401" s="1029"/>
      <c r="V3401" s="965"/>
      <c r="W3401" s="726"/>
      <c r="X3401" s="965"/>
      <c r="Y3401" s="965"/>
      <c r="Z3401" s="1205"/>
      <c r="AB3401" s="135"/>
      <c r="AC3401" s="141"/>
      <c r="AD3401" s="131"/>
      <c r="AE3401" s="129"/>
    </row>
    <row r="3402" spans="1:220" s="82" customFormat="1" hidden="1">
      <c r="A3402" s="716">
        <f t="shared" si="506"/>
        <v>499</v>
      </c>
      <c r="B3402" s="592" t="s">
        <v>4080</v>
      </c>
      <c r="C3402" s="593" t="s">
        <v>217</v>
      </c>
      <c r="D3402" s="594">
        <v>63873</v>
      </c>
      <c r="E3402" s="594">
        <v>10779</v>
      </c>
      <c r="F3402" s="676" t="s">
        <v>233</v>
      </c>
      <c r="G3402" s="594">
        <v>2423</v>
      </c>
      <c r="H3402" s="594">
        <v>10</v>
      </c>
      <c r="I3402" s="594">
        <v>7</v>
      </c>
      <c r="J3402" s="594">
        <v>280</v>
      </c>
      <c r="K3402" s="588" t="s">
        <v>33</v>
      </c>
      <c r="L3402" s="967">
        <f t="shared" si="507"/>
        <v>5212454.9000000004</v>
      </c>
      <c r="M3402" s="775">
        <v>5088300</v>
      </c>
      <c r="N3402" s="597"/>
      <c r="O3402" s="1191">
        <v>15264.9</v>
      </c>
      <c r="P3402" s="597"/>
      <c r="Q3402" s="1184">
        <f>ROUND(M3402*0.0214,0)</f>
        <v>108890</v>
      </c>
      <c r="R3402" s="561">
        <f>M3402/G3402</f>
        <v>2100</v>
      </c>
      <c r="S3402" s="1192" t="s">
        <v>4005</v>
      </c>
      <c r="T3402" s="589"/>
      <c r="U3402" s="589"/>
      <c r="V3402" s="591"/>
      <c r="W3402" s="589"/>
      <c r="X3402" s="589"/>
      <c r="Y3402" s="589"/>
      <c r="Z3402" s="591"/>
      <c r="AA3402" s="105"/>
      <c r="AB3402" s="84"/>
      <c r="AD3402" s="83"/>
    </row>
    <row r="3403" spans="1:220" s="92" customFormat="1" hidden="1">
      <c r="A3403" s="1349" t="s">
        <v>208</v>
      </c>
      <c r="B3403" s="1349"/>
      <c r="C3403" s="582" t="s">
        <v>28</v>
      </c>
      <c r="D3403" s="728">
        <f>SUM(D2886:D3402)</f>
        <v>8113108.9199999999</v>
      </c>
      <c r="E3403" s="728">
        <f>SUM(E2886:E3402)</f>
        <v>1378016.7400000002</v>
      </c>
      <c r="F3403" s="582" t="s">
        <v>28</v>
      </c>
      <c r="G3403" s="728">
        <f>SUM(G2886:G3402)</f>
        <v>474474.16999999975</v>
      </c>
      <c r="H3403" s="582" t="s">
        <v>28</v>
      </c>
      <c r="I3403" s="582" t="s">
        <v>28</v>
      </c>
      <c r="J3403" s="729">
        <f>SUM(J2886:J3402)</f>
        <v>36887</v>
      </c>
      <c r="K3403" s="590" t="s">
        <v>28</v>
      </c>
      <c r="L3403" s="730">
        <f t="shared" ref="L3403:Q3403" si="509">SUM(L2886:L3402)</f>
        <v>1614551569.0100012</v>
      </c>
      <c r="M3403" s="731">
        <f t="shared" si="509"/>
        <v>1581831784.23</v>
      </c>
      <c r="N3403" s="728">
        <f t="shared" si="509"/>
        <v>18262186</v>
      </c>
      <c r="O3403" s="732">
        <f t="shared" si="509"/>
        <v>2023533.9499999997</v>
      </c>
      <c r="P3403" s="728">
        <f t="shared" si="509"/>
        <v>0</v>
      </c>
      <c r="Q3403" s="728">
        <f t="shared" si="509"/>
        <v>12434064.830000002</v>
      </c>
      <c r="R3403" s="561" t="s">
        <v>28</v>
      </c>
      <c r="S3403" s="586">
        <f>L3403-M3403-N3403-O3403-P3403-Q3403</f>
        <v>1.1622905731201172E-6</v>
      </c>
      <c r="T3403" s="577" t="e">
        <f>'1.перечень МКД'!#REF!</f>
        <v>#REF!</v>
      </c>
      <c r="U3403" s="589" t="e">
        <f>L3403-T3403</f>
        <v>#REF!</v>
      </c>
      <c r="V3403" s="588"/>
      <c r="W3403" s="733"/>
      <c r="X3403" s="733"/>
      <c r="Y3403" s="734"/>
      <c r="Z3403" s="734"/>
      <c r="AA3403" s="523"/>
      <c r="AB3403" s="523"/>
      <c r="AC3403" s="524"/>
      <c r="AD3403" s="525"/>
      <c r="AE3403" s="525"/>
      <c r="AF3403" s="525"/>
      <c r="AG3403" s="526"/>
      <c r="AH3403" s="526"/>
      <c r="AI3403" s="526"/>
      <c r="AJ3403" s="527"/>
      <c r="AK3403" s="439"/>
      <c r="AL3403" s="123"/>
      <c r="AM3403" s="528"/>
      <c r="AN3403" s="522"/>
      <c r="AO3403" s="522"/>
      <c r="AP3403" s="522"/>
      <c r="AQ3403" s="523"/>
      <c r="AR3403" s="523"/>
      <c r="AS3403" s="523"/>
      <c r="AT3403" s="523"/>
      <c r="AU3403" s="524"/>
      <c r="AV3403" s="525"/>
      <c r="AW3403" s="525"/>
      <c r="AX3403" s="525"/>
      <c r="AY3403" s="526"/>
      <c r="AZ3403" s="526"/>
      <c r="BA3403" s="526"/>
      <c r="BB3403" s="527"/>
      <c r="BC3403" s="439"/>
      <c r="BD3403" s="123"/>
      <c r="BE3403" s="528"/>
      <c r="BF3403" s="522"/>
      <c r="BG3403" s="522"/>
      <c r="BH3403" s="522"/>
      <c r="BI3403" s="523"/>
      <c r="BJ3403" s="523"/>
      <c r="BK3403" s="523"/>
      <c r="BL3403" s="523"/>
      <c r="BM3403" s="524"/>
      <c r="BN3403" s="525"/>
      <c r="BO3403" s="525"/>
      <c r="BP3403" s="525"/>
      <c r="BQ3403" s="526"/>
      <c r="BR3403" s="526"/>
      <c r="BS3403" s="526"/>
      <c r="BT3403" s="527"/>
      <c r="BU3403" s="439"/>
      <c r="BV3403" s="123"/>
      <c r="BW3403" s="528"/>
      <c r="BX3403" s="522"/>
      <c r="BY3403" s="522"/>
      <c r="BZ3403" s="522"/>
      <c r="CA3403" s="523"/>
      <c r="CB3403" s="523"/>
      <c r="CC3403" s="523"/>
      <c r="CD3403" s="523"/>
      <c r="CE3403" s="524"/>
      <c r="CF3403" s="525"/>
      <c r="CG3403" s="525"/>
      <c r="CH3403" s="525"/>
      <c r="CI3403" s="526"/>
      <c r="CJ3403" s="526"/>
      <c r="CK3403" s="526"/>
      <c r="CL3403" s="527"/>
      <c r="CM3403" s="439"/>
      <c r="CN3403" s="123"/>
      <c r="CO3403" s="528"/>
      <c r="CP3403" s="522"/>
      <c r="CQ3403" s="522"/>
      <c r="CR3403" s="522"/>
      <c r="CS3403" s="523"/>
      <c r="CT3403" s="523"/>
      <c r="CU3403" s="523"/>
      <c r="CV3403" s="523"/>
      <c r="CW3403" s="524"/>
      <c r="CX3403" s="525"/>
      <c r="CY3403" s="525"/>
      <c r="CZ3403" s="525"/>
      <c r="DA3403" s="526"/>
      <c r="DB3403" s="526"/>
      <c r="DC3403" s="526"/>
      <c r="DD3403" s="527"/>
      <c r="DE3403" s="439"/>
      <c r="DF3403" s="123"/>
      <c r="DG3403" s="528"/>
      <c r="DH3403" s="522"/>
      <c r="DI3403" s="522"/>
      <c r="DJ3403" s="522"/>
      <c r="DK3403" s="523"/>
      <c r="DL3403" s="523"/>
      <c r="DM3403" s="523"/>
      <c r="DN3403" s="523"/>
      <c r="DO3403" s="524"/>
      <c r="DP3403" s="525"/>
      <c r="DQ3403" s="525"/>
      <c r="DR3403" s="525"/>
      <c r="DS3403" s="526"/>
      <c r="DT3403" s="526"/>
      <c r="DU3403" s="526"/>
      <c r="DV3403" s="527"/>
      <c r="DW3403" s="439"/>
      <c r="DX3403" s="123"/>
      <c r="DY3403" s="528"/>
      <c r="DZ3403" s="522"/>
      <c r="EA3403" s="522"/>
      <c r="EB3403" s="522"/>
      <c r="EC3403" s="523"/>
      <c r="ED3403" s="523"/>
      <c r="EE3403" s="523"/>
      <c r="EF3403" s="523"/>
      <c r="EG3403" s="524"/>
      <c r="EH3403" s="525"/>
      <c r="EI3403" s="525"/>
      <c r="EJ3403" s="525"/>
      <c r="EK3403" s="526"/>
      <c r="EL3403" s="526"/>
      <c r="EM3403" s="526"/>
      <c r="EN3403" s="527"/>
      <c r="EO3403" s="439"/>
      <c r="EP3403" s="123"/>
      <c r="EQ3403" s="528"/>
      <c r="ER3403" s="522"/>
      <c r="ES3403" s="522"/>
      <c r="ET3403" s="522"/>
      <c r="EU3403" s="523"/>
      <c r="EV3403" s="523"/>
      <c r="EW3403" s="523"/>
      <c r="EX3403" s="523"/>
      <c r="EY3403" s="524"/>
      <c r="EZ3403" s="525"/>
      <c r="FA3403" s="525"/>
      <c r="FB3403" s="525"/>
      <c r="FC3403" s="526"/>
      <c r="FD3403" s="526"/>
      <c r="FE3403" s="526"/>
      <c r="FF3403" s="527"/>
      <c r="FG3403" s="439"/>
      <c r="FH3403" s="123"/>
      <c r="FI3403" s="528"/>
      <c r="FJ3403" s="522"/>
      <c r="FK3403" s="522"/>
      <c r="FL3403" s="522"/>
      <c r="FM3403" s="523"/>
      <c r="FN3403" s="523"/>
      <c r="FO3403" s="523"/>
      <c r="FP3403" s="523"/>
      <c r="FQ3403" s="524"/>
      <c r="FR3403" s="525"/>
      <c r="FS3403" s="525"/>
      <c r="FT3403" s="525"/>
      <c r="FU3403" s="526"/>
      <c r="FV3403" s="526"/>
      <c r="FW3403" s="526"/>
      <c r="FX3403" s="527"/>
      <c r="FY3403" s="439"/>
      <c r="FZ3403" s="123"/>
      <c r="GA3403" s="528"/>
      <c r="GB3403" s="522"/>
      <c r="GC3403" s="522"/>
      <c r="GD3403" s="522"/>
      <c r="GE3403" s="523"/>
      <c r="GF3403" s="523"/>
      <c r="GG3403" s="523"/>
      <c r="GH3403" s="523"/>
      <c r="GI3403" s="524"/>
      <c r="GJ3403" s="525"/>
      <c r="GK3403" s="525"/>
      <c r="GL3403" s="525"/>
      <c r="GM3403" s="526"/>
      <c r="GN3403" s="526"/>
      <c r="GO3403" s="526"/>
      <c r="GP3403" s="527"/>
      <c r="GQ3403" s="439"/>
      <c r="GR3403" s="123"/>
      <c r="GS3403" s="528"/>
      <c r="GT3403" s="522"/>
      <c r="GU3403" s="522"/>
      <c r="GV3403" s="522"/>
      <c r="GW3403" s="523"/>
      <c r="GX3403" s="523"/>
      <c r="GY3403" s="523"/>
      <c r="GZ3403" s="523"/>
      <c r="HA3403" s="524"/>
      <c r="HB3403" s="525"/>
      <c r="HC3403" s="525"/>
      <c r="HD3403" s="525"/>
      <c r="HE3403" s="526"/>
      <c r="HF3403" s="526"/>
      <c r="HG3403" s="526"/>
      <c r="HH3403" s="527"/>
      <c r="HI3403" s="439"/>
      <c r="HJ3403" s="123"/>
      <c r="HK3403" s="528"/>
      <c r="HL3403" s="522"/>
    </row>
    <row r="3404" spans="1:220" s="92" customFormat="1" hidden="1">
      <c r="A3404" s="1345" t="s">
        <v>138</v>
      </c>
      <c r="B3404" s="1345"/>
      <c r="C3404" s="1345"/>
      <c r="D3404" s="1345"/>
      <c r="E3404" s="1345"/>
      <c r="F3404" s="1345"/>
      <c r="G3404" s="1345"/>
      <c r="H3404" s="1345"/>
      <c r="I3404" s="1345"/>
      <c r="J3404" s="1345"/>
      <c r="K3404" s="1345"/>
      <c r="L3404" s="1345"/>
      <c r="M3404" s="1345"/>
      <c r="N3404" s="1345"/>
      <c r="O3404" s="1345"/>
      <c r="P3404" s="1345"/>
      <c r="Q3404" s="1345"/>
      <c r="R3404" s="570"/>
      <c r="S3404" s="586"/>
      <c r="T3404" s="577"/>
      <c r="U3404" s="591"/>
      <c r="V3404" s="588"/>
      <c r="W3404" s="733"/>
      <c r="X3404" s="733"/>
      <c r="Y3404" s="734"/>
      <c r="Z3404" s="734"/>
      <c r="AA3404" s="523"/>
      <c r="AB3404" s="523"/>
      <c r="AC3404" s="524"/>
      <c r="AD3404" s="525"/>
      <c r="AE3404" s="525"/>
      <c r="AF3404" s="525"/>
      <c r="AG3404" s="526"/>
      <c r="AH3404" s="526"/>
      <c r="AI3404" s="526"/>
      <c r="AJ3404" s="527"/>
      <c r="AK3404" s="439"/>
      <c r="AL3404" s="123"/>
      <c r="AM3404" s="528"/>
      <c r="AN3404" s="522"/>
      <c r="AO3404" s="522"/>
      <c r="AP3404" s="522"/>
      <c r="AQ3404" s="523"/>
      <c r="AR3404" s="523"/>
      <c r="AS3404" s="523"/>
      <c r="AT3404" s="523"/>
      <c r="AU3404" s="524"/>
      <c r="AV3404" s="525"/>
      <c r="AW3404" s="525"/>
      <c r="AX3404" s="525"/>
      <c r="AY3404" s="526"/>
      <c r="AZ3404" s="526"/>
      <c r="BA3404" s="526"/>
      <c r="BB3404" s="527"/>
      <c r="BC3404" s="439"/>
      <c r="BD3404" s="123"/>
      <c r="BE3404" s="528"/>
      <c r="BF3404" s="522"/>
      <c r="BG3404" s="522"/>
      <c r="BH3404" s="522"/>
      <c r="BI3404" s="523"/>
      <c r="BJ3404" s="523"/>
      <c r="BK3404" s="523"/>
      <c r="BL3404" s="523"/>
      <c r="BM3404" s="524"/>
      <c r="BN3404" s="525"/>
      <c r="BO3404" s="525"/>
      <c r="BP3404" s="525"/>
      <c r="BQ3404" s="526"/>
      <c r="BR3404" s="526"/>
      <c r="BS3404" s="526"/>
      <c r="BT3404" s="527"/>
      <c r="BU3404" s="439"/>
      <c r="BV3404" s="123"/>
      <c r="BW3404" s="528"/>
      <c r="BX3404" s="522"/>
      <c r="BY3404" s="522"/>
      <c r="BZ3404" s="522"/>
      <c r="CA3404" s="523"/>
      <c r="CB3404" s="523"/>
      <c r="CC3404" s="523"/>
      <c r="CD3404" s="523"/>
      <c r="CE3404" s="524"/>
      <c r="CF3404" s="525"/>
      <c r="CG3404" s="525"/>
      <c r="CH3404" s="525"/>
      <c r="CI3404" s="526"/>
      <c r="CJ3404" s="526"/>
      <c r="CK3404" s="526"/>
      <c r="CL3404" s="527"/>
      <c r="CM3404" s="439"/>
      <c r="CN3404" s="123"/>
      <c r="CO3404" s="528"/>
      <c r="CP3404" s="522"/>
      <c r="CQ3404" s="522"/>
      <c r="CR3404" s="522"/>
      <c r="CS3404" s="523"/>
      <c r="CT3404" s="523"/>
      <c r="CU3404" s="523"/>
      <c r="CV3404" s="523"/>
      <c r="CW3404" s="524"/>
      <c r="CX3404" s="525"/>
      <c r="CY3404" s="525"/>
      <c r="CZ3404" s="525"/>
      <c r="DA3404" s="526"/>
      <c r="DB3404" s="526"/>
      <c r="DC3404" s="526"/>
      <c r="DD3404" s="527"/>
      <c r="DE3404" s="439"/>
      <c r="DF3404" s="123"/>
      <c r="DG3404" s="528"/>
      <c r="DH3404" s="522"/>
      <c r="DI3404" s="522"/>
      <c r="DJ3404" s="522"/>
      <c r="DK3404" s="523"/>
      <c r="DL3404" s="523"/>
      <c r="DM3404" s="523"/>
      <c r="DN3404" s="523"/>
      <c r="DO3404" s="524"/>
      <c r="DP3404" s="525"/>
      <c r="DQ3404" s="525"/>
      <c r="DR3404" s="525"/>
      <c r="DS3404" s="526"/>
      <c r="DT3404" s="526"/>
      <c r="DU3404" s="526"/>
      <c r="DV3404" s="527"/>
      <c r="DW3404" s="439"/>
      <c r="DX3404" s="123"/>
      <c r="DY3404" s="528"/>
      <c r="DZ3404" s="522"/>
      <c r="EA3404" s="522"/>
      <c r="EB3404" s="522"/>
      <c r="EC3404" s="523"/>
      <c r="ED3404" s="523"/>
      <c r="EE3404" s="523"/>
      <c r="EF3404" s="523"/>
      <c r="EG3404" s="524"/>
      <c r="EH3404" s="525"/>
      <c r="EI3404" s="525"/>
      <c r="EJ3404" s="525"/>
      <c r="EK3404" s="526"/>
      <c r="EL3404" s="526"/>
      <c r="EM3404" s="526"/>
      <c r="EN3404" s="527"/>
      <c r="EO3404" s="439"/>
      <c r="EP3404" s="123"/>
      <c r="EQ3404" s="528"/>
      <c r="ER3404" s="522"/>
      <c r="ES3404" s="522"/>
      <c r="ET3404" s="522"/>
      <c r="EU3404" s="523"/>
      <c r="EV3404" s="523"/>
      <c r="EW3404" s="523"/>
      <c r="EX3404" s="523"/>
      <c r="EY3404" s="524"/>
      <c r="EZ3404" s="525"/>
      <c r="FA3404" s="525"/>
      <c r="FB3404" s="525"/>
      <c r="FC3404" s="526"/>
      <c r="FD3404" s="526"/>
      <c r="FE3404" s="526"/>
      <c r="FF3404" s="527"/>
      <c r="FG3404" s="439"/>
      <c r="FH3404" s="123"/>
      <c r="FI3404" s="528"/>
      <c r="FJ3404" s="522"/>
      <c r="FK3404" s="522"/>
      <c r="FL3404" s="522"/>
      <c r="FM3404" s="523"/>
      <c r="FN3404" s="523"/>
      <c r="FO3404" s="523"/>
      <c r="FP3404" s="523"/>
      <c r="FQ3404" s="524"/>
      <c r="FR3404" s="525"/>
      <c r="FS3404" s="525"/>
      <c r="FT3404" s="525"/>
      <c r="FU3404" s="526"/>
      <c r="FV3404" s="526"/>
      <c r="FW3404" s="526"/>
      <c r="FX3404" s="527"/>
      <c r="FY3404" s="439"/>
      <c r="FZ3404" s="123"/>
      <c r="GA3404" s="528"/>
      <c r="GB3404" s="522"/>
      <c r="GC3404" s="522"/>
      <c r="GD3404" s="522"/>
      <c r="GE3404" s="523"/>
      <c r="GF3404" s="523"/>
      <c r="GG3404" s="523"/>
      <c r="GH3404" s="523"/>
      <c r="GI3404" s="524"/>
      <c r="GJ3404" s="525"/>
      <c r="GK3404" s="525"/>
      <c r="GL3404" s="525"/>
      <c r="GM3404" s="526"/>
      <c r="GN3404" s="526"/>
      <c r="GO3404" s="526"/>
      <c r="GP3404" s="527"/>
      <c r="GQ3404" s="439"/>
      <c r="GR3404" s="123"/>
      <c r="GS3404" s="528"/>
      <c r="GT3404" s="522"/>
      <c r="GU3404" s="522"/>
      <c r="GV3404" s="522"/>
      <c r="GW3404" s="523"/>
      <c r="GX3404" s="523"/>
      <c r="GY3404" s="523"/>
      <c r="GZ3404" s="523"/>
      <c r="HA3404" s="524"/>
      <c r="HB3404" s="525"/>
      <c r="HC3404" s="525"/>
      <c r="HD3404" s="525"/>
      <c r="HE3404" s="526"/>
      <c r="HF3404" s="526"/>
      <c r="HG3404" s="526"/>
      <c r="HH3404" s="527"/>
      <c r="HI3404" s="439"/>
      <c r="HJ3404" s="123"/>
      <c r="HK3404" s="528"/>
      <c r="HL3404" s="522"/>
    </row>
    <row r="3405" spans="1:220" s="92" customFormat="1" hidden="1">
      <c r="A3405" s="1358" t="s">
        <v>137</v>
      </c>
      <c r="B3405" s="1358"/>
      <c r="C3405" s="561" t="s">
        <v>28</v>
      </c>
      <c r="D3405" s="564">
        <f>D3412+D3470+D3529+D3535+D3540+D3545+D3549+D3572+D3575+D3578+D3600+D3604+D3620+D3626+D3629+D3637+D3641+D3661+D3664+D3669+D3675+D3680+D3683+D3686+D3690+D3694+D3699+D3702+D3705+D3709+D3712+D3715+D3754+D3771+D3778+D3789+D3794+D3803</f>
        <v>3006283.4600000009</v>
      </c>
      <c r="E3405" s="564">
        <f>E3412+E3470+E3529+E3535+E3540+E3545+E3549+E3572+E3575+E3578+E3600+E3604+E3620+E3626+E3629+E3637+E3641+E3661+E3664+E3669+E3675+E3680+E3683+E3686+E3690+E3694+E3699+E3702+E3705+E3709+E3712+E3715+E3754+E3771+E3778+E3789+E3794+E3803</f>
        <v>756286.978</v>
      </c>
      <c r="F3405" s="561" t="s">
        <v>28</v>
      </c>
      <c r="G3405" s="564">
        <f>G3412+G3470+G3529+G3535+G3540+G3545+G3549+G3572+G3575+G3578+G3600+G3604+G3620+G3626+G3629+G3637+G3641+G3661+G3664+G3669+G3675+G3680+G3683+G3686+G3690+G3694+G3699+G3702+G3705+G3709+G3712+G3715+G3754+G3771+G3778+G3789+G3794+G3803</f>
        <v>305469.34899999999</v>
      </c>
      <c r="H3405" s="561" t="s">
        <v>28</v>
      </c>
      <c r="I3405" s="561" t="s">
        <v>28</v>
      </c>
      <c r="J3405" s="564">
        <f>J3412+J3470+J3529+J3535+J3540+J3545+J3549+J3572+J3575+J3578+J3600+J3604+J3620+J3626+J3629+J3637+J3641+J3661+J3664+J3669+J3675+J3680+J3683+J3686+J3690+J3694+J3699+J3702+J3705+J3709+J3712+J3715+J3754+J3771+J3778+J3789+J3794+J3803</f>
        <v>15994</v>
      </c>
      <c r="K3405" s="577" t="s">
        <v>28</v>
      </c>
      <c r="L3405" s="562">
        <f t="shared" ref="L3405:Q3405" si="510">L3412+L3470+L3529+L3535+L3540+L3545+L3549+L3572+L3575+L3578+L3600+L3604+L3620+L3626+L3629+L3637+L3641+L3661+L3664+L3669+L3675+L3680+L3683+L3686+L3690+L3694+L3699+L3702+L3705+L3709+L3712+L3715+L3754+L3771+L3778+L3789+L3794+L3803</f>
        <v>668032091.30000007</v>
      </c>
      <c r="M3405" s="563">
        <f t="shared" si="510"/>
        <v>648651292</v>
      </c>
      <c r="N3405" s="564">
        <f t="shared" si="510"/>
        <v>6149496.8200000003</v>
      </c>
      <c r="O3405" s="565">
        <f t="shared" si="510"/>
        <v>955919</v>
      </c>
      <c r="P3405" s="564">
        <f t="shared" si="510"/>
        <v>0</v>
      </c>
      <c r="Q3405" s="564">
        <f t="shared" si="510"/>
        <v>12275383.479999999</v>
      </c>
      <c r="R3405" s="582" t="s">
        <v>28</v>
      </c>
      <c r="S3405" s="586">
        <f>L3405-M3405-N3405-O3405-P3405-Q3405</f>
        <v>7.2643160820007324E-8</v>
      </c>
      <c r="T3405" s="577" t="e">
        <f>'1.перечень МКД'!#REF!</f>
        <v>#REF!</v>
      </c>
      <c r="U3405" s="589" t="e">
        <f>L3405-T3405</f>
        <v>#REF!</v>
      </c>
      <c r="V3405" s="588"/>
      <c r="W3405" s="733"/>
      <c r="X3405" s="733"/>
      <c r="Y3405" s="734"/>
      <c r="Z3405" s="734"/>
      <c r="AA3405" s="523"/>
      <c r="AB3405" s="523"/>
      <c r="AC3405" s="524"/>
      <c r="AD3405" s="525"/>
      <c r="AE3405" s="525"/>
      <c r="AF3405" s="525"/>
      <c r="AG3405" s="526"/>
      <c r="AH3405" s="526"/>
      <c r="AI3405" s="526"/>
      <c r="AJ3405" s="527"/>
      <c r="AK3405" s="439"/>
      <c r="AL3405" s="123"/>
      <c r="AM3405" s="528"/>
      <c r="AN3405" s="522"/>
      <c r="AO3405" s="522"/>
      <c r="AP3405" s="522"/>
      <c r="AQ3405" s="523"/>
      <c r="AR3405" s="523"/>
      <c r="AS3405" s="523"/>
      <c r="AT3405" s="523"/>
      <c r="AU3405" s="524"/>
      <c r="AV3405" s="525"/>
      <c r="AW3405" s="525"/>
      <c r="AX3405" s="525"/>
      <c r="AY3405" s="526"/>
      <c r="AZ3405" s="526"/>
      <c r="BA3405" s="526"/>
      <c r="BB3405" s="527"/>
      <c r="BC3405" s="439"/>
      <c r="BD3405" s="123"/>
      <c r="BE3405" s="528"/>
      <c r="BF3405" s="522"/>
      <c r="BG3405" s="522"/>
      <c r="BH3405" s="522"/>
      <c r="BI3405" s="523"/>
      <c r="BJ3405" s="523"/>
      <c r="BK3405" s="523"/>
      <c r="BL3405" s="523"/>
      <c r="BM3405" s="524"/>
      <c r="BN3405" s="525"/>
      <c r="BO3405" s="525"/>
      <c r="BP3405" s="525"/>
      <c r="BQ3405" s="526"/>
      <c r="BR3405" s="526"/>
      <c r="BS3405" s="526"/>
      <c r="BT3405" s="527"/>
      <c r="BU3405" s="439"/>
      <c r="BV3405" s="123"/>
      <c r="BW3405" s="528"/>
      <c r="BX3405" s="522"/>
      <c r="BY3405" s="522"/>
      <c r="BZ3405" s="522"/>
      <c r="CA3405" s="523"/>
      <c r="CB3405" s="523"/>
      <c r="CC3405" s="523"/>
      <c r="CD3405" s="523"/>
      <c r="CE3405" s="524"/>
      <c r="CF3405" s="525"/>
      <c r="CG3405" s="525"/>
      <c r="CH3405" s="525"/>
      <c r="CI3405" s="526"/>
      <c r="CJ3405" s="526"/>
      <c r="CK3405" s="526"/>
      <c r="CL3405" s="527"/>
      <c r="CM3405" s="439"/>
      <c r="CN3405" s="123"/>
      <c r="CO3405" s="528"/>
      <c r="CP3405" s="522"/>
      <c r="CQ3405" s="522"/>
      <c r="CR3405" s="522"/>
      <c r="CS3405" s="523"/>
      <c r="CT3405" s="523"/>
      <c r="CU3405" s="523"/>
      <c r="CV3405" s="523"/>
      <c r="CW3405" s="524"/>
      <c r="CX3405" s="525"/>
      <c r="CY3405" s="525"/>
      <c r="CZ3405" s="525"/>
      <c r="DA3405" s="526"/>
      <c r="DB3405" s="526"/>
      <c r="DC3405" s="526"/>
      <c r="DD3405" s="527"/>
      <c r="DE3405" s="439"/>
      <c r="DF3405" s="123"/>
      <c r="DG3405" s="528"/>
      <c r="DH3405" s="522"/>
      <c r="DI3405" s="522"/>
      <c r="DJ3405" s="522"/>
      <c r="DK3405" s="523"/>
      <c r="DL3405" s="523"/>
      <c r="DM3405" s="523"/>
      <c r="DN3405" s="523"/>
      <c r="DO3405" s="524"/>
      <c r="DP3405" s="525"/>
      <c r="DQ3405" s="525"/>
      <c r="DR3405" s="525"/>
      <c r="DS3405" s="526"/>
      <c r="DT3405" s="526"/>
      <c r="DU3405" s="526"/>
      <c r="DV3405" s="527"/>
      <c r="DW3405" s="439"/>
      <c r="DX3405" s="123"/>
      <c r="DY3405" s="528"/>
      <c r="DZ3405" s="522"/>
      <c r="EA3405" s="522"/>
      <c r="EB3405" s="522"/>
      <c r="EC3405" s="523"/>
      <c r="ED3405" s="523"/>
      <c r="EE3405" s="523"/>
      <c r="EF3405" s="523"/>
      <c r="EG3405" s="524"/>
      <c r="EH3405" s="525"/>
      <c r="EI3405" s="525"/>
      <c r="EJ3405" s="525"/>
      <c r="EK3405" s="526"/>
      <c r="EL3405" s="526"/>
      <c r="EM3405" s="526"/>
      <c r="EN3405" s="527"/>
      <c r="EO3405" s="439"/>
      <c r="EP3405" s="123"/>
      <c r="EQ3405" s="528"/>
      <c r="ER3405" s="522"/>
      <c r="ES3405" s="522"/>
      <c r="ET3405" s="522"/>
      <c r="EU3405" s="523"/>
      <c r="EV3405" s="523"/>
      <c r="EW3405" s="523"/>
      <c r="EX3405" s="523"/>
      <c r="EY3405" s="524"/>
      <c r="EZ3405" s="525"/>
      <c r="FA3405" s="525"/>
      <c r="FB3405" s="525"/>
      <c r="FC3405" s="526"/>
      <c r="FD3405" s="526"/>
      <c r="FE3405" s="526"/>
      <c r="FF3405" s="527"/>
      <c r="FG3405" s="439"/>
      <c r="FH3405" s="123"/>
      <c r="FI3405" s="528"/>
      <c r="FJ3405" s="522"/>
      <c r="FK3405" s="522"/>
      <c r="FL3405" s="522"/>
      <c r="FM3405" s="523"/>
      <c r="FN3405" s="523"/>
      <c r="FO3405" s="523"/>
      <c r="FP3405" s="523"/>
      <c r="FQ3405" s="524"/>
      <c r="FR3405" s="525"/>
      <c r="FS3405" s="525"/>
      <c r="FT3405" s="525"/>
      <c r="FU3405" s="526"/>
      <c r="FV3405" s="526"/>
      <c r="FW3405" s="526"/>
      <c r="FX3405" s="527"/>
      <c r="FY3405" s="439"/>
      <c r="FZ3405" s="123"/>
      <c r="GA3405" s="528"/>
      <c r="GB3405" s="522"/>
      <c r="GC3405" s="522"/>
      <c r="GD3405" s="522"/>
      <c r="GE3405" s="523"/>
      <c r="GF3405" s="523"/>
      <c r="GG3405" s="523"/>
      <c r="GH3405" s="523"/>
      <c r="GI3405" s="524"/>
      <c r="GJ3405" s="525"/>
      <c r="GK3405" s="525"/>
      <c r="GL3405" s="525"/>
      <c r="GM3405" s="526"/>
      <c r="GN3405" s="526"/>
      <c r="GO3405" s="526"/>
      <c r="GP3405" s="527"/>
      <c r="GQ3405" s="439"/>
      <c r="GR3405" s="123"/>
      <c r="GS3405" s="528"/>
      <c r="GT3405" s="522"/>
      <c r="GU3405" s="522"/>
      <c r="GV3405" s="522"/>
      <c r="GW3405" s="523"/>
      <c r="GX3405" s="523"/>
      <c r="GY3405" s="523"/>
      <c r="GZ3405" s="523"/>
      <c r="HA3405" s="524"/>
      <c r="HB3405" s="525"/>
      <c r="HC3405" s="525"/>
      <c r="HD3405" s="525"/>
      <c r="HE3405" s="526"/>
      <c r="HF3405" s="526"/>
      <c r="HG3405" s="526"/>
      <c r="HH3405" s="527"/>
      <c r="HI3405" s="439"/>
      <c r="HJ3405" s="123"/>
      <c r="HK3405" s="528"/>
      <c r="HL3405" s="522"/>
    </row>
    <row r="3406" spans="1:220" s="28" customFormat="1" hidden="1">
      <c r="A3406" s="1347" t="s">
        <v>29</v>
      </c>
      <c r="B3406" s="1347"/>
      <c r="C3406" s="1347"/>
      <c r="D3406" s="1347"/>
      <c r="E3406" s="1347"/>
      <c r="F3406" s="1347"/>
      <c r="G3406" s="1347"/>
      <c r="H3406" s="1347"/>
      <c r="I3406" s="1347"/>
      <c r="J3406" s="1347"/>
      <c r="K3406" s="1347"/>
      <c r="L3406" s="1347"/>
      <c r="M3406" s="1347"/>
      <c r="N3406" s="1347"/>
      <c r="O3406" s="1347"/>
      <c r="P3406" s="1347"/>
      <c r="Q3406" s="1347"/>
      <c r="R3406" s="590"/>
      <c r="S3406" s="592"/>
      <c r="T3406" s="645"/>
      <c r="U3406" s="591"/>
      <c r="V3406" s="592"/>
      <c r="W3406" s="592"/>
      <c r="X3406" s="592"/>
      <c r="Y3406" s="592"/>
      <c r="Z3406" s="592"/>
    </row>
    <row r="3407" spans="1:220" s="541" customFormat="1" hidden="1">
      <c r="A3407" s="792">
        <v>1</v>
      </c>
      <c r="B3407" s="592" t="s">
        <v>3630</v>
      </c>
      <c r="C3407" s="582" t="s">
        <v>217</v>
      </c>
      <c r="D3407" s="646">
        <v>23553.599999999999</v>
      </c>
      <c r="E3407" s="646">
        <v>8412</v>
      </c>
      <c r="F3407" s="646" t="s">
        <v>233</v>
      </c>
      <c r="G3407" s="646">
        <v>3640</v>
      </c>
      <c r="H3407" s="582">
        <v>5</v>
      </c>
      <c r="I3407" s="582">
        <v>14</v>
      </c>
      <c r="J3407" s="582">
        <v>234</v>
      </c>
      <c r="K3407" s="590" t="s">
        <v>3631</v>
      </c>
      <c r="L3407" s="584">
        <f>M3407+N3407+O3407+P3407+Q3407</f>
        <v>7457632</v>
      </c>
      <c r="M3407" s="585">
        <v>7280000</v>
      </c>
      <c r="N3407" s="586"/>
      <c r="O3407" s="736">
        <v>21840</v>
      </c>
      <c r="P3407" s="932"/>
      <c r="Q3407" s="586">
        <v>155792</v>
      </c>
      <c r="R3407" s="582">
        <f>M3407/G3407</f>
        <v>2000</v>
      </c>
      <c r="S3407" s="859"/>
      <c r="T3407" s="1206"/>
      <c r="U3407" s="1059"/>
      <c r="V3407" s="859"/>
      <c r="W3407" s="859"/>
      <c r="X3407" s="859"/>
      <c r="Y3407" s="859"/>
      <c r="Z3407" s="859"/>
    </row>
    <row r="3408" spans="1:220" s="541" customFormat="1" ht="37.5" hidden="1">
      <c r="A3408" s="792">
        <f>A3407+1</f>
        <v>2</v>
      </c>
      <c r="B3408" s="592" t="s">
        <v>3632</v>
      </c>
      <c r="C3408" s="593" t="s">
        <v>217</v>
      </c>
      <c r="D3408" s="646">
        <v>20627</v>
      </c>
      <c r="E3408" s="646">
        <v>4396</v>
      </c>
      <c r="F3408" s="646" t="s">
        <v>233</v>
      </c>
      <c r="G3408" s="646">
        <v>1799</v>
      </c>
      <c r="H3408" s="582">
        <v>5</v>
      </c>
      <c r="I3408" s="582">
        <v>9</v>
      </c>
      <c r="J3408" s="582">
        <v>135</v>
      </c>
      <c r="K3408" s="590" t="s">
        <v>30</v>
      </c>
      <c r="L3408" s="584">
        <f>M3408+N3408+O3408+P3408+Q3408</f>
        <v>3457350</v>
      </c>
      <c r="M3408" s="585">
        <v>3375000</v>
      </c>
      <c r="N3408" s="586"/>
      <c r="O3408" s="736">
        <v>10125</v>
      </c>
      <c r="P3408" s="586"/>
      <c r="Q3408" s="586">
        <v>72225</v>
      </c>
      <c r="R3408" s="582">
        <f>M3408/J3408</f>
        <v>25000</v>
      </c>
      <c r="S3408" s="859"/>
      <c r="T3408" s="1206"/>
      <c r="U3408" s="1059"/>
      <c r="V3408" s="859"/>
      <c r="W3408" s="859"/>
      <c r="X3408" s="859"/>
      <c r="Y3408" s="859"/>
      <c r="Z3408" s="859"/>
    </row>
    <row r="3409" spans="1:26" s="541" customFormat="1" ht="37.5" hidden="1">
      <c r="A3409" s="792">
        <f>A3408+1</f>
        <v>3</v>
      </c>
      <c r="B3409" s="592" t="s">
        <v>3633</v>
      </c>
      <c r="C3409" s="593" t="s">
        <v>217</v>
      </c>
      <c r="D3409" s="646">
        <v>22155.71</v>
      </c>
      <c r="E3409" s="646">
        <v>7639.9</v>
      </c>
      <c r="F3409" s="646" t="s">
        <v>233</v>
      </c>
      <c r="G3409" s="646">
        <v>3096</v>
      </c>
      <c r="H3409" s="582">
        <v>5</v>
      </c>
      <c r="I3409" s="582">
        <v>12</v>
      </c>
      <c r="J3409" s="582">
        <v>170</v>
      </c>
      <c r="K3409" s="590" t="s">
        <v>30</v>
      </c>
      <c r="L3409" s="584">
        <f>M3409+N3409+O3409+P3409+Q3409</f>
        <v>4353700</v>
      </c>
      <c r="M3409" s="585">
        <v>4250000</v>
      </c>
      <c r="N3409" s="586"/>
      <c r="O3409" s="736">
        <v>12750</v>
      </c>
      <c r="P3409" s="586"/>
      <c r="Q3409" s="586">
        <v>90950</v>
      </c>
      <c r="R3409" s="582">
        <f>M3409/J3409</f>
        <v>25000</v>
      </c>
      <c r="S3409" s="859"/>
      <c r="T3409" s="1206"/>
      <c r="U3409" s="1059"/>
      <c r="V3409" s="859"/>
      <c r="W3409" s="859"/>
      <c r="X3409" s="859"/>
      <c r="Y3409" s="859"/>
      <c r="Z3409" s="859"/>
    </row>
    <row r="3410" spans="1:26" s="86" customFormat="1" ht="37.5" hidden="1">
      <c r="A3410" s="792">
        <f>A3409+1</f>
        <v>4</v>
      </c>
      <c r="B3410" s="592" t="s">
        <v>2759</v>
      </c>
      <c r="C3410" s="582" t="s">
        <v>217</v>
      </c>
      <c r="D3410" s="619">
        <v>7560</v>
      </c>
      <c r="E3410" s="619">
        <v>1697.1</v>
      </c>
      <c r="F3410" s="646" t="s">
        <v>218</v>
      </c>
      <c r="G3410" s="619">
        <v>576.6</v>
      </c>
      <c r="H3410" s="599">
        <v>5</v>
      </c>
      <c r="I3410" s="599">
        <v>3</v>
      </c>
      <c r="J3410" s="599">
        <v>39</v>
      </c>
      <c r="K3410" s="606" t="s">
        <v>30</v>
      </c>
      <c r="L3410" s="595">
        <f>M3410+N3410+O3410+P3410+Q3410</f>
        <v>1011116.79</v>
      </c>
      <c r="M3410" s="585">
        <v>975000</v>
      </c>
      <c r="N3410" s="586"/>
      <c r="O3410" s="1054">
        <v>14783</v>
      </c>
      <c r="P3410" s="586"/>
      <c r="Q3410" s="586">
        <v>21333.79</v>
      </c>
      <c r="R3410" s="582">
        <f>M3410/J3410</f>
        <v>25000</v>
      </c>
      <c r="S3410" s="575">
        <f>L3410-M3410-N3410-O3410-P3410-Q3410</f>
        <v>3.637978807091713E-11</v>
      </c>
      <c r="T3410" s="737"/>
      <c r="U3410" s="737"/>
      <c r="V3410" s="589"/>
      <c r="W3410" s="737"/>
      <c r="X3410" s="737"/>
      <c r="Y3410" s="737"/>
      <c r="Z3410" s="737"/>
    </row>
    <row r="3411" spans="1:26" s="86" customFormat="1" ht="37.5" hidden="1">
      <c r="A3411" s="792">
        <f>A3410+1</f>
        <v>5</v>
      </c>
      <c r="B3411" s="592" t="s">
        <v>3946</v>
      </c>
      <c r="C3411" s="582" t="s">
        <v>217</v>
      </c>
      <c r="D3411" s="619">
        <v>7348</v>
      </c>
      <c r="E3411" s="619">
        <v>5612</v>
      </c>
      <c r="F3411" s="646" t="s">
        <v>233</v>
      </c>
      <c r="G3411" s="619">
        <v>975</v>
      </c>
      <c r="H3411" s="599">
        <v>9</v>
      </c>
      <c r="I3411" s="599">
        <v>3</v>
      </c>
      <c r="J3411" s="599">
        <v>107</v>
      </c>
      <c r="K3411" s="606" t="s">
        <v>219</v>
      </c>
      <c r="L3411" s="595">
        <f>M3411+N3411+O3411+P3411+Q3411</f>
        <v>6127500</v>
      </c>
      <c r="M3411" s="585">
        <v>6000000</v>
      </c>
      <c r="N3411" s="586">
        <v>127500</v>
      </c>
      <c r="O3411" s="1054"/>
      <c r="P3411" s="586"/>
      <c r="Q3411" s="630"/>
      <c r="R3411" s="582">
        <f>M3411/I3411</f>
        <v>2000000</v>
      </c>
      <c r="S3411" s="1207"/>
      <c r="T3411" s="737"/>
      <c r="U3411" s="737"/>
      <c r="V3411" s="589"/>
      <c r="W3411" s="737"/>
      <c r="X3411" s="737"/>
      <c r="Y3411" s="737"/>
      <c r="Z3411" s="737"/>
    </row>
    <row r="3412" spans="1:26" s="28" customFormat="1" hidden="1">
      <c r="A3412" s="1349" t="s">
        <v>116</v>
      </c>
      <c r="B3412" s="1349"/>
      <c r="C3412" s="586" t="s">
        <v>28</v>
      </c>
      <c r="D3412" s="646">
        <f>SUM(D3407:D3411)</f>
        <v>81244.31</v>
      </c>
      <c r="E3412" s="646">
        <f>SUM(E3407:E3411)</f>
        <v>27757</v>
      </c>
      <c r="F3412" s="646" t="s">
        <v>28</v>
      </c>
      <c r="G3412" s="646">
        <f>SUM(G3407:G3411)</f>
        <v>10086.6</v>
      </c>
      <c r="H3412" s="582" t="s">
        <v>28</v>
      </c>
      <c r="I3412" s="582" t="s">
        <v>28</v>
      </c>
      <c r="J3412" s="582">
        <f>SUM(J3407:J3411)</f>
        <v>685</v>
      </c>
      <c r="K3412" s="590" t="s">
        <v>28</v>
      </c>
      <c r="L3412" s="584">
        <f>SUM(L3407:L3411)</f>
        <v>22407298.789999999</v>
      </c>
      <c r="M3412" s="585">
        <f>SUM(M3407:M3411)</f>
        <v>21880000</v>
      </c>
      <c r="N3412" s="586">
        <f>SUM(N3407:N3411)</f>
        <v>127500</v>
      </c>
      <c r="O3412" s="587">
        <f>SUM(O3407:O3411)</f>
        <v>59498</v>
      </c>
      <c r="P3412" s="586"/>
      <c r="Q3412" s="586">
        <f>SUM(Q3407:Q3411)</f>
        <v>340300.79</v>
      </c>
      <c r="R3412" s="582" t="s">
        <v>28</v>
      </c>
      <c r="S3412" s="1347"/>
      <c r="T3412" s="1347"/>
      <c r="U3412" s="1059"/>
      <c r="V3412" s="592"/>
      <c r="W3412" s="592"/>
      <c r="X3412" s="592"/>
      <c r="Y3412" s="592"/>
      <c r="Z3412" s="592"/>
    </row>
    <row r="3413" spans="1:26" s="28" customFormat="1" hidden="1">
      <c r="A3413" s="1347" t="s">
        <v>35</v>
      </c>
      <c r="B3413" s="1347"/>
      <c r="C3413" s="1347"/>
      <c r="D3413" s="1347"/>
      <c r="E3413" s="1347"/>
      <c r="F3413" s="1347"/>
      <c r="G3413" s="1347"/>
      <c r="H3413" s="1347"/>
      <c r="I3413" s="1347"/>
      <c r="J3413" s="1347"/>
      <c r="K3413" s="1347"/>
      <c r="L3413" s="1347"/>
      <c r="M3413" s="1347"/>
      <c r="N3413" s="1347"/>
      <c r="O3413" s="1347"/>
      <c r="P3413" s="1347"/>
      <c r="Q3413" s="1347"/>
      <c r="R3413" s="590"/>
      <c r="S3413" s="592"/>
      <c r="T3413" s="645"/>
      <c r="U3413" s="1059"/>
      <c r="V3413" s="592"/>
      <c r="W3413" s="592"/>
      <c r="X3413" s="592"/>
      <c r="Y3413" s="592"/>
      <c r="Z3413" s="592"/>
    </row>
    <row r="3414" spans="1:26" s="75" customFormat="1" ht="37.5" hidden="1">
      <c r="A3414" s="667">
        <v>1</v>
      </c>
      <c r="B3414" s="592" t="s">
        <v>2761</v>
      </c>
      <c r="C3414" s="582" t="s">
        <v>221</v>
      </c>
      <c r="D3414" s="619">
        <v>13186</v>
      </c>
      <c r="E3414" s="619">
        <v>2297.4</v>
      </c>
      <c r="F3414" s="619" t="s">
        <v>223</v>
      </c>
      <c r="G3414" s="619">
        <v>745.63</v>
      </c>
      <c r="H3414" s="599">
        <v>9</v>
      </c>
      <c r="I3414" s="599">
        <v>1</v>
      </c>
      <c r="J3414" s="599">
        <v>32</v>
      </c>
      <c r="K3414" s="590" t="s">
        <v>30</v>
      </c>
      <c r="L3414" s="584">
        <f t="shared" ref="L3414:L3445" si="511">M3414+N3414+O3414+P3414+Q3414</f>
        <v>819520</v>
      </c>
      <c r="M3414" s="596">
        <v>800000</v>
      </c>
      <c r="N3414" s="597"/>
      <c r="O3414" s="736">
        <v>2400</v>
      </c>
      <c r="P3414" s="597"/>
      <c r="Q3414" s="586">
        <v>17120</v>
      </c>
      <c r="R3414" s="582">
        <f>M3414/J3414</f>
        <v>25000</v>
      </c>
      <c r="S3414" s="592"/>
      <c r="T3414" s="645"/>
      <c r="U3414" s="1059"/>
      <c r="V3414" s="601"/>
      <c r="W3414" s="601"/>
      <c r="X3414" s="601"/>
      <c r="Y3414" s="601"/>
      <c r="Z3414" s="601"/>
    </row>
    <row r="3415" spans="1:26" s="75" customFormat="1" hidden="1">
      <c r="A3415" s="792">
        <f>A3414+1</f>
        <v>2</v>
      </c>
      <c r="B3415" s="592" t="s">
        <v>2763</v>
      </c>
      <c r="C3415" s="561" t="s">
        <v>217</v>
      </c>
      <c r="D3415" s="619">
        <v>17037</v>
      </c>
      <c r="E3415" s="619">
        <v>3348.55</v>
      </c>
      <c r="F3415" s="619" t="s">
        <v>223</v>
      </c>
      <c r="G3415" s="619">
        <v>1383</v>
      </c>
      <c r="H3415" s="599">
        <v>5</v>
      </c>
      <c r="I3415" s="599">
        <v>6</v>
      </c>
      <c r="J3415" s="599">
        <v>90</v>
      </c>
      <c r="K3415" s="590" t="s">
        <v>33</v>
      </c>
      <c r="L3415" s="584">
        <f t="shared" si="511"/>
        <v>2833490</v>
      </c>
      <c r="M3415" s="585">
        <v>2766000</v>
      </c>
      <c r="N3415" s="586"/>
      <c r="O3415" s="736">
        <v>8298</v>
      </c>
      <c r="P3415" s="586"/>
      <c r="Q3415" s="586">
        <v>59192</v>
      </c>
      <c r="R3415" s="582">
        <f>M3415/G3415</f>
        <v>2000</v>
      </c>
      <c r="S3415" s="592"/>
      <c r="T3415" s="645"/>
      <c r="U3415" s="1059"/>
      <c r="V3415" s="601"/>
      <c r="W3415" s="601"/>
      <c r="X3415" s="601"/>
      <c r="Y3415" s="601"/>
      <c r="Z3415" s="601"/>
    </row>
    <row r="3416" spans="1:26" s="75" customFormat="1" hidden="1">
      <c r="A3416" s="792">
        <f t="shared" ref="A3416:A3469" si="512">A3415+1</f>
        <v>3</v>
      </c>
      <c r="B3416" s="592" t="s">
        <v>2764</v>
      </c>
      <c r="C3416" s="561" t="s">
        <v>217</v>
      </c>
      <c r="D3416" s="619">
        <v>11374</v>
      </c>
      <c r="E3416" s="619">
        <v>2399.02</v>
      </c>
      <c r="F3416" s="619" t="s">
        <v>223</v>
      </c>
      <c r="G3416" s="619">
        <v>923</v>
      </c>
      <c r="H3416" s="599">
        <v>5</v>
      </c>
      <c r="I3416" s="599">
        <v>4</v>
      </c>
      <c r="J3416" s="599">
        <v>60</v>
      </c>
      <c r="K3416" s="590" t="s">
        <v>33</v>
      </c>
      <c r="L3416" s="584">
        <f t="shared" si="511"/>
        <v>1891042</v>
      </c>
      <c r="M3416" s="585">
        <v>1846000</v>
      </c>
      <c r="N3416" s="586"/>
      <c r="O3416" s="736">
        <v>5538</v>
      </c>
      <c r="P3416" s="586"/>
      <c r="Q3416" s="586">
        <v>39504</v>
      </c>
      <c r="R3416" s="582">
        <f>M3416/G3416</f>
        <v>2000</v>
      </c>
      <c r="S3416" s="592"/>
      <c r="T3416" s="645"/>
      <c r="U3416" s="1059"/>
      <c r="V3416" s="601"/>
      <c r="W3416" s="601"/>
      <c r="X3416" s="601"/>
      <c r="Y3416" s="601"/>
      <c r="Z3416" s="601"/>
    </row>
    <row r="3417" spans="1:26" s="90" customFormat="1" hidden="1">
      <c r="A3417" s="792">
        <f t="shared" si="512"/>
        <v>4</v>
      </c>
      <c r="B3417" s="592" t="s">
        <v>2767</v>
      </c>
      <c r="C3417" s="582" t="s">
        <v>221</v>
      </c>
      <c r="D3417" s="619">
        <v>16795</v>
      </c>
      <c r="E3417" s="619">
        <v>3300.68</v>
      </c>
      <c r="F3417" s="619" t="s">
        <v>223</v>
      </c>
      <c r="G3417" s="619">
        <v>730</v>
      </c>
      <c r="H3417" s="599">
        <v>9</v>
      </c>
      <c r="I3417" s="599">
        <v>2</v>
      </c>
      <c r="J3417" s="599">
        <v>72</v>
      </c>
      <c r="K3417" s="590" t="s">
        <v>33</v>
      </c>
      <c r="L3417" s="584">
        <f t="shared" si="511"/>
        <v>1495624</v>
      </c>
      <c r="M3417" s="585">
        <v>1460000</v>
      </c>
      <c r="N3417" s="586"/>
      <c r="O3417" s="736">
        <v>4380</v>
      </c>
      <c r="P3417" s="586"/>
      <c r="Q3417" s="586">
        <v>31244</v>
      </c>
      <c r="R3417" s="582">
        <f>M3417/G3417</f>
        <v>2000</v>
      </c>
      <c r="S3417" s="592" t="s">
        <v>424</v>
      </c>
      <c r="T3417" s="738">
        <f>L3417-M3417-N3417-O3417-Q3417</f>
        <v>0</v>
      </c>
      <c r="U3417" s="589"/>
      <c r="V3417" s="748"/>
      <c r="W3417" s="748"/>
      <c r="X3417" s="748"/>
      <c r="Y3417" s="748"/>
      <c r="Z3417" s="748"/>
    </row>
    <row r="3418" spans="1:26" s="75" customFormat="1" ht="37.5" hidden="1">
      <c r="A3418" s="792">
        <f t="shared" si="512"/>
        <v>5</v>
      </c>
      <c r="B3418" s="592" t="s">
        <v>819</v>
      </c>
      <c r="C3418" s="582" t="s">
        <v>221</v>
      </c>
      <c r="D3418" s="619">
        <v>23589</v>
      </c>
      <c r="E3418" s="619">
        <v>3040</v>
      </c>
      <c r="F3418" s="646" t="s">
        <v>222</v>
      </c>
      <c r="G3418" s="619">
        <v>2304</v>
      </c>
      <c r="H3418" s="599">
        <v>5</v>
      </c>
      <c r="I3418" s="599">
        <v>8</v>
      </c>
      <c r="J3418" s="599">
        <v>122</v>
      </c>
      <c r="K3418" s="590" t="s">
        <v>272</v>
      </c>
      <c r="L3418" s="746">
        <f t="shared" si="511"/>
        <v>5605517</v>
      </c>
      <c r="M3418" s="745">
        <v>5472000</v>
      </c>
      <c r="N3418" s="747"/>
      <c r="O3418" s="736">
        <v>16416</v>
      </c>
      <c r="P3418" s="747"/>
      <c r="Q3418" s="586">
        <v>117101</v>
      </c>
      <c r="R3418" s="599">
        <f>M3418/E3418</f>
        <v>1800</v>
      </c>
      <c r="S3418" s="592"/>
      <c r="T3418" s="645"/>
      <c r="U3418" s="1059"/>
      <c r="V3418" s="601"/>
      <c r="W3418" s="601"/>
      <c r="X3418" s="601"/>
      <c r="Y3418" s="601"/>
      <c r="Z3418" s="601"/>
    </row>
    <row r="3419" spans="1:26" s="75" customFormat="1" hidden="1">
      <c r="A3419" s="792">
        <f t="shared" si="512"/>
        <v>6</v>
      </c>
      <c r="B3419" s="592" t="s">
        <v>820</v>
      </c>
      <c r="C3419" s="561" t="s">
        <v>217</v>
      </c>
      <c r="D3419" s="619">
        <v>32333</v>
      </c>
      <c r="E3419" s="619">
        <v>3970</v>
      </c>
      <c r="F3419" s="619" t="s">
        <v>223</v>
      </c>
      <c r="G3419" s="619">
        <v>1518.8</v>
      </c>
      <c r="H3419" s="599">
        <v>9</v>
      </c>
      <c r="I3419" s="599">
        <v>4</v>
      </c>
      <c r="J3419" s="599">
        <v>144</v>
      </c>
      <c r="K3419" s="590" t="s">
        <v>33</v>
      </c>
      <c r="L3419" s="584">
        <f t="shared" si="511"/>
        <v>3111718</v>
      </c>
      <c r="M3419" s="585">
        <v>3037600</v>
      </c>
      <c r="N3419" s="586"/>
      <c r="O3419" s="736">
        <v>9113</v>
      </c>
      <c r="P3419" s="586"/>
      <c r="Q3419" s="586">
        <v>65005</v>
      </c>
      <c r="R3419" s="582">
        <f>M3419/G3419</f>
        <v>2000</v>
      </c>
      <c r="S3419" s="592"/>
      <c r="T3419" s="645"/>
      <c r="U3419" s="1059"/>
      <c r="V3419" s="601"/>
      <c r="W3419" s="601"/>
      <c r="X3419" s="601"/>
      <c r="Y3419" s="601"/>
      <c r="Z3419" s="601"/>
    </row>
    <row r="3420" spans="1:26" s="75" customFormat="1" hidden="1">
      <c r="A3420" s="792">
        <f t="shared" si="512"/>
        <v>7</v>
      </c>
      <c r="B3420" s="592" t="s">
        <v>2769</v>
      </c>
      <c r="C3420" s="561" t="s">
        <v>217</v>
      </c>
      <c r="D3420" s="619">
        <v>30916</v>
      </c>
      <c r="E3420" s="619">
        <v>3970</v>
      </c>
      <c r="F3420" s="619" t="s">
        <v>223</v>
      </c>
      <c r="G3420" s="619">
        <v>1392</v>
      </c>
      <c r="H3420" s="599">
        <v>9</v>
      </c>
      <c r="I3420" s="599">
        <v>4</v>
      </c>
      <c r="J3420" s="599">
        <v>144</v>
      </c>
      <c r="K3420" s="590" t="s">
        <v>33</v>
      </c>
      <c r="L3420" s="584">
        <f t="shared" si="511"/>
        <v>2851930</v>
      </c>
      <c r="M3420" s="585">
        <v>2784000</v>
      </c>
      <c r="N3420" s="586"/>
      <c r="O3420" s="736">
        <v>8352</v>
      </c>
      <c r="P3420" s="586"/>
      <c r="Q3420" s="586">
        <v>59578</v>
      </c>
      <c r="R3420" s="582">
        <f>M3420/G3420</f>
        <v>2000</v>
      </c>
      <c r="S3420" s="592" t="s">
        <v>425</v>
      </c>
      <c r="T3420" s="645"/>
      <c r="U3420" s="1059"/>
      <c r="V3420" s="601"/>
      <c r="W3420" s="601"/>
      <c r="X3420" s="601"/>
      <c r="Y3420" s="601"/>
      <c r="Z3420" s="601"/>
    </row>
    <row r="3421" spans="1:26" s="75" customFormat="1" hidden="1">
      <c r="A3421" s="792">
        <f t="shared" si="512"/>
        <v>8</v>
      </c>
      <c r="B3421" s="592" t="s">
        <v>2770</v>
      </c>
      <c r="C3421" s="582" t="s">
        <v>221</v>
      </c>
      <c r="D3421" s="646">
        <v>11492</v>
      </c>
      <c r="E3421" s="646">
        <v>2433.6</v>
      </c>
      <c r="F3421" s="646" t="s">
        <v>222</v>
      </c>
      <c r="G3421" s="646">
        <v>1018.9</v>
      </c>
      <c r="H3421" s="582">
        <v>5</v>
      </c>
      <c r="I3421" s="582">
        <v>4</v>
      </c>
      <c r="J3421" s="582">
        <v>80</v>
      </c>
      <c r="K3421" s="590" t="s">
        <v>33</v>
      </c>
      <c r="L3421" s="584">
        <f t="shared" si="511"/>
        <v>2311966</v>
      </c>
      <c r="M3421" s="585">
        <v>2241580</v>
      </c>
      <c r="N3421" s="586">
        <v>22416</v>
      </c>
      <c r="O3421" s="587"/>
      <c r="P3421" s="586"/>
      <c r="Q3421" s="586">
        <v>47970</v>
      </c>
      <c r="R3421" s="582">
        <f>M3421/G3421</f>
        <v>2200</v>
      </c>
      <c r="S3421" s="592"/>
      <c r="T3421" s="645"/>
      <c r="U3421" s="1059"/>
      <c r="V3421" s="601"/>
      <c r="W3421" s="601"/>
      <c r="X3421" s="601"/>
      <c r="Y3421" s="601"/>
      <c r="Z3421" s="601"/>
    </row>
    <row r="3422" spans="1:26" s="246" customFormat="1" hidden="1">
      <c r="A3422" s="792">
        <f t="shared" si="512"/>
        <v>9</v>
      </c>
      <c r="B3422" s="592" t="s">
        <v>2771</v>
      </c>
      <c r="C3422" s="582" t="s">
        <v>221</v>
      </c>
      <c r="D3422" s="646">
        <v>11466</v>
      </c>
      <c r="E3422" s="646">
        <v>1817.1</v>
      </c>
      <c r="F3422" s="646" t="s">
        <v>228</v>
      </c>
      <c r="G3422" s="646">
        <v>1104.0999999999999</v>
      </c>
      <c r="H3422" s="582">
        <v>3</v>
      </c>
      <c r="I3422" s="582">
        <v>4</v>
      </c>
      <c r="J3422" s="582">
        <v>24</v>
      </c>
      <c r="K3422" s="590" t="s">
        <v>33</v>
      </c>
      <c r="L3422" s="584">
        <f t="shared" si="511"/>
        <v>2505291</v>
      </c>
      <c r="M3422" s="585">
        <v>2429020</v>
      </c>
      <c r="N3422" s="586">
        <v>24290</v>
      </c>
      <c r="O3422" s="587"/>
      <c r="P3422" s="586"/>
      <c r="Q3422" s="586">
        <v>51981</v>
      </c>
      <c r="R3422" s="582">
        <f>M3422/G3422</f>
        <v>2200</v>
      </c>
      <c r="S3422" s="592"/>
      <c r="T3422" s="645"/>
      <c r="U3422" s="1059"/>
      <c r="V3422" s="601"/>
      <c r="W3422" s="591"/>
      <c r="X3422" s="591"/>
      <c r="Y3422" s="591"/>
      <c r="Z3422" s="591"/>
    </row>
    <row r="3423" spans="1:26" s="246" customFormat="1" hidden="1">
      <c r="A3423" s="792">
        <f t="shared" si="512"/>
        <v>10</v>
      </c>
      <c r="B3423" s="592" t="s">
        <v>2772</v>
      </c>
      <c r="C3423" s="582" t="s">
        <v>221</v>
      </c>
      <c r="D3423" s="619">
        <v>13892</v>
      </c>
      <c r="E3423" s="619">
        <v>1540</v>
      </c>
      <c r="F3423" s="619" t="s">
        <v>230</v>
      </c>
      <c r="G3423" s="619">
        <v>1308.25</v>
      </c>
      <c r="H3423" s="599">
        <v>5</v>
      </c>
      <c r="I3423" s="599">
        <v>2</v>
      </c>
      <c r="J3423" s="599">
        <v>155</v>
      </c>
      <c r="K3423" s="590" t="s">
        <v>38</v>
      </c>
      <c r="L3423" s="746">
        <f t="shared" si="511"/>
        <v>2839637</v>
      </c>
      <c r="M3423" s="745">
        <v>2772000</v>
      </c>
      <c r="N3423" s="747"/>
      <c r="O3423" s="736">
        <v>8316</v>
      </c>
      <c r="P3423" s="747"/>
      <c r="Q3423" s="586">
        <v>59321</v>
      </c>
      <c r="R3423" s="599">
        <f>M3423/E3423</f>
        <v>1800</v>
      </c>
      <c r="S3423" s="592" t="s">
        <v>426</v>
      </c>
      <c r="T3423" s="645"/>
      <c r="U3423" s="1059"/>
      <c r="V3423" s="601"/>
      <c r="W3423" s="591"/>
      <c r="X3423" s="591"/>
      <c r="Y3423" s="591"/>
      <c r="Z3423" s="591"/>
    </row>
    <row r="3424" spans="1:26" s="90" customFormat="1" ht="37.5" hidden="1">
      <c r="A3424" s="792">
        <f t="shared" si="512"/>
        <v>11</v>
      </c>
      <c r="B3424" s="592" t="s">
        <v>2774</v>
      </c>
      <c r="C3424" s="582" t="s">
        <v>221</v>
      </c>
      <c r="D3424" s="619">
        <v>2171</v>
      </c>
      <c r="E3424" s="619">
        <v>452.92</v>
      </c>
      <c r="F3424" s="646" t="s">
        <v>222</v>
      </c>
      <c r="G3424" s="619">
        <v>541</v>
      </c>
      <c r="H3424" s="599">
        <v>2</v>
      </c>
      <c r="I3424" s="599">
        <v>2</v>
      </c>
      <c r="J3424" s="599">
        <v>14</v>
      </c>
      <c r="K3424" s="590" t="s">
        <v>30</v>
      </c>
      <c r="L3424" s="584">
        <f t="shared" si="511"/>
        <v>358540</v>
      </c>
      <c r="M3424" s="596">
        <v>350000</v>
      </c>
      <c r="N3424" s="597"/>
      <c r="O3424" s="736">
        <v>1050</v>
      </c>
      <c r="P3424" s="597"/>
      <c r="Q3424" s="586">
        <v>7490</v>
      </c>
      <c r="R3424" s="582">
        <f>M3424/J3424</f>
        <v>25000</v>
      </c>
      <c r="S3424" s="592"/>
      <c r="T3424" s="645"/>
      <c r="U3424" s="1059"/>
      <c r="V3424" s="748"/>
      <c r="W3424" s="748"/>
      <c r="X3424" s="748"/>
      <c r="Y3424" s="748"/>
      <c r="Z3424" s="748"/>
    </row>
    <row r="3425" spans="1:26" s="90" customFormat="1" ht="37.5" hidden="1">
      <c r="A3425" s="792">
        <f t="shared" si="512"/>
        <v>12</v>
      </c>
      <c r="B3425" s="592" t="s">
        <v>2775</v>
      </c>
      <c r="C3425" s="582" t="s">
        <v>221</v>
      </c>
      <c r="D3425" s="619">
        <v>2481</v>
      </c>
      <c r="E3425" s="619">
        <v>452.92</v>
      </c>
      <c r="F3425" s="646" t="s">
        <v>222</v>
      </c>
      <c r="G3425" s="619">
        <v>544.1</v>
      </c>
      <c r="H3425" s="599">
        <v>2</v>
      </c>
      <c r="I3425" s="599">
        <v>2</v>
      </c>
      <c r="J3425" s="599">
        <v>16</v>
      </c>
      <c r="K3425" s="590" t="s">
        <v>30</v>
      </c>
      <c r="L3425" s="584">
        <f t="shared" si="511"/>
        <v>409760</v>
      </c>
      <c r="M3425" s="596">
        <v>400000</v>
      </c>
      <c r="N3425" s="597"/>
      <c r="O3425" s="736">
        <v>1200</v>
      </c>
      <c r="P3425" s="597"/>
      <c r="Q3425" s="586">
        <v>8560</v>
      </c>
      <c r="R3425" s="582">
        <f>M3425/J3425</f>
        <v>25000</v>
      </c>
      <c r="S3425" s="592"/>
      <c r="T3425" s="645"/>
      <c r="U3425" s="1059"/>
      <c r="V3425" s="748"/>
      <c r="W3425" s="748"/>
      <c r="X3425" s="748"/>
      <c r="Y3425" s="748"/>
      <c r="Z3425" s="748"/>
    </row>
    <row r="3426" spans="1:26" s="246" customFormat="1" ht="37.5" hidden="1">
      <c r="A3426" s="792">
        <f t="shared" si="512"/>
        <v>13</v>
      </c>
      <c r="B3426" s="592" t="s">
        <v>2776</v>
      </c>
      <c r="C3426" s="561" t="s">
        <v>221</v>
      </c>
      <c r="D3426" s="619">
        <v>7138</v>
      </c>
      <c r="E3426" s="619">
        <v>1634.8</v>
      </c>
      <c r="F3426" s="619" t="s">
        <v>230</v>
      </c>
      <c r="G3426" s="619">
        <v>843.75</v>
      </c>
      <c r="H3426" s="599">
        <v>4</v>
      </c>
      <c r="I3426" s="599">
        <v>2</v>
      </c>
      <c r="J3426" s="599">
        <v>72</v>
      </c>
      <c r="K3426" s="590" t="s">
        <v>30</v>
      </c>
      <c r="L3426" s="584">
        <f t="shared" si="511"/>
        <v>1843920</v>
      </c>
      <c r="M3426" s="596">
        <v>1800000</v>
      </c>
      <c r="N3426" s="597"/>
      <c r="O3426" s="736">
        <v>5400</v>
      </c>
      <c r="P3426" s="597"/>
      <c r="Q3426" s="586">
        <v>38520</v>
      </c>
      <c r="R3426" s="582">
        <f>M3426/J3426</f>
        <v>25000</v>
      </c>
      <c r="S3426" s="592"/>
      <c r="T3426" s="738"/>
      <c r="U3426" s="589"/>
      <c r="V3426" s="591"/>
      <c r="W3426" s="591"/>
      <c r="X3426" s="591"/>
      <c r="Y3426" s="591"/>
      <c r="Z3426" s="591"/>
    </row>
    <row r="3427" spans="1:26" s="90" customFormat="1" ht="37.5" hidden="1">
      <c r="A3427" s="792">
        <f t="shared" si="512"/>
        <v>14</v>
      </c>
      <c r="B3427" s="592" t="s">
        <v>2777</v>
      </c>
      <c r="C3427" s="561" t="s">
        <v>221</v>
      </c>
      <c r="D3427" s="619">
        <v>16973</v>
      </c>
      <c r="E3427" s="619">
        <v>1450</v>
      </c>
      <c r="F3427" s="619" t="s">
        <v>223</v>
      </c>
      <c r="G3427" s="619">
        <v>1505</v>
      </c>
      <c r="H3427" s="599">
        <v>5</v>
      </c>
      <c r="I3427" s="599">
        <v>4</v>
      </c>
      <c r="J3427" s="599">
        <v>65</v>
      </c>
      <c r="K3427" s="590" t="s">
        <v>30</v>
      </c>
      <c r="L3427" s="584">
        <f t="shared" si="511"/>
        <v>1664650</v>
      </c>
      <c r="M3427" s="596">
        <v>1625000</v>
      </c>
      <c r="N3427" s="597"/>
      <c r="O3427" s="736">
        <v>4875</v>
      </c>
      <c r="P3427" s="597"/>
      <c r="Q3427" s="586">
        <v>34775</v>
      </c>
      <c r="R3427" s="582">
        <f>M3427/J3427</f>
        <v>25000</v>
      </c>
      <c r="S3427" s="592"/>
      <c r="T3427" s="738"/>
      <c r="U3427" s="589"/>
      <c r="V3427" s="601"/>
      <c r="W3427" s="601"/>
      <c r="X3427" s="601"/>
      <c r="Y3427" s="601"/>
      <c r="Z3427" s="748"/>
    </row>
    <row r="3428" spans="1:26" s="90" customFormat="1" hidden="1">
      <c r="A3428" s="792">
        <f t="shared" si="512"/>
        <v>15</v>
      </c>
      <c r="B3428" s="592" t="s">
        <v>2780</v>
      </c>
      <c r="C3428" s="561" t="s">
        <v>221</v>
      </c>
      <c r="D3428" s="619">
        <v>16675</v>
      </c>
      <c r="E3428" s="619">
        <v>3893.9</v>
      </c>
      <c r="F3428" s="619" t="s">
        <v>223</v>
      </c>
      <c r="G3428" s="619">
        <v>693</v>
      </c>
      <c r="H3428" s="599">
        <v>9</v>
      </c>
      <c r="I3428" s="599">
        <v>2</v>
      </c>
      <c r="J3428" s="599">
        <v>64</v>
      </c>
      <c r="K3428" s="590" t="s">
        <v>33</v>
      </c>
      <c r="L3428" s="584">
        <f t="shared" si="511"/>
        <v>1419818</v>
      </c>
      <c r="M3428" s="585">
        <v>1386000</v>
      </c>
      <c r="N3428" s="586"/>
      <c r="O3428" s="736">
        <v>4158</v>
      </c>
      <c r="P3428" s="586"/>
      <c r="Q3428" s="586">
        <v>29660</v>
      </c>
      <c r="R3428" s="582">
        <f>M3428/G3428</f>
        <v>2000</v>
      </c>
      <c r="S3428" s="592"/>
      <c r="T3428" s="645"/>
      <c r="U3428" s="1059"/>
      <c r="V3428" s="748"/>
      <c r="W3428" s="748"/>
      <c r="X3428" s="748"/>
      <c r="Y3428" s="748"/>
      <c r="Z3428" s="748"/>
    </row>
    <row r="3429" spans="1:26" s="75" customFormat="1" hidden="1">
      <c r="A3429" s="792">
        <f t="shared" si="512"/>
        <v>16</v>
      </c>
      <c r="B3429" s="592" t="s">
        <v>838</v>
      </c>
      <c r="C3429" s="582" t="s">
        <v>221</v>
      </c>
      <c r="D3429" s="619">
        <v>22601</v>
      </c>
      <c r="E3429" s="619">
        <v>3970</v>
      </c>
      <c r="F3429" s="619" t="s">
        <v>223</v>
      </c>
      <c r="G3429" s="619">
        <v>2304</v>
      </c>
      <c r="H3429" s="599">
        <v>5</v>
      </c>
      <c r="I3429" s="599">
        <v>8</v>
      </c>
      <c r="J3429" s="599">
        <v>125</v>
      </c>
      <c r="K3429" s="590" t="s">
        <v>33</v>
      </c>
      <c r="L3429" s="584">
        <f t="shared" si="511"/>
        <v>4004174</v>
      </c>
      <c r="M3429" s="585">
        <v>3908800</v>
      </c>
      <c r="N3429" s="586"/>
      <c r="O3429" s="736">
        <v>11726</v>
      </c>
      <c r="P3429" s="586"/>
      <c r="Q3429" s="586">
        <v>83648</v>
      </c>
      <c r="R3429" s="582">
        <f>M3429/G3429</f>
        <v>1696.5277777777778</v>
      </c>
      <c r="S3429" s="592"/>
      <c r="T3429" s="645"/>
      <c r="U3429" s="1059"/>
      <c r="V3429" s="601"/>
      <c r="W3429" s="601"/>
      <c r="X3429" s="601"/>
      <c r="Y3429" s="601"/>
      <c r="Z3429" s="601"/>
    </row>
    <row r="3430" spans="1:26" s="90" customFormat="1" hidden="1">
      <c r="A3430" s="792">
        <f t="shared" si="512"/>
        <v>17</v>
      </c>
      <c r="B3430" s="592" t="s">
        <v>2782</v>
      </c>
      <c r="C3430" s="561" t="s">
        <v>217</v>
      </c>
      <c r="D3430" s="619">
        <v>10317</v>
      </c>
      <c r="E3430" s="619">
        <v>2220</v>
      </c>
      <c r="F3430" s="619" t="s">
        <v>223</v>
      </c>
      <c r="G3430" s="619">
        <v>291.2</v>
      </c>
      <c r="H3430" s="599">
        <v>9</v>
      </c>
      <c r="I3430" s="599">
        <v>1</v>
      </c>
      <c r="J3430" s="599">
        <v>71</v>
      </c>
      <c r="K3430" s="590" t="s">
        <v>33</v>
      </c>
      <c r="L3430" s="584">
        <f t="shared" si="511"/>
        <v>596610</v>
      </c>
      <c r="M3430" s="585">
        <v>582400</v>
      </c>
      <c r="N3430" s="586"/>
      <c r="O3430" s="736">
        <v>1747</v>
      </c>
      <c r="P3430" s="586"/>
      <c r="Q3430" s="586">
        <v>12463</v>
      </c>
      <c r="R3430" s="582">
        <f>M3430/G3430</f>
        <v>2000</v>
      </c>
      <c r="S3430" s="592"/>
      <c r="T3430" s="645"/>
      <c r="U3430" s="1059"/>
      <c r="V3430" s="748"/>
      <c r="W3430" s="748"/>
      <c r="X3430" s="748"/>
      <c r="Y3430" s="748"/>
      <c r="Z3430" s="748"/>
    </row>
    <row r="3431" spans="1:26" s="90" customFormat="1" hidden="1">
      <c r="A3431" s="792">
        <f t="shared" si="512"/>
        <v>18</v>
      </c>
      <c r="B3431" s="592" t="s">
        <v>2783</v>
      </c>
      <c r="C3431" s="561" t="s">
        <v>217</v>
      </c>
      <c r="D3431" s="619">
        <v>11288</v>
      </c>
      <c r="E3431" s="619">
        <v>1450</v>
      </c>
      <c r="F3431" s="619" t="s">
        <v>223</v>
      </c>
      <c r="G3431" s="619">
        <v>945</v>
      </c>
      <c r="H3431" s="599">
        <v>5</v>
      </c>
      <c r="I3431" s="599">
        <v>4</v>
      </c>
      <c r="J3431" s="599">
        <v>56</v>
      </c>
      <c r="K3431" s="590" t="s">
        <v>38</v>
      </c>
      <c r="L3431" s="746">
        <f t="shared" si="511"/>
        <v>2673684</v>
      </c>
      <c r="M3431" s="745">
        <v>2610000</v>
      </c>
      <c r="N3431" s="747"/>
      <c r="O3431" s="736">
        <v>7830</v>
      </c>
      <c r="P3431" s="747"/>
      <c r="Q3431" s="586">
        <v>55854</v>
      </c>
      <c r="R3431" s="599">
        <f>M3431/E3431</f>
        <v>1800</v>
      </c>
      <c r="S3431" s="592"/>
      <c r="T3431" s="645"/>
      <c r="U3431" s="1059"/>
      <c r="V3431" s="748"/>
      <c r="W3431" s="748"/>
      <c r="X3431" s="748"/>
      <c r="Y3431" s="748"/>
      <c r="Z3431" s="748"/>
    </row>
    <row r="3432" spans="1:26" s="90" customFormat="1" ht="37.5" hidden="1">
      <c r="A3432" s="792">
        <f t="shared" si="512"/>
        <v>19</v>
      </c>
      <c r="B3432" s="592" t="s">
        <v>2784</v>
      </c>
      <c r="C3432" s="582" t="s">
        <v>221</v>
      </c>
      <c r="D3432" s="619">
        <v>3831</v>
      </c>
      <c r="E3432" s="619">
        <v>676.54</v>
      </c>
      <c r="F3432" s="646" t="s">
        <v>222</v>
      </c>
      <c r="G3432" s="619">
        <v>518.29999999999995</v>
      </c>
      <c r="H3432" s="599">
        <v>3</v>
      </c>
      <c r="I3432" s="599">
        <v>2</v>
      </c>
      <c r="J3432" s="599">
        <v>24</v>
      </c>
      <c r="K3432" s="590" t="s">
        <v>30</v>
      </c>
      <c r="L3432" s="584">
        <f t="shared" si="511"/>
        <v>614640</v>
      </c>
      <c r="M3432" s="596">
        <v>600000</v>
      </c>
      <c r="N3432" s="597"/>
      <c r="O3432" s="736">
        <v>1800</v>
      </c>
      <c r="P3432" s="597"/>
      <c r="Q3432" s="586">
        <v>12840</v>
      </c>
      <c r="R3432" s="582">
        <f>M3432/J3432</f>
        <v>25000</v>
      </c>
      <c r="S3432" s="592"/>
      <c r="T3432" s="645"/>
      <c r="U3432" s="1059"/>
      <c r="V3432" s="748"/>
      <c r="W3432" s="748"/>
      <c r="X3432" s="748"/>
      <c r="Y3432" s="748"/>
      <c r="Z3432" s="748"/>
    </row>
    <row r="3433" spans="1:26" s="90" customFormat="1" ht="37.5" hidden="1">
      <c r="A3433" s="792">
        <f t="shared" si="512"/>
        <v>20</v>
      </c>
      <c r="B3433" s="592" t="s">
        <v>2785</v>
      </c>
      <c r="C3433" s="582" t="s">
        <v>221</v>
      </c>
      <c r="D3433" s="619">
        <v>3449</v>
      </c>
      <c r="E3433" s="619">
        <v>676.54</v>
      </c>
      <c r="F3433" s="646" t="s">
        <v>222</v>
      </c>
      <c r="G3433" s="619">
        <v>559.79999999999995</v>
      </c>
      <c r="H3433" s="599">
        <v>3</v>
      </c>
      <c r="I3433" s="599">
        <v>2</v>
      </c>
      <c r="J3433" s="599">
        <v>24</v>
      </c>
      <c r="K3433" s="590" t="s">
        <v>30</v>
      </c>
      <c r="L3433" s="584">
        <f t="shared" si="511"/>
        <v>614640</v>
      </c>
      <c r="M3433" s="596">
        <v>600000</v>
      </c>
      <c r="N3433" s="597"/>
      <c r="O3433" s="736">
        <v>1800</v>
      </c>
      <c r="P3433" s="597"/>
      <c r="Q3433" s="586">
        <v>12840</v>
      </c>
      <c r="R3433" s="582">
        <f>M3433/J3433</f>
        <v>25000</v>
      </c>
      <c r="S3433" s="592"/>
      <c r="T3433" s="645"/>
      <c r="U3433" s="1059"/>
      <c r="V3433" s="748"/>
      <c r="W3433" s="748"/>
      <c r="X3433" s="748"/>
      <c r="Y3433" s="748"/>
      <c r="Z3433" s="748"/>
    </row>
    <row r="3434" spans="1:26" s="90" customFormat="1" hidden="1">
      <c r="A3434" s="792">
        <f t="shared" si="512"/>
        <v>21</v>
      </c>
      <c r="B3434" s="592" t="s">
        <v>2786</v>
      </c>
      <c r="C3434" s="582" t="s">
        <v>221</v>
      </c>
      <c r="D3434" s="619">
        <v>7825</v>
      </c>
      <c r="E3434" s="619">
        <v>1081.33</v>
      </c>
      <c r="F3434" s="619" t="s">
        <v>228</v>
      </c>
      <c r="G3434" s="619">
        <v>873.4</v>
      </c>
      <c r="H3434" s="599">
        <v>4</v>
      </c>
      <c r="I3434" s="599">
        <v>3</v>
      </c>
      <c r="J3434" s="599">
        <v>48</v>
      </c>
      <c r="K3434" s="590" t="s">
        <v>38</v>
      </c>
      <c r="L3434" s="746">
        <f t="shared" si="511"/>
        <v>1993885.9999999998</v>
      </c>
      <c r="M3434" s="745">
        <v>1946393.9999999998</v>
      </c>
      <c r="N3434" s="747"/>
      <c r="O3434" s="736">
        <v>5839</v>
      </c>
      <c r="P3434" s="747"/>
      <c r="Q3434" s="586">
        <v>41653</v>
      </c>
      <c r="R3434" s="599">
        <f>M3434/E3434</f>
        <v>1800</v>
      </c>
      <c r="S3434" s="592"/>
      <c r="T3434" s="645"/>
      <c r="U3434" s="1059"/>
      <c r="V3434" s="748"/>
      <c r="W3434" s="748"/>
      <c r="X3434" s="748"/>
      <c r="Y3434" s="748"/>
      <c r="Z3434" s="748"/>
    </row>
    <row r="3435" spans="1:26" s="90" customFormat="1" hidden="1">
      <c r="A3435" s="792">
        <f t="shared" si="512"/>
        <v>22</v>
      </c>
      <c r="B3435" s="592" t="s">
        <v>2787</v>
      </c>
      <c r="C3435" s="561" t="s">
        <v>217</v>
      </c>
      <c r="D3435" s="619">
        <v>19753</v>
      </c>
      <c r="E3435" s="619">
        <v>2897.72</v>
      </c>
      <c r="F3435" s="619" t="s">
        <v>223</v>
      </c>
      <c r="G3435" s="619">
        <v>1586.3</v>
      </c>
      <c r="H3435" s="599">
        <v>5</v>
      </c>
      <c r="I3435" s="599">
        <v>8</v>
      </c>
      <c r="J3435" s="599">
        <v>116</v>
      </c>
      <c r="K3435" s="590" t="s">
        <v>33</v>
      </c>
      <c r="L3435" s="584">
        <f t="shared" si="511"/>
        <v>4062514</v>
      </c>
      <c r="M3435" s="585">
        <v>3965750</v>
      </c>
      <c r="N3435" s="597"/>
      <c r="O3435" s="736">
        <v>11897</v>
      </c>
      <c r="P3435" s="586"/>
      <c r="Q3435" s="586">
        <v>84867</v>
      </c>
      <c r="R3435" s="582">
        <f>M3435/G3435</f>
        <v>2500</v>
      </c>
      <c r="S3435" s="592"/>
      <c r="T3435" s="645"/>
      <c r="U3435" s="1059"/>
      <c r="V3435" s="748"/>
      <c r="W3435" s="748"/>
      <c r="X3435" s="748"/>
      <c r="Y3435" s="748"/>
      <c r="Z3435" s="748"/>
    </row>
    <row r="3436" spans="1:26" s="90" customFormat="1" ht="37.5" hidden="1">
      <c r="A3436" s="792">
        <f t="shared" si="512"/>
        <v>23</v>
      </c>
      <c r="B3436" s="592" t="s">
        <v>2788</v>
      </c>
      <c r="C3436" s="561" t="s">
        <v>217</v>
      </c>
      <c r="D3436" s="619">
        <v>13437</v>
      </c>
      <c r="E3436" s="619">
        <v>2800</v>
      </c>
      <c r="F3436" s="619" t="s">
        <v>223</v>
      </c>
      <c r="G3436" s="619">
        <v>594.6</v>
      </c>
      <c r="H3436" s="599">
        <v>9</v>
      </c>
      <c r="I3436" s="599">
        <v>2</v>
      </c>
      <c r="J3436" s="599">
        <v>54</v>
      </c>
      <c r="K3436" s="590" t="s">
        <v>219</v>
      </c>
      <c r="L3436" s="584">
        <f t="shared" si="511"/>
        <v>4106250</v>
      </c>
      <c r="M3436" s="596">
        <v>4000000</v>
      </c>
      <c r="N3436" s="597">
        <v>106250</v>
      </c>
      <c r="O3436" s="587"/>
      <c r="P3436" s="586"/>
      <c r="Q3436" s="586"/>
      <c r="R3436" s="582">
        <f>M3436/I3436</f>
        <v>2000000</v>
      </c>
      <c r="S3436" s="592"/>
      <c r="T3436" s="592"/>
      <c r="U3436" s="1059"/>
      <c r="V3436" s="748"/>
      <c r="W3436" s="748"/>
      <c r="X3436" s="748"/>
      <c r="Y3436" s="748"/>
      <c r="Z3436" s="748"/>
    </row>
    <row r="3437" spans="1:26" s="90" customFormat="1" hidden="1">
      <c r="A3437" s="792">
        <f t="shared" si="512"/>
        <v>24</v>
      </c>
      <c r="B3437" s="592" t="s">
        <v>2789</v>
      </c>
      <c r="C3437" s="561" t="s">
        <v>221</v>
      </c>
      <c r="D3437" s="619">
        <v>11986</v>
      </c>
      <c r="E3437" s="619">
        <v>2138</v>
      </c>
      <c r="F3437" s="619" t="s">
        <v>222</v>
      </c>
      <c r="G3437" s="619">
        <v>1014</v>
      </c>
      <c r="H3437" s="599">
        <v>5</v>
      </c>
      <c r="I3437" s="599">
        <v>3</v>
      </c>
      <c r="J3437" s="599">
        <v>69</v>
      </c>
      <c r="K3437" s="590" t="s">
        <v>33</v>
      </c>
      <c r="L3437" s="584">
        <f t="shared" si="511"/>
        <v>2627274</v>
      </c>
      <c r="M3437" s="585">
        <v>2535000</v>
      </c>
      <c r="N3437" s="586">
        <v>38025</v>
      </c>
      <c r="O3437" s="587"/>
      <c r="P3437" s="586"/>
      <c r="Q3437" s="586">
        <v>54249</v>
      </c>
      <c r="R3437" s="582">
        <f>M3437/G3437</f>
        <v>2500</v>
      </c>
      <c r="S3437" s="592"/>
      <c r="T3437" s="645"/>
      <c r="U3437" s="1059"/>
      <c r="V3437" s="748"/>
      <c r="W3437" s="748"/>
      <c r="X3437" s="748"/>
      <c r="Y3437" s="748"/>
      <c r="Z3437" s="748"/>
    </row>
    <row r="3438" spans="1:26" s="90" customFormat="1" hidden="1">
      <c r="A3438" s="792">
        <f t="shared" si="512"/>
        <v>25</v>
      </c>
      <c r="B3438" s="592" t="s">
        <v>2790</v>
      </c>
      <c r="C3438" s="582" t="s">
        <v>221</v>
      </c>
      <c r="D3438" s="646">
        <v>16870</v>
      </c>
      <c r="E3438" s="646">
        <v>3373.76</v>
      </c>
      <c r="F3438" s="646" t="s">
        <v>222</v>
      </c>
      <c r="G3438" s="646">
        <v>1490.3</v>
      </c>
      <c r="H3438" s="582">
        <v>5</v>
      </c>
      <c r="I3438" s="582">
        <v>6</v>
      </c>
      <c r="J3438" s="582">
        <v>120</v>
      </c>
      <c r="K3438" s="590" t="s">
        <v>33</v>
      </c>
      <c r="L3438" s="584">
        <f t="shared" si="511"/>
        <v>3842739</v>
      </c>
      <c r="M3438" s="585">
        <v>3725750</v>
      </c>
      <c r="N3438" s="586">
        <v>37258</v>
      </c>
      <c r="O3438" s="587"/>
      <c r="P3438" s="586"/>
      <c r="Q3438" s="586">
        <v>79731</v>
      </c>
      <c r="R3438" s="582">
        <f>M3438/G3438</f>
        <v>2500</v>
      </c>
      <c r="S3438" s="592"/>
      <c r="T3438" s="645"/>
      <c r="U3438" s="1059"/>
      <c r="V3438" s="748"/>
      <c r="W3438" s="748"/>
      <c r="X3438" s="748"/>
      <c r="Y3438" s="748"/>
      <c r="Z3438" s="748"/>
    </row>
    <row r="3439" spans="1:26" s="90" customFormat="1" ht="37.5" hidden="1">
      <c r="A3439" s="792">
        <f t="shared" si="512"/>
        <v>26</v>
      </c>
      <c r="B3439" s="592" t="s">
        <v>2793</v>
      </c>
      <c r="C3439" s="561" t="s">
        <v>217</v>
      </c>
      <c r="D3439" s="619">
        <v>26108</v>
      </c>
      <c r="E3439" s="619">
        <v>2990</v>
      </c>
      <c r="F3439" s="619" t="s">
        <v>223</v>
      </c>
      <c r="G3439" s="619">
        <v>843.6</v>
      </c>
      <c r="H3439" s="599">
        <v>12</v>
      </c>
      <c r="I3439" s="599">
        <v>2</v>
      </c>
      <c r="J3439" s="599">
        <v>96</v>
      </c>
      <c r="K3439" s="590" t="s">
        <v>219</v>
      </c>
      <c r="L3439" s="584">
        <f t="shared" si="511"/>
        <v>8948750</v>
      </c>
      <c r="M3439" s="607">
        <v>8800000</v>
      </c>
      <c r="N3439" s="586">
        <v>148750</v>
      </c>
      <c r="O3439" s="587"/>
      <c r="P3439" s="586"/>
      <c r="Q3439" s="586"/>
      <c r="R3439" s="582">
        <v>2200000</v>
      </c>
      <c r="S3439" s="592"/>
      <c r="T3439" s="645"/>
      <c r="U3439" s="1059"/>
      <c r="V3439" s="601"/>
      <c r="W3439" s="601"/>
      <c r="X3439" s="601"/>
      <c r="Y3439" s="601"/>
      <c r="Z3439" s="748"/>
    </row>
    <row r="3440" spans="1:26" s="75" customFormat="1" ht="37.5" hidden="1">
      <c r="A3440" s="792">
        <f t="shared" si="512"/>
        <v>27</v>
      </c>
      <c r="B3440" s="592" t="s">
        <v>2794</v>
      </c>
      <c r="C3440" s="561" t="s">
        <v>217</v>
      </c>
      <c r="D3440" s="619">
        <v>6895</v>
      </c>
      <c r="E3440" s="619">
        <v>850</v>
      </c>
      <c r="F3440" s="619" t="s">
        <v>223</v>
      </c>
      <c r="G3440" s="619">
        <v>551.1</v>
      </c>
      <c r="H3440" s="599">
        <v>5</v>
      </c>
      <c r="I3440" s="599">
        <v>2</v>
      </c>
      <c r="J3440" s="599">
        <v>30</v>
      </c>
      <c r="K3440" s="590" t="s">
        <v>30</v>
      </c>
      <c r="L3440" s="584">
        <f t="shared" si="511"/>
        <v>768300</v>
      </c>
      <c r="M3440" s="596">
        <v>750000</v>
      </c>
      <c r="N3440" s="597"/>
      <c r="O3440" s="736">
        <v>2250</v>
      </c>
      <c r="P3440" s="597"/>
      <c r="Q3440" s="586">
        <v>16050</v>
      </c>
      <c r="R3440" s="582">
        <f>M3440/J3440</f>
        <v>25000</v>
      </c>
      <c r="S3440" s="592"/>
      <c r="T3440" s="645"/>
      <c r="U3440" s="1059"/>
      <c r="V3440" s="601"/>
      <c r="W3440" s="601"/>
      <c r="X3440" s="601"/>
      <c r="Y3440" s="601"/>
      <c r="Z3440" s="601"/>
    </row>
    <row r="3441" spans="1:26" s="75" customFormat="1" hidden="1">
      <c r="A3441" s="792">
        <f t="shared" si="512"/>
        <v>28</v>
      </c>
      <c r="B3441" s="592" t="s">
        <v>2795</v>
      </c>
      <c r="C3441" s="561" t="s">
        <v>217</v>
      </c>
      <c r="D3441" s="619">
        <v>4992</v>
      </c>
      <c r="E3441" s="619">
        <v>840</v>
      </c>
      <c r="F3441" s="619" t="s">
        <v>222</v>
      </c>
      <c r="G3441" s="619">
        <v>1189</v>
      </c>
      <c r="H3441" s="599">
        <v>2</v>
      </c>
      <c r="I3441" s="599">
        <v>4</v>
      </c>
      <c r="J3441" s="599">
        <v>24</v>
      </c>
      <c r="K3441" s="590" t="s">
        <v>38</v>
      </c>
      <c r="L3441" s="746">
        <f t="shared" si="511"/>
        <v>1548893</v>
      </c>
      <c r="M3441" s="745">
        <v>1512000</v>
      </c>
      <c r="N3441" s="747"/>
      <c r="O3441" s="736">
        <v>4536</v>
      </c>
      <c r="P3441" s="747"/>
      <c r="Q3441" s="586">
        <v>32357</v>
      </c>
      <c r="R3441" s="599">
        <f>M3441/E3441</f>
        <v>1800</v>
      </c>
      <c r="S3441" s="592" t="s">
        <v>429</v>
      </c>
      <c r="T3441" s="645"/>
      <c r="U3441" s="1059"/>
      <c r="V3441" s="601"/>
      <c r="W3441" s="601"/>
      <c r="X3441" s="601"/>
      <c r="Y3441" s="601"/>
      <c r="Z3441" s="601"/>
    </row>
    <row r="3442" spans="1:26" s="75" customFormat="1" hidden="1">
      <c r="A3442" s="792">
        <f t="shared" si="512"/>
        <v>29</v>
      </c>
      <c r="B3442" s="592" t="s">
        <v>2796</v>
      </c>
      <c r="C3442" s="582" t="s">
        <v>221</v>
      </c>
      <c r="D3442" s="619">
        <v>2775</v>
      </c>
      <c r="E3442" s="619">
        <v>675</v>
      </c>
      <c r="F3442" s="619" t="s">
        <v>222</v>
      </c>
      <c r="G3442" s="619">
        <v>622</v>
      </c>
      <c r="H3442" s="599">
        <v>2</v>
      </c>
      <c r="I3442" s="599">
        <v>2</v>
      </c>
      <c r="J3442" s="599">
        <v>16</v>
      </c>
      <c r="K3442" s="590" t="s">
        <v>38</v>
      </c>
      <c r="L3442" s="746">
        <f t="shared" si="511"/>
        <v>1244646</v>
      </c>
      <c r="M3442" s="745">
        <v>1215000</v>
      </c>
      <c r="N3442" s="747"/>
      <c r="O3442" s="736">
        <v>3645</v>
      </c>
      <c r="P3442" s="747"/>
      <c r="Q3442" s="586">
        <v>26001</v>
      </c>
      <c r="R3442" s="599">
        <f>M3442/E3442</f>
        <v>1800</v>
      </c>
      <c r="S3442" s="592" t="s">
        <v>430</v>
      </c>
      <c r="T3442" s="645"/>
      <c r="U3442" s="1059"/>
      <c r="V3442" s="601"/>
      <c r="W3442" s="601"/>
      <c r="X3442" s="601"/>
      <c r="Y3442" s="601"/>
      <c r="Z3442" s="601"/>
    </row>
    <row r="3443" spans="1:26" s="75" customFormat="1" ht="37.5" hidden="1">
      <c r="A3443" s="792">
        <f t="shared" si="512"/>
        <v>30</v>
      </c>
      <c r="B3443" s="592" t="s">
        <v>1858</v>
      </c>
      <c r="C3443" s="561" t="s">
        <v>217</v>
      </c>
      <c r="D3443" s="619">
        <v>4992</v>
      </c>
      <c r="E3443" s="619">
        <v>808.5</v>
      </c>
      <c r="F3443" s="619" t="s">
        <v>222</v>
      </c>
      <c r="G3443" s="619">
        <v>990</v>
      </c>
      <c r="H3443" s="599">
        <v>2</v>
      </c>
      <c r="I3443" s="599">
        <v>3</v>
      </c>
      <c r="J3443" s="599">
        <v>22</v>
      </c>
      <c r="K3443" s="590" t="s">
        <v>30</v>
      </c>
      <c r="L3443" s="584">
        <f t="shared" si="511"/>
        <v>563420</v>
      </c>
      <c r="M3443" s="596">
        <v>550000</v>
      </c>
      <c r="N3443" s="597"/>
      <c r="O3443" s="736">
        <v>1650</v>
      </c>
      <c r="P3443" s="597"/>
      <c r="Q3443" s="586">
        <v>11770</v>
      </c>
      <c r="R3443" s="582">
        <f>M3443/J3443</f>
        <v>25000</v>
      </c>
      <c r="S3443" s="592"/>
      <c r="T3443" s="645"/>
      <c r="U3443" s="1059"/>
      <c r="V3443" s="601"/>
      <c r="W3443" s="601"/>
      <c r="X3443" s="601"/>
      <c r="Y3443" s="601"/>
      <c r="Z3443" s="601"/>
    </row>
    <row r="3444" spans="1:26" s="75" customFormat="1" hidden="1">
      <c r="A3444" s="792">
        <f t="shared" si="512"/>
        <v>31</v>
      </c>
      <c r="B3444" s="592" t="s">
        <v>2798</v>
      </c>
      <c r="C3444" s="582" t="s">
        <v>221</v>
      </c>
      <c r="D3444" s="619">
        <v>2016</v>
      </c>
      <c r="E3444" s="619">
        <v>456</v>
      </c>
      <c r="F3444" s="619" t="s">
        <v>222</v>
      </c>
      <c r="G3444" s="619">
        <v>204</v>
      </c>
      <c r="H3444" s="599">
        <v>2</v>
      </c>
      <c r="I3444" s="599">
        <v>1</v>
      </c>
      <c r="J3444" s="599">
        <v>8</v>
      </c>
      <c r="K3444" s="590" t="s">
        <v>33</v>
      </c>
      <c r="L3444" s="584">
        <f t="shared" si="511"/>
        <v>546414</v>
      </c>
      <c r="M3444" s="585">
        <v>510000</v>
      </c>
      <c r="N3444" s="586">
        <v>25500</v>
      </c>
      <c r="O3444" s="587"/>
      <c r="P3444" s="586"/>
      <c r="Q3444" s="586">
        <v>10914</v>
      </c>
      <c r="R3444" s="582">
        <f>M3444/G3444</f>
        <v>2500</v>
      </c>
      <c r="S3444" s="592"/>
      <c r="T3444" s="592"/>
      <c r="U3444" s="1059"/>
      <c r="V3444" s="601"/>
      <c r="W3444" s="601"/>
      <c r="X3444" s="601"/>
      <c r="Y3444" s="601"/>
      <c r="Z3444" s="601"/>
    </row>
    <row r="3445" spans="1:26" s="71" customFormat="1" hidden="1">
      <c r="A3445" s="792">
        <f t="shared" si="512"/>
        <v>32</v>
      </c>
      <c r="B3445" s="592" t="s">
        <v>4089</v>
      </c>
      <c r="C3445" s="593" t="s">
        <v>217</v>
      </c>
      <c r="D3445" s="646">
        <v>13363</v>
      </c>
      <c r="E3445" s="619">
        <v>1810</v>
      </c>
      <c r="F3445" s="619" t="s">
        <v>223</v>
      </c>
      <c r="G3445" s="739">
        <f>(20*I3445)*12*1.2</f>
        <v>864</v>
      </c>
      <c r="H3445" s="582">
        <v>5</v>
      </c>
      <c r="I3445" s="582">
        <v>3</v>
      </c>
      <c r="J3445" s="599">
        <v>44</v>
      </c>
      <c r="K3445" s="590" t="s">
        <v>224</v>
      </c>
      <c r="L3445" s="740">
        <f t="shared" si="511"/>
        <v>925232</v>
      </c>
      <c r="M3445" s="741">
        <v>880000</v>
      </c>
      <c r="N3445" s="742">
        <v>26400</v>
      </c>
      <c r="O3445" s="743"/>
      <c r="P3445" s="742"/>
      <c r="Q3445" s="586">
        <v>18832</v>
      </c>
      <c r="R3445" s="744">
        <f>M3445/J3445</f>
        <v>20000</v>
      </c>
      <c r="S3445" s="592"/>
      <c r="T3445" s="645"/>
      <c r="U3445" s="737"/>
      <c r="V3445" s="737"/>
      <c r="W3445" s="737"/>
      <c r="X3445" s="737"/>
      <c r="Y3445" s="737"/>
      <c r="Z3445" s="737"/>
    </row>
    <row r="3446" spans="1:26" s="71" customFormat="1" hidden="1">
      <c r="A3446" s="792">
        <f t="shared" si="512"/>
        <v>33</v>
      </c>
      <c r="B3446" s="592" t="s">
        <v>4090</v>
      </c>
      <c r="C3446" s="593" t="s">
        <v>217</v>
      </c>
      <c r="D3446" s="646">
        <v>16547</v>
      </c>
      <c r="E3446" s="619">
        <v>1930</v>
      </c>
      <c r="F3446" s="619" t="s">
        <v>223</v>
      </c>
      <c r="G3446" s="739">
        <f>(20*I3446)*12*1.2</f>
        <v>864</v>
      </c>
      <c r="H3446" s="582">
        <v>5</v>
      </c>
      <c r="I3446" s="582">
        <v>3</v>
      </c>
      <c r="J3446" s="599">
        <v>76</v>
      </c>
      <c r="K3446" s="590" t="s">
        <v>224</v>
      </c>
      <c r="L3446" s="740">
        <f t="shared" ref="L3446:L3469" si="513">M3446+N3446+O3446+P3446+Q3446</f>
        <v>1582928</v>
      </c>
      <c r="M3446" s="741">
        <v>1520000</v>
      </c>
      <c r="N3446" s="742">
        <v>30400</v>
      </c>
      <c r="O3446" s="743"/>
      <c r="P3446" s="742"/>
      <c r="Q3446" s="586">
        <v>32528</v>
      </c>
      <c r="R3446" s="744">
        <f>M3446/J3446</f>
        <v>20000</v>
      </c>
      <c r="S3446" s="592"/>
      <c r="T3446" s="645"/>
      <c r="U3446" s="737"/>
      <c r="V3446" s="737"/>
      <c r="W3446" s="737"/>
      <c r="X3446" s="737"/>
      <c r="Y3446" s="737"/>
      <c r="Z3446" s="737"/>
    </row>
    <row r="3447" spans="1:26" s="71" customFormat="1" hidden="1">
      <c r="A3447" s="792">
        <f t="shared" si="512"/>
        <v>34</v>
      </c>
      <c r="B3447" s="592" t="s">
        <v>4091</v>
      </c>
      <c r="C3447" s="593" t="s">
        <v>217</v>
      </c>
      <c r="D3447" s="646">
        <v>10743</v>
      </c>
      <c r="E3447" s="619">
        <v>1850</v>
      </c>
      <c r="F3447" s="619" t="s">
        <v>223</v>
      </c>
      <c r="G3447" s="739">
        <v>388</v>
      </c>
      <c r="H3447" s="582">
        <v>9</v>
      </c>
      <c r="I3447" s="582">
        <v>1</v>
      </c>
      <c r="J3447" s="599">
        <v>71</v>
      </c>
      <c r="K3447" s="590" t="s">
        <v>33</v>
      </c>
      <c r="L3447" s="584">
        <f t="shared" si="513"/>
        <v>874428</v>
      </c>
      <c r="M3447" s="585">
        <v>853600</v>
      </c>
      <c r="N3447" s="586"/>
      <c r="O3447" s="736">
        <v>2561</v>
      </c>
      <c r="P3447" s="586"/>
      <c r="Q3447" s="586">
        <v>18267</v>
      </c>
      <c r="R3447" s="582">
        <f>M3447/G3447</f>
        <v>2200</v>
      </c>
      <c r="S3447" s="592"/>
      <c r="T3447" s="645"/>
      <c r="U3447" s="737"/>
      <c r="V3447" s="737"/>
      <c r="W3447" s="737"/>
      <c r="X3447" s="737"/>
      <c r="Y3447" s="737"/>
      <c r="Z3447" s="737"/>
    </row>
    <row r="3448" spans="1:26" s="71" customFormat="1" ht="37.5" hidden="1">
      <c r="A3448" s="792">
        <f t="shared" si="512"/>
        <v>35</v>
      </c>
      <c r="B3448" s="592" t="s">
        <v>3673</v>
      </c>
      <c r="C3448" s="593" t="s">
        <v>221</v>
      </c>
      <c r="D3448" s="646">
        <v>13390</v>
      </c>
      <c r="E3448" s="619">
        <v>1192.2</v>
      </c>
      <c r="F3448" s="619" t="s">
        <v>228</v>
      </c>
      <c r="G3448" s="739">
        <v>672.2</v>
      </c>
      <c r="H3448" s="582">
        <v>5</v>
      </c>
      <c r="I3448" s="582">
        <v>2</v>
      </c>
      <c r="J3448" s="599">
        <v>136</v>
      </c>
      <c r="K3448" s="590" t="s">
        <v>30</v>
      </c>
      <c r="L3448" s="584">
        <f t="shared" si="513"/>
        <v>3482960</v>
      </c>
      <c r="M3448" s="585">
        <v>3400000</v>
      </c>
      <c r="N3448" s="586"/>
      <c r="O3448" s="736">
        <v>10200</v>
      </c>
      <c r="P3448" s="586"/>
      <c r="Q3448" s="586">
        <v>72760</v>
      </c>
      <c r="R3448" s="1035">
        <f>M3448/J3448</f>
        <v>25000</v>
      </c>
      <c r="S3448" s="592"/>
      <c r="T3448" s="645"/>
      <c r="U3448" s="737"/>
      <c r="V3448" s="737"/>
      <c r="W3448" s="737"/>
      <c r="X3448" s="737"/>
      <c r="Y3448" s="737"/>
      <c r="Z3448" s="737"/>
    </row>
    <row r="3449" spans="1:26" s="71" customFormat="1" hidden="1">
      <c r="A3449" s="792">
        <f t="shared" si="512"/>
        <v>36</v>
      </c>
      <c r="B3449" s="592" t="s">
        <v>3635</v>
      </c>
      <c r="C3449" s="593" t="s">
        <v>217</v>
      </c>
      <c r="D3449" s="646">
        <v>16711</v>
      </c>
      <c r="E3449" s="619">
        <v>2695</v>
      </c>
      <c r="F3449" s="619" t="s">
        <v>223</v>
      </c>
      <c r="G3449" s="739">
        <v>1411.9</v>
      </c>
      <c r="H3449" s="582">
        <v>5</v>
      </c>
      <c r="I3449" s="582">
        <v>6</v>
      </c>
      <c r="J3449" s="599">
        <v>88</v>
      </c>
      <c r="K3449" s="590" t="s">
        <v>226</v>
      </c>
      <c r="L3449" s="584">
        <f t="shared" si="513"/>
        <v>9672086</v>
      </c>
      <c r="M3449" s="585">
        <v>9432500</v>
      </c>
      <c r="N3449" s="586">
        <v>37730</v>
      </c>
      <c r="O3449" s="736"/>
      <c r="P3449" s="586"/>
      <c r="Q3449" s="586">
        <v>201856</v>
      </c>
      <c r="R3449" s="582">
        <f>M3449/E3449</f>
        <v>3500</v>
      </c>
      <c r="S3449" s="592"/>
      <c r="T3449" s="645"/>
      <c r="U3449" s="737"/>
      <c r="V3449" s="737"/>
      <c r="W3449" s="737"/>
      <c r="X3449" s="737"/>
      <c r="Y3449" s="737"/>
      <c r="Z3449" s="737"/>
    </row>
    <row r="3450" spans="1:26" s="71" customFormat="1" hidden="1">
      <c r="A3450" s="792">
        <f t="shared" si="512"/>
        <v>37</v>
      </c>
      <c r="B3450" s="592" t="s">
        <v>3636</v>
      </c>
      <c r="C3450" s="593" t="s">
        <v>221</v>
      </c>
      <c r="D3450" s="646">
        <v>9723</v>
      </c>
      <c r="E3450" s="619">
        <v>1505</v>
      </c>
      <c r="F3450" s="619" t="s">
        <v>222</v>
      </c>
      <c r="G3450" s="739">
        <v>868</v>
      </c>
      <c r="H3450" s="582">
        <v>5</v>
      </c>
      <c r="I3450" s="582">
        <v>3</v>
      </c>
      <c r="J3450" s="599">
        <v>58</v>
      </c>
      <c r="K3450" s="590" t="s">
        <v>33</v>
      </c>
      <c r="L3450" s="584">
        <f t="shared" si="513"/>
        <v>2248988</v>
      </c>
      <c r="M3450" s="585">
        <v>2170000</v>
      </c>
      <c r="N3450" s="586">
        <v>32550</v>
      </c>
      <c r="O3450" s="736"/>
      <c r="P3450" s="586"/>
      <c r="Q3450" s="586">
        <v>46438</v>
      </c>
      <c r="R3450" s="599">
        <f>M3450/G3450</f>
        <v>2500</v>
      </c>
      <c r="S3450" s="592"/>
      <c r="T3450" s="645"/>
      <c r="U3450" s="737"/>
      <c r="V3450" s="737"/>
      <c r="W3450" s="737"/>
      <c r="X3450" s="737"/>
      <c r="Y3450" s="737"/>
      <c r="Z3450" s="737"/>
    </row>
    <row r="3451" spans="1:26" s="153" customFormat="1" hidden="1">
      <c r="A3451" s="792">
        <f t="shared" si="512"/>
        <v>38</v>
      </c>
      <c r="B3451" s="961" t="s">
        <v>3425</v>
      </c>
      <c r="C3451" s="1208" t="s">
        <v>217</v>
      </c>
      <c r="D3451" s="1209">
        <v>20533</v>
      </c>
      <c r="E3451" s="1209">
        <v>3648</v>
      </c>
      <c r="F3451" s="1209" t="s">
        <v>223</v>
      </c>
      <c r="G3451" s="1209">
        <v>1639.8</v>
      </c>
      <c r="H3451" s="724">
        <v>5</v>
      </c>
      <c r="I3451" s="724">
        <v>6</v>
      </c>
      <c r="J3451" s="724">
        <v>90</v>
      </c>
      <c r="K3451" s="720" t="s">
        <v>226</v>
      </c>
      <c r="L3451" s="1085">
        <f t="shared" si="513"/>
        <v>11221978</v>
      </c>
      <c r="M3451" s="1057">
        <v>10944000</v>
      </c>
      <c r="N3451" s="1210">
        <v>43776</v>
      </c>
      <c r="O3451" s="1211"/>
      <c r="P3451" s="1210"/>
      <c r="Q3451" s="1029">
        <v>234202</v>
      </c>
      <c r="R3451" s="724">
        <f>M3451/E3451</f>
        <v>3000</v>
      </c>
      <c r="S3451" s="994"/>
      <c r="T3451" s="1212">
        <f>L3451-M3451-N3451-O3451-Q3451</f>
        <v>0</v>
      </c>
      <c r="U3451" s="965"/>
      <c r="V3451" s="1213"/>
      <c r="W3451" s="1213"/>
      <c r="X3451" s="1213"/>
      <c r="Y3451" s="1213"/>
      <c r="Z3451" s="1213"/>
    </row>
    <row r="3452" spans="1:26" s="91" customFormat="1" hidden="1">
      <c r="A3452" s="792">
        <f t="shared" si="512"/>
        <v>39</v>
      </c>
      <c r="B3452" s="592" t="s">
        <v>821</v>
      </c>
      <c r="C3452" s="1056" t="s">
        <v>217</v>
      </c>
      <c r="D3452" s="619">
        <v>10510</v>
      </c>
      <c r="E3452" s="619">
        <v>1950</v>
      </c>
      <c r="F3452" s="619" t="s">
        <v>223</v>
      </c>
      <c r="G3452" s="619">
        <v>1152</v>
      </c>
      <c r="H3452" s="599">
        <v>5</v>
      </c>
      <c r="I3452" s="599">
        <v>4</v>
      </c>
      <c r="J3452" s="599">
        <v>60</v>
      </c>
      <c r="K3452" s="590" t="s">
        <v>33</v>
      </c>
      <c r="L3452" s="584">
        <f t="shared" si="513"/>
        <v>1931329</v>
      </c>
      <c r="M3452" s="585">
        <v>1890000</v>
      </c>
      <c r="N3452" s="630"/>
      <c r="O3452" s="1054">
        <v>21429</v>
      </c>
      <c r="P3452" s="630"/>
      <c r="Q3452" s="586">
        <v>19900</v>
      </c>
      <c r="R3452" s="582">
        <f>M3452/G3452</f>
        <v>1640.625</v>
      </c>
      <c r="S3452" s="575">
        <f t="shared" ref="S3452:S3469" si="514">L3452-M3452-N3452-O3452-P3452-Q3452</f>
        <v>0</v>
      </c>
      <c r="T3452" s="645"/>
      <c r="U3452" s="737"/>
      <c r="V3452" s="589"/>
      <c r="W3452" s="748"/>
      <c r="X3452" s="748"/>
      <c r="Y3452" s="748"/>
      <c r="Z3452" s="748"/>
    </row>
    <row r="3453" spans="1:26" s="91" customFormat="1" hidden="1">
      <c r="A3453" s="792">
        <f t="shared" si="512"/>
        <v>40</v>
      </c>
      <c r="B3453" s="592" t="s">
        <v>1837</v>
      </c>
      <c r="C3453" s="582" t="s">
        <v>221</v>
      </c>
      <c r="D3453" s="619">
        <v>13191</v>
      </c>
      <c r="E3453" s="619">
        <v>2021.76</v>
      </c>
      <c r="F3453" s="815" t="s">
        <v>222</v>
      </c>
      <c r="G3453" s="619">
        <v>1170.5999999999999</v>
      </c>
      <c r="H3453" s="599">
        <v>5</v>
      </c>
      <c r="I3453" s="599">
        <v>4</v>
      </c>
      <c r="J3453" s="599">
        <v>70</v>
      </c>
      <c r="K3453" s="590" t="s">
        <v>33</v>
      </c>
      <c r="L3453" s="584">
        <f t="shared" si="513"/>
        <v>2994427</v>
      </c>
      <c r="M3453" s="585">
        <v>2926500</v>
      </c>
      <c r="N3453" s="630">
        <v>28127</v>
      </c>
      <c r="O3453" s="631"/>
      <c r="P3453" s="630"/>
      <c r="Q3453" s="586">
        <v>39800</v>
      </c>
      <c r="R3453" s="582">
        <f>M3453/G3453</f>
        <v>2500</v>
      </c>
      <c r="S3453" s="575">
        <f t="shared" si="514"/>
        <v>0</v>
      </c>
      <c r="T3453" s="645"/>
      <c r="U3453" s="737"/>
      <c r="V3453" s="589"/>
      <c r="W3453" s="748"/>
      <c r="X3453" s="748"/>
      <c r="Y3453" s="748"/>
      <c r="Z3453" s="748"/>
    </row>
    <row r="3454" spans="1:26" s="91" customFormat="1" hidden="1">
      <c r="A3454" s="792">
        <f t="shared" si="512"/>
        <v>41</v>
      </c>
      <c r="B3454" s="592" t="s">
        <v>1838</v>
      </c>
      <c r="C3454" s="582" t="s">
        <v>221</v>
      </c>
      <c r="D3454" s="619">
        <v>23924</v>
      </c>
      <c r="E3454" s="619">
        <v>3893.9</v>
      </c>
      <c r="F3454" s="619" t="s">
        <v>223</v>
      </c>
      <c r="G3454" s="619">
        <v>1126.5</v>
      </c>
      <c r="H3454" s="599">
        <v>9</v>
      </c>
      <c r="I3454" s="599">
        <v>2</v>
      </c>
      <c r="J3454" s="599">
        <v>103</v>
      </c>
      <c r="K3454" s="590" t="s">
        <v>224</v>
      </c>
      <c r="L3454" s="740">
        <f t="shared" si="513"/>
        <v>2320654.7599999998</v>
      </c>
      <c r="M3454" s="741">
        <v>2266000</v>
      </c>
      <c r="N3454" s="753">
        <v>34858</v>
      </c>
      <c r="O3454" s="872"/>
      <c r="P3454" s="753"/>
      <c r="Q3454" s="586">
        <v>19796.759999999998</v>
      </c>
      <c r="R3454" s="744">
        <f>M3454/J3454</f>
        <v>22000</v>
      </c>
      <c r="S3454" s="575">
        <f t="shared" si="514"/>
        <v>-2.2191670723259449E-10</v>
      </c>
      <c r="T3454" s="645"/>
      <c r="U3454" s="737"/>
      <c r="V3454" s="589"/>
      <c r="W3454" s="748"/>
      <c r="X3454" s="748"/>
      <c r="Y3454" s="748"/>
      <c r="Z3454" s="748"/>
    </row>
    <row r="3455" spans="1:26" s="91" customFormat="1" hidden="1">
      <c r="A3455" s="792">
        <f t="shared" si="512"/>
        <v>42</v>
      </c>
      <c r="B3455" s="592" t="s">
        <v>1848</v>
      </c>
      <c r="C3455" s="582" t="s">
        <v>221</v>
      </c>
      <c r="D3455" s="619">
        <v>39168</v>
      </c>
      <c r="E3455" s="619">
        <v>7552.41</v>
      </c>
      <c r="F3455" s="619" t="s">
        <v>223</v>
      </c>
      <c r="G3455" s="619">
        <v>2077</v>
      </c>
      <c r="H3455" s="599">
        <v>9</v>
      </c>
      <c r="I3455" s="599">
        <v>5</v>
      </c>
      <c r="J3455" s="599">
        <v>169</v>
      </c>
      <c r="K3455" s="590" t="s">
        <v>33</v>
      </c>
      <c r="L3455" s="584">
        <f t="shared" si="513"/>
        <v>4141764</v>
      </c>
      <c r="M3455" s="585">
        <v>4093767</v>
      </c>
      <c r="N3455" s="586"/>
      <c r="O3455" s="1054">
        <v>28097</v>
      </c>
      <c r="P3455" s="597"/>
      <c r="Q3455" s="586">
        <v>19900</v>
      </c>
      <c r="R3455" s="582">
        <f>M3455/G3455</f>
        <v>1971</v>
      </c>
      <c r="S3455" s="575">
        <f t="shared" si="514"/>
        <v>0</v>
      </c>
      <c r="T3455" s="645"/>
      <c r="U3455" s="709"/>
      <c r="V3455" s="589"/>
      <c r="W3455" s="601"/>
      <c r="X3455" s="601"/>
      <c r="Y3455" s="601"/>
      <c r="Z3455" s="748"/>
    </row>
    <row r="3456" spans="1:26" s="91" customFormat="1" hidden="1">
      <c r="A3456" s="792">
        <f t="shared" si="512"/>
        <v>43</v>
      </c>
      <c r="B3456" s="592" t="s">
        <v>1849</v>
      </c>
      <c r="C3456" s="593" t="s">
        <v>217</v>
      </c>
      <c r="D3456" s="619">
        <v>17378</v>
      </c>
      <c r="E3456" s="619">
        <v>2540</v>
      </c>
      <c r="F3456" s="619" t="s">
        <v>223</v>
      </c>
      <c r="G3456" s="619">
        <v>1413.5</v>
      </c>
      <c r="H3456" s="599">
        <v>5</v>
      </c>
      <c r="I3456" s="599">
        <v>6</v>
      </c>
      <c r="J3456" s="599">
        <v>89</v>
      </c>
      <c r="K3456" s="590" t="s">
        <v>33</v>
      </c>
      <c r="L3456" s="584">
        <f t="shared" si="513"/>
        <v>2869527</v>
      </c>
      <c r="M3456" s="585">
        <v>2827000</v>
      </c>
      <c r="N3456" s="586"/>
      <c r="O3456" s="1054">
        <v>22627</v>
      </c>
      <c r="P3456" s="586"/>
      <c r="Q3456" s="586">
        <v>19900</v>
      </c>
      <c r="R3456" s="582">
        <f>M3456/G3456</f>
        <v>2000</v>
      </c>
      <c r="S3456" s="575">
        <f t="shared" si="514"/>
        <v>0</v>
      </c>
      <c r="T3456" s="645"/>
      <c r="U3456" s="709"/>
      <c r="V3456" s="589"/>
      <c r="W3456" s="601"/>
      <c r="X3456" s="601"/>
      <c r="Y3456" s="601"/>
      <c r="Z3456" s="748"/>
    </row>
    <row r="3457" spans="1:26" s="91" customFormat="1" ht="37.5" hidden="1">
      <c r="A3457" s="792">
        <f t="shared" si="512"/>
        <v>44</v>
      </c>
      <c r="B3457" s="592" t="s">
        <v>1851</v>
      </c>
      <c r="C3457" s="1056" t="s">
        <v>217</v>
      </c>
      <c r="D3457" s="619">
        <v>6809</v>
      </c>
      <c r="E3457" s="619">
        <v>850</v>
      </c>
      <c r="F3457" s="619" t="s">
        <v>223</v>
      </c>
      <c r="G3457" s="619">
        <v>551.1</v>
      </c>
      <c r="H3457" s="599">
        <v>5</v>
      </c>
      <c r="I3457" s="599">
        <v>2</v>
      </c>
      <c r="J3457" s="599">
        <v>30</v>
      </c>
      <c r="K3457" s="590" t="s">
        <v>237</v>
      </c>
      <c r="L3457" s="584">
        <f t="shared" si="513"/>
        <v>785466.4</v>
      </c>
      <c r="M3457" s="596">
        <v>750000</v>
      </c>
      <c r="N3457" s="597"/>
      <c r="O3457" s="1054">
        <v>14133</v>
      </c>
      <c r="P3457" s="597"/>
      <c r="Q3457" s="586">
        <v>21333.4</v>
      </c>
      <c r="R3457" s="582">
        <f>M3457/J3457</f>
        <v>25000</v>
      </c>
      <c r="S3457" s="575">
        <f t="shared" si="514"/>
        <v>0</v>
      </c>
      <c r="T3457" s="645"/>
      <c r="U3457" s="709"/>
      <c r="V3457" s="589"/>
      <c r="W3457" s="601"/>
      <c r="X3457" s="601"/>
      <c r="Y3457" s="601"/>
      <c r="Z3457" s="748"/>
    </row>
    <row r="3458" spans="1:26" s="91" customFormat="1" ht="37.5" hidden="1">
      <c r="A3458" s="792">
        <f t="shared" si="512"/>
        <v>45</v>
      </c>
      <c r="B3458" s="592" t="s">
        <v>1852</v>
      </c>
      <c r="C3458" s="1056" t="s">
        <v>217</v>
      </c>
      <c r="D3458" s="619">
        <v>6842</v>
      </c>
      <c r="E3458" s="619">
        <v>850</v>
      </c>
      <c r="F3458" s="619" t="s">
        <v>223</v>
      </c>
      <c r="G3458" s="619">
        <v>551.1</v>
      </c>
      <c r="H3458" s="599">
        <v>5</v>
      </c>
      <c r="I3458" s="599">
        <v>2</v>
      </c>
      <c r="J3458" s="599">
        <v>30</v>
      </c>
      <c r="K3458" s="590" t="s">
        <v>237</v>
      </c>
      <c r="L3458" s="584">
        <f t="shared" si="513"/>
        <v>785917.4</v>
      </c>
      <c r="M3458" s="596">
        <v>750000</v>
      </c>
      <c r="N3458" s="597"/>
      <c r="O3458" s="1054">
        <v>14584</v>
      </c>
      <c r="P3458" s="597"/>
      <c r="Q3458" s="586">
        <v>21333.4</v>
      </c>
      <c r="R3458" s="582">
        <f>M3458/J3458</f>
        <v>25000</v>
      </c>
      <c r="S3458" s="575">
        <f t="shared" si="514"/>
        <v>0</v>
      </c>
      <c r="T3458" s="645"/>
      <c r="U3458" s="709"/>
      <c r="V3458" s="589"/>
      <c r="W3458" s="601"/>
      <c r="X3458" s="601"/>
      <c r="Y3458" s="601"/>
      <c r="Z3458" s="748"/>
    </row>
    <row r="3459" spans="1:26" s="90" customFormat="1" hidden="1">
      <c r="A3459" s="792">
        <f t="shared" si="512"/>
        <v>46</v>
      </c>
      <c r="B3459" s="592" t="s">
        <v>1817</v>
      </c>
      <c r="C3459" s="582" t="s">
        <v>221</v>
      </c>
      <c r="D3459" s="619">
        <v>12009</v>
      </c>
      <c r="E3459" s="619">
        <v>1589.57</v>
      </c>
      <c r="F3459" s="619" t="s">
        <v>222</v>
      </c>
      <c r="G3459" s="619">
        <v>999.1</v>
      </c>
      <c r="H3459" s="599">
        <v>5</v>
      </c>
      <c r="I3459" s="599">
        <v>4</v>
      </c>
      <c r="J3459" s="599">
        <v>64</v>
      </c>
      <c r="K3459" s="590" t="s">
        <v>33</v>
      </c>
      <c r="L3459" s="584">
        <f t="shared" si="513"/>
        <v>2562339.0299999998</v>
      </c>
      <c r="M3459" s="585">
        <v>2497750</v>
      </c>
      <c r="N3459" s="630">
        <v>27564</v>
      </c>
      <c r="O3459" s="631"/>
      <c r="P3459" s="630"/>
      <c r="Q3459" s="586">
        <v>37025.03</v>
      </c>
      <c r="R3459" s="582">
        <f>M3459/G3459</f>
        <v>2500</v>
      </c>
      <c r="S3459" s="575">
        <f t="shared" si="514"/>
        <v>-2.0372681319713593E-10</v>
      </c>
      <c r="T3459" s="645"/>
      <c r="U3459" s="737"/>
      <c r="V3459" s="589"/>
      <c r="W3459" s="748"/>
      <c r="X3459" s="748"/>
      <c r="Y3459" s="748"/>
      <c r="Z3459" s="748"/>
    </row>
    <row r="3460" spans="1:26" s="90" customFormat="1" hidden="1">
      <c r="A3460" s="792">
        <f t="shared" si="512"/>
        <v>47</v>
      </c>
      <c r="B3460" s="592" t="s">
        <v>1818</v>
      </c>
      <c r="C3460" s="582" t="s">
        <v>221</v>
      </c>
      <c r="D3460" s="619">
        <v>7576</v>
      </c>
      <c r="E3460" s="619">
        <v>1266.42</v>
      </c>
      <c r="F3460" s="619" t="s">
        <v>222</v>
      </c>
      <c r="G3460" s="619">
        <v>833.9</v>
      </c>
      <c r="H3460" s="599">
        <v>4</v>
      </c>
      <c r="I3460" s="599">
        <v>3</v>
      </c>
      <c r="J3460" s="599">
        <v>47</v>
      </c>
      <c r="K3460" s="590" t="s">
        <v>33</v>
      </c>
      <c r="L3460" s="584">
        <f t="shared" si="513"/>
        <v>2134913.61</v>
      </c>
      <c r="M3460" s="585">
        <v>2084750</v>
      </c>
      <c r="N3460" s="630">
        <v>26806</v>
      </c>
      <c r="O3460" s="631"/>
      <c r="P3460" s="630"/>
      <c r="Q3460" s="586">
        <v>23357.61</v>
      </c>
      <c r="R3460" s="582">
        <f>M3460/G3460</f>
        <v>2500</v>
      </c>
      <c r="S3460" s="575">
        <f t="shared" si="514"/>
        <v>-1.3096723705530167E-10</v>
      </c>
      <c r="T3460" s="645"/>
      <c r="U3460" s="737"/>
      <c r="V3460" s="589"/>
      <c r="W3460" s="748"/>
      <c r="X3460" s="748"/>
      <c r="Y3460" s="748"/>
      <c r="Z3460" s="748"/>
    </row>
    <row r="3461" spans="1:26" s="90" customFormat="1" ht="37.5" hidden="1">
      <c r="A3461" s="792">
        <f t="shared" si="512"/>
        <v>48</v>
      </c>
      <c r="B3461" s="592" t="s">
        <v>1821</v>
      </c>
      <c r="C3461" s="1056" t="s">
        <v>217</v>
      </c>
      <c r="D3461" s="619">
        <v>10063</v>
      </c>
      <c r="E3461" s="619">
        <v>2093.7800000000002</v>
      </c>
      <c r="F3461" s="619" t="s">
        <v>223</v>
      </c>
      <c r="G3461" s="619">
        <v>777.7</v>
      </c>
      <c r="H3461" s="599">
        <v>5</v>
      </c>
      <c r="I3461" s="599">
        <v>4</v>
      </c>
      <c r="J3461" s="599">
        <v>40</v>
      </c>
      <c r="K3461" s="590" t="s">
        <v>237</v>
      </c>
      <c r="L3461" s="584">
        <f t="shared" si="513"/>
        <v>1791900.4</v>
      </c>
      <c r="M3461" s="596">
        <v>1750000</v>
      </c>
      <c r="N3461" s="675"/>
      <c r="O3461" s="1054">
        <v>14538</v>
      </c>
      <c r="P3461" s="675"/>
      <c r="Q3461" s="586">
        <v>27362.400000000001</v>
      </c>
      <c r="R3461" s="582">
        <f>M3461/J3461</f>
        <v>43750</v>
      </c>
      <c r="S3461" s="575">
        <f t="shared" si="514"/>
        <v>-9.4587448984384537E-11</v>
      </c>
      <c r="T3461" s="575"/>
      <c r="U3461" s="737"/>
      <c r="V3461" s="589"/>
      <c r="W3461" s="748"/>
      <c r="X3461" s="748"/>
      <c r="Y3461" s="748"/>
      <c r="Z3461" s="748"/>
    </row>
    <row r="3462" spans="1:26" s="90" customFormat="1" hidden="1">
      <c r="A3462" s="792">
        <f t="shared" si="512"/>
        <v>49</v>
      </c>
      <c r="B3462" s="592" t="s">
        <v>1822</v>
      </c>
      <c r="C3462" s="561" t="s">
        <v>221</v>
      </c>
      <c r="D3462" s="619">
        <v>20442</v>
      </c>
      <c r="E3462" s="619">
        <v>7179</v>
      </c>
      <c r="F3462" s="619" t="s">
        <v>223</v>
      </c>
      <c r="G3462" s="619">
        <v>850</v>
      </c>
      <c r="H3462" s="599">
        <v>9</v>
      </c>
      <c r="I3462" s="599">
        <v>2</v>
      </c>
      <c r="J3462" s="599">
        <v>70</v>
      </c>
      <c r="K3462" s="590" t="s">
        <v>33</v>
      </c>
      <c r="L3462" s="584">
        <f t="shared" si="513"/>
        <v>1745524</v>
      </c>
      <c r="M3462" s="585">
        <v>1700000</v>
      </c>
      <c r="N3462" s="630"/>
      <c r="O3462" s="1054">
        <v>25624</v>
      </c>
      <c r="P3462" s="630"/>
      <c r="Q3462" s="586">
        <v>19900</v>
      </c>
      <c r="R3462" s="582">
        <f>M3462/G3462</f>
        <v>2000</v>
      </c>
      <c r="S3462" s="575">
        <f t="shared" si="514"/>
        <v>0</v>
      </c>
      <c r="T3462" s="645"/>
      <c r="U3462" s="709"/>
      <c r="V3462" s="589"/>
      <c r="W3462" s="601"/>
      <c r="X3462" s="601"/>
      <c r="Y3462" s="601"/>
      <c r="Z3462" s="748"/>
    </row>
    <row r="3463" spans="1:26" s="91" customFormat="1" hidden="1">
      <c r="A3463" s="792">
        <f t="shared" si="512"/>
        <v>50</v>
      </c>
      <c r="B3463" s="592" t="s">
        <v>3618</v>
      </c>
      <c r="C3463" s="1056" t="s">
        <v>221</v>
      </c>
      <c r="D3463" s="619">
        <v>23601</v>
      </c>
      <c r="E3463" s="619">
        <v>3444.8</v>
      </c>
      <c r="F3463" s="619" t="s">
        <v>223</v>
      </c>
      <c r="G3463" s="619">
        <v>1924</v>
      </c>
      <c r="H3463" s="599">
        <v>5</v>
      </c>
      <c r="I3463" s="599">
        <v>8</v>
      </c>
      <c r="J3463" s="599">
        <v>127</v>
      </c>
      <c r="K3463" s="590" t="s">
        <v>33</v>
      </c>
      <c r="L3463" s="584">
        <f t="shared" si="513"/>
        <v>3890425</v>
      </c>
      <c r="M3463" s="596">
        <v>3848000</v>
      </c>
      <c r="N3463" s="586"/>
      <c r="O3463" s="1054">
        <v>22525</v>
      </c>
      <c r="P3463" s="586"/>
      <c r="Q3463" s="586">
        <v>19900</v>
      </c>
      <c r="R3463" s="582">
        <f>M3463/G3463</f>
        <v>2000</v>
      </c>
      <c r="S3463" s="575">
        <f t="shared" si="514"/>
        <v>0</v>
      </c>
      <c r="T3463" s="645"/>
      <c r="U3463" s="737"/>
      <c r="V3463" s="589"/>
      <c r="W3463" s="748"/>
      <c r="X3463" s="748"/>
      <c r="Y3463" s="748"/>
      <c r="Z3463" s="748"/>
    </row>
    <row r="3464" spans="1:26" s="90" customFormat="1" hidden="1">
      <c r="A3464" s="792">
        <f t="shared" si="512"/>
        <v>51</v>
      </c>
      <c r="B3464" s="592" t="s">
        <v>1832</v>
      </c>
      <c r="C3464" s="1056" t="s">
        <v>217</v>
      </c>
      <c r="D3464" s="619">
        <v>11245</v>
      </c>
      <c r="E3464" s="619">
        <v>1310</v>
      </c>
      <c r="F3464" s="619" t="s">
        <v>223</v>
      </c>
      <c r="G3464" s="619">
        <v>943.9</v>
      </c>
      <c r="H3464" s="599">
        <v>5</v>
      </c>
      <c r="I3464" s="599">
        <v>4</v>
      </c>
      <c r="J3464" s="599">
        <v>60</v>
      </c>
      <c r="K3464" s="590" t="s">
        <v>33</v>
      </c>
      <c r="L3464" s="584">
        <f t="shared" si="513"/>
        <v>1928771</v>
      </c>
      <c r="M3464" s="585">
        <v>1887800</v>
      </c>
      <c r="N3464" s="586"/>
      <c r="O3464" s="1054">
        <v>21071</v>
      </c>
      <c r="P3464" s="586"/>
      <c r="Q3464" s="586">
        <v>19900</v>
      </c>
      <c r="R3464" s="582">
        <f>M3464/G3464</f>
        <v>2000</v>
      </c>
      <c r="S3464" s="575">
        <f t="shared" si="514"/>
        <v>0</v>
      </c>
      <c r="T3464" s="645"/>
      <c r="U3464" s="737"/>
      <c r="V3464" s="589"/>
      <c r="W3464" s="748"/>
      <c r="X3464" s="748"/>
      <c r="Y3464" s="748"/>
      <c r="Z3464" s="748"/>
    </row>
    <row r="3465" spans="1:26" s="90" customFormat="1" ht="37.5" hidden="1">
      <c r="A3465" s="792">
        <f t="shared" si="512"/>
        <v>52</v>
      </c>
      <c r="B3465" s="592" t="s">
        <v>828</v>
      </c>
      <c r="C3465" s="582" t="s">
        <v>221</v>
      </c>
      <c r="D3465" s="619">
        <v>10098</v>
      </c>
      <c r="E3465" s="619">
        <v>1513.48</v>
      </c>
      <c r="F3465" s="619" t="s">
        <v>228</v>
      </c>
      <c r="G3465" s="619">
        <v>1112.5</v>
      </c>
      <c r="H3465" s="599">
        <v>4</v>
      </c>
      <c r="I3465" s="599">
        <v>4</v>
      </c>
      <c r="J3465" s="599">
        <v>64</v>
      </c>
      <c r="K3465" s="590" t="s">
        <v>237</v>
      </c>
      <c r="L3465" s="584">
        <f t="shared" si="513"/>
        <v>1639751.4</v>
      </c>
      <c r="M3465" s="596">
        <v>1600000</v>
      </c>
      <c r="N3465" s="597"/>
      <c r="O3465" s="1054">
        <v>12389</v>
      </c>
      <c r="P3465" s="597"/>
      <c r="Q3465" s="586">
        <v>27362.400000000001</v>
      </c>
      <c r="R3465" s="582">
        <f>M3465/J3465</f>
        <v>25000</v>
      </c>
      <c r="S3465" s="575">
        <f t="shared" si="514"/>
        <v>-9.4587448984384537E-11</v>
      </c>
      <c r="T3465" s="645"/>
      <c r="U3465" s="737"/>
      <c r="V3465" s="589"/>
      <c r="W3465" s="748"/>
      <c r="X3465" s="748"/>
      <c r="Y3465" s="748"/>
      <c r="Z3465" s="748"/>
    </row>
    <row r="3466" spans="1:26" s="90" customFormat="1" hidden="1">
      <c r="A3466" s="792">
        <f t="shared" si="512"/>
        <v>53</v>
      </c>
      <c r="B3466" s="592" t="s">
        <v>1835</v>
      </c>
      <c r="C3466" s="561" t="s">
        <v>221</v>
      </c>
      <c r="D3466" s="619">
        <v>16954</v>
      </c>
      <c r="E3466" s="619">
        <v>3266</v>
      </c>
      <c r="F3466" s="619" t="s">
        <v>223</v>
      </c>
      <c r="G3466" s="619">
        <v>1335.4</v>
      </c>
      <c r="H3466" s="599">
        <v>5</v>
      </c>
      <c r="I3466" s="599">
        <v>6</v>
      </c>
      <c r="J3466" s="599">
        <v>87</v>
      </c>
      <c r="K3466" s="590" t="s">
        <v>33</v>
      </c>
      <c r="L3466" s="584">
        <f t="shared" si="513"/>
        <v>2713176</v>
      </c>
      <c r="M3466" s="585">
        <v>2670800</v>
      </c>
      <c r="N3466" s="586"/>
      <c r="O3466" s="1054">
        <v>22476</v>
      </c>
      <c r="P3466" s="586"/>
      <c r="Q3466" s="586">
        <v>19900</v>
      </c>
      <c r="R3466" s="582">
        <f>M3466/G3466</f>
        <v>1999.9999999999998</v>
      </c>
      <c r="S3466" s="575">
        <f t="shared" si="514"/>
        <v>0</v>
      </c>
      <c r="T3466" s="645"/>
      <c r="U3466" s="709"/>
      <c r="V3466" s="589"/>
      <c r="W3466" s="601"/>
      <c r="X3466" s="601"/>
      <c r="Y3466" s="601"/>
      <c r="Z3466" s="748"/>
    </row>
    <row r="3467" spans="1:26" s="90" customFormat="1" ht="37.5" hidden="1">
      <c r="A3467" s="792">
        <f t="shared" si="512"/>
        <v>54</v>
      </c>
      <c r="B3467" s="592" t="s">
        <v>1844</v>
      </c>
      <c r="C3467" s="1056" t="s">
        <v>217</v>
      </c>
      <c r="D3467" s="619">
        <v>5338</v>
      </c>
      <c r="E3467" s="619">
        <v>1377.86</v>
      </c>
      <c r="F3467" s="619" t="s">
        <v>230</v>
      </c>
      <c r="G3467" s="619">
        <v>441.9</v>
      </c>
      <c r="H3467" s="599">
        <v>5</v>
      </c>
      <c r="I3467" s="599">
        <v>2</v>
      </c>
      <c r="J3467" s="599">
        <v>29</v>
      </c>
      <c r="K3467" s="590" t="s">
        <v>237</v>
      </c>
      <c r="L3467" s="584">
        <f t="shared" si="513"/>
        <v>760500.4</v>
      </c>
      <c r="M3467" s="596">
        <v>725000</v>
      </c>
      <c r="N3467" s="597"/>
      <c r="O3467" s="1054">
        <v>14167</v>
      </c>
      <c r="P3467" s="597"/>
      <c r="Q3467" s="586">
        <v>21333.4</v>
      </c>
      <c r="R3467" s="582">
        <f>M3467/J3467</f>
        <v>25000</v>
      </c>
      <c r="S3467" s="575">
        <f t="shared" si="514"/>
        <v>0</v>
      </c>
      <c r="T3467" s="645"/>
      <c r="U3467" s="709"/>
      <c r="V3467" s="589"/>
      <c r="W3467" s="601"/>
      <c r="X3467" s="601"/>
      <c r="Y3467" s="601"/>
      <c r="Z3467" s="748"/>
    </row>
    <row r="3468" spans="1:26" s="90" customFormat="1" ht="37.5" hidden="1">
      <c r="A3468" s="792">
        <f t="shared" si="512"/>
        <v>55</v>
      </c>
      <c r="B3468" s="592" t="s">
        <v>1846</v>
      </c>
      <c r="C3468" s="1056" t="s">
        <v>217</v>
      </c>
      <c r="D3468" s="619">
        <v>9299</v>
      </c>
      <c r="E3468" s="619">
        <v>1536.42</v>
      </c>
      <c r="F3468" s="619" t="s">
        <v>223</v>
      </c>
      <c r="G3468" s="619">
        <v>792.1</v>
      </c>
      <c r="H3468" s="599">
        <v>5</v>
      </c>
      <c r="I3468" s="599">
        <v>4</v>
      </c>
      <c r="J3468" s="599">
        <v>60</v>
      </c>
      <c r="K3468" s="590" t="s">
        <v>237</v>
      </c>
      <c r="L3468" s="584">
        <f t="shared" si="513"/>
        <v>1541701.4</v>
      </c>
      <c r="M3468" s="596">
        <v>1500000</v>
      </c>
      <c r="N3468" s="597"/>
      <c r="O3468" s="1054">
        <v>14339</v>
      </c>
      <c r="P3468" s="597"/>
      <c r="Q3468" s="586">
        <v>27362.400000000001</v>
      </c>
      <c r="R3468" s="582">
        <f>M3468/J3468</f>
        <v>25000</v>
      </c>
      <c r="S3468" s="575">
        <f t="shared" si="514"/>
        <v>-9.4587448984384537E-11</v>
      </c>
      <c r="T3468" s="645"/>
      <c r="U3468" s="709"/>
      <c r="V3468" s="589"/>
      <c r="W3468" s="601"/>
      <c r="X3468" s="601"/>
      <c r="Y3468" s="601"/>
      <c r="Z3468" s="748"/>
    </row>
    <row r="3469" spans="1:26" s="71" customFormat="1" hidden="1">
      <c r="A3469" s="792">
        <f t="shared" si="512"/>
        <v>56</v>
      </c>
      <c r="B3469" s="592" t="s">
        <v>4093</v>
      </c>
      <c r="C3469" s="593" t="s">
        <v>217</v>
      </c>
      <c r="D3469" s="646">
        <v>13129</v>
      </c>
      <c r="E3469" s="619">
        <v>1760</v>
      </c>
      <c r="F3469" s="619" t="s">
        <v>223</v>
      </c>
      <c r="G3469" s="739">
        <f>(20*I3469)*12*1.2</f>
        <v>864</v>
      </c>
      <c r="H3469" s="582">
        <v>5</v>
      </c>
      <c r="I3469" s="582">
        <v>3</v>
      </c>
      <c r="J3469" s="599">
        <v>142</v>
      </c>
      <c r="K3469" s="590" t="s">
        <v>224</v>
      </c>
      <c r="L3469" s="740">
        <f t="shared" si="513"/>
        <v>2884927.02</v>
      </c>
      <c r="M3469" s="741">
        <v>2840000</v>
      </c>
      <c r="N3469" s="753">
        <v>32649</v>
      </c>
      <c r="O3469" s="743"/>
      <c r="P3469" s="742"/>
      <c r="Q3469" s="586">
        <v>12278.02</v>
      </c>
      <c r="R3469" s="744">
        <f>M3469/J3469</f>
        <v>20000</v>
      </c>
      <c r="S3469" s="575">
        <f t="shared" si="514"/>
        <v>1.8189894035458565E-11</v>
      </c>
      <c r="T3469" s="645"/>
      <c r="U3469" s="737"/>
      <c r="V3469" s="589"/>
      <c r="W3469" s="737"/>
      <c r="X3469" s="737"/>
      <c r="Y3469" s="737"/>
      <c r="Z3469" s="737"/>
    </row>
    <row r="3470" spans="1:26" s="28" customFormat="1" hidden="1">
      <c r="A3470" s="1349" t="s">
        <v>36</v>
      </c>
      <c r="B3470" s="1349"/>
      <c r="C3470" s="593" t="s">
        <v>28</v>
      </c>
      <c r="D3470" s="646">
        <f>SUM(D3414:D3469)</f>
        <v>755239</v>
      </c>
      <c r="E3470" s="646">
        <f>SUM(E3414:E3469)</f>
        <v>124529.87999999999</v>
      </c>
      <c r="F3470" s="646" t="s">
        <v>28</v>
      </c>
      <c r="G3470" s="646">
        <f>SUM(G3414:G3469)</f>
        <v>56755.329999999987</v>
      </c>
      <c r="H3470" s="582" t="s">
        <v>28</v>
      </c>
      <c r="I3470" s="582" t="s">
        <v>28</v>
      </c>
      <c r="J3470" s="582">
        <f>SUM(J3414:J3469)</f>
        <v>3961</v>
      </c>
      <c r="K3470" s="590" t="s">
        <v>28</v>
      </c>
      <c r="L3470" s="584">
        <f>SUM(L3414:L3469)</f>
        <v>140150871.82000005</v>
      </c>
      <c r="M3470" s="585">
        <f>SUM(M3414:M3469)</f>
        <v>136787761</v>
      </c>
      <c r="N3470" s="586">
        <f>SUM(N3414:N3469)</f>
        <v>723349</v>
      </c>
      <c r="O3470" s="587">
        <f>SUM(O3414:O3469)</f>
        <v>394976</v>
      </c>
      <c r="P3470" s="586"/>
      <c r="Q3470" s="586">
        <f>SUM(Q3414:Q3469)</f>
        <v>2244785.8199999994</v>
      </c>
      <c r="R3470" s="582" t="s">
        <v>28</v>
      </c>
      <c r="S3470" s="592"/>
      <c r="T3470" s="645"/>
      <c r="U3470" s="1059"/>
      <c r="V3470" s="592"/>
      <c r="W3470" s="592"/>
      <c r="X3470" s="592"/>
      <c r="Y3470" s="592"/>
      <c r="Z3470" s="592"/>
    </row>
    <row r="3471" spans="1:26" s="28" customFormat="1" hidden="1">
      <c r="A3471" s="1347" t="s">
        <v>37</v>
      </c>
      <c r="B3471" s="1347"/>
      <c r="C3471" s="1347"/>
      <c r="D3471" s="1347"/>
      <c r="E3471" s="1347"/>
      <c r="F3471" s="1347"/>
      <c r="G3471" s="1347"/>
      <c r="H3471" s="1347"/>
      <c r="I3471" s="1347"/>
      <c r="J3471" s="1347"/>
      <c r="K3471" s="1347"/>
      <c r="L3471" s="1347"/>
      <c r="M3471" s="1347"/>
      <c r="N3471" s="1347"/>
      <c r="O3471" s="1347"/>
      <c r="P3471" s="1347"/>
      <c r="Q3471" s="1347"/>
      <c r="R3471" s="590"/>
      <c r="S3471" s="592"/>
      <c r="T3471" s="645"/>
      <c r="U3471" s="1059"/>
      <c r="V3471" s="592"/>
      <c r="W3471" s="592"/>
      <c r="X3471" s="592"/>
      <c r="Y3471" s="592"/>
      <c r="Z3471" s="592"/>
    </row>
    <row r="3472" spans="1:26" s="92" customFormat="1" ht="21" hidden="1">
      <c r="A3472" s="667">
        <v>1</v>
      </c>
      <c r="B3472" s="592" t="s">
        <v>2799</v>
      </c>
      <c r="C3472" s="593" t="s">
        <v>221</v>
      </c>
      <c r="D3472" s="619">
        <v>24998</v>
      </c>
      <c r="E3472" s="619">
        <v>2407</v>
      </c>
      <c r="F3472" s="619" t="s">
        <v>233</v>
      </c>
      <c r="G3472" s="619">
        <v>897</v>
      </c>
      <c r="H3472" s="599">
        <v>9</v>
      </c>
      <c r="I3472" s="599">
        <v>2</v>
      </c>
      <c r="J3472" s="599">
        <v>64</v>
      </c>
      <c r="K3472" s="590" t="s">
        <v>33</v>
      </c>
      <c r="L3472" s="584">
        <f>M3472+N3472+O3472+P3472+Q3472</f>
        <v>2021551</v>
      </c>
      <c r="M3472" s="585">
        <v>1973400</v>
      </c>
      <c r="N3472" s="586"/>
      <c r="O3472" s="736">
        <v>5920</v>
      </c>
      <c r="P3472" s="586"/>
      <c r="Q3472" s="586">
        <v>42231</v>
      </c>
      <c r="R3472" s="582">
        <f>M3472/G3472</f>
        <v>2200</v>
      </c>
      <c r="S3472" s="799"/>
      <c r="T3472" s="738"/>
      <c r="U3472" s="1091"/>
      <c r="V3472" s="1214"/>
      <c r="W3472" s="799"/>
      <c r="X3472" s="799"/>
      <c r="Y3472" s="799"/>
      <c r="Z3472" s="799"/>
    </row>
    <row r="3473" spans="1:26" s="92" customFormat="1" hidden="1">
      <c r="A3473" s="667">
        <f t="shared" ref="A3473:A3528" si="515">A3472+1</f>
        <v>2</v>
      </c>
      <c r="B3473" s="592" t="s">
        <v>2800</v>
      </c>
      <c r="C3473" s="593" t="s">
        <v>221</v>
      </c>
      <c r="D3473" s="619">
        <v>24285</v>
      </c>
      <c r="E3473" s="619">
        <v>4147</v>
      </c>
      <c r="F3473" s="619" t="s">
        <v>233</v>
      </c>
      <c r="G3473" s="619">
        <v>1619</v>
      </c>
      <c r="H3473" s="599">
        <v>5</v>
      </c>
      <c r="I3473" s="599">
        <v>8</v>
      </c>
      <c r="J3473" s="599">
        <v>119</v>
      </c>
      <c r="K3473" s="590" t="s">
        <v>33</v>
      </c>
      <c r="L3473" s="584">
        <f>M3473+N3473+O3473+P3473+Q3473</f>
        <v>3648708</v>
      </c>
      <c r="M3473" s="585">
        <v>3561800</v>
      </c>
      <c r="N3473" s="586"/>
      <c r="O3473" s="736">
        <v>10685</v>
      </c>
      <c r="P3473" s="586"/>
      <c r="Q3473" s="586">
        <v>76223</v>
      </c>
      <c r="R3473" s="582">
        <f>M3473/G3473</f>
        <v>2200</v>
      </c>
      <c r="S3473" s="799"/>
      <c r="T3473" s="799"/>
      <c r="U3473" s="1059"/>
      <c r="V3473" s="799"/>
      <c r="W3473" s="799"/>
      <c r="X3473" s="799"/>
      <c r="Y3473" s="799"/>
      <c r="Z3473" s="799"/>
    </row>
    <row r="3474" spans="1:26" s="92" customFormat="1" hidden="1">
      <c r="A3474" s="1355">
        <f t="shared" si="515"/>
        <v>3</v>
      </c>
      <c r="B3474" s="1346" t="s">
        <v>1859</v>
      </c>
      <c r="C3474" s="593" t="s">
        <v>221</v>
      </c>
      <c r="D3474" s="619">
        <v>19474</v>
      </c>
      <c r="E3474" s="619">
        <v>2407</v>
      </c>
      <c r="F3474" s="619" t="s">
        <v>233</v>
      </c>
      <c r="G3474" s="619">
        <v>824</v>
      </c>
      <c r="H3474" s="599">
        <v>9</v>
      </c>
      <c r="I3474" s="599">
        <v>2</v>
      </c>
      <c r="J3474" s="599">
        <v>72</v>
      </c>
      <c r="K3474" s="590" t="s">
        <v>33</v>
      </c>
      <c r="L3474" s="1348">
        <f>M3474+N3474+O3474+P3474+Q3474+M3475+N3475+O3475+P3475+Q3475</f>
        <v>3942032</v>
      </c>
      <c r="M3474" s="585">
        <v>1812800</v>
      </c>
      <c r="N3474" s="586"/>
      <c r="O3474" s="736">
        <v>5438</v>
      </c>
      <c r="P3474" s="586"/>
      <c r="Q3474" s="586">
        <v>38794</v>
      </c>
      <c r="R3474" s="582">
        <f>M3474/G3474</f>
        <v>2200</v>
      </c>
      <c r="S3474" s="799"/>
      <c r="T3474" s="799"/>
      <c r="U3474" s="1059"/>
      <c r="V3474" s="799"/>
      <c r="W3474" s="799"/>
      <c r="X3474" s="799"/>
      <c r="Y3474" s="799"/>
      <c r="Z3474" s="799"/>
    </row>
    <row r="3475" spans="1:26" s="92" customFormat="1" ht="37.5" hidden="1">
      <c r="A3475" s="1355"/>
      <c r="B3475" s="1346"/>
      <c r="C3475" s="766"/>
      <c r="D3475" s="768"/>
      <c r="E3475" s="768"/>
      <c r="F3475" s="768"/>
      <c r="G3475" s="768"/>
      <c r="H3475" s="766"/>
      <c r="I3475" s="766"/>
      <c r="J3475" s="766"/>
      <c r="K3475" s="590" t="s">
        <v>219</v>
      </c>
      <c r="L3475" s="1348"/>
      <c r="M3475" s="596">
        <v>2000000</v>
      </c>
      <c r="N3475" s="597">
        <v>85000</v>
      </c>
      <c r="O3475" s="587"/>
      <c r="P3475" s="586"/>
      <c r="Q3475" s="586"/>
      <c r="R3475" s="582">
        <f>M3475</f>
        <v>2000000</v>
      </c>
      <c r="S3475" s="771"/>
      <c r="T3475" s="799"/>
      <c r="U3475" s="1059"/>
      <c r="V3475" s="799"/>
      <c r="W3475" s="799"/>
      <c r="X3475" s="799"/>
      <c r="Y3475" s="799"/>
      <c r="Z3475" s="799"/>
    </row>
    <row r="3476" spans="1:26" s="92" customFormat="1" hidden="1">
      <c r="A3476" s="667">
        <v>4</v>
      </c>
      <c r="B3476" s="592" t="s">
        <v>2801</v>
      </c>
      <c r="C3476" s="593" t="s">
        <v>221</v>
      </c>
      <c r="D3476" s="619">
        <v>12817</v>
      </c>
      <c r="E3476" s="619">
        <v>2658</v>
      </c>
      <c r="F3476" s="619" t="s">
        <v>233</v>
      </c>
      <c r="G3476" s="619">
        <v>1022</v>
      </c>
      <c r="H3476" s="599">
        <v>5</v>
      </c>
      <c r="I3476" s="599">
        <v>4</v>
      </c>
      <c r="J3476" s="599">
        <v>69</v>
      </c>
      <c r="K3476" s="590" t="s">
        <v>33</v>
      </c>
      <c r="L3476" s="584">
        <f t="shared" ref="L3476:L3507" si="516">M3476+N3476+O3476+P3476+Q3476</f>
        <v>2303261</v>
      </c>
      <c r="M3476" s="585">
        <v>2248400</v>
      </c>
      <c r="N3476" s="586"/>
      <c r="O3476" s="736">
        <v>6745</v>
      </c>
      <c r="P3476" s="586"/>
      <c r="Q3476" s="586">
        <v>48116</v>
      </c>
      <c r="R3476" s="582">
        <f t="shared" ref="R3476:R3486" si="517">M3476/G3476</f>
        <v>2200</v>
      </c>
      <c r="S3476" s="799"/>
      <c r="T3476" s="799"/>
      <c r="U3476" s="1059"/>
      <c r="V3476" s="799"/>
      <c r="W3476" s="799"/>
      <c r="X3476" s="799"/>
      <c r="Y3476" s="799"/>
      <c r="Z3476" s="799"/>
    </row>
    <row r="3477" spans="1:26" s="92" customFormat="1" hidden="1">
      <c r="A3477" s="667">
        <f t="shared" si="515"/>
        <v>5</v>
      </c>
      <c r="B3477" s="592" t="s">
        <v>2802</v>
      </c>
      <c r="C3477" s="593" t="s">
        <v>221</v>
      </c>
      <c r="D3477" s="619">
        <v>17747</v>
      </c>
      <c r="E3477" s="619">
        <v>2428</v>
      </c>
      <c r="F3477" s="619" t="s">
        <v>233</v>
      </c>
      <c r="G3477" s="619">
        <v>1130</v>
      </c>
      <c r="H3477" s="599">
        <v>5</v>
      </c>
      <c r="I3477" s="599">
        <v>4</v>
      </c>
      <c r="J3477" s="599">
        <v>56</v>
      </c>
      <c r="K3477" s="590" t="s">
        <v>33</v>
      </c>
      <c r="L3477" s="584">
        <f t="shared" si="516"/>
        <v>2546658</v>
      </c>
      <c r="M3477" s="585">
        <v>2486000</v>
      </c>
      <c r="N3477" s="586"/>
      <c r="O3477" s="736">
        <v>7458</v>
      </c>
      <c r="P3477" s="586"/>
      <c r="Q3477" s="586">
        <v>53200</v>
      </c>
      <c r="R3477" s="582">
        <f t="shared" si="517"/>
        <v>2200</v>
      </c>
      <c r="S3477" s="799"/>
      <c r="T3477" s="799"/>
      <c r="U3477" s="1059"/>
      <c r="V3477" s="799"/>
      <c r="W3477" s="799"/>
      <c r="X3477" s="799"/>
      <c r="Y3477" s="799"/>
      <c r="Z3477" s="799"/>
    </row>
    <row r="3478" spans="1:26" s="92" customFormat="1" hidden="1">
      <c r="A3478" s="667">
        <f t="shared" si="515"/>
        <v>6</v>
      </c>
      <c r="B3478" s="592" t="s">
        <v>2803</v>
      </c>
      <c r="C3478" s="593" t="s">
        <v>217</v>
      </c>
      <c r="D3478" s="619">
        <v>12009</v>
      </c>
      <c r="E3478" s="619">
        <v>3190</v>
      </c>
      <c r="F3478" s="619" t="s">
        <v>233</v>
      </c>
      <c r="G3478" s="619">
        <v>1114</v>
      </c>
      <c r="H3478" s="599">
        <v>5</v>
      </c>
      <c r="I3478" s="599">
        <v>4</v>
      </c>
      <c r="J3478" s="599">
        <v>60</v>
      </c>
      <c r="K3478" s="590" t="s">
        <v>235</v>
      </c>
      <c r="L3478" s="584">
        <f t="shared" si="516"/>
        <v>3446939</v>
      </c>
      <c r="M3478" s="585">
        <v>3342000</v>
      </c>
      <c r="N3478" s="586">
        <v>33420</v>
      </c>
      <c r="O3478" s="587"/>
      <c r="P3478" s="586"/>
      <c r="Q3478" s="586">
        <v>71519</v>
      </c>
      <c r="R3478" s="582">
        <f t="shared" si="517"/>
        <v>3000</v>
      </c>
      <c r="S3478" s="799"/>
      <c r="T3478" s="799"/>
      <c r="U3478" s="1059"/>
      <c r="V3478" s="799"/>
      <c r="W3478" s="799"/>
      <c r="X3478" s="799"/>
      <c r="Y3478" s="799"/>
      <c r="Z3478" s="799"/>
    </row>
    <row r="3479" spans="1:26" s="92" customFormat="1" hidden="1">
      <c r="A3479" s="667">
        <f t="shared" si="515"/>
        <v>7</v>
      </c>
      <c r="B3479" s="592" t="s">
        <v>2804</v>
      </c>
      <c r="C3479" s="593" t="s">
        <v>217</v>
      </c>
      <c r="D3479" s="619">
        <v>12180</v>
      </c>
      <c r="E3479" s="619">
        <v>1268</v>
      </c>
      <c r="F3479" s="619" t="s">
        <v>233</v>
      </c>
      <c r="G3479" s="619">
        <v>812</v>
      </c>
      <c r="H3479" s="599">
        <v>5</v>
      </c>
      <c r="I3479" s="599">
        <v>4</v>
      </c>
      <c r="J3479" s="599">
        <v>60</v>
      </c>
      <c r="K3479" s="590" t="s">
        <v>235</v>
      </c>
      <c r="L3479" s="584">
        <f t="shared" si="516"/>
        <v>2524670</v>
      </c>
      <c r="M3479" s="585">
        <v>2436000</v>
      </c>
      <c r="N3479" s="586">
        <v>36540</v>
      </c>
      <c r="O3479" s="587"/>
      <c r="P3479" s="586"/>
      <c r="Q3479" s="586">
        <v>52130</v>
      </c>
      <c r="R3479" s="582">
        <f t="shared" si="517"/>
        <v>3000</v>
      </c>
      <c r="S3479" s="799"/>
      <c r="T3479" s="799"/>
      <c r="U3479" s="1059"/>
      <c r="V3479" s="799"/>
      <c r="W3479" s="799"/>
      <c r="X3479" s="799"/>
      <c r="Y3479" s="799"/>
      <c r="Z3479" s="799"/>
    </row>
    <row r="3480" spans="1:26" s="92" customFormat="1" hidden="1">
      <c r="A3480" s="667">
        <f t="shared" si="515"/>
        <v>8</v>
      </c>
      <c r="B3480" s="592" t="s">
        <v>2805</v>
      </c>
      <c r="C3480" s="593" t="s">
        <v>221</v>
      </c>
      <c r="D3480" s="619">
        <v>92988</v>
      </c>
      <c r="E3480" s="619">
        <v>9438</v>
      </c>
      <c r="F3480" s="619" t="s">
        <v>233</v>
      </c>
      <c r="G3480" s="619">
        <v>3444</v>
      </c>
      <c r="H3480" s="599">
        <v>9</v>
      </c>
      <c r="I3480" s="599">
        <v>8</v>
      </c>
      <c r="J3480" s="599">
        <v>287</v>
      </c>
      <c r="K3480" s="590" t="s">
        <v>33</v>
      </c>
      <c r="L3480" s="584">
        <f t="shared" si="516"/>
        <v>7761674</v>
      </c>
      <c r="M3480" s="585">
        <v>7576800</v>
      </c>
      <c r="N3480" s="586"/>
      <c r="O3480" s="736">
        <v>22730</v>
      </c>
      <c r="P3480" s="586"/>
      <c r="Q3480" s="586">
        <v>162144</v>
      </c>
      <c r="R3480" s="582">
        <f t="shared" si="517"/>
        <v>2200</v>
      </c>
      <c r="S3480" s="1215">
        <v>2015</v>
      </c>
      <c r="T3480" s="799"/>
      <c r="U3480" s="1059"/>
      <c r="V3480" s="799"/>
      <c r="W3480" s="799"/>
      <c r="X3480" s="799"/>
      <c r="Y3480" s="799"/>
      <c r="Z3480" s="799"/>
    </row>
    <row r="3481" spans="1:26" s="92" customFormat="1" hidden="1">
      <c r="A3481" s="667">
        <f t="shared" si="515"/>
        <v>9</v>
      </c>
      <c r="B3481" s="592" t="s">
        <v>2806</v>
      </c>
      <c r="C3481" s="593" t="s">
        <v>217</v>
      </c>
      <c r="D3481" s="619">
        <v>10850</v>
      </c>
      <c r="E3481" s="619">
        <v>2020</v>
      </c>
      <c r="F3481" s="619" t="s">
        <v>233</v>
      </c>
      <c r="G3481" s="619">
        <v>850</v>
      </c>
      <c r="H3481" s="599">
        <v>5</v>
      </c>
      <c r="I3481" s="599">
        <v>4</v>
      </c>
      <c r="J3481" s="599">
        <v>60</v>
      </c>
      <c r="K3481" s="590" t="s">
        <v>33</v>
      </c>
      <c r="L3481" s="584">
        <f t="shared" si="516"/>
        <v>1915628</v>
      </c>
      <c r="M3481" s="585">
        <v>1870000</v>
      </c>
      <c r="N3481" s="586"/>
      <c r="O3481" s="736">
        <v>5610</v>
      </c>
      <c r="P3481" s="586"/>
      <c r="Q3481" s="586">
        <v>40018</v>
      </c>
      <c r="R3481" s="582">
        <f t="shared" si="517"/>
        <v>2200</v>
      </c>
      <c r="S3481" s="799"/>
      <c r="T3481" s="799"/>
      <c r="U3481" s="1059"/>
      <c r="V3481" s="799"/>
      <c r="W3481" s="799"/>
      <c r="X3481" s="799"/>
      <c r="Y3481" s="799"/>
      <c r="Z3481" s="799"/>
    </row>
    <row r="3482" spans="1:26" s="92" customFormat="1" hidden="1">
      <c r="A3482" s="667">
        <f t="shared" si="515"/>
        <v>10</v>
      </c>
      <c r="B3482" s="592" t="s">
        <v>2807</v>
      </c>
      <c r="C3482" s="593" t="s">
        <v>217</v>
      </c>
      <c r="D3482" s="619">
        <v>7950</v>
      </c>
      <c r="E3482" s="619">
        <v>834</v>
      </c>
      <c r="F3482" s="619" t="s">
        <v>227</v>
      </c>
      <c r="G3482" s="619">
        <v>530</v>
      </c>
      <c r="H3482" s="599">
        <v>5</v>
      </c>
      <c r="I3482" s="599">
        <v>2</v>
      </c>
      <c r="J3482" s="599">
        <v>40</v>
      </c>
      <c r="K3482" s="590" t="s">
        <v>235</v>
      </c>
      <c r="L3482" s="584">
        <f t="shared" si="516"/>
        <v>1663776</v>
      </c>
      <c r="M3482" s="585">
        <v>1590000</v>
      </c>
      <c r="N3482" s="586">
        <v>39750</v>
      </c>
      <c r="O3482" s="587"/>
      <c r="P3482" s="586"/>
      <c r="Q3482" s="586">
        <v>34026</v>
      </c>
      <c r="R3482" s="582">
        <f t="shared" si="517"/>
        <v>3000</v>
      </c>
      <c r="S3482" s="799"/>
      <c r="T3482" s="799"/>
      <c r="U3482" s="1059"/>
      <c r="V3482" s="799"/>
      <c r="W3482" s="799"/>
      <c r="X3482" s="799"/>
      <c r="Y3482" s="799"/>
      <c r="Z3482" s="799"/>
    </row>
    <row r="3483" spans="1:26" s="92" customFormat="1" hidden="1">
      <c r="A3483" s="667">
        <f t="shared" si="515"/>
        <v>11</v>
      </c>
      <c r="B3483" s="592" t="s">
        <v>2808</v>
      </c>
      <c r="C3483" s="593" t="s">
        <v>217</v>
      </c>
      <c r="D3483" s="619">
        <v>7258</v>
      </c>
      <c r="E3483" s="619">
        <v>801</v>
      </c>
      <c r="F3483" s="619" t="s">
        <v>233</v>
      </c>
      <c r="G3483" s="619">
        <v>430</v>
      </c>
      <c r="H3483" s="599">
        <v>6</v>
      </c>
      <c r="I3483" s="599">
        <v>1</v>
      </c>
      <c r="J3483" s="599">
        <v>48</v>
      </c>
      <c r="K3483" s="590" t="s">
        <v>235</v>
      </c>
      <c r="L3483" s="584">
        <f t="shared" si="516"/>
        <v>1356306</v>
      </c>
      <c r="M3483" s="585">
        <v>1290000</v>
      </c>
      <c r="N3483" s="586">
        <v>38700</v>
      </c>
      <c r="O3483" s="587"/>
      <c r="P3483" s="586"/>
      <c r="Q3483" s="586">
        <v>27606</v>
      </c>
      <c r="R3483" s="582">
        <f t="shared" si="517"/>
        <v>3000</v>
      </c>
      <c r="S3483" s="799"/>
      <c r="T3483" s="799"/>
      <c r="U3483" s="1059"/>
      <c r="V3483" s="799"/>
      <c r="W3483" s="799"/>
      <c r="X3483" s="799"/>
      <c r="Y3483" s="799"/>
      <c r="Z3483" s="799"/>
    </row>
    <row r="3484" spans="1:26" s="92" customFormat="1" hidden="1">
      <c r="A3484" s="667">
        <f t="shared" si="515"/>
        <v>12</v>
      </c>
      <c r="B3484" s="592" t="s">
        <v>2809</v>
      </c>
      <c r="C3484" s="593" t="s">
        <v>217</v>
      </c>
      <c r="D3484" s="619">
        <v>6660</v>
      </c>
      <c r="E3484" s="619">
        <v>1152</v>
      </c>
      <c r="F3484" s="619" t="s">
        <v>233</v>
      </c>
      <c r="G3484" s="619">
        <v>444</v>
      </c>
      <c r="H3484" s="599">
        <v>6</v>
      </c>
      <c r="I3484" s="599">
        <v>1</v>
      </c>
      <c r="J3484" s="599">
        <v>48</v>
      </c>
      <c r="K3484" s="590" t="s">
        <v>235</v>
      </c>
      <c r="L3484" s="584">
        <f t="shared" si="516"/>
        <v>1400465</v>
      </c>
      <c r="M3484" s="585">
        <v>1332000</v>
      </c>
      <c r="N3484" s="586">
        <v>39960</v>
      </c>
      <c r="O3484" s="587"/>
      <c r="P3484" s="586"/>
      <c r="Q3484" s="586">
        <v>28505</v>
      </c>
      <c r="R3484" s="582">
        <f t="shared" si="517"/>
        <v>3000</v>
      </c>
      <c r="S3484" s="799"/>
      <c r="T3484" s="799"/>
      <c r="U3484" s="1059"/>
      <c r="V3484" s="799"/>
      <c r="W3484" s="799"/>
      <c r="X3484" s="799"/>
      <c r="Y3484" s="799"/>
      <c r="Z3484" s="799"/>
    </row>
    <row r="3485" spans="1:26" s="92" customFormat="1" hidden="1">
      <c r="A3485" s="667">
        <f t="shared" si="515"/>
        <v>13</v>
      </c>
      <c r="B3485" s="592" t="s">
        <v>2810</v>
      </c>
      <c r="C3485" s="593" t="s">
        <v>221</v>
      </c>
      <c r="D3485" s="619">
        <v>13605</v>
      </c>
      <c r="E3485" s="619">
        <v>2020</v>
      </c>
      <c r="F3485" s="619" t="s">
        <v>233</v>
      </c>
      <c r="G3485" s="619">
        <v>907</v>
      </c>
      <c r="H3485" s="599">
        <v>5</v>
      </c>
      <c r="I3485" s="599">
        <v>4</v>
      </c>
      <c r="J3485" s="599">
        <v>59</v>
      </c>
      <c r="K3485" s="590" t="s">
        <v>33</v>
      </c>
      <c r="L3485" s="584">
        <f t="shared" si="516"/>
        <v>2044088</v>
      </c>
      <c r="M3485" s="585">
        <v>1995400</v>
      </c>
      <c r="N3485" s="586"/>
      <c r="O3485" s="736">
        <v>5986</v>
      </c>
      <c r="P3485" s="586"/>
      <c r="Q3485" s="586">
        <v>42702</v>
      </c>
      <c r="R3485" s="582">
        <f t="shared" si="517"/>
        <v>2200</v>
      </c>
      <c r="S3485" s="799"/>
      <c r="T3485" s="799"/>
      <c r="U3485" s="1059"/>
      <c r="V3485" s="799"/>
      <c r="W3485" s="799"/>
      <c r="X3485" s="799"/>
      <c r="Y3485" s="799"/>
      <c r="Z3485" s="799"/>
    </row>
    <row r="3486" spans="1:26" s="92" customFormat="1" hidden="1">
      <c r="A3486" s="667">
        <f t="shared" si="515"/>
        <v>14</v>
      </c>
      <c r="B3486" s="592" t="s">
        <v>2811</v>
      </c>
      <c r="C3486" s="593" t="s">
        <v>221</v>
      </c>
      <c r="D3486" s="619">
        <v>15120</v>
      </c>
      <c r="E3486" s="619">
        <v>2030</v>
      </c>
      <c r="F3486" s="619" t="s">
        <v>233</v>
      </c>
      <c r="G3486" s="619">
        <v>1008</v>
      </c>
      <c r="H3486" s="599">
        <v>5</v>
      </c>
      <c r="I3486" s="599">
        <v>4</v>
      </c>
      <c r="J3486" s="599">
        <v>56</v>
      </c>
      <c r="K3486" s="590" t="s">
        <v>33</v>
      </c>
      <c r="L3486" s="584">
        <f t="shared" si="516"/>
        <v>2271710</v>
      </c>
      <c r="M3486" s="585">
        <v>2217600</v>
      </c>
      <c r="N3486" s="586"/>
      <c r="O3486" s="736">
        <v>6653</v>
      </c>
      <c r="P3486" s="586"/>
      <c r="Q3486" s="586">
        <v>47457</v>
      </c>
      <c r="R3486" s="582">
        <f t="shared" si="517"/>
        <v>2200</v>
      </c>
      <c r="S3486" s="799"/>
      <c r="T3486" s="799"/>
      <c r="U3486" s="1059"/>
      <c r="V3486" s="799"/>
      <c r="W3486" s="799"/>
      <c r="X3486" s="799"/>
      <c r="Y3486" s="799"/>
      <c r="Z3486" s="799"/>
    </row>
    <row r="3487" spans="1:26" s="92" customFormat="1" ht="37.5" hidden="1">
      <c r="A3487" s="667">
        <f t="shared" si="515"/>
        <v>15</v>
      </c>
      <c r="B3487" s="592" t="s">
        <v>2812</v>
      </c>
      <c r="C3487" s="593" t="s">
        <v>221</v>
      </c>
      <c r="D3487" s="619">
        <v>33030</v>
      </c>
      <c r="E3487" s="619">
        <v>3371</v>
      </c>
      <c r="F3487" s="619" t="s">
        <v>222</v>
      </c>
      <c r="G3487" s="619">
        <v>2202</v>
      </c>
      <c r="H3487" s="599">
        <v>5</v>
      </c>
      <c r="I3487" s="599">
        <v>8</v>
      </c>
      <c r="J3487" s="599">
        <v>129</v>
      </c>
      <c r="K3487" s="590" t="s">
        <v>30</v>
      </c>
      <c r="L3487" s="584">
        <f t="shared" si="516"/>
        <v>3303690</v>
      </c>
      <c r="M3487" s="596">
        <v>3225000</v>
      </c>
      <c r="N3487" s="597"/>
      <c r="O3487" s="736">
        <v>9675</v>
      </c>
      <c r="P3487" s="597"/>
      <c r="Q3487" s="586">
        <v>69015</v>
      </c>
      <c r="R3487" s="582">
        <f>M3487/J3487</f>
        <v>25000</v>
      </c>
      <c r="S3487" s="799"/>
      <c r="T3487" s="799"/>
      <c r="U3487" s="1059"/>
      <c r="V3487" s="799"/>
      <c r="W3487" s="799"/>
      <c r="X3487" s="799"/>
      <c r="Y3487" s="799"/>
      <c r="Z3487" s="799"/>
    </row>
    <row r="3488" spans="1:26" s="92" customFormat="1" ht="37.5" hidden="1">
      <c r="A3488" s="667">
        <f t="shared" si="515"/>
        <v>16</v>
      </c>
      <c r="B3488" s="765" t="s">
        <v>2813</v>
      </c>
      <c r="C3488" s="766" t="s">
        <v>221</v>
      </c>
      <c r="D3488" s="768">
        <v>18318</v>
      </c>
      <c r="E3488" s="768">
        <v>3213</v>
      </c>
      <c r="F3488" s="768" t="s">
        <v>233</v>
      </c>
      <c r="G3488" s="768">
        <v>798</v>
      </c>
      <c r="H3488" s="766">
        <v>9</v>
      </c>
      <c r="I3488" s="766">
        <v>2</v>
      </c>
      <c r="J3488" s="766">
        <v>72</v>
      </c>
      <c r="K3488" s="590" t="s">
        <v>219</v>
      </c>
      <c r="L3488" s="584">
        <f t="shared" si="516"/>
        <v>4106250</v>
      </c>
      <c r="M3488" s="596">
        <v>4000000</v>
      </c>
      <c r="N3488" s="597">
        <v>106250</v>
      </c>
      <c r="O3488" s="587"/>
      <c r="P3488" s="586"/>
      <c r="Q3488" s="586"/>
      <c r="R3488" s="582">
        <f>M3488/I3488</f>
        <v>2000000</v>
      </c>
      <c r="S3488" s="771"/>
      <c r="T3488" s="799"/>
      <c r="U3488" s="1059"/>
      <c r="V3488" s="799"/>
      <c r="W3488" s="799"/>
      <c r="X3488" s="799"/>
      <c r="Y3488" s="799"/>
      <c r="Z3488" s="799"/>
    </row>
    <row r="3489" spans="1:26" s="529" customFormat="1" hidden="1">
      <c r="A3489" s="667">
        <f t="shared" si="515"/>
        <v>17</v>
      </c>
      <c r="B3489" s="592" t="s">
        <v>2814</v>
      </c>
      <c r="C3489" s="593" t="s">
        <v>217</v>
      </c>
      <c r="D3489" s="619">
        <v>21646</v>
      </c>
      <c r="E3489" s="619">
        <v>1566</v>
      </c>
      <c r="F3489" s="619" t="s">
        <v>233</v>
      </c>
      <c r="G3489" s="619">
        <v>859</v>
      </c>
      <c r="H3489" s="599">
        <v>5</v>
      </c>
      <c r="I3489" s="599">
        <v>4</v>
      </c>
      <c r="J3489" s="599">
        <v>60</v>
      </c>
      <c r="K3489" s="590" t="s">
        <v>235</v>
      </c>
      <c r="L3489" s="584">
        <f t="shared" si="516"/>
        <v>2670803</v>
      </c>
      <c r="M3489" s="585">
        <v>2577000</v>
      </c>
      <c r="N3489" s="586">
        <v>38655</v>
      </c>
      <c r="O3489" s="587"/>
      <c r="P3489" s="586"/>
      <c r="Q3489" s="586">
        <v>55148</v>
      </c>
      <c r="R3489" s="582">
        <f>M3489/G3489</f>
        <v>3000</v>
      </c>
      <c r="S3489" s="799"/>
      <c r="T3489" s="738"/>
      <c r="U3489" s="1059"/>
      <c r="V3489" s="799"/>
      <c r="W3489" s="771"/>
      <c r="X3489" s="771"/>
      <c r="Y3489" s="771"/>
      <c r="Z3489" s="771"/>
    </row>
    <row r="3490" spans="1:26" s="92" customFormat="1" hidden="1">
      <c r="A3490" s="667">
        <f t="shared" si="515"/>
        <v>18</v>
      </c>
      <c r="B3490" s="592" t="s">
        <v>2815</v>
      </c>
      <c r="C3490" s="593" t="s">
        <v>217</v>
      </c>
      <c r="D3490" s="619">
        <v>13958</v>
      </c>
      <c r="E3490" s="619">
        <v>2200</v>
      </c>
      <c r="F3490" s="619" t="s">
        <v>233</v>
      </c>
      <c r="G3490" s="619">
        <v>603</v>
      </c>
      <c r="H3490" s="599">
        <v>9</v>
      </c>
      <c r="I3490" s="599">
        <v>2</v>
      </c>
      <c r="J3490" s="599">
        <v>72</v>
      </c>
      <c r="K3490" s="590" t="s">
        <v>235</v>
      </c>
      <c r="L3490" s="584">
        <f t="shared" si="516"/>
        <v>1883893</v>
      </c>
      <c r="M3490" s="585">
        <v>1809000</v>
      </c>
      <c r="N3490" s="586">
        <v>36180</v>
      </c>
      <c r="O3490" s="587"/>
      <c r="P3490" s="586"/>
      <c r="Q3490" s="586">
        <v>38713</v>
      </c>
      <c r="R3490" s="582">
        <f>M3490/G3490</f>
        <v>3000</v>
      </c>
      <c r="S3490" s="799"/>
      <c r="T3490" s="799"/>
      <c r="U3490" s="1059"/>
      <c r="V3490" s="799"/>
      <c r="W3490" s="799"/>
      <c r="X3490" s="799"/>
      <c r="Y3490" s="799"/>
      <c r="Z3490" s="799"/>
    </row>
    <row r="3491" spans="1:26" s="92" customFormat="1" hidden="1">
      <c r="A3491" s="667">
        <f t="shared" si="515"/>
        <v>19</v>
      </c>
      <c r="B3491" s="592" t="s">
        <v>877</v>
      </c>
      <c r="C3491" s="593" t="s">
        <v>221</v>
      </c>
      <c r="D3491" s="619">
        <v>20331</v>
      </c>
      <c r="E3491" s="619">
        <v>2610</v>
      </c>
      <c r="F3491" s="619" t="s">
        <v>233</v>
      </c>
      <c r="G3491" s="619">
        <v>753</v>
      </c>
      <c r="H3491" s="599">
        <v>9</v>
      </c>
      <c r="I3491" s="599">
        <v>2</v>
      </c>
      <c r="J3491" s="599">
        <v>72</v>
      </c>
      <c r="K3491" s="590" t="s">
        <v>33</v>
      </c>
      <c r="L3491" s="584">
        <f t="shared" si="516"/>
        <v>1697021</v>
      </c>
      <c r="M3491" s="585">
        <v>1656600</v>
      </c>
      <c r="N3491" s="586"/>
      <c r="O3491" s="736">
        <v>4970</v>
      </c>
      <c r="P3491" s="586"/>
      <c r="Q3491" s="586">
        <v>35451</v>
      </c>
      <c r="R3491" s="582">
        <f>M3491/G3491</f>
        <v>2200</v>
      </c>
      <c r="S3491" s="799"/>
      <c r="T3491" s="799"/>
      <c r="U3491" s="1059"/>
      <c r="V3491" s="799"/>
      <c r="W3491" s="799"/>
      <c r="X3491" s="799"/>
      <c r="Y3491" s="799"/>
      <c r="Z3491" s="799"/>
    </row>
    <row r="3492" spans="1:26" s="529" customFormat="1" ht="37.5" hidden="1">
      <c r="A3492" s="667">
        <f t="shared" si="515"/>
        <v>20</v>
      </c>
      <c r="B3492" s="765" t="s">
        <v>2816</v>
      </c>
      <c r="C3492" s="774" t="s">
        <v>217</v>
      </c>
      <c r="D3492" s="768">
        <v>13912</v>
      </c>
      <c r="E3492" s="768">
        <v>3348</v>
      </c>
      <c r="F3492" s="768" t="s">
        <v>233</v>
      </c>
      <c r="G3492" s="768">
        <v>604</v>
      </c>
      <c r="H3492" s="766">
        <v>9</v>
      </c>
      <c r="I3492" s="766">
        <v>2</v>
      </c>
      <c r="J3492" s="766">
        <v>72</v>
      </c>
      <c r="K3492" s="590" t="s">
        <v>219</v>
      </c>
      <c r="L3492" s="584">
        <f t="shared" si="516"/>
        <v>4106250</v>
      </c>
      <c r="M3492" s="596">
        <v>4000000</v>
      </c>
      <c r="N3492" s="597">
        <v>106250</v>
      </c>
      <c r="O3492" s="587"/>
      <c r="P3492" s="586"/>
      <c r="Q3492" s="586"/>
      <c r="R3492" s="582">
        <f>M3492/I3492</f>
        <v>2000000</v>
      </c>
      <c r="S3492" s="771"/>
      <c r="T3492" s="738"/>
      <c r="U3492" s="1059"/>
      <c r="V3492" s="799"/>
      <c r="W3492" s="771"/>
      <c r="X3492" s="771"/>
      <c r="Y3492" s="771"/>
      <c r="Z3492" s="771"/>
    </row>
    <row r="3493" spans="1:26" s="92" customFormat="1" ht="37.5" hidden="1">
      <c r="A3493" s="667">
        <f t="shared" si="515"/>
        <v>21</v>
      </c>
      <c r="B3493" s="592" t="s">
        <v>2817</v>
      </c>
      <c r="C3493" s="593" t="s">
        <v>221</v>
      </c>
      <c r="D3493" s="619">
        <v>23280</v>
      </c>
      <c r="E3493" s="619">
        <v>4126</v>
      </c>
      <c r="F3493" s="619" t="s">
        <v>222</v>
      </c>
      <c r="G3493" s="619">
        <v>1825</v>
      </c>
      <c r="H3493" s="599">
        <v>5</v>
      </c>
      <c r="I3493" s="599">
        <v>4</v>
      </c>
      <c r="J3493" s="599">
        <v>69</v>
      </c>
      <c r="K3493" s="590" t="s">
        <v>237</v>
      </c>
      <c r="L3493" s="584">
        <f t="shared" si="516"/>
        <v>1767090</v>
      </c>
      <c r="M3493" s="596">
        <v>1725000</v>
      </c>
      <c r="N3493" s="597"/>
      <c r="O3493" s="736">
        <v>5175</v>
      </c>
      <c r="P3493" s="597"/>
      <c r="Q3493" s="586">
        <v>36915</v>
      </c>
      <c r="R3493" s="582">
        <f>M3493/J3493</f>
        <v>25000</v>
      </c>
      <c r="S3493" s="799"/>
      <c r="T3493" s="799"/>
      <c r="U3493" s="1059"/>
      <c r="V3493" s="799"/>
      <c r="W3493" s="799"/>
      <c r="X3493" s="799"/>
      <c r="Y3493" s="799"/>
      <c r="Z3493" s="799"/>
    </row>
    <row r="3494" spans="1:26" s="92" customFormat="1" hidden="1">
      <c r="A3494" s="667">
        <f t="shared" si="515"/>
        <v>22</v>
      </c>
      <c r="B3494" s="592" t="s">
        <v>2818</v>
      </c>
      <c r="C3494" s="593" t="s">
        <v>221</v>
      </c>
      <c r="D3494" s="619">
        <v>9756</v>
      </c>
      <c r="E3494" s="619">
        <v>1286</v>
      </c>
      <c r="F3494" s="619" t="s">
        <v>222</v>
      </c>
      <c r="G3494" s="619">
        <v>1091</v>
      </c>
      <c r="H3494" s="599">
        <v>3</v>
      </c>
      <c r="I3494" s="599">
        <v>3</v>
      </c>
      <c r="J3494" s="599">
        <v>28</v>
      </c>
      <c r="K3494" s="590" t="s">
        <v>224</v>
      </c>
      <c r="L3494" s="740">
        <f t="shared" si="516"/>
        <v>653822</v>
      </c>
      <c r="M3494" s="741">
        <v>616000</v>
      </c>
      <c r="N3494" s="742">
        <v>24640</v>
      </c>
      <c r="O3494" s="743"/>
      <c r="P3494" s="742"/>
      <c r="Q3494" s="586">
        <v>13182</v>
      </c>
      <c r="R3494" s="744">
        <f>M3494/J3494</f>
        <v>22000</v>
      </c>
      <c r="S3494" s="799"/>
      <c r="T3494" s="799"/>
      <c r="U3494" s="1059"/>
      <c r="V3494" s="799"/>
      <c r="W3494" s="799"/>
      <c r="X3494" s="799"/>
      <c r="Y3494" s="799"/>
      <c r="Z3494" s="799"/>
    </row>
    <row r="3495" spans="1:26" s="92" customFormat="1" hidden="1">
      <c r="A3495" s="667">
        <f t="shared" si="515"/>
        <v>23</v>
      </c>
      <c r="B3495" s="592" t="s">
        <v>2819</v>
      </c>
      <c r="C3495" s="593" t="s">
        <v>221</v>
      </c>
      <c r="D3495" s="619">
        <v>21294</v>
      </c>
      <c r="E3495" s="619">
        <v>2635</v>
      </c>
      <c r="F3495" s="619" t="s">
        <v>222</v>
      </c>
      <c r="G3495" s="619">
        <v>853</v>
      </c>
      <c r="H3495" s="599">
        <v>9</v>
      </c>
      <c r="I3495" s="599">
        <v>2</v>
      </c>
      <c r="J3495" s="599">
        <v>70</v>
      </c>
      <c r="K3495" s="590" t="s">
        <v>224</v>
      </c>
      <c r="L3495" s="740">
        <f t="shared" si="516"/>
        <v>1603756</v>
      </c>
      <c r="M3495" s="741">
        <v>1540000</v>
      </c>
      <c r="N3495" s="742">
        <v>30800</v>
      </c>
      <c r="O3495" s="743"/>
      <c r="P3495" s="742"/>
      <c r="Q3495" s="586">
        <v>32956</v>
      </c>
      <c r="R3495" s="744">
        <f>M3495/J3495</f>
        <v>22000</v>
      </c>
      <c r="S3495" s="799"/>
      <c r="T3495" s="799"/>
      <c r="U3495" s="1059"/>
      <c r="V3495" s="799"/>
      <c r="W3495" s="799"/>
      <c r="X3495" s="799"/>
      <c r="Y3495" s="799"/>
      <c r="Z3495" s="799"/>
    </row>
    <row r="3496" spans="1:26" s="92" customFormat="1" ht="37.5" hidden="1">
      <c r="A3496" s="667">
        <f t="shared" si="515"/>
        <v>24</v>
      </c>
      <c r="B3496" s="592" t="s">
        <v>2820</v>
      </c>
      <c r="C3496" s="593" t="s">
        <v>221</v>
      </c>
      <c r="D3496" s="619">
        <v>74088</v>
      </c>
      <c r="E3496" s="619">
        <v>10702</v>
      </c>
      <c r="F3496" s="619" t="s">
        <v>222</v>
      </c>
      <c r="G3496" s="619">
        <v>2744</v>
      </c>
      <c r="H3496" s="599">
        <v>9</v>
      </c>
      <c r="I3496" s="599">
        <v>8</v>
      </c>
      <c r="J3496" s="599">
        <v>256</v>
      </c>
      <c r="K3496" s="735" t="s">
        <v>219</v>
      </c>
      <c r="L3496" s="584">
        <f t="shared" si="516"/>
        <v>4106250</v>
      </c>
      <c r="M3496" s="596">
        <v>4000000</v>
      </c>
      <c r="N3496" s="597">
        <v>106250</v>
      </c>
      <c r="O3496" s="587"/>
      <c r="P3496" s="586"/>
      <c r="Q3496" s="586"/>
      <c r="R3496" s="582">
        <f>M3496/2</f>
        <v>2000000</v>
      </c>
      <c r="S3496" s="799">
        <v>2015</v>
      </c>
      <c r="T3496" s="799"/>
      <c r="U3496" s="1059"/>
      <c r="V3496" s="799"/>
      <c r="W3496" s="799"/>
      <c r="X3496" s="799"/>
      <c r="Y3496" s="799"/>
      <c r="Z3496" s="799"/>
    </row>
    <row r="3497" spans="1:26" s="92" customFormat="1" hidden="1">
      <c r="A3497" s="667">
        <f t="shared" si="515"/>
        <v>25</v>
      </c>
      <c r="B3497" s="592" t="s">
        <v>2821</v>
      </c>
      <c r="C3497" s="593" t="s">
        <v>221</v>
      </c>
      <c r="D3497" s="619">
        <v>21357</v>
      </c>
      <c r="E3497" s="619">
        <v>2164</v>
      </c>
      <c r="F3497" s="619" t="s">
        <v>233</v>
      </c>
      <c r="G3497" s="619">
        <v>791</v>
      </c>
      <c r="H3497" s="599">
        <v>5</v>
      </c>
      <c r="I3497" s="599">
        <v>1</v>
      </c>
      <c r="J3497" s="599">
        <v>69</v>
      </c>
      <c r="K3497" s="590" t="s">
        <v>33</v>
      </c>
      <c r="L3497" s="584">
        <f t="shared" si="516"/>
        <v>1782661</v>
      </c>
      <c r="M3497" s="585">
        <v>1740200</v>
      </c>
      <c r="N3497" s="586"/>
      <c r="O3497" s="736">
        <v>5221</v>
      </c>
      <c r="P3497" s="586"/>
      <c r="Q3497" s="586">
        <v>37240</v>
      </c>
      <c r="R3497" s="582">
        <f>M3497/G3497</f>
        <v>2200</v>
      </c>
      <c r="S3497" s="799"/>
      <c r="T3497" s="799"/>
      <c r="U3497" s="1059"/>
      <c r="V3497" s="799"/>
      <c r="W3497" s="799"/>
      <c r="X3497" s="799"/>
      <c r="Y3497" s="799"/>
      <c r="Z3497" s="799"/>
    </row>
    <row r="3498" spans="1:26" s="92" customFormat="1" hidden="1">
      <c r="A3498" s="667">
        <f t="shared" si="515"/>
        <v>26</v>
      </c>
      <c r="B3498" s="592" t="s">
        <v>2822</v>
      </c>
      <c r="C3498" s="593" t="s">
        <v>221</v>
      </c>
      <c r="D3498" s="619">
        <v>24030</v>
      </c>
      <c r="E3498" s="619">
        <v>3396</v>
      </c>
      <c r="F3498" s="619" t="s">
        <v>233</v>
      </c>
      <c r="G3498" s="619">
        <v>890</v>
      </c>
      <c r="H3498" s="599">
        <v>9</v>
      </c>
      <c r="I3498" s="599">
        <v>2</v>
      </c>
      <c r="J3498" s="599">
        <v>181</v>
      </c>
      <c r="K3498" s="590" t="s">
        <v>33</v>
      </c>
      <c r="L3498" s="584">
        <f t="shared" si="516"/>
        <v>2005775</v>
      </c>
      <c r="M3498" s="585">
        <v>1958000</v>
      </c>
      <c r="N3498" s="586"/>
      <c r="O3498" s="736">
        <v>5874</v>
      </c>
      <c r="P3498" s="586"/>
      <c r="Q3498" s="586">
        <v>41901</v>
      </c>
      <c r="R3498" s="582">
        <f>M3498/G3498</f>
        <v>2200</v>
      </c>
      <c r="S3498" s="1215">
        <v>2015</v>
      </c>
      <c r="T3498" s="799"/>
      <c r="U3498" s="1059"/>
      <c r="V3498" s="799"/>
      <c r="W3498" s="799"/>
      <c r="X3498" s="799"/>
      <c r="Y3498" s="799"/>
      <c r="Z3498" s="799"/>
    </row>
    <row r="3499" spans="1:26" s="92" customFormat="1" ht="37.5" hidden="1">
      <c r="A3499" s="667">
        <f t="shared" si="515"/>
        <v>27</v>
      </c>
      <c r="B3499" s="592" t="s">
        <v>2823</v>
      </c>
      <c r="C3499" s="593" t="s">
        <v>221</v>
      </c>
      <c r="D3499" s="619">
        <v>11670</v>
      </c>
      <c r="E3499" s="619">
        <v>1792</v>
      </c>
      <c r="F3499" s="619" t="s">
        <v>222</v>
      </c>
      <c r="G3499" s="619">
        <v>778</v>
      </c>
      <c r="H3499" s="599">
        <v>5</v>
      </c>
      <c r="I3499" s="599">
        <v>1</v>
      </c>
      <c r="J3499" s="599">
        <v>64</v>
      </c>
      <c r="K3499" s="590" t="s">
        <v>30</v>
      </c>
      <c r="L3499" s="584">
        <f t="shared" si="516"/>
        <v>1639040</v>
      </c>
      <c r="M3499" s="596">
        <v>1600000</v>
      </c>
      <c r="N3499" s="597"/>
      <c r="O3499" s="736">
        <v>4800</v>
      </c>
      <c r="P3499" s="597"/>
      <c r="Q3499" s="586">
        <v>34240</v>
      </c>
      <c r="R3499" s="582">
        <f>M3499/J3499</f>
        <v>25000</v>
      </c>
      <c r="S3499" s="799"/>
      <c r="T3499" s="799"/>
      <c r="U3499" s="1059"/>
      <c r="V3499" s="799"/>
      <c r="W3499" s="799"/>
      <c r="X3499" s="799"/>
      <c r="Y3499" s="799"/>
      <c r="Z3499" s="799"/>
    </row>
    <row r="3500" spans="1:26" s="92" customFormat="1" hidden="1">
      <c r="A3500" s="667">
        <f t="shared" si="515"/>
        <v>28</v>
      </c>
      <c r="B3500" s="592" t="s">
        <v>2824</v>
      </c>
      <c r="C3500" s="593" t="s">
        <v>221</v>
      </c>
      <c r="D3500" s="619">
        <v>28350</v>
      </c>
      <c r="E3500" s="619">
        <v>2610</v>
      </c>
      <c r="F3500" s="619" t="s">
        <v>222</v>
      </c>
      <c r="G3500" s="619">
        <v>1050</v>
      </c>
      <c r="H3500" s="599">
        <v>9</v>
      </c>
      <c r="I3500" s="599">
        <v>1</v>
      </c>
      <c r="J3500" s="599">
        <v>48</v>
      </c>
      <c r="K3500" s="590" t="s">
        <v>224</v>
      </c>
      <c r="L3500" s="740">
        <f t="shared" si="516"/>
        <v>1110278</v>
      </c>
      <c r="M3500" s="741">
        <v>1056000</v>
      </c>
      <c r="N3500" s="742">
        <v>31680</v>
      </c>
      <c r="O3500" s="743"/>
      <c r="P3500" s="742"/>
      <c r="Q3500" s="586">
        <v>22598</v>
      </c>
      <c r="R3500" s="744">
        <f>M3500/J3500</f>
        <v>22000</v>
      </c>
      <c r="S3500" s="799"/>
      <c r="T3500" s="799"/>
      <c r="U3500" s="1059"/>
      <c r="V3500" s="799"/>
      <c r="W3500" s="799"/>
      <c r="X3500" s="799"/>
      <c r="Y3500" s="799"/>
      <c r="Z3500" s="799"/>
    </row>
    <row r="3501" spans="1:26" s="92" customFormat="1" ht="37.5" hidden="1">
      <c r="A3501" s="667">
        <f t="shared" si="515"/>
        <v>29</v>
      </c>
      <c r="B3501" s="592" t="s">
        <v>2825</v>
      </c>
      <c r="C3501" s="593" t="s">
        <v>221</v>
      </c>
      <c r="D3501" s="619">
        <v>6124</v>
      </c>
      <c r="E3501" s="619">
        <v>1026</v>
      </c>
      <c r="F3501" s="619" t="s">
        <v>222</v>
      </c>
      <c r="G3501" s="619">
        <v>674</v>
      </c>
      <c r="H3501" s="599">
        <v>3</v>
      </c>
      <c r="I3501" s="599">
        <v>1</v>
      </c>
      <c r="J3501" s="599">
        <v>53</v>
      </c>
      <c r="K3501" s="590" t="s">
        <v>237</v>
      </c>
      <c r="L3501" s="584">
        <f t="shared" si="516"/>
        <v>1357330</v>
      </c>
      <c r="M3501" s="596">
        <v>1325000</v>
      </c>
      <c r="N3501" s="597"/>
      <c r="O3501" s="736">
        <v>3975</v>
      </c>
      <c r="P3501" s="597"/>
      <c r="Q3501" s="586">
        <v>28355</v>
      </c>
      <c r="R3501" s="582">
        <f>M3501/J3501</f>
        <v>25000</v>
      </c>
      <c r="S3501" s="799"/>
      <c r="T3501" s="799" t="s">
        <v>46</v>
      </c>
      <c r="U3501" s="1059"/>
      <c r="V3501" s="799"/>
      <c r="W3501" s="799"/>
      <c r="X3501" s="799"/>
      <c r="Y3501" s="799"/>
      <c r="Z3501" s="799"/>
    </row>
    <row r="3502" spans="1:26" s="92" customFormat="1" hidden="1">
      <c r="A3502" s="667">
        <f t="shared" si="515"/>
        <v>30</v>
      </c>
      <c r="B3502" s="592" t="s">
        <v>2826</v>
      </c>
      <c r="C3502" s="593" t="s">
        <v>221</v>
      </c>
      <c r="D3502" s="619">
        <v>13246</v>
      </c>
      <c r="E3502" s="619">
        <v>2570</v>
      </c>
      <c r="F3502" s="619" t="s">
        <v>222</v>
      </c>
      <c r="G3502" s="619">
        <v>1435</v>
      </c>
      <c r="H3502" s="599">
        <v>4</v>
      </c>
      <c r="I3502" s="599">
        <v>4</v>
      </c>
      <c r="J3502" s="599">
        <v>33</v>
      </c>
      <c r="K3502" s="590" t="s">
        <v>33</v>
      </c>
      <c r="L3502" s="584">
        <f t="shared" si="516"/>
        <v>4136129</v>
      </c>
      <c r="M3502" s="596">
        <v>4018000</v>
      </c>
      <c r="N3502" s="597">
        <v>32144</v>
      </c>
      <c r="O3502" s="736"/>
      <c r="P3502" s="597"/>
      <c r="Q3502" s="586">
        <v>85985</v>
      </c>
      <c r="R3502" s="582">
        <f>M3502/G3502</f>
        <v>2800</v>
      </c>
      <c r="S3502" s="799"/>
      <c r="T3502" s="799"/>
      <c r="U3502" s="1059"/>
      <c r="V3502" s="799"/>
      <c r="W3502" s="799"/>
      <c r="X3502" s="799"/>
      <c r="Y3502" s="799"/>
      <c r="Z3502" s="799"/>
    </row>
    <row r="3503" spans="1:26" s="92" customFormat="1" ht="37.5" hidden="1">
      <c r="A3503" s="667">
        <f t="shared" si="515"/>
        <v>31</v>
      </c>
      <c r="B3503" s="592" t="s">
        <v>2827</v>
      </c>
      <c r="C3503" s="593" t="s">
        <v>221</v>
      </c>
      <c r="D3503" s="619">
        <v>6762</v>
      </c>
      <c r="E3503" s="619">
        <v>1450</v>
      </c>
      <c r="F3503" s="619" t="s">
        <v>233</v>
      </c>
      <c r="G3503" s="619">
        <v>586</v>
      </c>
      <c r="H3503" s="599">
        <v>5</v>
      </c>
      <c r="I3503" s="599">
        <v>2</v>
      </c>
      <c r="J3503" s="599">
        <v>38</v>
      </c>
      <c r="K3503" s="590" t="s">
        <v>30</v>
      </c>
      <c r="L3503" s="584">
        <f t="shared" si="516"/>
        <v>973180</v>
      </c>
      <c r="M3503" s="596">
        <v>950000</v>
      </c>
      <c r="N3503" s="597"/>
      <c r="O3503" s="736">
        <v>2850</v>
      </c>
      <c r="P3503" s="597"/>
      <c r="Q3503" s="586">
        <v>20330</v>
      </c>
      <c r="R3503" s="582">
        <f t="shared" ref="R3503:R3514" si="518">M3503/J3503</f>
        <v>25000</v>
      </c>
      <c r="S3503" s="799"/>
      <c r="T3503" s="799"/>
      <c r="U3503" s="1059"/>
      <c r="V3503" s="799"/>
      <c r="W3503" s="799"/>
      <c r="X3503" s="799"/>
      <c r="Y3503" s="799"/>
      <c r="Z3503" s="799"/>
    </row>
    <row r="3504" spans="1:26" s="92" customFormat="1" ht="37.5" hidden="1">
      <c r="A3504" s="667">
        <f t="shared" si="515"/>
        <v>32</v>
      </c>
      <c r="B3504" s="592" t="s">
        <v>2828</v>
      </c>
      <c r="C3504" s="593" t="s">
        <v>221</v>
      </c>
      <c r="D3504" s="619">
        <v>21812</v>
      </c>
      <c r="E3504" s="619">
        <v>3364</v>
      </c>
      <c r="F3504" s="619" t="s">
        <v>222</v>
      </c>
      <c r="G3504" s="619">
        <v>1611</v>
      </c>
      <c r="H3504" s="599">
        <v>5</v>
      </c>
      <c r="I3504" s="599">
        <v>6</v>
      </c>
      <c r="J3504" s="599">
        <v>95</v>
      </c>
      <c r="K3504" s="590" t="s">
        <v>237</v>
      </c>
      <c r="L3504" s="584">
        <f t="shared" si="516"/>
        <v>2432950</v>
      </c>
      <c r="M3504" s="596">
        <v>2375000</v>
      </c>
      <c r="N3504" s="597"/>
      <c r="O3504" s="736">
        <v>7125</v>
      </c>
      <c r="P3504" s="597"/>
      <c r="Q3504" s="586">
        <v>50825</v>
      </c>
      <c r="R3504" s="582">
        <f t="shared" si="518"/>
        <v>25000</v>
      </c>
      <c r="S3504" s="799"/>
      <c r="T3504" s="799"/>
      <c r="U3504" s="1059"/>
      <c r="V3504" s="799"/>
      <c r="W3504" s="799"/>
      <c r="X3504" s="799"/>
      <c r="Y3504" s="799"/>
      <c r="Z3504" s="799"/>
    </row>
    <row r="3505" spans="1:26" s="92" customFormat="1" hidden="1">
      <c r="A3505" s="667">
        <f t="shared" si="515"/>
        <v>33</v>
      </c>
      <c r="B3505" s="592" t="s">
        <v>2829</v>
      </c>
      <c r="C3505" s="593" t="s">
        <v>221</v>
      </c>
      <c r="D3505" s="619">
        <v>10454</v>
      </c>
      <c r="E3505" s="619">
        <v>2050</v>
      </c>
      <c r="F3505" s="619" t="s">
        <v>222</v>
      </c>
      <c r="G3505" s="619">
        <v>906</v>
      </c>
      <c r="H3505" s="599">
        <v>5</v>
      </c>
      <c r="I3505" s="599">
        <v>3</v>
      </c>
      <c r="J3505" s="599">
        <v>60</v>
      </c>
      <c r="K3505" s="590" t="s">
        <v>224</v>
      </c>
      <c r="L3505" s="740">
        <f t="shared" si="516"/>
        <v>1381248</v>
      </c>
      <c r="M3505" s="741">
        <v>1320000</v>
      </c>
      <c r="N3505" s="742">
        <v>33000</v>
      </c>
      <c r="O3505" s="743"/>
      <c r="P3505" s="742"/>
      <c r="Q3505" s="586">
        <v>28248</v>
      </c>
      <c r="R3505" s="744">
        <f t="shared" si="518"/>
        <v>22000</v>
      </c>
      <c r="S3505" s="799"/>
      <c r="T3505" s="799"/>
      <c r="U3505" s="1059"/>
      <c r="V3505" s="799"/>
      <c r="W3505" s="799"/>
      <c r="X3505" s="799"/>
      <c r="Y3505" s="799"/>
      <c r="Z3505" s="799"/>
    </row>
    <row r="3506" spans="1:26" s="92" customFormat="1" ht="37.5" hidden="1">
      <c r="A3506" s="667">
        <f t="shared" si="515"/>
        <v>34</v>
      </c>
      <c r="B3506" s="592" t="s">
        <v>2830</v>
      </c>
      <c r="C3506" s="593" t="s">
        <v>221</v>
      </c>
      <c r="D3506" s="619">
        <v>13200</v>
      </c>
      <c r="E3506" s="619">
        <v>2450</v>
      </c>
      <c r="F3506" s="619" t="s">
        <v>233</v>
      </c>
      <c r="G3506" s="619">
        <v>1144</v>
      </c>
      <c r="H3506" s="599">
        <v>5</v>
      </c>
      <c r="I3506" s="599">
        <v>4</v>
      </c>
      <c r="J3506" s="599">
        <v>72</v>
      </c>
      <c r="K3506" s="590" t="s">
        <v>30</v>
      </c>
      <c r="L3506" s="584">
        <f t="shared" si="516"/>
        <v>1843920</v>
      </c>
      <c r="M3506" s="596">
        <v>1800000</v>
      </c>
      <c r="N3506" s="597"/>
      <c r="O3506" s="736">
        <v>5400</v>
      </c>
      <c r="P3506" s="597"/>
      <c r="Q3506" s="586">
        <v>38520</v>
      </c>
      <c r="R3506" s="582">
        <f t="shared" si="518"/>
        <v>25000</v>
      </c>
      <c r="S3506" s="799"/>
      <c r="T3506" s="799"/>
      <c r="U3506" s="1059"/>
      <c r="V3506" s="799"/>
      <c r="W3506" s="799"/>
      <c r="X3506" s="799"/>
      <c r="Y3506" s="799"/>
      <c r="Z3506" s="799"/>
    </row>
    <row r="3507" spans="1:26" s="92" customFormat="1" ht="37.5" hidden="1">
      <c r="A3507" s="667">
        <f t="shared" si="515"/>
        <v>35</v>
      </c>
      <c r="B3507" s="592" t="s">
        <v>2831</v>
      </c>
      <c r="C3507" s="593" t="s">
        <v>221</v>
      </c>
      <c r="D3507" s="619">
        <v>12430</v>
      </c>
      <c r="E3507" s="619">
        <v>2480</v>
      </c>
      <c r="F3507" s="619" t="s">
        <v>222</v>
      </c>
      <c r="G3507" s="619">
        <v>962</v>
      </c>
      <c r="H3507" s="599">
        <v>5</v>
      </c>
      <c r="I3507" s="599">
        <v>4</v>
      </c>
      <c r="J3507" s="599">
        <v>70</v>
      </c>
      <c r="K3507" s="590" t="s">
        <v>237</v>
      </c>
      <c r="L3507" s="584">
        <f t="shared" si="516"/>
        <v>1792700</v>
      </c>
      <c r="M3507" s="596">
        <v>1750000</v>
      </c>
      <c r="N3507" s="597"/>
      <c r="O3507" s="736">
        <v>5250</v>
      </c>
      <c r="P3507" s="597"/>
      <c r="Q3507" s="586">
        <v>37450</v>
      </c>
      <c r="R3507" s="582">
        <f t="shared" si="518"/>
        <v>25000</v>
      </c>
      <c r="S3507" s="799"/>
      <c r="T3507" s="799"/>
      <c r="U3507" s="1059"/>
      <c r="V3507" s="799"/>
      <c r="W3507" s="799"/>
      <c r="X3507" s="799"/>
      <c r="Y3507" s="799"/>
      <c r="Z3507" s="799"/>
    </row>
    <row r="3508" spans="1:26" s="92" customFormat="1" ht="37.5" hidden="1">
      <c r="A3508" s="667">
        <f t="shared" si="515"/>
        <v>36</v>
      </c>
      <c r="B3508" s="592" t="s">
        <v>2832</v>
      </c>
      <c r="C3508" s="593" t="s">
        <v>221</v>
      </c>
      <c r="D3508" s="619">
        <v>22096</v>
      </c>
      <c r="E3508" s="619">
        <v>3930</v>
      </c>
      <c r="F3508" s="619" t="s">
        <v>233</v>
      </c>
      <c r="G3508" s="619">
        <v>1915</v>
      </c>
      <c r="H3508" s="599">
        <v>5</v>
      </c>
      <c r="I3508" s="599">
        <v>8</v>
      </c>
      <c r="J3508" s="599">
        <v>140</v>
      </c>
      <c r="K3508" s="590" t="s">
        <v>30</v>
      </c>
      <c r="L3508" s="584">
        <f t="shared" ref="L3508:L3528" si="519">M3508+N3508+O3508+P3508+Q3508</f>
        <v>3585400</v>
      </c>
      <c r="M3508" s="596">
        <v>3500000</v>
      </c>
      <c r="N3508" s="597"/>
      <c r="O3508" s="736">
        <v>10500</v>
      </c>
      <c r="P3508" s="597"/>
      <c r="Q3508" s="586">
        <v>74900</v>
      </c>
      <c r="R3508" s="582">
        <f t="shared" si="518"/>
        <v>25000</v>
      </c>
      <c r="S3508" s="799"/>
      <c r="T3508" s="799"/>
      <c r="U3508" s="1059"/>
      <c r="V3508" s="799"/>
      <c r="W3508" s="799"/>
      <c r="X3508" s="799"/>
      <c r="Y3508" s="799"/>
      <c r="Z3508" s="799"/>
    </row>
    <row r="3509" spans="1:26" s="92" customFormat="1" ht="37.5" hidden="1">
      <c r="A3509" s="667">
        <f t="shared" si="515"/>
        <v>37</v>
      </c>
      <c r="B3509" s="592" t="s">
        <v>2833</v>
      </c>
      <c r="C3509" s="593" t="s">
        <v>221</v>
      </c>
      <c r="D3509" s="619">
        <v>18508</v>
      </c>
      <c r="E3509" s="619">
        <v>3388</v>
      </c>
      <c r="F3509" s="619" t="s">
        <v>233</v>
      </c>
      <c r="G3509" s="619">
        <v>1604</v>
      </c>
      <c r="H3509" s="599">
        <v>5</v>
      </c>
      <c r="I3509" s="599">
        <v>6</v>
      </c>
      <c r="J3509" s="599">
        <v>100</v>
      </c>
      <c r="K3509" s="590" t="s">
        <v>30</v>
      </c>
      <c r="L3509" s="584">
        <f t="shared" si="519"/>
        <v>2561000</v>
      </c>
      <c r="M3509" s="596">
        <v>2500000</v>
      </c>
      <c r="N3509" s="597"/>
      <c r="O3509" s="736">
        <v>7500</v>
      </c>
      <c r="P3509" s="597"/>
      <c r="Q3509" s="586">
        <v>53500</v>
      </c>
      <c r="R3509" s="582">
        <f t="shared" si="518"/>
        <v>25000</v>
      </c>
      <c r="S3509" s="799"/>
      <c r="T3509" s="799"/>
      <c r="U3509" s="1059"/>
      <c r="V3509" s="799"/>
      <c r="W3509" s="799"/>
      <c r="X3509" s="799"/>
      <c r="Y3509" s="799"/>
      <c r="Z3509" s="799"/>
    </row>
    <row r="3510" spans="1:26" s="92" customFormat="1" ht="37.5" hidden="1">
      <c r="A3510" s="667">
        <f t="shared" si="515"/>
        <v>38</v>
      </c>
      <c r="B3510" s="592" t="s">
        <v>2834</v>
      </c>
      <c r="C3510" s="593" t="s">
        <v>221</v>
      </c>
      <c r="D3510" s="619">
        <v>17520</v>
      </c>
      <c r="E3510" s="619">
        <v>3364</v>
      </c>
      <c r="F3510" s="619" t="s">
        <v>222</v>
      </c>
      <c r="G3510" s="619">
        <v>1610</v>
      </c>
      <c r="H3510" s="599">
        <v>5</v>
      </c>
      <c r="I3510" s="599">
        <v>6</v>
      </c>
      <c r="J3510" s="599">
        <v>100</v>
      </c>
      <c r="K3510" s="590" t="s">
        <v>237</v>
      </c>
      <c r="L3510" s="584">
        <f t="shared" si="519"/>
        <v>2561000</v>
      </c>
      <c r="M3510" s="596">
        <v>2500000</v>
      </c>
      <c r="N3510" s="597"/>
      <c r="O3510" s="736">
        <v>7500</v>
      </c>
      <c r="P3510" s="597"/>
      <c r="Q3510" s="586">
        <v>53500</v>
      </c>
      <c r="R3510" s="582">
        <f t="shared" si="518"/>
        <v>25000</v>
      </c>
      <c r="S3510" s="799"/>
      <c r="T3510" s="799"/>
      <c r="U3510" s="1059"/>
      <c r="V3510" s="799"/>
      <c r="W3510" s="799"/>
      <c r="X3510" s="799"/>
      <c r="Y3510" s="799"/>
      <c r="Z3510" s="799"/>
    </row>
    <row r="3511" spans="1:26" s="92" customFormat="1" hidden="1">
      <c r="A3511" s="667">
        <f t="shared" si="515"/>
        <v>39</v>
      </c>
      <c r="B3511" s="592" t="s">
        <v>2835</v>
      </c>
      <c r="C3511" s="593" t="s">
        <v>239</v>
      </c>
      <c r="D3511" s="619">
        <v>22989</v>
      </c>
      <c r="E3511" s="619">
        <v>878</v>
      </c>
      <c r="F3511" s="619" t="s">
        <v>222</v>
      </c>
      <c r="G3511" s="619">
        <v>430</v>
      </c>
      <c r="H3511" s="599">
        <v>2</v>
      </c>
      <c r="I3511" s="599">
        <v>2</v>
      </c>
      <c r="J3511" s="599">
        <v>10</v>
      </c>
      <c r="K3511" s="590" t="s">
        <v>238</v>
      </c>
      <c r="L3511" s="595">
        <f t="shared" si="519"/>
        <v>330420</v>
      </c>
      <c r="M3511" s="596">
        <v>300000</v>
      </c>
      <c r="N3511" s="597">
        <v>24000</v>
      </c>
      <c r="O3511" s="598"/>
      <c r="P3511" s="597"/>
      <c r="Q3511" s="586">
        <v>6420</v>
      </c>
      <c r="R3511" s="599">
        <f t="shared" si="518"/>
        <v>30000</v>
      </c>
      <c r="S3511" s="799"/>
      <c r="T3511" s="799"/>
      <c r="U3511" s="1059"/>
      <c r="V3511" s="799"/>
      <c r="W3511" s="799"/>
      <c r="X3511" s="799"/>
      <c r="Y3511" s="799"/>
      <c r="Z3511" s="799"/>
    </row>
    <row r="3512" spans="1:26" s="92" customFormat="1" ht="37.5" hidden="1">
      <c r="A3512" s="667">
        <f t="shared" si="515"/>
        <v>40</v>
      </c>
      <c r="B3512" s="592" t="s">
        <v>2836</v>
      </c>
      <c r="C3512" s="593" t="s">
        <v>239</v>
      </c>
      <c r="D3512" s="619">
        <v>2415</v>
      </c>
      <c r="E3512" s="619">
        <v>306</v>
      </c>
      <c r="F3512" s="619" t="s">
        <v>222</v>
      </c>
      <c r="G3512" s="619">
        <v>476</v>
      </c>
      <c r="H3512" s="599">
        <v>2</v>
      </c>
      <c r="I3512" s="599">
        <v>1</v>
      </c>
      <c r="J3512" s="599">
        <v>8</v>
      </c>
      <c r="K3512" s="590" t="s">
        <v>237</v>
      </c>
      <c r="L3512" s="584">
        <f t="shared" si="519"/>
        <v>204880</v>
      </c>
      <c r="M3512" s="596">
        <v>200000</v>
      </c>
      <c r="N3512" s="597"/>
      <c r="O3512" s="736">
        <v>600</v>
      </c>
      <c r="P3512" s="597"/>
      <c r="Q3512" s="586">
        <v>4280</v>
      </c>
      <c r="R3512" s="582">
        <f t="shared" si="518"/>
        <v>25000</v>
      </c>
      <c r="S3512" s="799"/>
      <c r="T3512" s="799"/>
      <c r="U3512" s="1059"/>
      <c r="V3512" s="799"/>
      <c r="W3512" s="799"/>
      <c r="X3512" s="799"/>
      <c r="Y3512" s="799"/>
      <c r="Z3512" s="799"/>
    </row>
    <row r="3513" spans="1:26" s="92" customFormat="1" ht="37.5" hidden="1">
      <c r="A3513" s="667">
        <f t="shared" si="515"/>
        <v>41</v>
      </c>
      <c r="B3513" s="592" t="s">
        <v>2837</v>
      </c>
      <c r="C3513" s="593" t="s">
        <v>221</v>
      </c>
      <c r="D3513" s="619">
        <v>15758</v>
      </c>
      <c r="E3513" s="619">
        <v>2007</v>
      </c>
      <c r="F3513" s="619" t="s">
        <v>222</v>
      </c>
      <c r="G3513" s="619">
        <v>1217</v>
      </c>
      <c r="H3513" s="599">
        <v>5</v>
      </c>
      <c r="I3513" s="599">
        <v>4</v>
      </c>
      <c r="J3513" s="599">
        <v>70</v>
      </c>
      <c r="K3513" s="590" t="s">
        <v>30</v>
      </c>
      <c r="L3513" s="584">
        <f t="shared" si="519"/>
        <v>1792700</v>
      </c>
      <c r="M3513" s="596">
        <v>1750000</v>
      </c>
      <c r="N3513" s="597"/>
      <c r="O3513" s="736">
        <v>5250</v>
      </c>
      <c r="P3513" s="597"/>
      <c r="Q3513" s="586">
        <v>37450</v>
      </c>
      <c r="R3513" s="582">
        <f t="shared" si="518"/>
        <v>25000</v>
      </c>
      <c r="S3513" s="799"/>
      <c r="T3513" s="799"/>
      <c r="U3513" s="1059"/>
      <c r="V3513" s="799"/>
      <c r="W3513" s="799"/>
      <c r="X3513" s="799"/>
      <c r="Y3513" s="799"/>
      <c r="Z3513" s="799"/>
    </row>
    <row r="3514" spans="1:26" s="92" customFormat="1" hidden="1">
      <c r="A3514" s="667">
        <f t="shared" si="515"/>
        <v>42</v>
      </c>
      <c r="B3514" s="592" t="s">
        <v>2838</v>
      </c>
      <c r="C3514" s="593" t="s">
        <v>221</v>
      </c>
      <c r="D3514" s="619">
        <v>21812</v>
      </c>
      <c r="E3514" s="619">
        <v>3364</v>
      </c>
      <c r="F3514" s="619" t="s">
        <v>222</v>
      </c>
      <c r="G3514" s="619">
        <v>1636</v>
      </c>
      <c r="H3514" s="599">
        <v>5</v>
      </c>
      <c r="I3514" s="599">
        <v>6</v>
      </c>
      <c r="J3514" s="599">
        <v>94</v>
      </c>
      <c r="K3514" s="590" t="s">
        <v>224</v>
      </c>
      <c r="L3514" s="740">
        <f t="shared" si="519"/>
        <v>2143275</v>
      </c>
      <c r="M3514" s="741">
        <v>2068000</v>
      </c>
      <c r="N3514" s="742">
        <v>31020</v>
      </c>
      <c r="O3514" s="743"/>
      <c r="P3514" s="742"/>
      <c r="Q3514" s="586">
        <v>44255</v>
      </c>
      <c r="R3514" s="744">
        <f t="shared" si="518"/>
        <v>22000</v>
      </c>
      <c r="S3514" s="799"/>
      <c r="T3514" s="799"/>
      <c r="U3514" s="1059"/>
      <c r="V3514" s="799"/>
      <c r="W3514" s="799"/>
      <c r="X3514" s="799"/>
      <c r="Y3514" s="799"/>
      <c r="Z3514" s="799"/>
    </row>
    <row r="3515" spans="1:26" s="92" customFormat="1" ht="37.5" hidden="1">
      <c r="A3515" s="667">
        <f t="shared" si="515"/>
        <v>43</v>
      </c>
      <c r="B3515" s="592" t="s">
        <v>2839</v>
      </c>
      <c r="C3515" s="593" t="s">
        <v>221</v>
      </c>
      <c r="D3515" s="619">
        <v>17898</v>
      </c>
      <c r="E3515" s="619">
        <v>7743</v>
      </c>
      <c r="F3515" s="619" t="s">
        <v>233</v>
      </c>
      <c r="G3515" s="619">
        <v>1667</v>
      </c>
      <c r="H3515" s="599">
        <v>9</v>
      </c>
      <c r="I3515" s="599">
        <v>4</v>
      </c>
      <c r="J3515" s="599">
        <v>98</v>
      </c>
      <c r="K3515" s="590" t="s">
        <v>236</v>
      </c>
      <c r="L3515" s="584">
        <f t="shared" si="519"/>
        <v>3756884</v>
      </c>
      <c r="M3515" s="585">
        <v>3667400</v>
      </c>
      <c r="N3515" s="586"/>
      <c r="O3515" s="736">
        <v>11002</v>
      </c>
      <c r="P3515" s="586"/>
      <c r="Q3515" s="586">
        <v>78482</v>
      </c>
      <c r="R3515" s="582">
        <f>M3515/G3515</f>
        <v>2200</v>
      </c>
      <c r="S3515" s="799"/>
      <c r="T3515" s="799"/>
      <c r="U3515" s="1059"/>
      <c r="V3515" s="799"/>
      <c r="W3515" s="799"/>
      <c r="X3515" s="799"/>
      <c r="Y3515" s="799"/>
      <c r="Z3515" s="799"/>
    </row>
    <row r="3516" spans="1:26" s="92" customFormat="1" ht="37.5" hidden="1">
      <c r="A3516" s="667">
        <f t="shared" si="515"/>
        <v>44</v>
      </c>
      <c r="B3516" s="592" t="s">
        <v>2840</v>
      </c>
      <c r="C3516" s="593" t="s">
        <v>221</v>
      </c>
      <c r="D3516" s="619">
        <v>19098</v>
      </c>
      <c r="E3516" s="619">
        <v>1620</v>
      </c>
      <c r="F3516" s="619" t="s">
        <v>222</v>
      </c>
      <c r="G3516" s="619">
        <v>1932</v>
      </c>
      <c r="H3516" s="599">
        <v>5</v>
      </c>
      <c r="I3516" s="599">
        <v>6</v>
      </c>
      <c r="J3516" s="599">
        <v>97</v>
      </c>
      <c r="K3516" s="590" t="s">
        <v>237</v>
      </c>
      <c r="L3516" s="584">
        <f t="shared" si="519"/>
        <v>2484170</v>
      </c>
      <c r="M3516" s="596">
        <v>2425000</v>
      </c>
      <c r="N3516" s="597"/>
      <c r="O3516" s="736">
        <v>7275</v>
      </c>
      <c r="P3516" s="597"/>
      <c r="Q3516" s="586">
        <v>51895</v>
      </c>
      <c r="R3516" s="582">
        <f>M3516/J3516</f>
        <v>25000</v>
      </c>
      <c r="S3516" s="799"/>
      <c r="T3516" s="799"/>
      <c r="U3516" s="1059"/>
      <c r="V3516" s="799"/>
      <c r="W3516" s="799"/>
      <c r="X3516" s="799"/>
      <c r="Y3516" s="799"/>
      <c r="Z3516" s="799"/>
    </row>
    <row r="3517" spans="1:26" s="92" customFormat="1" hidden="1">
      <c r="A3517" s="667">
        <f t="shared" si="515"/>
        <v>45</v>
      </c>
      <c r="B3517" s="592" t="s">
        <v>2841</v>
      </c>
      <c r="C3517" s="593" t="s">
        <v>221</v>
      </c>
      <c r="D3517" s="619">
        <v>8274</v>
      </c>
      <c r="E3517" s="619">
        <v>1546</v>
      </c>
      <c r="F3517" s="619" t="s">
        <v>222</v>
      </c>
      <c r="G3517" s="619">
        <v>1152</v>
      </c>
      <c r="H3517" s="599">
        <v>4</v>
      </c>
      <c r="I3517" s="599">
        <v>3</v>
      </c>
      <c r="J3517" s="599">
        <v>60</v>
      </c>
      <c r="K3517" s="590" t="s">
        <v>238</v>
      </c>
      <c r="L3517" s="595">
        <f t="shared" si="519"/>
        <v>1865520</v>
      </c>
      <c r="M3517" s="596">
        <v>1800000</v>
      </c>
      <c r="N3517" s="597">
        <v>27000</v>
      </c>
      <c r="O3517" s="598"/>
      <c r="P3517" s="597"/>
      <c r="Q3517" s="586">
        <v>38520</v>
      </c>
      <c r="R3517" s="599">
        <f>M3517/J3517</f>
        <v>30000</v>
      </c>
      <c r="S3517" s="800">
        <v>2014</v>
      </c>
      <c r="T3517" s="799"/>
      <c r="U3517" s="1059"/>
      <c r="V3517" s="799"/>
      <c r="W3517" s="799"/>
      <c r="X3517" s="799"/>
      <c r="Y3517" s="799"/>
      <c r="Z3517" s="799"/>
    </row>
    <row r="3518" spans="1:26" s="92" customFormat="1" ht="37.5" hidden="1">
      <c r="A3518" s="667">
        <f t="shared" si="515"/>
        <v>46</v>
      </c>
      <c r="B3518" s="592" t="s">
        <v>2842</v>
      </c>
      <c r="C3518" s="593" t="s">
        <v>221</v>
      </c>
      <c r="D3518" s="619">
        <v>14688</v>
      </c>
      <c r="E3518" s="619">
        <v>1984</v>
      </c>
      <c r="F3518" s="619" t="s">
        <v>227</v>
      </c>
      <c r="G3518" s="619">
        <v>1273</v>
      </c>
      <c r="H3518" s="599">
        <v>5</v>
      </c>
      <c r="I3518" s="599">
        <v>4</v>
      </c>
      <c r="J3518" s="599">
        <v>56</v>
      </c>
      <c r="K3518" s="590" t="s">
        <v>30</v>
      </c>
      <c r="L3518" s="584">
        <f t="shared" si="519"/>
        <v>1434160</v>
      </c>
      <c r="M3518" s="596">
        <v>1400000</v>
      </c>
      <c r="N3518" s="597"/>
      <c r="O3518" s="736">
        <v>4200</v>
      </c>
      <c r="P3518" s="597"/>
      <c r="Q3518" s="586">
        <v>29960</v>
      </c>
      <c r="R3518" s="582">
        <f>M3518/J3518</f>
        <v>25000</v>
      </c>
      <c r="S3518" s="799"/>
      <c r="T3518" s="799"/>
      <c r="U3518" s="1059"/>
      <c r="V3518" s="799"/>
      <c r="W3518" s="799"/>
      <c r="X3518" s="799"/>
      <c r="Y3518" s="799"/>
      <c r="Z3518" s="799"/>
    </row>
    <row r="3519" spans="1:26" s="92" customFormat="1" hidden="1">
      <c r="A3519" s="667">
        <f t="shared" si="515"/>
        <v>47</v>
      </c>
      <c r="B3519" s="592" t="s">
        <v>2843</v>
      </c>
      <c r="C3519" s="593" t="s">
        <v>221</v>
      </c>
      <c r="D3519" s="619">
        <v>49842</v>
      </c>
      <c r="E3519" s="619">
        <v>5180</v>
      </c>
      <c r="F3519" s="619" t="s">
        <v>233</v>
      </c>
      <c r="G3519" s="619">
        <v>1846</v>
      </c>
      <c r="H3519" s="599">
        <v>9</v>
      </c>
      <c r="I3519" s="599">
        <v>4</v>
      </c>
      <c r="J3519" s="599">
        <v>111</v>
      </c>
      <c r="K3519" s="590" t="s">
        <v>33</v>
      </c>
      <c r="L3519" s="584">
        <f t="shared" si="519"/>
        <v>4160294</v>
      </c>
      <c r="M3519" s="585">
        <v>4061200</v>
      </c>
      <c r="N3519" s="586"/>
      <c r="O3519" s="736">
        <v>12184</v>
      </c>
      <c r="P3519" s="586"/>
      <c r="Q3519" s="586">
        <v>86910</v>
      </c>
      <c r="R3519" s="582">
        <f>M3519/G3519</f>
        <v>2200</v>
      </c>
      <c r="S3519" s="799"/>
      <c r="T3519" s="799"/>
      <c r="U3519" s="1059"/>
      <c r="V3519" s="799"/>
      <c r="W3519" s="799"/>
      <c r="X3519" s="799"/>
      <c r="Y3519" s="799"/>
      <c r="Z3519" s="799"/>
    </row>
    <row r="3520" spans="1:26" s="92" customFormat="1" ht="37.5" hidden="1">
      <c r="A3520" s="667">
        <f t="shared" si="515"/>
        <v>48</v>
      </c>
      <c r="B3520" s="592" t="s">
        <v>2844</v>
      </c>
      <c r="C3520" s="593" t="s">
        <v>221</v>
      </c>
      <c r="D3520" s="619">
        <v>15927</v>
      </c>
      <c r="E3520" s="619">
        <v>2312</v>
      </c>
      <c r="F3520" s="619" t="s">
        <v>222</v>
      </c>
      <c r="G3520" s="619">
        <v>1445</v>
      </c>
      <c r="H3520" s="599">
        <v>4</v>
      </c>
      <c r="I3520" s="599">
        <v>4</v>
      </c>
      <c r="J3520" s="599">
        <v>40</v>
      </c>
      <c r="K3520" s="590" t="s">
        <v>30</v>
      </c>
      <c r="L3520" s="584">
        <f t="shared" si="519"/>
        <v>1024400</v>
      </c>
      <c r="M3520" s="596">
        <v>1000000</v>
      </c>
      <c r="N3520" s="597"/>
      <c r="O3520" s="736">
        <v>3000</v>
      </c>
      <c r="P3520" s="597"/>
      <c r="Q3520" s="586">
        <v>21400</v>
      </c>
      <c r="R3520" s="582">
        <f>M3520/J3520</f>
        <v>25000</v>
      </c>
      <c r="S3520" s="799"/>
      <c r="T3520" s="799"/>
      <c r="U3520" s="1059"/>
      <c r="V3520" s="799"/>
      <c r="W3520" s="799"/>
      <c r="X3520" s="799"/>
      <c r="Y3520" s="799"/>
      <c r="Z3520" s="799"/>
    </row>
    <row r="3521" spans="1:26" s="92" customFormat="1" ht="37.5" hidden="1">
      <c r="A3521" s="667">
        <f t="shared" si="515"/>
        <v>49</v>
      </c>
      <c r="B3521" s="592" t="s">
        <v>2845</v>
      </c>
      <c r="C3521" s="593" t="s">
        <v>221</v>
      </c>
      <c r="D3521" s="619">
        <v>14101</v>
      </c>
      <c r="E3521" s="619">
        <v>1550</v>
      </c>
      <c r="F3521" s="619" t="s">
        <v>222</v>
      </c>
      <c r="G3521" s="619">
        <v>1096</v>
      </c>
      <c r="H3521" s="599">
        <v>3</v>
      </c>
      <c r="I3521" s="599">
        <v>4</v>
      </c>
      <c r="J3521" s="599">
        <v>20</v>
      </c>
      <c r="K3521" s="590" t="s">
        <v>237</v>
      </c>
      <c r="L3521" s="584">
        <f t="shared" si="519"/>
        <v>512200</v>
      </c>
      <c r="M3521" s="596">
        <v>500000</v>
      </c>
      <c r="N3521" s="597"/>
      <c r="O3521" s="736">
        <v>1500</v>
      </c>
      <c r="P3521" s="597"/>
      <c r="Q3521" s="586">
        <v>10700</v>
      </c>
      <c r="R3521" s="582">
        <f>M3521/J3521</f>
        <v>25000</v>
      </c>
      <c r="S3521" s="799"/>
      <c r="T3521" s="799"/>
      <c r="U3521" s="1059"/>
      <c r="V3521" s="799"/>
      <c r="W3521" s="799"/>
      <c r="X3521" s="799"/>
      <c r="Y3521" s="799"/>
      <c r="Z3521" s="799"/>
    </row>
    <row r="3522" spans="1:26" s="92" customFormat="1" ht="37.5" hidden="1">
      <c r="A3522" s="667">
        <f t="shared" si="515"/>
        <v>50</v>
      </c>
      <c r="B3522" s="592" t="s">
        <v>2846</v>
      </c>
      <c r="C3522" s="593" t="s">
        <v>221</v>
      </c>
      <c r="D3522" s="619">
        <v>10601</v>
      </c>
      <c r="E3522" s="619">
        <v>1348</v>
      </c>
      <c r="F3522" s="619" t="s">
        <v>222</v>
      </c>
      <c r="G3522" s="619">
        <v>1453</v>
      </c>
      <c r="H3522" s="599">
        <v>4</v>
      </c>
      <c r="I3522" s="599">
        <v>4</v>
      </c>
      <c r="J3522" s="599">
        <v>64</v>
      </c>
      <c r="K3522" s="590" t="s">
        <v>237</v>
      </c>
      <c r="L3522" s="584">
        <f t="shared" si="519"/>
        <v>1639040</v>
      </c>
      <c r="M3522" s="596">
        <v>1600000</v>
      </c>
      <c r="N3522" s="597"/>
      <c r="O3522" s="736">
        <v>4800</v>
      </c>
      <c r="P3522" s="597"/>
      <c r="Q3522" s="586">
        <v>34240</v>
      </c>
      <c r="R3522" s="582">
        <f>M3522/J3522</f>
        <v>25000</v>
      </c>
      <c r="S3522" s="799"/>
      <c r="T3522" s="799"/>
      <c r="U3522" s="1059"/>
      <c r="V3522" s="799"/>
      <c r="W3522" s="799"/>
      <c r="X3522" s="799"/>
      <c r="Y3522" s="799"/>
      <c r="Z3522" s="799"/>
    </row>
    <row r="3523" spans="1:26" s="92" customFormat="1" ht="37.5" hidden="1">
      <c r="A3523" s="667">
        <f t="shared" si="515"/>
        <v>51</v>
      </c>
      <c r="B3523" s="592" t="s">
        <v>2847</v>
      </c>
      <c r="C3523" s="593" t="s">
        <v>221</v>
      </c>
      <c r="D3523" s="619">
        <v>8276</v>
      </c>
      <c r="E3523" s="619">
        <v>1546</v>
      </c>
      <c r="F3523" s="619" t="s">
        <v>222</v>
      </c>
      <c r="G3523" s="619">
        <v>906</v>
      </c>
      <c r="H3523" s="599">
        <v>4</v>
      </c>
      <c r="I3523" s="599">
        <v>3</v>
      </c>
      <c r="J3523" s="599">
        <v>48</v>
      </c>
      <c r="K3523" s="590" t="s">
        <v>237</v>
      </c>
      <c r="L3523" s="584">
        <f t="shared" si="519"/>
        <v>1229280</v>
      </c>
      <c r="M3523" s="596">
        <v>1200000</v>
      </c>
      <c r="N3523" s="597"/>
      <c r="O3523" s="736">
        <v>3600</v>
      </c>
      <c r="P3523" s="597"/>
      <c r="Q3523" s="586">
        <v>25680</v>
      </c>
      <c r="R3523" s="582">
        <f>M3523/J3523</f>
        <v>25000</v>
      </c>
      <c r="S3523" s="799"/>
      <c r="T3523" s="799"/>
      <c r="U3523" s="1059"/>
      <c r="V3523" s="799"/>
      <c r="W3523" s="799"/>
      <c r="X3523" s="799"/>
      <c r="Y3523" s="799"/>
      <c r="Z3523" s="799"/>
    </row>
    <row r="3524" spans="1:26" s="92" customFormat="1" hidden="1">
      <c r="A3524" s="667">
        <f t="shared" si="515"/>
        <v>52</v>
      </c>
      <c r="B3524" s="592" t="s">
        <v>2848</v>
      </c>
      <c r="C3524" s="593" t="s">
        <v>221</v>
      </c>
      <c r="D3524" s="619">
        <v>6134</v>
      </c>
      <c r="E3524" s="619">
        <v>653</v>
      </c>
      <c r="F3524" s="619" t="s">
        <v>233</v>
      </c>
      <c r="G3524" s="619">
        <v>471</v>
      </c>
      <c r="H3524" s="599">
        <v>5</v>
      </c>
      <c r="I3524" s="599">
        <v>2</v>
      </c>
      <c r="J3524" s="599">
        <v>30</v>
      </c>
      <c r="K3524" s="590" t="s">
        <v>33</v>
      </c>
      <c r="L3524" s="584">
        <f t="shared" si="519"/>
        <v>1061484</v>
      </c>
      <c r="M3524" s="585">
        <v>1036200</v>
      </c>
      <c r="N3524" s="586"/>
      <c r="O3524" s="736">
        <v>3109</v>
      </c>
      <c r="P3524" s="586"/>
      <c r="Q3524" s="586">
        <v>22175</v>
      </c>
      <c r="R3524" s="582">
        <f>M3524/G3524</f>
        <v>2200</v>
      </c>
      <c r="S3524" s="799"/>
      <c r="T3524" s="799"/>
      <c r="U3524" s="1059"/>
      <c r="V3524" s="799"/>
      <c r="W3524" s="799"/>
      <c r="X3524" s="799"/>
      <c r="Y3524" s="799"/>
      <c r="Z3524" s="799"/>
    </row>
    <row r="3525" spans="1:26" s="92" customFormat="1" ht="37.5" hidden="1">
      <c r="A3525" s="667">
        <f t="shared" si="515"/>
        <v>53</v>
      </c>
      <c r="B3525" s="592" t="s">
        <v>2849</v>
      </c>
      <c r="C3525" s="593" t="s">
        <v>221</v>
      </c>
      <c r="D3525" s="619">
        <v>9010</v>
      </c>
      <c r="E3525" s="619">
        <v>1390</v>
      </c>
      <c r="F3525" s="619" t="s">
        <v>222</v>
      </c>
      <c r="G3525" s="619">
        <v>976</v>
      </c>
      <c r="H3525" s="599">
        <v>4</v>
      </c>
      <c r="I3525" s="599">
        <v>3</v>
      </c>
      <c r="J3525" s="599">
        <v>30</v>
      </c>
      <c r="K3525" s="590" t="s">
        <v>30</v>
      </c>
      <c r="L3525" s="584">
        <f t="shared" si="519"/>
        <v>768300</v>
      </c>
      <c r="M3525" s="596">
        <v>750000</v>
      </c>
      <c r="N3525" s="597"/>
      <c r="O3525" s="736">
        <v>2250</v>
      </c>
      <c r="P3525" s="597"/>
      <c r="Q3525" s="586">
        <v>16050</v>
      </c>
      <c r="R3525" s="582">
        <f>M3525/J3525</f>
        <v>25000</v>
      </c>
      <c r="S3525" s="799"/>
      <c r="T3525" s="799"/>
      <c r="U3525" s="800"/>
      <c r="V3525" s="799"/>
      <c r="W3525" s="799"/>
      <c r="X3525" s="799"/>
      <c r="Y3525" s="799"/>
      <c r="Z3525" s="799"/>
    </row>
    <row r="3526" spans="1:26" s="92" customFormat="1" ht="37.5" hidden="1">
      <c r="A3526" s="667">
        <f t="shared" si="515"/>
        <v>54</v>
      </c>
      <c r="B3526" s="592" t="s">
        <v>2850</v>
      </c>
      <c r="C3526" s="593" t="s">
        <v>221</v>
      </c>
      <c r="D3526" s="619">
        <v>10126</v>
      </c>
      <c r="E3526" s="619">
        <v>1390</v>
      </c>
      <c r="F3526" s="619" t="s">
        <v>222</v>
      </c>
      <c r="G3526" s="619">
        <v>1097</v>
      </c>
      <c r="H3526" s="599">
        <v>4</v>
      </c>
      <c r="I3526" s="599">
        <v>3</v>
      </c>
      <c r="J3526" s="599">
        <v>23</v>
      </c>
      <c r="K3526" s="590" t="s">
        <v>30</v>
      </c>
      <c r="L3526" s="584">
        <f t="shared" si="519"/>
        <v>589030</v>
      </c>
      <c r="M3526" s="596">
        <v>575000</v>
      </c>
      <c r="N3526" s="597"/>
      <c r="O3526" s="736">
        <v>1725</v>
      </c>
      <c r="P3526" s="597"/>
      <c r="Q3526" s="586">
        <v>12305</v>
      </c>
      <c r="R3526" s="582">
        <f>M3526/J3526</f>
        <v>25000</v>
      </c>
      <c r="S3526" s="799"/>
      <c r="T3526" s="799"/>
      <c r="U3526" s="800"/>
      <c r="V3526" s="799"/>
      <c r="W3526" s="799"/>
      <c r="X3526" s="799"/>
      <c r="Y3526" s="799"/>
      <c r="Z3526" s="799"/>
    </row>
    <row r="3527" spans="1:26" s="92" customFormat="1" hidden="1">
      <c r="A3527" s="667">
        <f t="shared" si="515"/>
        <v>55</v>
      </c>
      <c r="B3527" s="592" t="s">
        <v>2851</v>
      </c>
      <c r="C3527" s="593" t="s">
        <v>239</v>
      </c>
      <c r="D3527" s="619">
        <v>1744</v>
      </c>
      <c r="E3527" s="619">
        <v>501</v>
      </c>
      <c r="F3527" s="619" t="s">
        <v>222</v>
      </c>
      <c r="G3527" s="619">
        <v>378</v>
      </c>
      <c r="H3527" s="599">
        <v>2</v>
      </c>
      <c r="I3527" s="599">
        <v>1</v>
      </c>
      <c r="J3527" s="599">
        <v>8</v>
      </c>
      <c r="K3527" s="590" t="s">
        <v>33</v>
      </c>
      <c r="L3527" s="584">
        <f t="shared" si="519"/>
        <v>1118094</v>
      </c>
      <c r="M3527" s="585">
        <v>1058400</v>
      </c>
      <c r="N3527" s="586">
        <v>37044</v>
      </c>
      <c r="O3527" s="587"/>
      <c r="P3527" s="586"/>
      <c r="Q3527" s="586">
        <v>22650</v>
      </c>
      <c r="R3527" s="582">
        <f>M3527/G3527</f>
        <v>2800</v>
      </c>
      <c r="S3527" s="799"/>
      <c r="T3527" s="799"/>
      <c r="U3527" s="1059"/>
      <c r="V3527" s="799"/>
      <c r="W3527" s="799"/>
      <c r="X3527" s="799"/>
      <c r="Y3527" s="799"/>
      <c r="Z3527" s="799"/>
    </row>
    <row r="3528" spans="1:26" s="92" customFormat="1" ht="37.5" hidden="1">
      <c r="A3528" s="667">
        <f t="shared" si="515"/>
        <v>56</v>
      </c>
      <c r="B3528" s="592" t="s">
        <v>1894</v>
      </c>
      <c r="C3528" s="593" t="s">
        <v>221</v>
      </c>
      <c r="D3528" s="619">
        <v>37799</v>
      </c>
      <c r="E3528" s="619">
        <v>10194.4</v>
      </c>
      <c r="F3528" s="619" t="s">
        <v>227</v>
      </c>
      <c r="G3528" s="619">
        <v>1521.3</v>
      </c>
      <c r="H3528" s="599">
        <v>9</v>
      </c>
      <c r="I3528" s="599">
        <v>2</v>
      </c>
      <c r="J3528" s="599">
        <v>170</v>
      </c>
      <c r="K3528" s="590" t="s">
        <v>219</v>
      </c>
      <c r="L3528" s="584">
        <f t="shared" si="519"/>
        <v>2085000</v>
      </c>
      <c r="M3528" s="596">
        <v>2000000</v>
      </c>
      <c r="N3528" s="597">
        <v>85000</v>
      </c>
      <c r="O3528" s="587"/>
      <c r="P3528" s="586"/>
      <c r="Q3528" s="586"/>
      <c r="R3528" s="582">
        <f>M3528</f>
        <v>2000000</v>
      </c>
      <c r="S3528" s="799"/>
      <c r="T3528" s="799"/>
      <c r="U3528" s="1059"/>
      <c r="V3528" s="799"/>
      <c r="W3528" s="799"/>
      <c r="X3528" s="799"/>
      <c r="Y3528" s="799"/>
      <c r="Z3528" s="799"/>
    </row>
    <row r="3529" spans="1:26" s="28" customFormat="1" hidden="1">
      <c r="A3529" s="1349" t="s">
        <v>39</v>
      </c>
      <c r="B3529" s="1349"/>
      <c r="C3529" s="593" t="s">
        <v>28</v>
      </c>
      <c r="D3529" s="646">
        <f>SUM(D3472:D3528)</f>
        <v>1041605</v>
      </c>
      <c r="E3529" s="646">
        <f>SUM(E3472:E3528)</f>
        <v>153403.4</v>
      </c>
      <c r="F3529" s="646" t="s">
        <v>28</v>
      </c>
      <c r="G3529" s="646">
        <f>SUM(G3472:G3528)</f>
        <v>64291.3</v>
      </c>
      <c r="H3529" s="582" t="s">
        <v>28</v>
      </c>
      <c r="I3529" s="582" t="s">
        <v>28</v>
      </c>
      <c r="J3529" s="582">
        <f>SUM(J3472:J3528)</f>
        <v>4158</v>
      </c>
      <c r="K3529" s="588" t="s">
        <v>28</v>
      </c>
      <c r="L3529" s="584">
        <f>SUM(L3472:L3528)</f>
        <v>122108033</v>
      </c>
      <c r="M3529" s="585">
        <f>SUM(M3472:M3528)</f>
        <v>118664200</v>
      </c>
      <c r="N3529" s="586">
        <f>SUM(N3472:N3528)</f>
        <v>1023283</v>
      </c>
      <c r="O3529" s="587">
        <f>SUM(O3472:O3528)</f>
        <v>223535</v>
      </c>
      <c r="P3529" s="586"/>
      <c r="Q3529" s="586">
        <f>SUM(Q3472:Q3528)</f>
        <v>2197015</v>
      </c>
      <c r="R3529" s="582" t="s">
        <v>28</v>
      </c>
      <c r="S3529" s="592"/>
      <c r="T3529" s="645"/>
      <c r="U3529" s="1059"/>
      <c r="V3529" s="592"/>
      <c r="W3529" s="592"/>
      <c r="X3529" s="592"/>
      <c r="Y3529" s="592"/>
      <c r="Z3529" s="592"/>
    </row>
    <row r="3530" spans="1:26" s="28" customFormat="1" hidden="1">
      <c r="A3530" s="1347" t="s">
        <v>42</v>
      </c>
      <c r="B3530" s="1347"/>
      <c r="C3530" s="1347"/>
      <c r="D3530" s="1347"/>
      <c r="E3530" s="1347"/>
      <c r="F3530" s="1347"/>
      <c r="G3530" s="1347"/>
      <c r="H3530" s="1347"/>
      <c r="I3530" s="1347"/>
      <c r="J3530" s="1347"/>
      <c r="K3530" s="1347"/>
      <c r="L3530" s="1347"/>
      <c r="M3530" s="1347"/>
      <c r="N3530" s="1347"/>
      <c r="O3530" s="1347"/>
      <c r="P3530" s="1347"/>
      <c r="Q3530" s="1347"/>
      <c r="R3530" s="590"/>
      <c r="S3530" s="592"/>
      <c r="T3530" s="645"/>
      <c r="U3530" s="1059"/>
      <c r="V3530" s="592"/>
      <c r="W3530" s="592"/>
      <c r="X3530" s="592"/>
      <c r="Y3530" s="592"/>
      <c r="Z3530" s="592"/>
    </row>
    <row r="3531" spans="1:26" s="71" customFormat="1" ht="75" hidden="1">
      <c r="A3531" s="590">
        <v>1</v>
      </c>
      <c r="B3531" s="592" t="s">
        <v>2852</v>
      </c>
      <c r="C3531" s="593" t="s">
        <v>221</v>
      </c>
      <c r="D3531" s="646">
        <v>2628</v>
      </c>
      <c r="E3531" s="646">
        <v>876</v>
      </c>
      <c r="F3531" s="646" t="s">
        <v>222</v>
      </c>
      <c r="G3531" s="646">
        <v>1014</v>
      </c>
      <c r="H3531" s="582">
        <v>2</v>
      </c>
      <c r="I3531" s="582">
        <v>3</v>
      </c>
      <c r="J3531" s="582">
        <v>12</v>
      </c>
      <c r="K3531" s="590" t="s">
        <v>242</v>
      </c>
      <c r="L3531" s="584">
        <f>M3531+N3531+O3531+P3531+Q3531</f>
        <v>2405501</v>
      </c>
      <c r="M3531" s="741">
        <v>2327754</v>
      </c>
      <c r="N3531" s="742">
        <v>27933</v>
      </c>
      <c r="O3531" s="743"/>
      <c r="P3531" s="742"/>
      <c r="Q3531" s="586">
        <f>ROUND(M3531*2.14%,0)</f>
        <v>49814</v>
      </c>
      <c r="R3531" s="744">
        <f>M3531/G3531</f>
        <v>2295.6153846153848</v>
      </c>
      <c r="S3531" s="737"/>
      <c r="T3531" s="737"/>
      <c r="U3531" s="1059"/>
      <c r="V3531" s="737"/>
      <c r="W3531" s="737"/>
      <c r="X3531" s="737"/>
      <c r="Y3531" s="737"/>
      <c r="Z3531" s="737"/>
    </row>
    <row r="3532" spans="1:26" s="71" customFormat="1" ht="75" hidden="1">
      <c r="A3532" s="590">
        <f>A3531+1</f>
        <v>2</v>
      </c>
      <c r="B3532" s="592" t="s">
        <v>913</v>
      </c>
      <c r="C3532" s="593" t="s">
        <v>221</v>
      </c>
      <c r="D3532" s="646">
        <v>1188</v>
      </c>
      <c r="E3532" s="646">
        <v>396</v>
      </c>
      <c r="F3532" s="646" t="s">
        <v>222</v>
      </c>
      <c r="G3532" s="646">
        <v>428</v>
      </c>
      <c r="H3532" s="599">
        <v>2</v>
      </c>
      <c r="I3532" s="599">
        <v>1</v>
      </c>
      <c r="J3532" s="599">
        <v>8</v>
      </c>
      <c r="K3532" s="590" t="s">
        <v>242</v>
      </c>
      <c r="L3532" s="584">
        <f>M3532+N3532+O3532+P3532+Q3532</f>
        <v>1027983</v>
      </c>
      <c r="M3532" s="741">
        <f>G3532*2300-2000</f>
        <v>982400</v>
      </c>
      <c r="N3532" s="742">
        <f>M3532*0.025</f>
        <v>24560</v>
      </c>
      <c r="O3532" s="743"/>
      <c r="P3532" s="742"/>
      <c r="Q3532" s="586">
        <f>ROUND(M3532*2.14%,0)</f>
        <v>21023</v>
      </c>
      <c r="R3532" s="744">
        <f>M3532/G3532</f>
        <v>2295.3271028037384</v>
      </c>
      <c r="S3532" s="737"/>
      <c r="T3532" s="737"/>
      <c r="U3532" s="1059"/>
      <c r="V3532" s="737"/>
      <c r="W3532" s="737"/>
      <c r="X3532" s="737"/>
      <c r="Y3532" s="737"/>
      <c r="Z3532" s="737"/>
    </row>
    <row r="3533" spans="1:26" s="71" customFormat="1" ht="75" hidden="1">
      <c r="A3533" s="590">
        <f>A3532+1</f>
        <v>3</v>
      </c>
      <c r="B3533" s="592" t="s">
        <v>915</v>
      </c>
      <c r="C3533" s="593" t="s">
        <v>221</v>
      </c>
      <c r="D3533" s="646">
        <v>1188</v>
      </c>
      <c r="E3533" s="646">
        <v>396</v>
      </c>
      <c r="F3533" s="646" t="s">
        <v>222</v>
      </c>
      <c r="G3533" s="646">
        <v>428</v>
      </c>
      <c r="H3533" s="582">
        <v>2</v>
      </c>
      <c r="I3533" s="582">
        <v>1</v>
      </c>
      <c r="J3533" s="582">
        <v>8</v>
      </c>
      <c r="K3533" s="590" t="s">
        <v>242</v>
      </c>
      <c r="L3533" s="584">
        <f>M3533+N3533+O3533+P3533+Q3533</f>
        <v>1027983</v>
      </c>
      <c r="M3533" s="741">
        <f>G3533*2300-2000</f>
        <v>982400</v>
      </c>
      <c r="N3533" s="742">
        <f>M3533*0.025</f>
        <v>24560</v>
      </c>
      <c r="O3533" s="743"/>
      <c r="P3533" s="742"/>
      <c r="Q3533" s="586">
        <f>ROUND(M3533*2.14%,0)</f>
        <v>21023</v>
      </c>
      <c r="R3533" s="744">
        <f>M3533/G3533</f>
        <v>2295.3271028037384</v>
      </c>
      <c r="S3533" s="737"/>
      <c r="T3533" s="737"/>
      <c r="U3533" s="1059"/>
      <c r="V3533" s="737"/>
      <c r="W3533" s="737"/>
      <c r="X3533" s="737"/>
      <c r="Y3533" s="737"/>
      <c r="Z3533" s="737"/>
    </row>
    <row r="3534" spans="1:26" s="71" customFormat="1" ht="75" hidden="1">
      <c r="A3534" s="590">
        <f>A3533+1</f>
        <v>4</v>
      </c>
      <c r="B3534" s="592" t="s">
        <v>2853</v>
      </c>
      <c r="C3534" s="593" t="s">
        <v>217</v>
      </c>
      <c r="D3534" s="646">
        <v>1188</v>
      </c>
      <c r="E3534" s="646">
        <v>396</v>
      </c>
      <c r="F3534" s="646" t="s">
        <v>222</v>
      </c>
      <c r="G3534" s="646">
        <v>428</v>
      </c>
      <c r="H3534" s="582">
        <v>2</v>
      </c>
      <c r="I3534" s="582">
        <v>1</v>
      </c>
      <c r="J3534" s="582">
        <v>16</v>
      </c>
      <c r="K3534" s="590" t="s">
        <v>242</v>
      </c>
      <c r="L3534" s="584">
        <f>M3534+N3534+O3534+P3534+Q3534</f>
        <v>1027983</v>
      </c>
      <c r="M3534" s="741">
        <f>G3534*2300-2000</f>
        <v>982400</v>
      </c>
      <c r="N3534" s="742">
        <f>M3534*0.025</f>
        <v>24560</v>
      </c>
      <c r="O3534" s="743"/>
      <c r="P3534" s="742"/>
      <c r="Q3534" s="586">
        <f>ROUND(M3534*2.14%,0)</f>
        <v>21023</v>
      </c>
      <c r="R3534" s="744">
        <f>M3534/G3534</f>
        <v>2295.3271028037384</v>
      </c>
      <c r="S3534" s="737"/>
      <c r="T3534" s="737"/>
      <c r="U3534" s="1059"/>
      <c r="V3534" s="737"/>
      <c r="W3534" s="737"/>
      <c r="X3534" s="737"/>
      <c r="Y3534" s="737"/>
      <c r="Z3534" s="737"/>
    </row>
    <row r="3535" spans="1:26" s="437" customFormat="1" hidden="1">
      <c r="A3535" s="1367" t="s">
        <v>43</v>
      </c>
      <c r="B3535" s="1367"/>
      <c r="C3535" s="593" t="s">
        <v>28</v>
      </c>
      <c r="D3535" s="779">
        <f>SUM(D3531:D3534)</f>
        <v>6192</v>
      </c>
      <c r="E3535" s="779">
        <f>SUM(E3531:E3534)</f>
        <v>2064</v>
      </c>
      <c r="F3535" s="646" t="s">
        <v>28</v>
      </c>
      <c r="G3535" s="779">
        <f>SUM(G3531:G3534)</f>
        <v>2298</v>
      </c>
      <c r="H3535" s="582" t="s">
        <v>28</v>
      </c>
      <c r="I3535" s="582" t="s">
        <v>28</v>
      </c>
      <c r="J3535" s="780">
        <f>SUM(J3531:J3534)</f>
        <v>44</v>
      </c>
      <c r="K3535" s="590" t="s">
        <v>28</v>
      </c>
      <c r="L3535" s="781">
        <f>SUM(L3531:L3534)</f>
        <v>5489450</v>
      </c>
      <c r="M3535" s="782">
        <f>SUM(M3531:M3534)</f>
        <v>5274954</v>
      </c>
      <c r="N3535" s="783">
        <f>SUM(N3531:N3534)</f>
        <v>101613</v>
      </c>
      <c r="O3535" s="784"/>
      <c r="P3535" s="783"/>
      <c r="Q3535" s="783">
        <f>SUM(Q3531:Q3534)</f>
        <v>112883</v>
      </c>
      <c r="R3535" s="582" t="s">
        <v>28</v>
      </c>
      <c r="S3535" s="785"/>
      <c r="T3535" s="645"/>
      <c r="U3535" s="1059"/>
      <c r="V3535" s="785"/>
      <c r="W3535" s="785"/>
      <c r="X3535" s="785"/>
      <c r="Y3535" s="785"/>
      <c r="Z3535" s="785"/>
    </row>
    <row r="3536" spans="1:26" s="28" customFormat="1" hidden="1">
      <c r="A3536" s="1347" t="s">
        <v>44</v>
      </c>
      <c r="B3536" s="1347"/>
      <c r="C3536" s="1347"/>
      <c r="D3536" s="1347"/>
      <c r="E3536" s="1347"/>
      <c r="F3536" s="1347"/>
      <c r="G3536" s="1347"/>
      <c r="H3536" s="1347"/>
      <c r="I3536" s="1347"/>
      <c r="J3536" s="1347"/>
      <c r="K3536" s="1347"/>
      <c r="L3536" s="1347"/>
      <c r="M3536" s="1347"/>
      <c r="N3536" s="1347"/>
      <c r="O3536" s="1347"/>
      <c r="P3536" s="1347"/>
      <c r="Q3536" s="1347"/>
      <c r="R3536" s="590"/>
      <c r="S3536" s="592"/>
      <c r="T3536" s="645"/>
      <c r="U3536" s="1059"/>
      <c r="V3536" s="592"/>
      <c r="W3536" s="592"/>
      <c r="X3536" s="592"/>
      <c r="Y3536" s="592"/>
      <c r="Z3536" s="592"/>
    </row>
    <row r="3537" spans="1:26" s="28" customFormat="1" hidden="1">
      <c r="A3537" s="590">
        <v>1</v>
      </c>
      <c r="B3537" s="592" t="s">
        <v>2854</v>
      </c>
      <c r="C3537" s="593" t="s">
        <v>221</v>
      </c>
      <c r="D3537" s="646">
        <v>3456</v>
      </c>
      <c r="E3537" s="646">
        <v>771.63</v>
      </c>
      <c r="F3537" s="646" t="s">
        <v>230</v>
      </c>
      <c r="G3537" s="646">
        <v>477</v>
      </c>
      <c r="H3537" s="582">
        <v>3</v>
      </c>
      <c r="I3537" s="582">
        <v>2</v>
      </c>
      <c r="J3537" s="582">
        <v>23</v>
      </c>
      <c r="K3537" s="590" t="s">
        <v>245</v>
      </c>
      <c r="L3537" s="584">
        <f>M3537+N3537+O3537+P3537+Q3537</f>
        <v>369887</v>
      </c>
      <c r="M3537" s="596">
        <v>361077</v>
      </c>
      <c r="N3537" s="597"/>
      <c r="O3537" s="736">
        <f>ROUND(M3537*0.3%,0)</f>
        <v>1083</v>
      </c>
      <c r="P3537" s="597"/>
      <c r="Q3537" s="586">
        <f>ROUND(M3537*2.14%,0)</f>
        <v>7727</v>
      </c>
      <c r="R3537" s="582">
        <f>M3537/J3537</f>
        <v>15699</v>
      </c>
      <c r="S3537" s="592"/>
      <c r="T3537" s="645"/>
      <c r="U3537" s="1059"/>
      <c r="V3537" s="592"/>
      <c r="W3537" s="592"/>
      <c r="X3537" s="592"/>
      <c r="Y3537" s="592"/>
      <c r="Z3537" s="592"/>
    </row>
    <row r="3538" spans="1:26" s="28" customFormat="1" hidden="1">
      <c r="A3538" s="590">
        <f>A3537+1</f>
        <v>2</v>
      </c>
      <c r="B3538" s="592" t="s">
        <v>2855</v>
      </c>
      <c r="C3538" s="593" t="s">
        <v>221</v>
      </c>
      <c r="D3538" s="646">
        <v>1730</v>
      </c>
      <c r="E3538" s="646">
        <v>454.32</v>
      </c>
      <c r="F3538" s="646" t="s">
        <v>230</v>
      </c>
      <c r="G3538" s="646">
        <v>355</v>
      </c>
      <c r="H3538" s="582">
        <v>2</v>
      </c>
      <c r="I3538" s="582">
        <v>2</v>
      </c>
      <c r="J3538" s="582">
        <v>8</v>
      </c>
      <c r="K3538" s="590" t="s">
        <v>245</v>
      </c>
      <c r="L3538" s="584">
        <f>M3538+N3538+O3538+P3538+Q3538</f>
        <v>128665</v>
      </c>
      <c r="M3538" s="596">
        <f>J3538*15700</f>
        <v>125600</v>
      </c>
      <c r="N3538" s="597"/>
      <c r="O3538" s="736">
        <f>ROUND(M3538*0.3%,0)</f>
        <v>377</v>
      </c>
      <c r="P3538" s="597"/>
      <c r="Q3538" s="586">
        <f>ROUND(M3538*2.14%,0)</f>
        <v>2688</v>
      </c>
      <c r="R3538" s="582">
        <f>M3538/J3538</f>
        <v>15700</v>
      </c>
      <c r="S3538" s="592">
        <v>2014</v>
      </c>
      <c r="T3538" s="645"/>
      <c r="U3538" s="1059"/>
      <c r="V3538" s="592"/>
      <c r="W3538" s="592"/>
      <c r="X3538" s="592"/>
      <c r="Y3538" s="592"/>
      <c r="Z3538" s="592"/>
    </row>
    <row r="3539" spans="1:26" s="28" customFormat="1" hidden="1">
      <c r="A3539" s="590">
        <f>A3538+1</f>
        <v>3</v>
      </c>
      <c r="B3539" s="592" t="s">
        <v>2856</v>
      </c>
      <c r="C3539" s="593" t="s">
        <v>221</v>
      </c>
      <c r="D3539" s="646">
        <v>2119</v>
      </c>
      <c r="E3539" s="646">
        <v>485.97</v>
      </c>
      <c r="F3539" s="646" t="s">
        <v>230</v>
      </c>
      <c r="G3539" s="646">
        <v>468</v>
      </c>
      <c r="H3539" s="582">
        <v>2</v>
      </c>
      <c r="I3539" s="582">
        <v>2</v>
      </c>
      <c r="J3539" s="582">
        <v>12</v>
      </c>
      <c r="K3539" s="590" t="s">
        <v>245</v>
      </c>
      <c r="L3539" s="584">
        <f>M3539+N3539+O3539+P3539+Q3539</f>
        <v>192997</v>
      </c>
      <c r="M3539" s="596">
        <f>J3539*15700</f>
        <v>188400</v>
      </c>
      <c r="N3539" s="597"/>
      <c r="O3539" s="736">
        <f>ROUND(M3539*0.3%,0)</f>
        <v>565</v>
      </c>
      <c r="P3539" s="597"/>
      <c r="Q3539" s="586">
        <f>ROUND(M3539*2.14%,0)</f>
        <v>4032</v>
      </c>
      <c r="R3539" s="582">
        <f>M3539/J3539</f>
        <v>15700</v>
      </c>
      <c r="S3539" s="592"/>
      <c r="T3539" s="645"/>
      <c r="U3539" s="1059"/>
      <c r="V3539" s="592"/>
      <c r="W3539" s="592"/>
      <c r="X3539" s="592"/>
      <c r="Y3539" s="592"/>
      <c r="Z3539" s="592"/>
    </row>
    <row r="3540" spans="1:26" s="28" customFormat="1" hidden="1">
      <c r="A3540" s="1349" t="s">
        <v>118</v>
      </c>
      <c r="B3540" s="1349"/>
      <c r="C3540" s="593" t="s">
        <v>28</v>
      </c>
      <c r="D3540" s="646">
        <f>SUM(D3537:D3539)</f>
        <v>7305</v>
      </c>
      <c r="E3540" s="646">
        <f>SUM(E3537:E3539)</f>
        <v>1711.92</v>
      </c>
      <c r="F3540" s="646" t="s">
        <v>28</v>
      </c>
      <c r="G3540" s="646">
        <f>SUM(G3537:G3539)</f>
        <v>1300</v>
      </c>
      <c r="H3540" s="582" t="s">
        <v>28</v>
      </c>
      <c r="I3540" s="582" t="s">
        <v>28</v>
      </c>
      <c r="J3540" s="582">
        <f>SUM(J3537:J3539)</f>
        <v>43</v>
      </c>
      <c r="K3540" s="590" t="s">
        <v>28</v>
      </c>
      <c r="L3540" s="584">
        <f>SUM(L3537:L3539)</f>
        <v>691549</v>
      </c>
      <c r="M3540" s="585">
        <f>SUM(M3537:M3539)</f>
        <v>675077</v>
      </c>
      <c r="N3540" s="586"/>
      <c r="O3540" s="587">
        <f>SUM(O3537:O3539)</f>
        <v>2025</v>
      </c>
      <c r="P3540" s="586"/>
      <c r="Q3540" s="586">
        <f>SUM(Q3537:Q3539)</f>
        <v>14447</v>
      </c>
      <c r="R3540" s="582" t="s">
        <v>28</v>
      </c>
      <c r="S3540" s="592"/>
      <c r="T3540" s="645"/>
      <c r="U3540" s="1059"/>
      <c r="V3540" s="592"/>
      <c r="W3540" s="592"/>
      <c r="X3540" s="592"/>
      <c r="Y3540" s="592"/>
      <c r="Z3540" s="592"/>
    </row>
    <row r="3541" spans="1:26" s="28" customFormat="1" hidden="1">
      <c r="A3541" s="1347" t="s">
        <v>45</v>
      </c>
      <c r="B3541" s="1347"/>
      <c r="C3541" s="1347"/>
      <c r="D3541" s="1347"/>
      <c r="E3541" s="1347"/>
      <c r="F3541" s="1347"/>
      <c r="G3541" s="1347"/>
      <c r="H3541" s="1347"/>
      <c r="I3541" s="1347"/>
      <c r="J3541" s="1347"/>
      <c r="K3541" s="1347"/>
      <c r="L3541" s="1347"/>
      <c r="M3541" s="1347"/>
      <c r="N3541" s="1347"/>
      <c r="O3541" s="1347"/>
      <c r="P3541" s="1347"/>
      <c r="Q3541" s="1347"/>
      <c r="R3541" s="590"/>
      <c r="S3541" s="592"/>
      <c r="T3541" s="645"/>
      <c r="U3541" s="1059"/>
      <c r="V3541" s="592"/>
      <c r="W3541" s="592"/>
      <c r="X3541" s="592"/>
      <c r="Y3541" s="592"/>
      <c r="Z3541" s="592"/>
    </row>
    <row r="3542" spans="1:26" s="28" customFormat="1" ht="37.5" hidden="1">
      <c r="A3542" s="590">
        <v>1</v>
      </c>
      <c r="B3542" s="592" t="s">
        <v>2857</v>
      </c>
      <c r="C3542" s="593" t="s">
        <v>221</v>
      </c>
      <c r="D3542" s="646">
        <f>E3542*3</f>
        <v>1688.58</v>
      </c>
      <c r="E3542" s="646">
        <v>562.86</v>
      </c>
      <c r="F3542" s="646" t="s">
        <v>222</v>
      </c>
      <c r="G3542" s="646">
        <v>604.5</v>
      </c>
      <c r="H3542" s="599">
        <v>2</v>
      </c>
      <c r="I3542" s="599">
        <v>2</v>
      </c>
      <c r="J3542" s="582">
        <v>16</v>
      </c>
      <c r="K3542" s="590" t="s">
        <v>30</v>
      </c>
      <c r="L3542" s="595">
        <f>M3542+N3542+O3542+P3542+Q3542</f>
        <v>409760</v>
      </c>
      <c r="M3542" s="585">
        <v>400000</v>
      </c>
      <c r="N3542" s="586"/>
      <c r="O3542" s="736">
        <v>1200</v>
      </c>
      <c r="P3542" s="586"/>
      <c r="Q3542" s="586">
        <v>8560</v>
      </c>
      <c r="R3542" s="582">
        <f>M3542/J3542</f>
        <v>25000</v>
      </c>
      <c r="S3542" s="592"/>
      <c r="T3542" s="645"/>
      <c r="U3542" s="1059"/>
      <c r="V3542" s="592"/>
      <c r="W3542" s="592"/>
      <c r="X3542" s="592"/>
      <c r="Y3542" s="592"/>
      <c r="Z3542" s="592"/>
    </row>
    <row r="3543" spans="1:26" s="28" customFormat="1" hidden="1">
      <c r="A3543" s="590">
        <f>A3542+1</f>
        <v>2</v>
      </c>
      <c r="B3543" s="592" t="s">
        <v>2858</v>
      </c>
      <c r="C3543" s="593" t="s">
        <v>221</v>
      </c>
      <c r="D3543" s="646">
        <f>E3543*3</f>
        <v>2463.0299999999997</v>
      </c>
      <c r="E3543" s="646">
        <v>821.01</v>
      </c>
      <c r="F3543" s="646" t="s">
        <v>222</v>
      </c>
      <c r="G3543" s="646">
        <v>1014</v>
      </c>
      <c r="H3543" s="599">
        <v>2</v>
      </c>
      <c r="I3543" s="599">
        <v>3</v>
      </c>
      <c r="J3543" s="582">
        <v>18</v>
      </c>
      <c r="K3543" s="667" t="s">
        <v>33</v>
      </c>
      <c r="L3543" s="595">
        <f>M3543+N3543+O3543+P3543+Q3543</f>
        <v>2608746</v>
      </c>
      <c r="M3543" s="585">
        <v>2517123</v>
      </c>
      <c r="N3543" s="586">
        <v>37757</v>
      </c>
      <c r="O3543" s="587"/>
      <c r="P3543" s="586"/>
      <c r="Q3543" s="586">
        <v>53866</v>
      </c>
      <c r="R3543" s="582">
        <f>M3543/G3543</f>
        <v>2482.3698224852069</v>
      </c>
      <c r="S3543" s="592"/>
      <c r="T3543" s="645"/>
      <c r="U3543" s="1059"/>
      <c r="V3543" s="592"/>
      <c r="W3543" s="592"/>
      <c r="X3543" s="592"/>
      <c r="Y3543" s="592"/>
      <c r="Z3543" s="592"/>
    </row>
    <row r="3544" spans="1:26" s="28" customFormat="1" ht="37.5" hidden="1">
      <c r="A3544" s="590">
        <f>A3543+1</f>
        <v>3</v>
      </c>
      <c r="B3544" s="592" t="s">
        <v>2859</v>
      </c>
      <c r="C3544" s="593" t="s">
        <v>221</v>
      </c>
      <c r="D3544" s="646">
        <f>E3544*3</f>
        <v>2295.69</v>
      </c>
      <c r="E3544" s="646">
        <v>765.23</v>
      </c>
      <c r="F3544" s="646" t="s">
        <v>222</v>
      </c>
      <c r="G3544" s="646">
        <v>842.4</v>
      </c>
      <c r="H3544" s="599">
        <v>2</v>
      </c>
      <c r="I3544" s="599">
        <v>3</v>
      </c>
      <c r="J3544" s="582">
        <v>22</v>
      </c>
      <c r="K3544" s="590" t="s">
        <v>30</v>
      </c>
      <c r="L3544" s="595">
        <f>M3544+N3544+O3544+P3544+Q3544</f>
        <v>563420</v>
      </c>
      <c r="M3544" s="585">
        <v>550000</v>
      </c>
      <c r="N3544" s="586"/>
      <c r="O3544" s="736">
        <v>1650</v>
      </c>
      <c r="P3544" s="586"/>
      <c r="Q3544" s="586">
        <v>11770</v>
      </c>
      <c r="R3544" s="582">
        <f>M3544/J3544</f>
        <v>25000</v>
      </c>
      <c r="S3544" s="592"/>
      <c r="T3544" s="645"/>
      <c r="U3544" s="1059"/>
      <c r="V3544" s="592"/>
      <c r="W3544" s="592"/>
      <c r="X3544" s="592"/>
      <c r="Y3544" s="592"/>
      <c r="Z3544" s="592"/>
    </row>
    <row r="3545" spans="1:26" s="28" customFormat="1" hidden="1">
      <c r="A3545" s="1349" t="s">
        <v>47</v>
      </c>
      <c r="B3545" s="1349"/>
      <c r="C3545" s="786" t="s">
        <v>28</v>
      </c>
      <c r="D3545" s="646">
        <f>SUM(D3542:D3544)</f>
        <v>6447.2999999999993</v>
      </c>
      <c r="E3545" s="646">
        <f>SUM(E3542:E3544)</f>
        <v>2149.1</v>
      </c>
      <c r="F3545" s="646" t="s">
        <v>28</v>
      </c>
      <c r="G3545" s="646">
        <f>SUM(G3542:G3544)</f>
        <v>2460.9</v>
      </c>
      <c r="H3545" s="582" t="s">
        <v>28</v>
      </c>
      <c r="I3545" s="582" t="s">
        <v>28</v>
      </c>
      <c r="J3545" s="582">
        <f>SUM(J3542:J3544)</f>
        <v>56</v>
      </c>
      <c r="K3545" s="787" t="s">
        <v>28</v>
      </c>
      <c r="L3545" s="584">
        <f>SUM(L3542:L3544)</f>
        <v>3581926</v>
      </c>
      <c r="M3545" s="585">
        <f>SUM(M3542:M3544)</f>
        <v>3467123</v>
      </c>
      <c r="N3545" s="586">
        <f>SUM(N3542:N3544)</f>
        <v>37757</v>
      </c>
      <c r="O3545" s="587">
        <f>SUM(O3542:O3544)</f>
        <v>2850</v>
      </c>
      <c r="P3545" s="586"/>
      <c r="Q3545" s="586">
        <f>SUM(Q3542:Q3544)</f>
        <v>74196</v>
      </c>
      <c r="R3545" s="582" t="s">
        <v>28</v>
      </c>
      <c r="S3545" s="592"/>
      <c r="T3545" s="645"/>
      <c r="U3545" s="1059"/>
      <c r="V3545" s="592"/>
      <c r="W3545" s="592"/>
      <c r="X3545" s="592"/>
      <c r="Y3545" s="592"/>
      <c r="Z3545" s="592"/>
    </row>
    <row r="3546" spans="1:26" s="28" customFormat="1" hidden="1">
      <c r="A3546" s="1347" t="s">
        <v>48</v>
      </c>
      <c r="B3546" s="1347"/>
      <c r="C3546" s="1347"/>
      <c r="D3546" s="1347"/>
      <c r="E3546" s="1347"/>
      <c r="F3546" s="1347"/>
      <c r="G3546" s="1347"/>
      <c r="H3546" s="1347"/>
      <c r="I3546" s="1347"/>
      <c r="J3546" s="1347"/>
      <c r="K3546" s="1347"/>
      <c r="L3546" s="1347"/>
      <c r="M3546" s="1347"/>
      <c r="N3546" s="1347"/>
      <c r="O3546" s="1347"/>
      <c r="P3546" s="1347"/>
      <c r="Q3546" s="1347"/>
      <c r="R3546" s="590"/>
      <c r="S3546" s="592"/>
      <c r="T3546" s="645"/>
      <c r="U3546" s="1059"/>
      <c r="V3546" s="592"/>
      <c r="W3546" s="592"/>
      <c r="X3546" s="592"/>
      <c r="Y3546" s="592"/>
      <c r="Z3546" s="592"/>
    </row>
    <row r="3547" spans="1:26" s="89" customFormat="1" ht="37.5" hidden="1">
      <c r="A3547" s="590">
        <v>1</v>
      </c>
      <c r="B3547" s="592" t="s">
        <v>921</v>
      </c>
      <c r="C3547" s="593" t="s">
        <v>221</v>
      </c>
      <c r="D3547" s="646">
        <v>3591</v>
      </c>
      <c r="E3547" s="646">
        <v>707</v>
      </c>
      <c r="F3547" s="646" t="s">
        <v>230</v>
      </c>
      <c r="G3547" s="646">
        <v>619</v>
      </c>
      <c r="H3547" s="582">
        <v>2</v>
      </c>
      <c r="I3547" s="582">
        <v>3</v>
      </c>
      <c r="J3547" s="582">
        <v>18</v>
      </c>
      <c r="K3547" s="590" t="s">
        <v>4308</v>
      </c>
      <c r="L3547" s="595">
        <f>M3547+N3547+O3547+P3547+Q3547</f>
        <v>368784</v>
      </c>
      <c r="M3547" s="585">
        <v>360000</v>
      </c>
      <c r="N3547" s="586"/>
      <c r="O3547" s="736">
        <v>1080</v>
      </c>
      <c r="P3547" s="586"/>
      <c r="Q3547" s="586">
        <v>7704</v>
      </c>
      <c r="R3547" s="582">
        <f>M3547/J3547</f>
        <v>20000</v>
      </c>
      <c r="S3547" s="592"/>
      <c r="T3547" s="645"/>
      <c r="U3547" s="1059"/>
      <c r="V3547" s="592"/>
      <c r="W3547" s="592"/>
      <c r="X3547" s="592"/>
      <c r="Y3547" s="592"/>
      <c r="Z3547" s="592"/>
    </row>
    <row r="3548" spans="1:26" s="89" customFormat="1" ht="37.5" hidden="1">
      <c r="A3548" s="590">
        <f>A3547+1</f>
        <v>2</v>
      </c>
      <c r="B3548" s="592" t="s">
        <v>3439</v>
      </c>
      <c r="C3548" s="593" t="s">
        <v>221</v>
      </c>
      <c r="D3548" s="646">
        <v>3780</v>
      </c>
      <c r="E3548" s="646">
        <v>746.5</v>
      </c>
      <c r="F3548" s="646" t="s">
        <v>230</v>
      </c>
      <c r="G3548" s="646">
        <v>626</v>
      </c>
      <c r="H3548" s="582">
        <v>2</v>
      </c>
      <c r="I3548" s="582">
        <v>3</v>
      </c>
      <c r="J3548" s="582">
        <v>23</v>
      </c>
      <c r="K3548" s="590" t="s">
        <v>4308</v>
      </c>
      <c r="L3548" s="595">
        <f>M3548+N3548+O3548+P3548+Q3548</f>
        <v>471224</v>
      </c>
      <c r="M3548" s="585">
        <v>460000</v>
      </c>
      <c r="N3548" s="586"/>
      <c r="O3548" s="736">
        <v>1380</v>
      </c>
      <c r="P3548" s="586"/>
      <c r="Q3548" s="586">
        <v>9844</v>
      </c>
      <c r="R3548" s="582">
        <f>M3548/J3548</f>
        <v>20000</v>
      </c>
      <c r="S3548" s="591"/>
      <c r="T3548" s="645"/>
      <c r="U3548" s="1059"/>
      <c r="V3548" s="592"/>
      <c r="W3548" s="592"/>
      <c r="X3548" s="592"/>
      <c r="Y3548" s="592"/>
      <c r="Z3548" s="592"/>
    </row>
    <row r="3549" spans="1:26" s="28" customFormat="1" hidden="1">
      <c r="A3549" s="1349" t="s">
        <v>119</v>
      </c>
      <c r="B3549" s="1349"/>
      <c r="C3549" s="786" t="s">
        <v>28</v>
      </c>
      <c r="D3549" s="646">
        <f>SUM(D3547:D3548)</f>
        <v>7371</v>
      </c>
      <c r="E3549" s="646">
        <f>SUM(E3547:E3548)</f>
        <v>1453.5</v>
      </c>
      <c r="F3549" s="646" t="s">
        <v>28</v>
      </c>
      <c r="G3549" s="646">
        <f>SUM(G3547:G3548)</f>
        <v>1245</v>
      </c>
      <c r="H3549" s="582" t="s">
        <v>28</v>
      </c>
      <c r="I3549" s="582" t="s">
        <v>28</v>
      </c>
      <c r="J3549" s="582">
        <f>SUM(J3547:J3548)</f>
        <v>41</v>
      </c>
      <c r="K3549" s="787" t="s">
        <v>28</v>
      </c>
      <c r="L3549" s="584">
        <f>SUM(L3547:L3548)</f>
        <v>840008</v>
      </c>
      <c r="M3549" s="585">
        <f>SUM(M3547:M3548)</f>
        <v>820000</v>
      </c>
      <c r="N3549" s="586"/>
      <c r="O3549" s="587">
        <f>SUM(O3547:O3548)</f>
        <v>2460</v>
      </c>
      <c r="P3549" s="586"/>
      <c r="Q3549" s="586">
        <f>SUM(Q3547:Q3548)</f>
        <v>17548</v>
      </c>
      <c r="R3549" s="582" t="s">
        <v>28</v>
      </c>
      <c r="S3549" s="592"/>
      <c r="T3549" s="645"/>
      <c r="U3549" s="1059"/>
      <c r="V3549" s="592"/>
      <c r="W3549" s="592"/>
      <c r="X3549" s="592"/>
      <c r="Y3549" s="592"/>
      <c r="Z3549" s="592"/>
    </row>
    <row r="3550" spans="1:26" s="28" customFormat="1" hidden="1">
      <c r="A3550" s="1347" t="s">
        <v>49</v>
      </c>
      <c r="B3550" s="1347"/>
      <c r="C3550" s="1347"/>
      <c r="D3550" s="1347"/>
      <c r="E3550" s="1347"/>
      <c r="F3550" s="1347"/>
      <c r="G3550" s="1347"/>
      <c r="H3550" s="1347"/>
      <c r="I3550" s="1347"/>
      <c r="J3550" s="1347"/>
      <c r="K3550" s="1347"/>
      <c r="L3550" s="1347"/>
      <c r="M3550" s="1347"/>
      <c r="N3550" s="1347"/>
      <c r="O3550" s="1347"/>
      <c r="P3550" s="1347"/>
      <c r="Q3550" s="1347"/>
      <c r="R3550" s="590"/>
      <c r="S3550" s="592"/>
      <c r="T3550" s="645"/>
      <c r="U3550" s="1059"/>
      <c r="V3550" s="592"/>
      <c r="W3550" s="592"/>
      <c r="X3550" s="592"/>
      <c r="Y3550" s="592"/>
      <c r="Z3550" s="592"/>
    </row>
    <row r="3551" spans="1:26" s="246" customFormat="1" ht="56.25" hidden="1">
      <c r="A3551" s="679">
        <v>1</v>
      </c>
      <c r="B3551" s="592" t="s">
        <v>2860</v>
      </c>
      <c r="C3551" s="593" t="s">
        <v>221</v>
      </c>
      <c r="D3551" s="646">
        <v>12381</v>
      </c>
      <c r="E3551" s="646">
        <v>4851.3999999999996</v>
      </c>
      <c r="F3551" s="593" t="s">
        <v>222</v>
      </c>
      <c r="G3551" s="646">
        <v>1184</v>
      </c>
      <c r="H3551" s="582">
        <v>5</v>
      </c>
      <c r="I3551" s="582">
        <v>4</v>
      </c>
      <c r="J3551" s="582">
        <v>80</v>
      </c>
      <c r="K3551" s="590" t="s">
        <v>248</v>
      </c>
      <c r="L3551" s="584">
        <f t="shared" ref="L3551:L3563" si="520">M3551+N3551+O3551+Q3551</f>
        <v>3907768</v>
      </c>
      <c r="M3551" s="585">
        <v>3788800</v>
      </c>
      <c r="N3551" s="586">
        <v>37888</v>
      </c>
      <c r="O3551" s="587"/>
      <c r="P3551" s="586"/>
      <c r="Q3551" s="586">
        <v>81080</v>
      </c>
      <c r="R3551" s="582">
        <f t="shared" ref="R3551:R3556" si="521">M3551/G3551</f>
        <v>3200</v>
      </c>
      <c r="S3551" s="591"/>
      <c r="T3551" s="1012"/>
      <c r="U3551" s="1059"/>
      <c r="V3551" s="588"/>
      <c r="W3551" s="591"/>
      <c r="X3551" s="591"/>
      <c r="Y3551" s="591"/>
      <c r="Z3551" s="591"/>
    </row>
    <row r="3552" spans="1:26" s="246" customFormat="1" ht="56.25" hidden="1">
      <c r="A3552" s="590">
        <f t="shared" ref="A3552:A3571" si="522">A3551+1</f>
        <v>2</v>
      </c>
      <c r="B3552" s="592" t="s">
        <v>2861</v>
      </c>
      <c r="C3552" s="593" t="s">
        <v>221</v>
      </c>
      <c r="D3552" s="646">
        <v>12945</v>
      </c>
      <c r="E3552" s="646">
        <v>2413.1999999999998</v>
      </c>
      <c r="F3552" s="593" t="s">
        <v>222</v>
      </c>
      <c r="G3552" s="646">
        <v>1230</v>
      </c>
      <c r="H3552" s="582">
        <v>5</v>
      </c>
      <c r="I3552" s="582">
        <v>4</v>
      </c>
      <c r="J3552" s="582">
        <v>80</v>
      </c>
      <c r="K3552" s="590" t="s">
        <v>248</v>
      </c>
      <c r="L3552" s="584">
        <f t="shared" si="520"/>
        <v>3805866</v>
      </c>
      <c r="M3552" s="585">
        <v>3690000</v>
      </c>
      <c r="N3552" s="586">
        <v>36900</v>
      </c>
      <c r="O3552" s="587"/>
      <c r="P3552" s="586"/>
      <c r="Q3552" s="586">
        <v>78966</v>
      </c>
      <c r="R3552" s="582">
        <f t="shared" si="521"/>
        <v>3000</v>
      </c>
      <c r="S3552" s="591"/>
      <c r="T3552" s="1012"/>
      <c r="U3552" s="1059"/>
      <c r="V3552" s="588"/>
      <c r="W3552" s="591"/>
      <c r="X3552" s="591"/>
      <c r="Y3552" s="591"/>
      <c r="Z3552" s="591"/>
    </row>
    <row r="3553" spans="1:26" s="246" customFormat="1" ht="56.25" hidden="1">
      <c r="A3553" s="590">
        <f t="shared" si="522"/>
        <v>3</v>
      </c>
      <c r="B3553" s="592" t="s">
        <v>2862</v>
      </c>
      <c r="C3553" s="593" t="s">
        <v>221</v>
      </c>
      <c r="D3553" s="646">
        <v>12339</v>
      </c>
      <c r="E3553" s="646">
        <v>2416.5</v>
      </c>
      <c r="F3553" s="593" t="s">
        <v>222</v>
      </c>
      <c r="G3553" s="646">
        <v>1183</v>
      </c>
      <c r="H3553" s="582">
        <v>5</v>
      </c>
      <c r="I3553" s="582">
        <v>4</v>
      </c>
      <c r="J3553" s="582">
        <v>65</v>
      </c>
      <c r="K3553" s="590" t="s">
        <v>248</v>
      </c>
      <c r="L3553" s="584">
        <f t="shared" si="520"/>
        <v>3660439</v>
      </c>
      <c r="M3553" s="585">
        <v>3549000</v>
      </c>
      <c r="N3553" s="586">
        <v>35490</v>
      </c>
      <c r="O3553" s="587"/>
      <c r="P3553" s="586"/>
      <c r="Q3553" s="586">
        <v>75949</v>
      </c>
      <c r="R3553" s="582">
        <f t="shared" si="521"/>
        <v>3000</v>
      </c>
      <c r="S3553" s="591"/>
      <c r="T3553" s="1012"/>
      <c r="U3553" s="1059"/>
      <c r="V3553" s="588"/>
      <c r="W3553" s="591"/>
      <c r="X3553" s="591"/>
      <c r="Y3553" s="591"/>
      <c r="Z3553" s="591"/>
    </row>
    <row r="3554" spans="1:26" s="28" customFormat="1" ht="56.25" hidden="1">
      <c r="A3554" s="590">
        <f t="shared" si="522"/>
        <v>4</v>
      </c>
      <c r="B3554" s="592" t="s">
        <v>2863</v>
      </c>
      <c r="C3554" s="593" t="s">
        <v>221</v>
      </c>
      <c r="D3554" s="646">
        <v>19133</v>
      </c>
      <c r="E3554" s="646">
        <v>3410.8</v>
      </c>
      <c r="F3554" s="593" t="s">
        <v>222</v>
      </c>
      <c r="G3554" s="646">
        <v>1710</v>
      </c>
      <c r="H3554" s="582">
        <v>5</v>
      </c>
      <c r="I3554" s="582">
        <v>6</v>
      </c>
      <c r="J3554" s="582">
        <v>99</v>
      </c>
      <c r="K3554" s="590" t="s">
        <v>248</v>
      </c>
      <c r="L3554" s="584">
        <f t="shared" si="520"/>
        <v>5275692</v>
      </c>
      <c r="M3554" s="585">
        <v>5130000</v>
      </c>
      <c r="N3554" s="586">
        <v>35910</v>
      </c>
      <c r="O3554" s="587"/>
      <c r="P3554" s="586"/>
      <c r="Q3554" s="586">
        <v>109782</v>
      </c>
      <c r="R3554" s="582">
        <f t="shared" si="521"/>
        <v>3000</v>
      </c>
      <c r="S3554" s="592"/>
      <c r="T3554" s="1012"/>
      <c r="U3554" s="1059"/>
      <c r="V3554" s="588"/>
      <c r="W3554" s="592"/>
      <c r="X3554" s="592"/>
      <c r="Y3554" s="592"/>
      <c r="Z3554" s="592"/>
    </row>
    <row r="3555" spans="1:26" s="246" customFormat="1" ht="56.25" hidden="1">
      <c r="A3555" s="590">
        <f t="shared" si="522"/>
        <v>5</v>
      </c>
      <c r="B3555" s="592" t="s">
        <v>2864</v>
      </c>
      <c r="C3555" s="796" t="s">
        <v>221</v>
      </c>
      <c r="D3555" s="789">
        <v>1354</v>
      </c>
      <c r="E3555" s="789">
        <v>491.3</v>
      </c>
      <c r="F3555" s="593" t="s">
        <v>222</v>
      </c>
      <c r="G3555" s="789">
        <v>713.3</v>
      </c>
      <c r="H3555" s="582">
        <v>2</v>
      </c>
      <c r="I3555" s="582">
        <v>2</v>
      </c>
      <c r="J3555" s="744">
        <v>8</v>
      </c>
      <c r="K3555" s="590" t="s">
        <v>248</v>
      </c>
      <c r="L3555" s="584">
        <f t="shared" si="520"/>
        <v>2217793</v>
      </c>
      <c r="M3555" s="585">
        <v>2139900</v>
      </c>
      <c r="N3555" s="586">
        <v>32099</v>
      </c>
      <c r="O3555" s="587"/>
      <c r="P3555" s="586"/>
      <c r="Q3555" s="586">
        <v>45794</v>
      </c>
      <c r="R3555" s="582">
        <f t="shared" si="521"/>
        <v>3000</v>
      </c>
      <c r="S3555" s="591"/>
      <c r="T3555" s="1012"/>
      <c r="U3555" s="1059"/>
      <c r="V3555" s="588"/>
      <c r="W3555" s="591"/>
      <c r="X3555" s="591"/>
      <c r="Y3555" s="591"/>
      <c r="Z3555" s="591"/>
    </row>
    <row r="3556" spans="1:26" s="246" customFormat="1" ht="56.25" hidden="1">
      <c r="A3556" s="590">
        <f t="shared" si="522"/>
        <v>6</v>
      </c>
      <c r="B3556" s="616" t="s">
        <v>2865</v>
      </c>
      <c r="C3556" s="593" t="s">
        <v>221</v>
      </c>
      <c r="D3556" s="789">
        <v>24804</v>
      </c>
      <c r="E3556" s="789">
        <v>4364.92</v>
      </c>
      <c r="F3556" s="593" t="s">
        <v>222</v>
      </c>
      <c r="G3556" s="789">
        <v>1787.64</v>
      </c>
      <c r="H3556" s="582">
        <v>5</v>
      </c>
      <c r="I3556" s="582">
        <v>8</v>
      </c>
      <c r="J3556" s="744">
        <v>130</v>
      </c>
      <c r="K3556" s="590" t="s">
        <v>248</v>
      </c>
      <c r="L3556" s="584">
        <f t="shared" si="520"/>
        <v>5515226</v>
      </c>
      <c r="M3556" s="585">
        <v>5362920</v>
      </c>
      <c r="N3556" s="586">
        <v>37540</v>
      </c>
      <c r="O3556" s="587"/>
      <c r="P3556" s="586"/>
      <c r="Q3556" s="586">
        <v>114766</v>
      </c>
      <c r="R3556" s="582">
        <f t="shared" si="521"/>
        <v>3000</v>
      </c>
      <c r="S3556" s="591"/>
      <c r="T3556" s="1012"/>
      <c r="U3556" s="1059"/>
      <c r="V3556" s="588"/>
      <c r="W3556" s="591"/>
      <c r="X3556" s="591"/>
      <c r="Y3556" s="591"/>
      <c r="Z3556" s="591"/>
    </row>
    <row r="3557" spans="1:26" s="246" customFormat="1" ht="37.5" hidden="1">
      <c r="A3557" s="590">
        <f t="shared" si="522"/>
        <v>7</v>
      </c>
      <c r="B3557" s="592" t="s">
        <v>2866</v>
      </c>
      <c r="C3557" s="593" t="s">
        <v>221</v>
      </c>
      <c r="D3557" s="789">
        <v>4853</v>
      </c>
      <c r="E3557" s="789">
        <v>985.9</v>
      </c>
      <c r="F3557" s="593" t="s">
        <v>222</v>
      </c>
      <c r="G3557" s="789">
        <v>869.9</v>
      </c>
      <c r="H3557" s="744">
        <v>2</v>
      </c>
      <c r="I3557" s="744">
        <v>3</v>
      </c>
      <c r="J3557" s="744">
        <v>22</v>
      </c>
      <c r="K3557" s="794" t="s">
        <v>421</v>
      </c>
      <c r="L3557" s="584">
        <f t="shared" si="520"/>
        <v>495810</v>
      </c>
      <c r="M3557" s="585">
        <v>484000</v>
      </c>
      <c r="N3557" s="586"/>
      <c r="O3557" s="736">
        <v>1452</v>
      </c>
      <c r="P3557" s="586"/>
      <c r="Q3557" s="586">
        <v>10358</v>
      </c>
      <c r="R3557" s="582">
        <f>M3557/J3557</f>
        <v>22000</v>
      </c>
      <c r="S3557" s="591"/>
      <c r="T3557" s="1012"/>
      <c r="U3557" s="1059"/>
      <c r="V3557" s="588"/>
      <c r="W3557" s="591"/>
      <c r="X3557" s="591"/>
      <c r="Y3557" s="591"/>
      <c r="Z3557" s="591"/>
    </row>
    <row r="3558" spans="1:26" s="246" customFormat="1" ht="56.25" hidden="1">
      <c r="A3558" s="590">
        <f t="shared" si="522"/>
        <v>8</v>
      </c>
      <c r="B3558" s="592" t="s">
        <v>2867</v>
      </c>
      <c r="C3558" s="593" t="s">
        <v>221</v>
      </c>
      <c r="D3558" s="789">
        <v>23515</v>
      </c>
      <c r="E3558" s="789">
        <v>5160</v>
      </c>
      <c r="F3558" s="593" t="s">
        <v>223</v>
      </c>
      <c r="G3558" s="789">
        <v>1220</v>
      </c>
      <c r="H3558" s="582">
        <v>5</v>
      </c>
      <c r="I3558" s="582">
        <v>8</v>
      </c>
      <c r="J3558" s="744">
        <v>130</v>
      </c>
      <c r="K3558" s="792" t="s">
        <v>250</v>
      </c>
      <c r="L3558" s="584">
        <f t="shared" si="520"/>
        <v>5033232</v>
      </c>
      <c r="M3558" s="585">
        <v>4880000</v>
      </c>
      <c r="N3558" s="586">
        <v>48800</v>
      </c>
      <c r="O3558" s="587"/>
      <c r="P3558" s="586"/>
      <c r="Q3558" s="586">
        <v>104432</v>
      </c>
      <c r="R3558" s="582">
        <f t="shared" ref="R3558:R3566" si="523">M3558/G3558</f>
        <v>4000</v>
      </c>
      <c r="S3558" s="591"/>
      <c r="T3558" s="1012"/>
      <c r="U3558" s="1059"/>
      <c r="V3558" s="588"/>
      <c r="W3558" s="591"/>
      <c r="X3558" s="591"/>
      <c r="Y3558" s="591"/>
      <c r="Z3558" s="591"/>
    </row>
    <row r="3559" spans="1:26" s="246" customFormat="1" ht="56.25" hidden="1">
      <c r="A3559" s="590">
        <f t="shared" si="522"/>
        <v>9</v>
      </c>
      <c r="B3559" s="592" t="s">
        <v>2868</v>
      </c>
      <c r="C3559" s="593" t="s">
        <v>221</v>
      </c>
      <c r="D3559" s="789">
        <v>17411</v>
      </c>
      <c r="E3559" s="789">
        <v>3098</v>
      </c>
      <c r="F3559" s="593" t="s">
        <v>223</v>
      </c>
      <c r="G3559" s="789">
        <v>1225</v>
      </c>
      <c r="H3559" s="582">
        <v>5</v>
      </c>
      <c r="I3559" s="582">
        <v>6</v>
      </c>
      <c r="J3559" s="744">
        <v>100</v>
      </c>
      <c r="K3559" s="792" t="s">
        <v>250</v>
      </c>
      <c r="L3559" s="584">
        <f t="shared" si="520"/>
        <v>5053860</v>
      </c>
      <c r="M3559" s="585">
        <v>4900000</v>
      </c>
      <c r="N3559" s="586">
        <v>49000</v>
      </c>
      <c r="O3559" s="587"/>
      <c r="P3559" s="586"/>
      <c r="Q3559" s="586">
        <v>104860</v>
      </c>
      <c r="R3559" s="582">
        <f t="shared" si="523"/>
        <v>4000</v>
      </c>
      <c r="S3559" s="591"/>
      <c r="T3559" s="1018"/>
      <c r="U3559" s="1059"/>
      <c r="V3559" s="588"/>
      <c r="W3559" s="591"/>
      <c r="X3559" s="591"/>
      <c r="Y3559" s="591"/>
      <c r="Z3559" s="591"/>
    </row>
    <row r="3560" spans="1:26" s="246" customFormat="1" ht="56.25" hidden="1">
      <c r="A3560" s="590">
        <f t="shared" si="522"/>
        <v>10</v>
      </c>
      <c r="B3560" s="592" t="s">
        <v>2869</v>
      </c>
      <c r="C3560" s="593" t="s">
        <v>221</v>
      </c>
      <c r="D3560" s="646">
        <v>6877</v>
      </c>
      <c r="E3560" s="646">
        <v>1103.0999999999999</v>
      </c>
      <c r="F3560" s="593" t="s">
        <v>222</v>
      </c>
      <c r="G3560" s="646">
        <v>690</v>
      </c>
      <c r="H3560" s="582">
        <v>4</v>
      </c>
      <c r="I3560" s="582">
        <v>2</v>
      </c>
      <c r="J3560" s="582">
        <v>24</v>
      </c>
      <c r="K3560" s="590" t="s">
        <v>248</v>
      </c>
      <c r="L3560" s="584">
        <f t="shared" si="520"/>
        <v>2134998</v>
      </c>
      <c r="M3560" s="585">
        <v>2070000</v>
      </c>
      <c r="N3560" s="586">
        <v>20700</v>
      </c>
      <c r="O3560" s="587"/>
      <c r="P3560" s="586"/>
      <c r="Q3560" s="586">
        <v>44298</v>
      </c>
      <c r="R3560" s="582">
        <f t="shared" si="523"/>
        <v>3000</v>
      </c>
      <c r="S3560" s="591"/>
      <c r="T3560" s="1012"/>
      <c r="U3560" s="1059"/>
      <c r="V3560" s="588"/>
      <c r="W3560" s="591"/>
      <c r="X3560" s="591"/>
      <c r="Y3560" s="591"/>
      <c r="Z3560" s="591"/>
    </row>
    <row r="3561" spans="1:26" s="246" customFormat="1" ht="56.25" hidden="1">
      <c r="A3561" s="590">
        <f t="shared" si="522"/>
        <v>11</v>
      </c>
      <c r="B3561" s="788" t="s">
        <v>4130</v>
      </c>
      <c r="C3561" s="593" t="s">
        <v>221</v>
      </c>
      <c r="D3561" s="789">
        <v>14776.2</v>
      </c>
      <c r="E3561" s="789">
        <v>3124</v>
      </c>
      <c r="F3561" s="593" t="s">
        <v>222</v>
      </c>
      <c r="G3561" s="789">
        <v>1390</v>
      </c>
      <c r="H3561" s="744">
        <v>5</v>
      </c>
      <c r="I3561" s="744">
        <v>4</v>
      </c>
      <c r="J3561" s="744">
        <v>70</v>
      </c>
      <c r="K3561" s="590" t="s">
        <v>248</v>
      </c>
      <c r="L3561" s="584">
        <f t="shared" si="520"/>
        <v>4300938</v>
      </c>
      <c r="M3561" s="585">
        <v>4170000</v>
      </c>
      <c r="N3561" s="586">
        <v>41700</v>
      </c>
      <c r="O3561" s="587"/>
      <c r="P3561" s="586"/>
      <c r="Q3561" s="586">
        <v>89238</v>
      </c>
      <c r="R3561" s="582">
        <f t="shared" si="523"/>
        <v>3000</v>
      </c>
      <c r="S3561" s="591"/>
      <c r="T3561" s="1012"/>
      <c r="U3561" s="1059"/>
      <c r="V3561" s="588"/>
      <c r="W3561" s="591"/>
      <c r="X3561" s="591"/>
      <c r="Y3561" s="591"/>
      <c r="Z3561" s="591"/>
    </row>
    <row r="3562" spans="1:26" s="246" customFormat="1" ht="56.25" hidden="1">
      <c r="A3562" s="590">
        <f t="shared" si="522"/>
        <v>12</v>
      </c>
      <c r="B3562" s="788" t="s">
        <v>4131</v>
      </c>
      <c r="C3562" s="593" t="s">
        <v>221</v>
      </c>
      <c r="D3562" s="619">
        <v>4743</v>
      </c>
      <c r="E3562" s="619">
        <v>984</v>
      </c>
      <c r="F3562" s="593" t="s">
        <v>222</v>
      </c>
      <c r="G3562" s="619">
        <v>920.4</v>
      </c>
      <c r="H3562" s="599">
        <v>2</v>
      </c>
      <c r="I3562" s="599">
        <v>3</v>
      </c>
      <c r="J3562" s="599">
        <v>18</v>
      </c>
      <c r="K3562" s="590" t="s">
        <v>248</v>
      </c>
      <c r="L3562" s="584">
        <f t="shared" si="520"/>
        <v>2847902</v>
      </c>
      <c r="M3562" s="585">
        <v>2761200</v>
      </c>
      <c r="N3562" s="586">
        <v>27612</v>
      </c>
      <c r="O3562" s="587"/>
      <c r="P3562" s="586"/>
      <c r="Q3562" s="586">
        <v>59090</v>
      </c>
      <c r="R3562" s="582">
        <f t="shared" si="523"/>
        <v>3000</v>
      </c>
      <c r="S3562" s="591"/>
      <c r="T3562" s="680"/>
      <c r="U3562" s="1059"/>
      <c r="V3562" s="588"/>
      <c r="W3562" s="591"/>
      <c r="X3562" s="591"/>
      <c r="Y3562" s="591"/>
      <c r="Z3562" s="591"/>
    </row>
    <row r="3563" spans="1:26" s="246" customFormat="1" ht="56.25" hidden="1">
      <c r="A3563" s="590">
        <f t="shared" si="522"/>
        <v>13</v>
      </c>
      <c r="B3563" s="788" t="s">
        <v>4132</v>
      </c>
      <c r="C3563" s="593" t="s">
        <v>221</v>
      </c>
      <c r="D3563" s="789">
        <v>2052</v>
      </c>
      <c r="E3563" s="789">
        <v>529.20000000000005</v>
      </c>
      <c r="F3563" s="593" t="s">
        <v>222</v>
      </c>
      <c r="G3563" s="789">
        <v>681.2</v>
      </c>
      <c r="H3563" s="744">
        <v>2</v>
      </c>
      <c r="I3563" s="744">
        <v>2</v>
      </c>
      <c r="J3563" s="744">
        <v>8</v>
      </c>
      <c r="K3563" s="590" t="s">
        <v>248</v>
      </c>
      <c r="L3563" s="584">
        <f t="shared" si="520"/>
        <v>2107769</v>
      </c>
      <c r="M3563" s="585">
        <v>2043600.0000000002</v>
      </c>
      <c r="N3563" s="586">
        <v>20436.000000000004</v>
      </c>
      <c r="O3563" s="587"/>
      <c r="P3563" s="586"/>
      <c r="Q3563" s="586">
        <v>43733</v>
      </c>
      <c r="R3563" s="582">
        <f t="shared" si="523"/>
        <v>3000</v>
      </c>
      <c r="S3563" s="591"/>
      <c r="T3563" s="680"/>
      <c r="U3563" s="1059"/>
      <c r="V3563" s="588"/>
      <c r="W3563" s="591"/>
      <c r="X3563" s="591"/>
      <c r="Y3563" s="591"/>
      <c r="Z3563" s="591"/>
    </row>
    <row r="3564" spans="1:26" s="246" customFormat="1" ht="37.5" hidden="1">
      <c r="A3564" s="590">
        <f t="shared" si="522"/>
        <v>14</v>
      </c>
      <c r="B3564" s="788" t="s">
        <v>4133</v>
      </c>
      <c r="C3564" s="593" t="s">
        <v>221</v>
      </c>
      <c r="D3564" s="646">
        <v>37188</v>
      </c>
      <c r="E3564" s="646">
        <v>8458.7999999999993</v>
      </c>
      <c r="F3564" s="593" t="s">
        <v>223</v>
      </c>
      <c r="G3564" s="646">
        <v>2960.1</v>
      </c>
      <c r="H3564" s="582">
        <v>5</v>
      </c>
      <c r="I3564" s="582">
        <v>13</v>
      </c>
      <c r="J3564" s="582">
        <v>186</v>
      </c>
      <c r="K3564" s="590" t="s">
        <v>247</v>
      </c>
      <c r="L3564" s="584">
        <f>M3564+N3564+O3564+P3564+Q3564</f>
        <v>6974351</v>
      </c>
      <c r="M3564" s="585">
        <v>6808230</v>
      </c>
      <c r="N3564" s="586"/>
      <c r="O3564" s="736">
        <v>20425</v>
      </c>
      <c r="P3564" s="742"/>
      <c r="Q3564" s="586">
        <v>145696</v>
      </c>
      <c r="R3564" s="582">
        <f t="shared" si="523"/>
        <v>2300</v>
      </c>
      <c r="S3564" s="591"/>
      <c r="T3564" s="680"/>
      <c r="U3564" s="1059"/>
      <c r="V3564" s="588"/>
      <c r="W3564" s="591"/>
      <c r="X3564" s="591"/>
      <c r="Y3564" s="591"/>
      <c r="Z3564" s="591"/>
    </row>
    <row r="3565" spans="1:26" s="246" customFormat="1" ht="37.5" hidden="1">
      <c r="A3565" s="590">
        <f t="shared" si="522"/>
        <v>15</v>
      </c>
      <c r="B3565" s="788" t="s">
        <v>4134</v>
      </c>
      <c r="C3565" s="593" t="s">
        <v>221</v>
      </c>
      <c r="D3565" s="789">
        <v>7821</v>
      </c>
      <c r="E3565" s="789">
        <v>1680.4</v>
      </c>
      <c r="F3565" s="742" t="s">
        <v>223</v>
      </c>
      <c r="G3565" s="789">
        <v>931</v>
      </c>
      <c r="H3565" s="744">
        <v>3</v>
      </c>
      <c r="I3565" s="744">
        <v>3</v>
      </c>
      <c r="J3565" s="744">
        <v>36</v>
      </c>
      <c r="K3565" s="590" t="s">
        <v>247</v>
      </c>
      <c r="L3565" s="584">
        <f>M3565+N3565+O3565+P3565+Q3565</f>
        <v>2193548</v>
      </c>
      <c r="M3565" s="585">
        <v>2141300</v>
      </c>
      <c r="N3565" s="586"/>
      <c r="O3565" s="736">
        <v>6424</v>
      </c>
      <c r="P3565" s="742"/>
      <c r="Q3565" s="586">
        <v>45824</v>
      </c>
      <c r="R3565" s="582">
        <f t="shared" si="523"/>
        <v>2300</v>
      </c>
      <c r="S3565" s="591"/>
      <c r="T3565" s="680"/>
      <c r="U3565" s="1059"/>
      <c r="V3565" s="588"/>
      <c r="W3565" s="591"/>
      <c r="X3565" s="591"/>
      <c r="Y3565" s="591"/>
      <c r="Z3565" s="591"/>
    </row>
    <row r="3566" spans="1:26" s="246" customFormat="1" ht="56.25" hidden="1">
      <c r="A3566" s="590">
        <f t="shared" si="522"/>
        <v>16</v>
      </c>
      <c r="B3566" s="788" t="s">
        <v>4135</v>
      </c>
      <c r="C3566" s="593" t="s">
        <v>221</v>
      </c>
      <c r="D3566" s="789">
        <v>2342</v>
      </c>
      <c r="E3566" s="789">
        <v>568.1</v>
      </c>
      <c r="F3566" s="593" t="s">
        <v>222</v>
      </c>
      <c r="G3566" s="789">
        <v>615.9</v>
      </c>
      <c r="H3566" s="744">
        <v>2</v>
      </c>
      <c r="I3566" s="744">
        <v>2</v>
      </c>
      <c r="J3566" s="744">
        <v>8</v>
      </c>
      <c r="K3566" s="590" t="s">
        <v>248</v>
      </c>
      <c r="L3566" s="584">
        <f>M3566+N3566+O3566+Q3566</f>
        <v>1905718</v>
      </c>
      <c r="M3566" s="585">
        <v>1847700</v>
      </c>
      <c r="N3566" s="586">
        <v>18477</v>
      </c>
      <c r="O3566" s="587"/>
      <c r="P3566" s="586"/>
      <c r="Q3566" s="586">
        <v>39541</v>
      </c>
      <c r="R3566" s="582">
        <f t="shared" si="523"/>
        <v>3000</v>
      </c>
      <c r="S3566" s="591"/>
      <c r="T3566" s="680"/>
      <c r="U3566" s="1059"/>
      <c r="V3566" s="588"/>
      <c r="W3566" s="591"/>
      <c r="X3566" s="591"/>
      <c r="Y3566" s="591"/>
      <c r="Z3566" s="591"/>
    </row>
    <row r="3567" spans="1:26" s="246" customFormat="1" ht="37.5" hidden="1">
      <c r="A3567" s="590">
        <f t="shared" si="522"/>
        <v>17</v>
      </c>
      <c r="B3567" s="592" t="s">
        <v>4136</v>
      </c>
      <c r="C3567" s="593" t="s">
        <v>221</v>
      </c>
      <c r="D3567" s="619">
        <v>4789</v>
      </c>
      <c r="E3567" s="619">
        <v>1051</v>
      </c>
      <c r="F3567" s="593" t="s">
        <v>222</v>
      </c>
      <c r="G3567" s="619">
        <v>904</v>
      </c>
      <c r="H3567" s="599">
        <v>2</v>
      </c>
      <c r="I3567" s="599">
        <v>3</v>
      </c>
      <c r="J3567" s="599">
        <v>19</v>
      </c>
      <c r="K3567" s="794" t="s">
        <v>421</v>
      </c>
      <c r="L3567" s="584">
        <f>M3567+N3567+O3567+P3567+Q3567</f>
        <v>428199</v>
      </c>
      <c r="M3567" s="596">
        <v>418000</v>
      </c>
      <c r="N3567" s="597"/>
      <c r="O3567" s="736">
        <v>1254</v>
      </c>
      <c r="P3567" s="597"/>
      <c r="Q3567" s="586">
        <v>8945</v>
      </c>
      <c r="R3567" s="599">
        <f>M3567/J3567</f>
        <v>22000</v>
      </c>
      <c r="S3567" s="591"/>
      <c r="T3567" s="680"/>
      <c r="U3567" s="1059"/>
      <c r="V3567" s="588"/>
      <c r="W3567" s="591"/>
      <c r="X3567" s="591"/>
      <c r="Y3567" s="591"/>
      <c r="Z3567" s="591"/>
    </row>
    <row r="3568" spans="1:26" s="246" customFormat="1" ht="37.5" hidden="1">
      <c r="A3568" s="590">
        <f t="shared" si="522"/>
        <v>18</v>
      </c>
      <c r="B3568" s="788" t="s">
        <v>4137</v>
      </c>
      <c r="C3568" s="593" t="s">
        <v>221</v>
      </c>
      <c r="D3568" s="619">
        <v>10596</v>
      </c>
      <c r="E3568" s="619">
        <v>1617.2</v>
      </c>
      <c r="F3568" s="658" t="s">
        <v>223</v>
      </c>
      <c r="G3568" s="619">
        <v>834</v>
      </c>
      <c r="H3568" s="599">
        <v>5</v>
      </c>
      <c r="I3568" s="599">
        <v>4</v>
      </c>
      <c r="J3568" s="599">
        <v>61</v>
      </c>
      <c r="K3568" s="590" t="s">
        <v>247</v>
      </c>
      <c r="L3568" s="584">
        <f>M3568+N3568+O3568+Q3568</f>
        <v>1965004</v>
      </c>
      <c r="M3568" s="585">
        <v>1918200</v>
      </c>
      <c r="N3568" s="586"/>
      <c r="O3568" s="736">
        <v>5755</v>
      </c>
      <c r="P3568" s="742"/>
      <c r="Q3568" s="586">
        <v>41049</v>
      </c>
      <c r="R3568" s="582">
        <f>M3568/G3568</f>
        <v>2300</v>
      </c>
      <c r="S3568" s="591"/>
      <c r="T3568" s="680"/>
      <c r="U3568" s="1059"/>
      <c r="V3568" s="588"/>
      <c r="W3568" s="591"/>
      <c r="X3568" s="591"/>
      <c r="Y3568" s="591"/>
      <c r="Z3568" s="591"/>
    </row>
    <row r="3569" spans="1:26" s="246" customFormat="1" ht="56.25" hidden="1">
      <c r="A3569" s="590">
        <f t="shared" si="522"/>
        <v>19</v>
      </c>
      <c r="B3569" s="581" t="s">
        <v>2871</v>
      </c>
      <c r="C3569" s="593" t="s">
        <v>221</v>
      </c>
      <c r="D3569" s="789">
        <v>2274</v>
      </c>
      <c r="E3569" s="789">
        <v>558.79999999999995</v>
      </c>
      <c r="F3569" s="593" t="s">
        <v>222</v>
      </c>
      <c r="G3569" s="789">
        <v>613.9</v>
      </c>
      <c r="H3569" s="744">
        <v>2</v>
      </c>
      <c r="I3569" s="744">
        <v>2</v>
      </c>
      <c r="J3569" s="744">
        <v>7</v>
      </c>
      <c r="K3569" s="590" t="s">
        <v>248</v>
      </c>
      <c r="L3569" s="584">
        <f>M3569+N3569+O3569+Q3569</f>
        <v>1899529</v>
      </c>
      <c r="M3569" s="585">
        <v>1841700</v>
      </c>
      <c r="N3569" s="586">
        <v>18417</v>
      </c>
      <c r="O3569" s="587"/>
      <c r="P3569" s="586"/>
      <c r="Q3569" s="586">
        <v>39412</v>
      </c>
      <c r="R3569" s="582">
        <f>M3569/G3569</f>
        <v>3000</v>
      </c>
      <c r="S3569" s="591"/>
      <c r="T3569" s="680"/>
      <c r="U3569" s="1059"/>
      <c r="V3569" s="588"/>
      <c r="W3569" s="591"/>
      <c r="X3569" s="591"/>
      <c r="Y3569" s="591"/>
      <c r="Z3569" s="591"/>
    </row>
    <row r="3570" spans="1:26" s="246" customFormat="1" ht="56.25" hidden="1">
      <c r="A3570" s="590">
        <f t="shared" si="522"/>
        <v>20</v>
      </c>
      <c r="B3570" s="865" t="s">
        <v>2872</v>
      </c>
      <c r="C3570" s="593" t="s">
        <v>221</v>
      </c>
      <c r="D3570" s="789">
        <v>2852</v>
      </c>
      <c r="E3570" s="789">
        <v>530</v>
      </c>
      <c r="F3570" s="593" t="s">
        <v>222</v>
      </c>
      <c r="G3570" s="789">
        <v>650</v>
      </c>
      <c r="H3570" s="744">
        <v>2</v>
      </c>
      <c r="I3570" s="744">
        <v>2</v>
      </c>
      <c r="J3570" s="744">
        <v>16</v>
      </c>
      <c r="K3570" s="590" t="s">
        <v>248</v>
      </c>
      <c r="L3570" s="584">
        <f>M3570+N3570+O3570+Q3570</f>
        <v>2081979</v>
      </c>
      <c r="M3570" s="585">
        <v>2018595</v>
      </c>
      <c r="N3570" s="586">
        <v>20186</v>
      </c>
      <c r="O3570" s="587"/>
      <c r="P3570" s="586"/>
      <c r="Q3570" s="586">
        <v>43198</v>
      </c>
      <c r="R3570" s="582">
        <f>M3570/G3570</f>
        <v>3105.5307692307692</v>
      </c>
      <c r="S3570" s="591"/>
      <c r="T3570" s="680"/>
      <c r="U3570" s="1059"/>
      <c r="V3570" s="588"/>
      <c r="W3570" s="591"/>
      <c r="X3570" s="591"/>
      <c r="Y3570" s="591"/>
      <c r="Z3570" s="591"/>
    </row>
    <row r="3571" spans="1:26" s="246" customFormat="1" ht="56.25" hidden="1">
      <c r="A3571" s="590">
        <f t="shared" si="522"/>
        <v>21</v>
      </c>
      <c r="B3571" s="592" t="s">
        <v>2873</v>
      </c>
      <c r="C3571" s="593" t="s">
        <v>221</v>
      </c>
      <c r="D3571" s="646">
        <v>2610</v>
      </c>
      <c r="E3571" s="646">
        <v>442.4</v>
      </c>
      <c r="F3571" s="593" t="s">
        <v>222</v>
      </c>
      <c r="G3571" s="646">
        <v>773.5</v>
      </c>
      <c r="H3571" s="582">
        <v>2</v>
      </c>
      <c r="I3571" s="582">
        <v>2</v>
      </c>
      <c r="J3571" s="582">
        <v>16</v>
      </c>
      <c r="K3571" s="590" t="s">
        <v>248</v>
      </c>
      <c r="L3571" s="584">
        <f>M3571+N3571+O3571+Q3571</f>
        <v>2477929</v>
      </c>
      <c r="M3571" s="585">
        <v>2402491</v>
      </c>
      <c r="N3571" s="586">
        <v>24025</v>
      </c>
      <c r="O3571" s="587"/>
      <c r="P3571" s="586"/>
      <c r="Q3571" s="586">
        <v>51413</v>
      </c>
      <c r="R3571" s="582">
        <f>M3571/G3571</f>
        <v>3106</v>
      </c>
      <c r="S3571" s="591"/>
      <c r="T3571" s="680"/>
      <c r="U3571" s="1059"/>
      <c r="V3571" s="588"/>
      <c r="W3571" s="591"/>
      <c r="X3571" s="591"/>
      <c r="Y3571" s="591"/>
      <c r="Z3571" s="591"/>
    </row>
    <row r="3572" spans="1:26" s="28" customFormat="1" hidden="1">
      <c r="A3572" s="1361" t="s">
        <v>50</v>
      </c>
      <c r="B3572" s="1361"/>
      <c r="C3572" s="602" t="s">
        <v>28</v>
      </c>
      <c r="D3572" s="646">
        <f>SUM(D3551:D3571)</f>
        <v>227655.2</v>
      </c>
      <c r="E3572" s="646">
        <f>SUM(E3551:E3571)</f>
        <v>47839.02</v>
      </c>
      <c r="F3572" s="646" t="s">
        <v>28</v>
      </c>
      <c r="G3572" s="646">
        <f>SUM(G3551:G3571)</f>
        <v>23086.840000000004</v>
      </c>
      <c r="H3572" s="582" t="s">
        <v>28</v>
      </c>
      <c r="I3572" s="582" t="s">
        <v>28</v>
      </c>
      <c r="J3572" s="582">
        <f>SUM(J3551:J3571)</f>
        <v>1183</v>
      </c>
      <c r="K3572" s="679" t="s">
        <v>28</v>
      </c>
      <c r="L3572" s="584">
        <f>SUM(L3551:L3571)</f>
        <v>66283550</v>
      </c>
      <c r="M3572" s="585">
        <f>SUM(M3551:M3571)</f>
        <v>64365636</v>
      </c>
      <c r="N3572" s="586">
        <f>SUM(N3551:N3571)</f>
        <v>505180</v>
      </c>
      <c r="O3572" s="587">
        <f>SUM(O3551:O3571)</f>
        <v>35310</v>
      </c>
      <c r="P3572" s="586"/>
      <c r="Q3572" s="586">
        <f>SUM(Q3551:Q3571)</f>
        <v>1377424</v>
      </c>
      <c r="R3572" s="582" t="s">
        <v>28</v>
      </c>
      <c r="S3572" s="592"/>
      <c r="T3572" s="645"/>
      <c r="U3572" s="1059"/>
      <c r="V3572" s="592"/>
      <c r="W3572" s="592"/>
      <c r="X3572" s="592"/>
      <c r="Y3572" s="592"/>
      <c r="Z3572" s="592"/>
    </row>
    <row r="3573" spans="1:26" s="28" customFormat="1" hidden="1">
      <c r="A3573" s="1347" t="s">
        <v>51</v>
      </c>
      <c r="B3573" s="1347"/>
      <c r="C3573" s="1347"/>
      <c r="D3573" s="1347"/>
      <c r="E3573" s="1347"/>
      <c r="F3573" s="1347"/>
      <c r="G3573" s="1347"/>
      <c r="H3573" s="1347"/>
      <c r="I3573" s="1347"/>
      <c r="J3573" s="1347"/>
      <c r="K3573" s="1347"/>
      <c r="L3573" s="1347"/>
      <c r="M3573" s="1347"/>
      <c r="N3573" s="1347"/>
      <c r="O3573" s="1347"/>
      <c r="P3573" s="1347"/>
      <c r="Q3573" s="1347"/>
      <c r="R3573" s="590"/>
      <c r="S3573" s="592"/>
      <c r="T3573" s="645"/>
      <c r="U3573" s="1059"/>
      <c r="V3573" s="592"/>
      <c r="W3573" s="592"/>
      <c r="X3573" s="592"/>
      <c r="Y3573" s="592"/>
      <c r="Z3573" s="592"/>
    </row>
    <row r="3574" spans="1:26" s="28" customFormat="1" hidden="1">
      <c r="A3574" s="590">
        <v>1</v>
      </c>
      <c r="B3574" s="592" t="s">
        <v>2874</v>
      </c>
      <c r="C3574" s="593" t="s">
        <v>221</v>
      </c>
      <c r="D3574" s="646">
        <v>2317.5</v>
      </c>
      <c r="E3574" s="646">
        <v>520</v>
      </c>
      <c r="F3574" s="646" t="s">
        <v>222</v>
      </c>
      <c r="G3574" s="646">
        <v>465</v>
      </c>
      <c r="H3574" s="582">
        <v>2</v>
      </c>
      <c r="I3574" s="582">
        <v>1</v>
      </c>
      <c r="J3574" s="582">
        <v>17</v>
      </c>
      <c r="K3574" s="590" t="s">
        <v>33</v>
      </c>
      <c r="L3574" s="595">
        <f>M3574+N3574+O3574+P3574+Q3574</f>
        <v>1332451</v>
      </c>
      <c r="M3574" s="585">
        <v>1279480</v>
      </c>
      <c r="N3574" s="586">
        <v>25590</v>
      </c>
      <c r="O3574" s="587"/>
      <c r="P3574" s="586"/>
      <c r="Q3574" s="586">
        <v>27381</v>
      </c>
      <c r="R3574" s="582">
        <f>M3574/G3574</f>
        <v>2751.5698924731182</v>
      </c>
      <c r="S3574" s="592"/>
      <c r="T3574" s="645"/>
      <c r="U3574" s="1059"/>
      <c r="V3574" s="592"/>
      <c r="W3574" s="592"/>
      <c r="X3574" s="592"/>
      <c r="Y3574" s="592"/>
      <c r="Z3574" s="592"/>
    </row>
    <row r="3575" spans="1:26" s="28" customFormat="1" hidden="1">
      <c r="A3575" s="1349" t="s">
        <v>120</v>
      </c>
      <c r="B3575" s="1349"/>
      <c r="C3575" s="602" t="s">
        <v>28</v>
      </c>
      <c r="D3575" s="646">
        <f>SUM(D3574:D3574)</f>
        <v>2317.5</v>
      </c>
      <c r="E3575" s="646">
        <f>SUM(E3574:E3574)</f>
        <v>520</v>
      </c>
      <c r="F3575" s="646" t="s">
        <v>28</v>
      </c>
      <c r="G3575" s="646">
        <f>SUM(G3574:G3574)</f>
        <v>465</v>
      </c>
      <c r="H3575" s="582" t="s">
        <v>28</v>
      </c>
      <c r="I3575" s="582" t="s">
        <v>28</v>
      </c>
      <c r="J3575" s="582">
        <f>SUM(J3574:J3574)</f>
        <v>17</v>
      </c>
      <c r="K3575" s="679" t="s">
        <v>28</v>
      </c>
      <c r="L3575" s="584">
        <f>SUM(L3574:L3574)</f>
        <v>1332451</v>
      </c>
      <c r="M3575" s="585">
        <f>SUM(M3574:M3574)</f>
        <v>1279480</v>
      </c>
      <c r="N3575" s="586">
        <f>SUM(N3574:N3574)</f>
        <v>25590</v>
      </c>
      <c r="O3575" s="587"/>
      <c r="P3575" s="586"/>
      <c r="Q3575" s="586">
        <f>SUM(Q3574:Q3574)</f>
        <v>27381</v>
      </c>
      <c r="R3575" s="582" t="s">
        <v>28</v>
      </c>
      <c r="S3575" s="592"/>
      <c r="T3575" s="645"/>
      <c r="U3575" s="1059"/>
      <c r="V3575" s="592"/>
      <c r="W3575" s="592"/>
      <c r="X3575" s="592"/>
      <c r="Y3575" s="592"/>
      <c r="Z3575" s="592"/>
    </row>
    <row r="3576" spans="1:26" s="28" customFormat="1" hidden="1">
      <c r="A3576" s="1347" t="s">
        <v>52</v>
      </c>
      <c r="B3576" s="1347"/>
      <c r="C3576" s="1347"/>
      <c r="D3576" s="1347"/>
      <c r="E3576" s="1347"/>
      <c r="F3576" s="1347"/>
      <c r="G3576" s="1347"/>
      <c r="H3576" s="1347"/>
      <c r="I3576" s="1347"/>
      <c r="J3576" s="1347"/>
      <c r="K3576" s="1347"/>
      <c r="L3576" s="1347"/>
      <c r="M3576" s="1347"/>
      <c r="N3576" s="1347"/>
      <c r="O3576" s="1347"/>
      <c r="P3576" s="1347"/>
      <c r="Q3576" s="1347"/>
      <c r="R3576" s="590"/>
      <c r="S3576" s="592"/>
      <c r="T3576" s="645"/>
      <c r="U3576" s="1059"/>
      <c r="V3576" s="592"/>
      <c r="W3576" s="592"/>
      <c r="X3576" s="592"/>
      <c r="Y3576" s="592"/>
      <c r="Z3576" s="592"/>
    </row>
    <row r="3577" spans="1:26" s="92" customFormat="1" ht="37.5" hidden="1">
      <c r="A3577" s="590">
        <v>1</v>
      </c>
      <c r="B3577" s="592" t="s">
        <v>2875</v>
      </c>
      <c r="C3577" s="593" t="s">
        <v>221</v>
      </c>
      <c r="D3577" s="619">
        <v>2883</v>
      </c>
      <c r="E3577" s="619">
        <v>940.8</v>
      </c>
      <c r="F3577" s="805" t="s">
        <v>222</v>
      </c>
      <c r="G3577" s="619">
        <v>1012.3</v>
      </c>
      <c r="H3577" s="599">
        <v>2</v>
      </c>
      <c r="I3577" s="599">
        <v>2</v>
      </c>
      <c r="J3577" s="599">
        <v>16</v>
      </c>
      <c r="K3577" s="590" t="s">
        <v>274</v>
      </c>
      <c r="L3577" s="584">
        <f>M3577+N3577+O3577+P3577+Q3577</f>
        <v>2267403</v>
      </c>
      <c r="M3577" s="741">
        <v>2198374</v>
      </c>
      <c r="N3577" s="742">
        <v>21984</v>
      </c>
      <c r="O3577" s="743"/>
      <c r="P3577" s="742"/>
      <c r="Q3577" s="586">
        <f>ROUND(M3577*2.14%,0)</f>
        <v>47045</v>
      </c>
      <c r="R3577" s="744">
        <f>M3577/G3577</f>
        <v>2171.6625506272844</v>
      </c>
      <c r="S3577" s="799"/>
      <c r="T3577" s="799"/>
      <c r="U3577" s="1059"/>
      <c r="V3577" s="799"/>
      <c r="W3577" s="799"/>
      <c r="X3577" s="799"/>
      <c r="Y3577" s="799"/>
      <c r="Z3577" s="799"/>
    </row>
    <row r="3578" spans="1:26" s="28" customFormat="1" hidden="1">
      <c r="A3578" s="1349" t="s">
        <v>53</v>
      </c>
      <c r="B3578" s="1349"/>
      <c r="C3578" s="602" t="s">
        <v>28</v>
      </c>
      <c r="D3578" s="646">
        <f>SUM(D3577:D3577)</f>
        <v>2883</v>
      </c>
      <c r="E3578" s="646">
        <f>SUM(E3577:E3577)</f>
        <v>940.8</v>
      </c>
      <c r="F3578" s="646" t="s">
        <v>28</v>
      </c>
      <c r="G3578" s="646">
        <f>SUM(G3577:G3577)</f>
        <v>1012.3</v>
      </c>
      <c r="H3578" s="582" t="s">
        <v>28</v>
      </c>
      <c r="I3578" s="582" t="s">
        <v>28</v>
      </c>
      <c r="J3578" s="582">
        <f>SUM(J3577:J3577)</f>
        <v>16</v>
      </c>
      <c r="K3578" s="679" t="s">
        <v>28</v>
      </c>
      <c r="L3578" s="584">
        <f>SUM(L3577:L3577)</f>
        <v>2267403</v>
      </c>
      <c r="M3578" s="585">
        <f>SUM(M3577:M3577)</f>
        <v>2198374</v>
      </c>
      <c r="N3578" s="586">
        <f>SUM(N3577:N3577)</f>
        <v>21984</v>
      </c>
      <c r="O3578" s="587"/>
      <c r="P3578" s="586"/>
      <c r="Q3578" s="586">
        <f>SUM(Q3577:Q3577)</f>
        <v>47045</v>
      </c>
      <c r="R3578" s="582" t="s">
        <v>28</v>
      </c>
      <c r="S3578" s="799"/>
      <c r="T3578" s="645"/>
      <c r="U3578" s="1059"/>
      <c r="V3578" s="592"/>
      <c r="W3578" s="592"/>
      <c r="X3578" s="592"/>
      <c r="Y3578" s="592"/>
      <c r="Z3578" s="592"/>
    </row>
    <row r="3579" spans="1:26" s="28" customFormat="1" hidden="1">
      <c r="A3579" s="1347" t="s">
        <v>54</v>
      </c>
      <c r="B3579" s="1347"/>
      <c r="C3579" s="1347"/>
      <c r="D3579" s="1347"/>
      <c r="E3579" s="1347"/>
      <c r="F3579" s="1347"/>
      <c r="G3579" s="1347"/>
      <c r="H3579" s="1347"/>
      <c r="I3579" s="1347"/>
      <c r="J3579" s="1347"/>
      <c r="K3579" s="1347"/>
      <c r="L3579" s="1347"/>
      <c r="M3579" s="1347"/>
      <c r="N3579" s="1347"/>
      <c r="O3579" s="1347"/>
      <c r="P3579" s="1347"/>
      <c r="Q3579" s="1347"/>
      <c r="R3579" s="590"/>
      <c r="S3579" s="592"/>
      <c r="T3579" s="645"/>
      <c r="U3579" s="1059"/>
      <c r="V3579" s="592"/>
      <c r="W3579" s="592"/>
      <c r="X3579" s="592"/>
      <c r="Y3579" s="592"/>
      <c r="Z3579" s="592"/>
    </row>
    <row r="3580" spans="1:26" s="71" customFormat="1" hidden="1">
      <c r="A3580" s="590">
        <v>1</v>
      </c>
      <c r="B3580" s="592" t="s">
        <v>2876</v>
      </c>
      <c r="C3580" s="593" t="s">
        <v>221</v>
      </c>
      <c r="D3580" s="646">
        <v>1560</v>
      </c>
      <c r="E3580" s="646">
        <v>562</v>
      </c>
      <c r="F3580" s="646" t="s">
        <v>230</v>
      </c>
      <c r="G3580" s="646">
        <v>440</v>
      </c>
      <c r="H3580" s="582">
        <v>2</v>
      </c>
      <c r="I3580" s="582">
        <v>2</v>
      </c>
      <c r="J3580" s="582">
        <v>8</v>
      </c>
      <c r="K3580" s="590" t="s">
        <v>238</v>
      </c>
      <c r="L3580" s="584">
        <f>M3580+N3580+O3580+Q3580</f>
        <v>266736</v>
      </c>
      <c r="M3580" s="585">
        <v>240000</v>
      </c>
      <c r="N3580" s="586">
        <v>21600</v>
      </c>
      <c r="O3580" s="587"/>
      <c r="P3580" s="586"/>
      <c r="Q3580" s="586">
        <f t="shared" ref="Q3580:Q3598" si="524">ROUND(M3580*2.14%,0)</f>
        <v>5136</v>
      </c>
      <c r="R3580" s="582">
        <f>M3580/J3580</f>
        <v>30000</v>
      </c>
      <c r="S3580" s="591"/>
      <c r="T3580" s="737"/>
      <c r="U3580" s="1059"/>
      <c r="V3580" s="737"/>
      <c r="W3580" s="737"/>
      <c r="X3580" s="737"/>
      <c r="Y3580" s="737"/>
      <c r="Z3580" s="737"/>
    </row>
    <row r="3581" spans="1:26" s="71" customFormat="1" hidden="1">
      <c r="A3581" s="590">
        <f t="shared" ref="A3581:A3599" si="525">A3580+1</f>
        <v>2</v>
      </c>
      <c r="B3581" s="616" t="s">
        <v>3674</v>
      </c>
      <c r="C3581" s="593" t="s">
        <v>229</v>
      </c>
      <c r="D3581" s="646">
        <v>672</v>
      </c>
      <c r="E3581" s="646">
        <v>140</v>
      </c>
      <c r="F3581" s="646" t="s">
        <v>222</v>
      </c>
      <c r="G3581" s="646">
        <v>320</v>
      </c>
      <c r="H3581" s="582">
        <v>1</v>
      </c>
      <c r="I3581" s="582">
        <v>3</v>
      </c>
      <c r="J3581" s="582">
        <v>5</v>
      </c>
      <c r="K3581" s="590" t="s">
        <v>33</v>
      </c>
      <c r="L3581" s="595">
        <f>M3581+N3581+O3581+P3581+Q3581</f>
        <v>672896</v>
      </c>
      <c r="M3581" s="585">
        <v>640000</v>
      </c>
      <c r="N3581" s="586">
        <v>19200</v>
      </c>
      <c r="O3581" s="587"/>
      <c r="P3581" s="586"/>
      <c r="Q3581" s="586">
        <f t="shared" si="524"/>
        <v>13696</v>
      </c>
      <c r="R3581" s="582">
        <f>M3581/G3581</f>
        <v>2000</v>
      </c>
      <c r="S3581" s="591"/>
      <c r="T3581" s="737"/>
      <c r="U3581" s="1059"/>
      <c r="V3581" s="737"/>
      <c r="W3581" s="737"/>
      <c r="X3581" s="737"/>
      <c r="Y3581" s="737"/>
      <c r="Z3581" s="737"/>
    </row>
    <row r="3582" spans="1:26" s="71" customFormat="1" hidden="1">
      <c r="A3582" s="590">
        <f t="shared" si="525"/>
        <v>3</v>
      </c>
      <c r="B3582" s="592" t="s">
        <v>2877</v>
      </c>
      <c r="C3582" s="593" t="s">
        <v>221</v>
      </c>
      <c r="D3582" s="646">
        <v>2044</v>
      </c>
      <c r="E3582" s="646">
        <v>576</v>
      </c>
      <c r="F3582" s="646" t="s">
        <v>222</v>
      </c>
      <c r="G3582" s="646">
        <v>650</v>
      </c>
      <c r="H3582" s="582">
        <v>2</v>
      </c>
      <c r="I3582" s="582">
        <v>2</v>
      </c>
      <c r="J3582" s="582">
        <v>8</v>
      </c>
      <c r="K3582" s="590" t="s">
        <v>33</v>
      </c>
      <c r="L3582" s="595">
        <f>M3582+N3582+O3582+P3582+Q3582</f>
        <v>1353820</v>
      </c>
      <c r="M3582" s="585">
        <v>1300000</v>
      </c>
      <c r="N3582" s="586">
        <v>26000</v>
      </c>
      <c r="O3582" s="587"/>
      <c r="P3582" s="586"/>
      <c r="Q3582" s="586">
        <f t="shared" si="524"/>
        <v>27820</v>
      </c>
      <c r="R3582" s="582">
        <f>M3582/G3582</f>
        <v>2000</v>
      </c>
      <c r="S3582" s="591"/>
      <c r="T3582" s="737"/>
      <c r="U3582" s="1059"/>
      <c r="V3582" s="737"/>
      <c r="W3582" s="737"/>
      <c r="X3582" s="737"/>
      <c r="Y3582" s="737"/>
      <c r="Z3582" s="737"/>
    </row>
    <row r="3583" spans="1:26" s="71" customFormat="1" hidden="1">
      <c r="A3583" s="590">
        <f t="shared" si="525"/>
        <v>4</v>
      </c>
      <c r="B3583" s="592" t="s">
        <v>2878</v>
      </c>
      <c r="C3583" s="593" t="s">
        <v>221</v>
      </c>
      <c r="D3583" s="646">
        <v>1532</v>
      </c>
      <c r="E3583" s="646">
        <v>500</v>
      </c>
      <c r="F3583" s="646" t="s">
        <v>222</v>
      </c>
      <c r="G3583" s="646">
        <v>660</v>
      </c>
      <c r="H3583" s="582">
        <v>2</v>
      </c>
      <c r="I3583" s="582">
        <v>2</v>
      </c>
      <c r="J3583" s="582">
        <v>8</v>
      </c>
      <c r="K3583" s="590" t="s">
        <v>33</v>
      </c>
      <c r="L3583" s="595">
        <f>M3583+N3583+O3583+P3583+Q3583</f>
        <v>1519373</v>
      </c>
      <c r="M3583" s="585">
        <v>1452000</v>
      </c>
      <c r="N3583" s="586">
        <v>36300</v>
      </c>
      <c r="O3583" s="587"/>
      <c r="P3583" s="586"/>
      <c r="Q3583" s="586">
        <f t="shared" si="524"/>
        <v>31073</v>
      </c>
      <c r="R3583" s="582">
        <f>M3583/G3583</f>
        <v>2200</v>
      </c>
      <c r="S3583" s="592"/>
      <c r="T3583" s="738"/>
      <c r="U3583" s="591"/>
      <c r="V3583" s="592"/>
      <c r="W3583" s="737"/>
      <c r="X3583" s="737"/>
      <c r="Y3583" s="737"/>
      <c r="Z3583" s="737"/>
    </row>
    <row r="3584" spans="1:26" s="71" customFormat="1" hidden="1">
      <c r="A3584" s="590">
        <f t="shared" si="525"/>
        <v>5</v>
      </c>
      <c r="B3584" s="616" t="s">
        <v>2879</v>
      </c>
      <c r="C3584" s="593" t="s">
        <v>221</v>
      </c>
      <c r="D3584" s="646">
        <v>3646</v>
      </c>
      <c r="E3584" s="646">
        <v>713</v>
      </c>
      <c r="F3584" s="646" t="s">
        <v>230</v>
      </c>
      <c r="G3584" s="646">
        <v>845</v>
      </c>
      <c r="H3584" s="582">
        <v>2</v>
      </c>
      <c r="I3584" s="582">
        <v>3</v>
      </c>
      <c r="J3584" s="582">
        <v>18</v>
      </c>
      <c r="K3584" s="590" t="s">
        <v>224</v>
      </c>
      <c r="L3584" s="740">
        <f>M3584+N3584+O3584+P3584+Q3584</f>
        <v>428234</v>
      </c>
      <c r="M3584" s="741">
        <v>396000</v>
      </c>
      <c r="N3584" s="742">
        <v>23760</v>
      </c>
      <c r="O3584" s="743"/>
      <c r="P3584" s="742"/>
      <c r="Q3584" s="586">
        <f t="shared" si="524"/>
        <v>8474</v>
      </c>
      <c r="R3584" s="744">
        <f>M3584/J3584</f>
        <v>22000</v>
      </c>
      <c r="S3584" s="591"/>
      <c r="T3584" s="737"/>
      <c r="U3584" s="1059"/>
      <c r="V3584" s="737"/>
      <c r="W3584" s="737"/>
      <c r="X3584" s="737"/>
      <c r="Y3584" s="737"/>
      <c r="Z3584" s="737"/>
    </row>
    <row r="3585" spans="1:26" s="71" customFormat="1" hidden="1">
      <c r="A3585" s="590">
        <f t="shared" si="525"/>
        <v>6</v>
      </c>
      <c r="B3585" s="592" t="s">
        <v>2880</v>
      </c>
      <c r="C3585" s="593" t="s">
        <v>221</v>
      </c>
      <c r="D3585" s="646">
        <v>4630</v>
      </c>
      <c r="E3585" s="646">
        <v>877</v>
      </c>
      <c r="F3585" s="646" t="s">
        <v>222</v>
      </c>
      <c r="G3585" s="646">
        <v>1134.4549999999999</v>
      </c>
      <c r="H3585" s="582">
        <v>2</v>
      </c>
      <c r="I3585" s="582">
        <v>3</v>
      </c>
      <c r="J3585" s="582">
        <v>24</v>
      </c>
      <c r="K3585" s="590" t="s">
        <v>33</v>
      </c>
      <c r="L3585" s="595">
        <f>M3585+N3585+O3585+P3585+Q3585</f>
        <v>2574169</v>
      </c>
      <c r="M3585" s="585">
        <v>2495801</v>
      </c>
      <c r="N3585" s="586">
        <v>24958</v>
      </c>
      <c r="O3585" s="587"/>
      <c r="P3585" s="586"/>
      <c r="Q3585" s="586">
        <f t="shared" si="524"/>
        <v>53410</v>
      </c>
      <c r="R3585" s="582">
        <f>M3585/G3585</f>
        <v>2200</v>
      </c>
      <c r="S3585" s="592"/>
      <c r="T3585" s="738"/>
      <c r="U3585" s="591"/>
      <c r="V3585" s="737"/>
      <c r="W3585" s="737"/>
      <c r="X3585" s="737"/>
      <c r="Y3585" s="737"/>
      <c r="Z3585" s="737"/>
    </row>
    <row r="3586" spans="1:26" s="71" customFormat="1" hidden="1">
      <c r="A3586" s="590">
        <f t="shared" si="525"/>
        <v>7</v>
      </c>
      <c r="B3586" s="592" t="s">
        <v>2881</v>
      </c>
      <c r="C3586" s="593" t="s">
        <v>221</v>
      </c>
      <c r="D3586" s="646">
        <v>3669</v>
      </c>
      <c r="E3586" s="646">
        <v>713</v>
      </c>
      <c r="F3586" s="646" t="s">
        <v>222</v>
      </c>
      <c r="G3586" s="646">
        <v>845</v>
      </c>
      <c r="H3586" s="582">
        <v>2</v>
      </c>
      <c r="I3586" s="582">
        <v>3</v>
      </c>
      <c r="J3586" s="582">
        <v>18</v>
      </c>
      <c r="K3586" s="590" t="s">
        <v>238</v>
      </c>
      <c r="L3586" s="584">
        <f>M3586+N3586+O3586+Q3586</f>
        <v>573156</v>
      </c>
      <c r="M3586" s="585">
        <v>540000</v>
      </c>
      <c r="N3586" s="586">
        <v>21600</v>
      </c>
      <c r="O3586" s="587"/>
      <c r="P3586" s="586"/>
      <c r="Q3586" s="586">
        <f t="shared" si="524"/>
        <v>11556</v>
      </c>
      <c r="R3586" s="582">
        <f>M3586/J3586</f>
        <v>30000</v>
      </c>
      <c r="S3586" s="591"/>
      <c r="T3586" s="737"/>
      <c r="U3586" s="1059"/>
      <c r="V3586" s="737"/>
      <c r="W3586" s="737"/>
      <c r="X3586" s="737"/>
      <c r="Y3586" s="737"/>
      <c r="Z3586" s="737"/>
    </row>
    <row r="3587" spans="1:26" s="71" customFormat="1" hidden="1">
      <c r="A3587" s="590">
        <f t="shared" si="525"/>
        <v>8</v>
      </c>
      <c r="B3587" s="592" t="s">
        <v>2882</v>
      </c>
      <c r="C3587" s="593" t="s">
        <v>221</v>
      </c>
      <c r="D3587" s="646">
        <v>4967</v>
      </c>
      <c r="E3587" s="646">
        <v>686</v>
      </c>
      <c r="F3587" s="646" t="s">
        <v>222</v>
      </c>
      <c r="G3587" s="646">
        <v>845</v>
      </c>
      <c r="H3587" s="582">
        <v>2</v>
      </c>
      <c r="I3587" s="582">
        <v>3</v>
      </c>
      <c r="J3587" s="582">
        <v>18</v>
      </c>
      <c r="K3587" s="590" t="s">
        <v>238</v>
      </c>
      <c r="L3587" s="584">
        <f>M3587+N3587+O3587+Q3587</f>
        <v>573156</v>
      </c>
      <c r="M3587" s="585">
        <v>540000</v>
      </c>
      <c r="N3587" s="586">
        <v>21600</v>
      </c>
      <c r="O3587" s="587"/>
      <c r="P3587" s="586"/>
      <c r="Q3587" s="586">
        <f t="shared" si="524"/>
        <v>11556</v>
      </c>
      <c r="R3587" s="582">
        <f>M3587/J3587</f>
        <v>30000</v>
      </c>
      <c r="S3587" s="591"/>
      <c r="T3587" s="737"/>
      <c r="U3587" s="1059"/>
      <c r="V3587" s="737"/>
      <c r="W3587" s="737"/>
      <c r="X3587" s="737"/>
      <c r="Y3587" s="737"/>
      <c r="Z3587" s="737"/>
    </row>
    <row r="3588" spans="1:26" s="71" customFormat="1" hidden="1">
      <c r="A3588" s="590">
        <f t="shared" si="525"/>
        <v>9</v>
      </c>
      <c r="B3588" s="616" t="s">
        <v>2883</v>
      </c>
      <c r="C3588" s="593" t="s">
        <v>221</v>
      </c>
      <c r="D3588" s="646">
        <v>12300</v>
      </c>
      <c r="E3588" s="646">
        <v>2163</v>
      </c>
      <c r="F3588" s="646" t="s">
        <v>227</v>
      </c>
      <c r="G3588" s="646">
        <v>860</v>
      </c>
      <c r="H3588" s="582">
        <v>5</v>
      </c>
      <c r="I3588" s="582">
        <v>4</v>
      </c>
      <c r="J3588" s="582">
        <v>60</v>
      </c>
      <c r="K3588" s="590" t="s">
        <v>33</v>
      </c>
      <c r="L3588" s="746">
        <f>M3588+N3588+O3588+P3588+Q3588</f>
        <v>1761968</v>
      </c>
      <c r="M3588" s="745">
        <v>1720000</v>
      </c>
      <c r="N3588" s="802"/>
      <c r="O3588" s="736">
        <f>ROUND(M3588*0.3%,0)</f>
        <v>5160</v>
      </c>
      <c r="P3588" s="802"/>
      <c r="Q3588" s="586">
        <f t="shared" si="524"/>
        <v>36808</v>
      </c>
      <c r="R3588" s="803">
        <f>M3588/G3588</f>
        <v>2000</v>
      </c>
      <c r="S3588" s="591"/>
      <c r="T3588" s="737"/>
      <c r="U3588" s="1059"/>
      <c r="V3588" s="737"/>
      <c r="W3588" s="737"/>
      <c r="X3588" s="737"/>
      <c r="Y3588" s="737"/>
      <c r="Z3588" s="737"/>
    </row>
    <row r="3589" spans="1:26" s="71" customFormat="1" hidden="1">
      <c r="A3589" s="590">
        <f t="shared" si="525"/>
        <v>10</v>
      </c>
      <c r="B3589" s="616" t="s">
        <v>2884</v>
      </c>
      <c r="C3589" s="602" t="s">
        <v>217</v>
      </c>
      <c r="D3589" s="646">
        <v>3343</v>
      </c>
      <c r="E3589" s="646">
        <v>673</v>
      </c>
      <c r="F3589" s="646" t="s">
        <v>227</v>
      </c>
      <c r="G3589" s="646">
        <v>644</v>
      </c>
      <c r="H3589" s="582">
        <v>2</v>
      </c>
      <c r="I3589" s="582">
        <v>2</v>
      </c>
      <c r="J3589" s="582">
        <v>16</v>
      </c>
      <c r="K3589" s="590" t="s">
        <v>238</v>
      </c>
      <c r="L3589" s="584">
        <f>M3589+N3589+O3589+Q3589</f>
        <v>511872</v>
      </c>
      <c r="M3589" s="585">
        <v>480000</v>
      </c>
      <c r="N3589" s="586">
        <v>21600</v>
      </c>
      <c r="O3589" s="587"/>
      <c r="P3589" s="586"/>
      <c r="Q3589" s="586">
        <f t="shared" si="524"/>
        <v>10272</v>
      </c>
      <c r="R3589" s="582">
        <f>M3589/J3589</f>
        <v>30000</v>
      </c>
      <c r="S3589" s="591"/>
      <c r="T3589" s="737"/>
      <c r="U3589" s="1059"/>
      <c r="V3589" s="737"/>
      <c r="W3589" s="737"/>
      <c r="X3589" s="737"/>
      <c r="Y3589" s="737"/>
      <c r="Z3589" s="737"/>
    </row>
    <row r="3590" spans="1:26" s="71" customFormat="1" hidden="1">
      <c r="A3590" s="590">
        <f t="shared" si="525"/>
        <v>11</v>
      </c>
      <c r="B3590" s="592" t="s">
        <v>2885</v>
      </c>
      <c r="C3590" s="593" t="s">
        <v>221</v>
      </c>
      <c r="D3590" s="646">
        <v>12204</v>
      </c>
      <c r="E3590" s="646">
        <v>2280</v>
      </c>
      <c r="F3590" s="646" t="s">
        <v>222</v>
      </c>
      <c r="G3590" s="646">
        <v>1064</v>
      </c>
      <c r="H3590" s="582">
        <v>5</v>
      </c>
      <c r="I3590" s="582">
        <v>4</v>
      </c>
      <c r="J3590" s="582">
        <v>80</v>
      </c>
      <c r="K3590" s="590" t="s">
        <v>224</v>
      </c>
      <c r="L3590" s="740">
        <f>M3590+N3590+O3590+P3590+Q3590</f>
        <v>1824064</v>
      </c>
      <c r="M3590" s="741">
        <v>1760000</v>
      </c>
      <c r="N3590" s="742">
        <v>26400</v>
      </c>
      <c r="O3590" s="743"/>
      <c r="P3590" s="742"/>
      <c r="Q3590" s="586">
        <f t="shared" si="524"/>
        <v>37664</v>
      </c>
      <c r="R3590" s="744">
        <f>M3590/J3590</f>
        <v>22000</v>
      </c>
      <c r="S3590" s="591"/>
      <c r="T3590" s="737"/>
      <c r="U3590" s="1059"/>
      <c r="V3590" s="737"/>
      <c r="W3590" s="737"/>
      <c r="X3590" s="737"/>
      <c r="Y3590" s="737"/>
      <c r="Z3590" s="737"/>
    </row>
    <row r="3591" spans="1:26" s="28" customFormat="1" hidden="1">
      <c r="A3591" s="590">
        <f t="shared" si="525"/>
        <v>12</v>
      </c>
      <c r="B3591" s="616" t="s">
        <v>2886</v>
      </c>
      <c r="C3591" s="593" t="s">
        <v>221</v>
      </c>
      <c r="D3591" s="646">
        <v>1746</v>
      </c>
      <c r="E3591" s="646">
        <v>419</v>
      </c>
      <c r="F3591" s="646" t="s">
        <v>222</v>
      </c>
      <c r="G3591" s="646">
        <v>410</v>
      </c>
      <c r="H3591" s="582">
        <v>2</v>
      </c>
      <c r="I3591" s="582">
        <v>1</v>
      </c>
      <c r="J3591" s="582">
        <v>8</v>
      </c>
      <c r="K3591" s="590" t="s">
        <v>33</v>
      </c>
      <c r="L3591" s="595">
        <f>M3591+N3591+O3591+P3591+Q3591</f>
        <v>858048</v>
      </c>
      <c r="M3591" s="585">
        <v>820000</v>
      </c>
      <c r="N3591" s="586">
        <v>20500</v>
      </c>
      <c r="O3591" s="587"/>
      <c r="P3591" s="586"/>
      <c r="Q3591" s="586">
        <f t="shared" si="524"/>
        <v>17548</v>
      </c>
      <c r="R3591" s="582">
        <f>M3591/G3591</f>
        <v>2000</v>
      </c>
      <c r="S3591" s="592"/>
      <c r="T3591" s="738"/>
      <c r="U3591" s="591"/>
      <c r="V3591" s="592"/>
      <c r="W3591" s="592"/>
      <c r="X3591" s="592"/>
      <c r="Y3591" s="592"/>
      <c r="Z3591" s="592"/>
    </row>
    <row r="3592" spans="1:26" s="71" customFormat="1" hidden="1">
      <c r="A3592" s="590">
        <f t="shared" si="525"/>
        <v>13</v>
      </c>
      <c r="B3592" s="592" t="s">
        <v>2887</v>
      </c>
      <c r="C3592" s="593" t="s">
        <v>221</v>
      </c>
      <c r="D3592" s="646">
        <v>13028</v>
      </c>
      <c r="E3592" s="646">
        <v>2310</v>
      </c>
      <c r="F3592" s="646" t="s">
        <v>227</v>
      </c>
      <c r="G3592" s="646">
        <v>860</v>
      </c>
      <c r="H3592" s="582">
        <v>5</v>
      </c>
      <c r="I3592" s="582">
        <v>4</v>
      </c>
      <c r="J3592" s="582">
        <v>52</v>
      </c>
      <c r="K3592" s="590" t="s">
        <v>33</v>
      </c>
      <c r="L3592" s="595">
        <f>M3592+N3592+O3592+P3592+Q3592</f>
        <v>1761968</v>
      </c>
      <c r="M3592" s="745">
        <v>1720000</v>
      </c>
      <c r="N3592" s="802"/>
      <c r="O3592" s="736">
        <f>ROUND(M3592*0.3%,0)</f>
        <v>5160</v>
      </c>
      <c r="P3592" s="802"/>
      <c r="Q3592" s="586">
        <f t="shared" si="524"/>
        <v>36808</v>
      </c>
      <c r="R3592" s="803">
        <f>M3592/G3592</f>
        <v>2000</v>
      </c>
      <c r="S3592" s="592"/>
      <c r="T3592" s="738"/>
      <c r="U3592" s="591"/>
      <c r="V3592" s="737"/>
      <c r="W3592" s="737"/>
      <c r="X3592" s="737"/>
      <c r="Y3592" s="737"/>
      <c r="Z3592" s="737"/>
    </row>
    <row r="3593" spans="1:26" s="28" customFormat="1" hidden="1">
      <c r="A3593" s="590">
        <f t="shared" si="525"/>
        <v>14</v>
      </c>
      <c r="B3593" s="592" t="s">
        <v>2888</v>
      </c>
      <c r="C3593" s="593" t="s">
        <v>221</v>
      </c>
      <c r="D3593" s="646">
        <v>2696</v>
      </c>
      <c r="E3593" s="646">
        <v>574</v>
      </c>
      <c r="F3593" s="646" t="s">
        <v>222</v>
      </c>
      <c r="G3593" s="646">
        <v>690</v>
      </c>
      <c r="H3593" s="582">
        <v>2</v>
      </c>
      <c r="I3593" s="582">
        <v>2</v>
      </c>
      <c r="J3593" s="582">
        <v>16</v>
      </c>
      <c r="K3593" s="590" t="s">
        <v>33</v>
      </c>
      <c r="L3593" s="595">
        <f>M3593+N3593+O3593+P3593+Q3593</f>
        <v>1437132</v>
      </c>
      <c r="M3593" s="585">
        <v>1380000</v>
      </c>
      <c r="N3593" s="586">
        <v>27600</v>
      </c>
      <c r="O3593" s="587"/>
      <c r="P3593" s="586"/>
      <c r="Q3593" s="586">
        <f t="shared" si="524"/>
        <v>29532</v>
      </c>
      <c r="R3593" s="582">
        <f>M3593/G3593</f>
        <v>2000</v>
      </c>
      <c r="S3593" s="592"/>
      <c r="T3593" s="738"/>
      <c r="U3593" s="591"/>
      <c r="V3593" s="592"/>
      <c r="W3593" s="592"/>
      <c r="X3593" s="592"/>
      <c r="Y3593" s="592"/>
      <c r="Z3593" s="592"/>
    </row>
    <row r="3594" spans="1:26" s="71" customFormat="1" hidden="1">
      <c r="A3594" s="590">
        <f t="shared" si="525"/>
        <v>15</v>
      </c>
      <c r="B3594" s="592" t="s">
        <v>2890</v>
      </c>
      <c r="C3594" s="593" t="s">
        <v>221</v>
      </c>
      <c r="D3594" s="646">
        <v>1584</v>
      </c>
      <c r="E3594" s="646">
        <v>408</v>
      </c>
      <c r="F3594" s="646" t="s">
        <v>222</v>
      </c>
      <c r="G3594" s="646">
        <v>410</v>
      </c>
      <c r="H3594" s="582">
        <v>2</v>
      </c>
      <c r="I3594" s="582">
        <v>4</v>
      </c>
      <c r="J3594" s="582">
        <v>12</v>
      </c>
      <c r="K3594" s="590" t="s">
        <v>33</v>
      </c>
      <c r="L3594" s="595">
        <f>M3594+N3594+O3594+P3594+Q3594</f>
        <v>943853</v>
      </c>
      <c r="M3594" s="585">
        <v>902000</v>
      </c>
      <c r="N3594" s="586">
        <v>22550</v>
      </c>
      <c r="O3594" s="587"/>
      <c r="P3594" s="586"/>
      <c r="Q3594" s="586">
        <f t="shared" si="524"/>
        <v>19303</v>
      </c>
      <c r="R3594" s="582">
        <f>M3594/G3594</f>
        <v>2200</v>
      </c>
      <c r="S3594" s="591"/>
      <c r="T3594" s="737"/>
      <c r="U3594" s="1059"/>
      <c r="V3594" s="737"/>
      <c r="W3594" s="737"/>
      <c r="X3594" s="737"/>
      <c r="Y3594" s="737"/>
      <c r="Z3594" s="737"/>
    </row>
    <row r="3595" spans="1:26" s="71" customFormat="1" hidden="1">
      <c r="A3595" s="590">
        <f t="shared" si="525"/>
        <v>16</v>
      </c>
      <c r="B3595" s="592" t="s">
        <v>2891</v>
      </c>
      <c r="C3595" s="593" t="s">
        <v>221</v>
      </c>
      <c r="D3595" s="646">
        <v>26480</v>
      </c>
      <c r="E3595" s="646">
        <v>2793</v>
      </c>
      <c r="F3595" s="646" t="s">
        <v>227</v>
      </c>
      <c r="G3595" s="646">
        <v>1471</v>
      </c>
      <c r="H3595" s="582">
        <v>5</v>
      </c>
      <c r="I3595" s="582">
        <v>7</v>
      </c>
      <c r="J3595" s="582">
        <v>65</v>
      </c>
      <c r="K3595" s="590" t="s">
        <v>238</v>
      </c>
      <c r="L3595" s="584">
        <f>M3595+N3595+O3595+Q3595</f>
        <v>2020980</v>
      </c>
      <c r="M3595" s="585">
        <v>1950000</v>
      </c>
      <c r="N3595" s="586">
        <v>29250</v>
      </c>
      <c r="O3595" s="587"/>
      <c r="P3595" s="586"/>
      <c r="Q3595" s="586">
        <f t="shared" si="524"/>
        <v>41730</v>
      </c>
      <c r="R3595" s="582">
        <f>M3595/J3595</f>
        <v>30000</v>
      </c>
      <c r="S3595" s="591"/>
      <c r="T3595" s="737"/>
      <c r="U3595" s="1059"/>
      <c r="V3595" s="737"/>
      <c r="W3595" s="737"/>
      <c r="X3595" s="737"/>
      <c r="Y3595" s="737"/>
      <c r="Z3595" s="737"/>
    </row>
    <row r="3596" spans="1:26" s="71" customFormat="1" hidden="1">
      <c r="A3596" s="590">
        <f t="shared" si="525"/>
        <v>17</v>
      </c>
      <c r="B3596" s="616" t="s">
        <v>2892</v>
      </c>
      <c r="C3596" s="593" t="s">
        <v>221</v>
      </c>
      <c r="D3596" s="646">
        <v>3241</v>
      </c>
      <c r="E3596" s="646">
        <v>614</v>
      </c>
      <c r="F3596" s="646" t="s">
        <v>222</v>
      </c>
      <c r="G3596" s="646">
        <v>845</v>
      </c>
      <c r="H3596" s="582">
        <v>2</v>
      </c>
      <c r="I3596" s="582">
        <v>2</v>
      </c>
      <c r="J3596" s="582">
        <v>16</v>
      </c>
      <c r="K3596" s="590" t="s">
        <v>33</v>
      </c>
      <c r="L3596" s="595">
        <f>M3596+N3596+O3596+P3596+Q3596</f>
        <v>1926668</v>
      </c>
      <c r="M3596" s="585">
        <v>1859000</v>
      </c>
      <c r="N3596" s="586">
        <v>27885</v>
      </c>
      <c r="O3596" s="587"/>
      <c r="P3596" s="586"/>
      <c r="Q3596" s="586">
        <f t="shared" si="524"/>
        <v>39783</v>
      </c>
      <c r="R3596" s="582">
        <f>M3596/G3596</f>
        <v>2200</v>
      </c>
      <c r="S3596" s="591"/>
      <c r="T3596" s="737"/>
      <c r="U3596" s="1059"/>
      <c r="V3596" s="737"/>
      <c r="W3596" s="737"/>
      <c r="X3596" s="737"/>
      <c r="Y3596" s="737"/>
      <c r="Z3596" s="737"/>
    </row>
    <row r="3597" spans="1:26" s="71" customFormat="1" hidden="1">
      <c r="A3597" s="590">
        <f t="shared" si="525"/>
        <v>18</v>
      </c>
      <c r="B3597" s="616" t="s">
        <v>2893</v>
      </c>
      <c r="C3597" s="593" t="s">
        <v>217</v>
      </c>
      <c r="D3597" s="646">
        <v>3200</v>
      </c>
      <c r="E3597" s="646">
        <v>963</v>
      </c>
      <c r="F3597" s="646" t="s">
        <v>222</v>
      </c>
      <c r="G3597" s="646">
        <v>860</v>
      </c>
      <c r="H3597" s="582">
        <v>2</v>
      </c>
      <c r="I3597" s="582">
        <v>2</v>
      </c>
      <c r="J3597" s="582">
        <v>16</v>
      </c>
      <c r="K3597" s="590" t="s">
        <v>33</v>
      </c>
      <c r="L3597" s="595">
        <f>M3597+N3597+O3597+P3597+Q3597</f>
        <v>2223597</v>
      </c>
      <c r="M3597" s="585">
        <v>2145500</v>
      </c>
      <c r="N3597" s="586">
        <v>32183</v>
      </c>
      <c r="O3597" s="587"/>
      <c r="P3597" s="586"/>
      <c r="Q3597" s="586">
        <f t="shared" si="524"/>
        <v>45914</v>
      </c>
      <c r="R3597" s="582">
        <f>M3597/G3597</f>
        <v>2494.7674418604652</v>
      </c>
      <c r="S3597" s="591"/>
      <c r="T3597" s="737"/>
      <c r="U3597" s="1059"/>
      <c r="V3597" s="737"/>
      <c r="W3597" s="737"/>
      <c r="X3597" s="737"/>
      <c r="Y3597" s="737"/>
      <c r="Z3597" s="737"/>
    </row>
    <row r="3598" spans="1:26" s="71" customFormat="1" hidden="1">
      <c r="A3598" s="590">
        <f t="shared" si="525"/>
        <v>19</v>
      </c>
      <c r="B3598" s="616" t="s">
        <v>2894</v>
      </c>
      <c r="C3598" s="593" t="s">
        <v>221</v>
      </c>
      <c r="D3598" s="646">
        <v>3200</v>
      </c>
      <c r="E3598" s="646">
        <v>929</v>
      </c>
      <c r="F3598" s="646" t="s">
        <v>222</v>
      </c>
      <c r="G3598" s="646">
        <v>860</v>
      </c>
      <c r="H3598" s="582">
        <v>2</v>
      </c>
      <c r="I3598" s="582">
        <v>2</v>
      </c>
      <c r="J3598" s="582">
        <v>16</v>
      </c>
      <c r="K3598" s="590" t="s">
        <v>33</v>
      </c>
      <c r="L3598" s="595">
        <f>M3598+N3598+O3598+P3598+Q3598</f>
        <v>2228344</v>
      </c>
      <c r="M3598" s="585">
        <v>2150081</v>
      </c>
      <c r="N3598" s="586">
        <v>32251</v>
      </c>
      <c r="O3598" s="587"/>
      <c r="P3598" s="586"/>
      <c r="Q3598" s="586">
        <f t="shared" si="524"/>
        <v>46012</v>
      </c>
      <c r="R3598" s="582">
        <f>M3598/G3598</f>
        <v>2500.0941860465118</v>
      </c>
      <c r="S3598" s="591"/>
      <c r="T3598" s="737"/>
      <c r="U3598" s="1059"/>
      <c r="V3598" s="737"/>
      <c r="W3598" s="737"/>
      <c r="X3598" s="737"/>
      <c r="Y3598" s="737"/>
      <c r="Z3598" s="737"/>
    </row>
    <row r="3599" spans="1:26" s="86" customFormat="1" hidden="1">
      <c r="A3599" s="590">
        <f t="shared" si="525"/>
        <v>20</v>
      </c>
      <c r="B3599" s="616" t="s">
        <v>4315</v>
      </c>
      <c r="C3599" s="593" t="s">
        <v>221</v>
      </c>
      <c r="D3599" s="646">
        <v>14673</v>
      </c>
      <c r="E3599" s="646">
        <v>2592</v>
      </c>
      <c r="F3599" s="646" t="s">
        <v>222</v>
      </c>
      <c r="G3599" s="646">
        <v>1271.6600000000001</v>
      </c>
      <c r="H3599" s="582">
        <v>5</v>
      </c>
      <c r="I3599" s="582">
        <v>4</v>
      </c>
      <c r="J3599" s="582">
        <v>67</v>
      </c>
      <c r="K3599" s="590" t="s">
        <v>33</v>
      </c>
      <c r="L3599" s="595">
        <f>M3599+N3599+O3599+P3599+Q3599</f>
        <v>3541293.82</v>
      </c>
      <c r="M3599" s="585">
        <v>3433482</v>
      </c>
      <c r="N3599" s="586">
        <v>34334.82</v>
      </c>
      <c r="O3599" s="587"/>
      <c r="P3599" s="586"/>
      <c r="Q3599" s="586">
        <v>73477</v>
      </c>
      <c r="R3599" s="582">
        <f>M3599/G3599</f>
        <v>2700</v>
      </c>
      <c r="S3599" s="591"/>
      <c r="T3599" s="737"/>
      <c r="U3599" s="1059"/>
      <c r="V3599" s="737"/>
      <c r="W3599" s="737"/>
      <c r="X3599" s="737"/>
      <c r="Y3599" s="737"/>
      <c r="Z3599" s="737"/>
    </row>
    <row r="3600" spans="1:26" s="28" customFormat="1" hidden="1">
      <c r="A3600" s="1362" t="s">
        <v>121</v>
      </c>
      <c r="B3600" s="1362"/>
      <c r="C3600" s="586" t="s">
        <v>28</v>
      </c>
      <c r="D3600" s="646">
        <f>SUM(D3580:D3599)</f>
        <v>120415</v>
      </c>
      <c r="E3600" s="646">
        <f>SUM(E3580:E3599)</f>
        <v>21485</v>
      </c>
      <c r="F3600" s="646" t="s">
        <v>28</v>
      </c>
      <c r="G3600" s="646">
        <f>SUM(G3580:G3599)</f>
        <v>15985.115</v>
      </c>
      <c r="H3600" s="582" t="s">
        <v>28</v>
      </c>
      <c r="I3600" s="582" t="s">
        <v>28</v>
      </c>
      <c r="J3600" s="582">
        <f>SUM(J3580:J3599)</f>
        <v>531</v>
      </c>
      <c r="K3600" s="588" t="s">
        <v>28</v>
      </c>
      <c r="L3600" s="584">
        <f>SUM(L3580:L3599)</f>
        <v>29001327.82</v>
      </c>
      <c r="M3600" s="585">
        <f>SUM(M3580:M3599)</f>
        <v>27923864</v>
      </c>
      <c r="N3600" s="586">
        <f>SUM(N3580:N3599)</f>
        <v>469571.82</v>
      </c>
      <c r="O3600" s="587">
        <f>SUM(O3580:O3599)</f>
        <v>10320</v>
      </c>
      <c r="P3600" s="586"/>
      <c r="Q3600" s="586">
        <f>SUM(Q3580:Q3599)</f>
        <v>597572</v>
      </c>
      <c r="R3600" s="582" t="s">
        <v>28</v>
      </c>
      <c r="S3600" s="592"/>
      <c r="T3600" s="645"/>
      <c r="U3600" s="1059"/>
      <c r="V3600" s="592"/>
      <c r="W3600" s="592"/>
      <c r="X3600" s="592"/>
      <c r="Y3600" s="592"/>
      <c r="Z3600" s="592"/>
    </row>
    <row r="3601" spans="1:222" s="28" customFormat="1" hidden="1">
      <c r="A3601" s="1347" t="s">
        <v>55</v>
      </c>
      <c r="B3601" s="1347"/>
      <c r="C3601" s="1347"/>
      <c r="D3601" s="1347"/>
      <c r="E3601" s="1347"/>
      <c r="F3601" s="1347"/>
      <c r="G3601" s="1347"/>
      <c r="H3601" s="1347"/>
      <c r="I3601" s="1347"/>
      <c r="J3601" s="1347"/>
      <c r="K3601" s="1347"/>
      <c r="L3601" s="1347"/>
      <c r="M3601" s="1347"/>
      <c r="N3601" s="1347"/>
      <c r="O3601" s="1347"/>
      <c r="P3601" s="1347"/>
      <c r="Q3601" s="1347"/>
      <c r="R3601" s="590"/>
      <c r="S3601" s="592"/>
      <c r="T3601" s="645"/>
      <c r="U3601" s="1059"/>
      <c r="V3601" s="592"/>
      <c r="W3601" s="592"/>
      <c r="X3601" s="592"/>
      <c r="Y3601" s="592"/>
      <c r="Z3601" s="592"/>
    </row>
    <row r="3602" spans="1:222" s="545" customFormat="1" ht="37.5" hidden="1">
      <c r="A3602" s="590">
        <v>1</v>
      </c>
      <c r="B3602" s="621" t="s">
        <v>2895</v>
      </c>
      <c r="C3602" s="593" t="s">
        <v>221</v>
      </c>
      <c r="D3602" s="1073">
        <v>2392</v>
      </c>
      <c r="E3602" s="1073">
        <v>460</v>
      </c>
      <c r="F3602" s="1073" t="s">
        <v>222</v>
      </c>
      <c r="G3602" s="1073">
        <v>660</v>
      </c>
      <c r="H3602" s="1074">
        <v>2</v>
      </c>
      <c r="I3602" s="1074">
        <v>2</v>
      </c>
      <c r="J3602" s="1074">
        <v>12</v>
      </c>
      <c r="K3602" s="1075" t="s">
        <v>274</v>
      </c>
      <c r="L3602" s="746">
        <f>SUM(M3602:Q3602)</f>
        <v>1408228</v>
      </c>
      <c r="M3602" s="745">
        <v>1358768</v>
      </c>
      <c r="N3602" s="802">
        <v>20382</v>
      </c>
      <c r="O3602" s="822"/>
      <c r="P3602" s="802"/>
      <c r="Q3602" s="586">
        <f>ROUND(M3602*2.14%,0)</f>
        <v>29078</v>
      </c>
      <c r="R3602" s="803">
        <f>M3602/G3602</f>
        <v>2058.7393939393937</v>
      </c>
      <c r="S3602" s="1077"/>
      <c r="T3602" s="1077"/>
      <c r="U3602" s="1059"/>
      <c r="V3602" s="1077"/>
      <c r="W3602" s="1077"/>
      <c r="X3602" s="1077"/>
      <c r="Y3602" s="1077"/>
      <c r="Z3602" s="1077"/>
    </row>
    <row r="3603" spans="1:222" s="545" customFormat="1" ht="37.5" hidden="1">
      <c r="A3603" s="590">
        <v>2</v>
      </c>
      <c r="B3603" s="621" t="s">
        <v>2896</v>
      </c>
      <c r="C3603" s="593" t="s">
        <v>221</v>
      </c>
      <c r="D3603" s="1073">
        <v>2954</v>
      </c>
      <c r="E3603" s="1073">
        <v>547</v>
      </c>
      <c r="F3603" s="1073" t="s">
        <v>222</v>
      </c>
      <c r="G3603" s="1073">
        <v>680</v>
      </c>
      <c r="H3603" s="1074">
        <v>2</v>
      </c>
      <c r="I3603" s="1074">
        <v>2</v>
      </c>
      <c r="J3603" s="1074">
        <v>16</v>
      </c>
      <c r="K3603" s="1075" t="s">
        <v>274</v>
      </c>
      <c r="L3603" s="746">
        <f>SUM(M3603:Q3603)</f>
        <v>1479979</v>
      </c>
      <c r="M3603" s="745">
        <v>1428000</v>
      </c>
      <c r="N3603" s="802">
        <v>21420</v>
      </c>
      <c r="O3603" s="822"/>
      <c r="P3603" s="802"/>
      <c r="Q3603" s="586">
        <f>ROUND(M3603*2.14%,0)</f>
        <v>30559</v>
      </c>
      <c r="R3603" s="803">
        <f>M3603/G3603</f>
        <v>2100</v>
      </c>
      <c r="S3603" s="1077"/>
      <c r="T3603" s="1077"/>
      <c r="U3603" s="1059"/>
      <c r="V3603" s="1077"/>
      <c r="W3603" s="1077"/>
      <c r="X3603" s="1077"/>
      <c r="Y3603" s="1077"/>
      <c r="Z3603" s="1077"/>
    </row>
    <row r="3604" spans="1:222" s="28" customFormat="1" hidden="1">
      <c r="A3604" s="1349" t="s">
        <v>56</v>
      </c>
      <c r="B3604" s="1349"/>
      <c r="C3604" s="586" t="s">
        <v>28</v>
      </c>
      <c r="D3604" s="646">
        <f>SUM(D3602:D3603)</f>
        <v>5346</v>
      </c>
      <c r="E3604" s="646">
        <f>SUM(E3602:E3603)</f>
        <v>1007</v>
      </c>
      <c r="F3604" s="646" t="s">
        <v>28</v>
      </c>
      <c r="G3604" s="646">
        <f>SUM(G3602:G3603)</f>
        <v>1340</v>
      </c>
      <c r="H3604" s="582" t="s">
        <v>28</v>
      </c>
      <c r="I3604" s="582" t="s">
        <v>28</v>
      </c>
      <c r="J3604" s="582">
        <f>SUM(J3602:J3603)</f>
        <v>28</v>
      </c>
      <c r="K3604" s="588" t="s">
        <v>28</v>
      </c>
      <c r="L3604" s="584">
        <f>SUM(L3602:L3603)</f>
        <v>2888207</v>
      </c>
      <c r="M3604" s="585">
        <f>SUM(M3602:M3603)</f>
        <v>2786768</v>
      </c>
      <c r="N3604" s="586">
        <f>SUM(N3602:N3603)</f>
        <v>41802</v>
      </c>
      <c r="O3604" s="587"/>
      <c r="P3604" s="586"/>
      <c r="Q3604" s="586">
        <f>SUM(Q3602:Q3603)</f>
        <v>59637</v>
      </c>
      <c r="R3604" s="582" t="s">
        <v>28</v>
      </c>
      <c r="S3604" s="592"/>
      <c r="T3604" s="645"/>
      <c r="U3604" s="1059"/>
      <c r="V3604" s="592"/>
      <c r="W3604" s="592"/>
      <c r="X3604" s="592"/>
      <c r="Y3604" s="592"/>
      <c r="Z3604" s="592"/>
    </row>
    <row r="3605" spans="1:222" s="28" customFormat="1" hidden="1">
      <c r="A3605" s="1347" t="s">
        <v>32</v>
      </c>
      <c r="B3605" s="1347"/>
      <c r="C3605" s="1347"/>
      <c r="D3605" s="1347"/>
      <c r="E3605" s="1347"/>
      <c r="F3605" s="1347"/>
      <c r="G3605" s="1347"/>
      <c r="H3605" s="1347"/>
      <c r="I3605" s="1347"/>
      <c r="J3605" s="1347"/>
      <c r="K3605" s="1347"/>
      <c r="L3605" s="1347"/>
      <c r="M3605" s="1347"/>
      <c r="N3605" s="1347"/>
      <c r="O3605" s="1347"/>
      <c r="P3605" s="1347"/>
      <c r="Q3605" s="1347"/>
      <c r="R3605" s="590"/>
      <c r="S3605" s="592"/>
      <c r="T3605" s="645"/>
      <c r="U3605" s="1059"/>
      <c r="V3605" s="592"/>
      <c r="W3605" s="592"/>
      <c r="X3605" s="592"/>
      <c r="Y3605" s="592"/>
      <c r="Z3605" s="592"/>
    </row>
    <row r="3606" spans="1:222" s="90" customFormat="1" hidden="1">
      <c r="A3606" s="1216">
        <v>1</v>
      </c>
      <c r="B3606" s="875" t="s">
        <v>2897</v>
      </c>
      <c r="C3606" s="744" t="s">
        <v>221</v>
      </c>
      <c r="D3606" s="815">
        <f t="shared" ref="D3606:D3616" si="526">E3606*2.5</f>
        <v>1335</v>
      </c>
      <c r="E3606" s="816">
        <v>534</v>
      </c>
      <c r="F3606" s="815" t="s">
        <v>222</v>
      </c>
      <c r="G3606" s="816">
        <v>849</v>
      </c>
      <c r="H3606" s="803">
        <v>2</v>
      </c>
      <c r="I3606" s="803">
        <v>2</v>
      </c>
      <c r="J3606" s="803">
        <v>16</v>
      </c>
      <c r="K3606" s="812" t="s">
        <v>33</v>
      </c>
      <c r="L3606" s="746">
        <f t="shared" ref="L3606:L3618" si="527">SUM(M3606:Q3606)</f>
        <v>1935788</v>
      </c>
      <c r="M3606" s="745">
        <f t="shared" ref="M3606:M3612" si="528">G3606*2200</f>
        <v>1867800</v>
      </c>
      <c r="N3606" s="802">
        <v>28017</v>
      </c>
      <c r="O3606" s="822"/>
      <c r="P3606" s="802"/>
      <c r="Q3606" s="586">
        <f t="shared" ref="Q3606:Q3617" si="529">ROUND(M3606*2.14%,0)</f>
        <v>39971</v>
      </c>
      <c r="R3606" s="803">
        <f t="shared" ref="R3606:R3617" si="530">M3606/G3606</f>
        <v>2200</v>
      </c>
      <c r="S3606" s="748"/>
      <c r="T3606" s="748"/>
      <c r="U3606" s="1059"/>
      <c r="V3606" s="748"/>
      <c r="W3606" s="748"/>
      <c r="X3606" s="748"/>
      <c r="Y3606" s="748"/>
      <c r="Z3606" s="748"/>
    </row>
    <row r="3607" spans="1:222" s="90" customFormat="1" hidden="1">
      <c r="A3607" s="1216">
        <f t="shared" ref="A3607:A3619" si="531">A3606+1</f>
        <v>2</v>
      </c>
      <c r="B3607" s="875" t="s">
        <v>2898</v>
      </c>
      <c r="C3607" s="700" t="s">
        <v>217</v>
      </c>
      <c r="D3607" s="815">
        <f t="shared" si="526"/>
        <v>1335</v>
      </c>
      <c r="E3607" s="816">
        <v>534</v>
      </c>
      <c r="F3607" s="815" t="s">
        <v>222</v>
      </c>
      <c r="G3607" s="816">
        <v>860</v>
      </c>
      <c r="H3607" s="803">
        <v>2</v>
      </c>
      <c r="I3607" s="803">
        <v>3</v>
      </c>
      <c r="J3607" s="803">
        <v>22</v>
      </c>
      <c r="K3607" s="812" t="s">
        <v>33</v>
      </c>
      <c r="L3607" s="746">
        <f t="shared" si="527"/>
        <v>1960869</v>
      </c>
      <c r="M3607" s="745">
        <f t="shared" si="528"/>
        <v>1892000</v>
      </c>
      <c r="N3607" s="802">
        <v>28380</v>
      </c>
      <c r="O3607" s="822"/>
      <c r="P3607" s="802"/>
      <c r="Q3607" s="586">
        <f t="shared" si="529"/>
        <v>40489</v>
      </c>
      <c r="R3607" s="803">
        <f t="shared" si="530"/>
        <v>2200</v>
      </c>
      <c r="S3607" s="748"/>
      <c r="T3607" s="748"/>
      <c r="U3607" s="1059"/>
      <c r="V3607" s="748"/>
      <c r="W3607" s="748"/>
      <c r="X3607" s="748"/>
      <c r="Y3607" s="748"/>
      <c r="Z3607" s="748"/>
    </row>
    <row r="3608" spans="1:222" s="90" customFormat="1" hidden="1">
      <c r="A3608" s="1216">
        <f t="shared" si="531"/>
        <v>3</v>
      </c>
      <c r="B3608" s="813" t="s">
        <v>2899</v>
      </c>
      <c r="C3608" s="744" t="s">
        <v>221</v>
      </c>
      <c r="D3608" s="815">
        <f t="shared" si="526"/>
        <v>1200</v>
      </c>
      <c r="E3608" s="816">
        <v>480</v>
      </c>
      <c r="F3608" s="815" t="s">
        <v>222</v>
      </c>
      <c r="G3608" s="816">
        <v>670</v>
      </c>
      <c r="H3608" s="819">
        <v>2</v>
      </c>
      <c r="I3608" s="819">
        <v>1</v>
      </c>
      <c r="J3608" s="803">
        <v>9</v>
      </c>
      <c r="K3608" s="812" t="s">
        <v>33</v>
      </c>
      <c r="L3608" s="746">
        <f t="shared" si="527"/>
        <v>1535024</v>
      </c>
      <c r="M3608" s="745">
        <f t="shared" si="528"/>
        <v>1474000</v>
      </c>
      <c r="N3608" s="802">
        <v>29480</v>
      </c>
      <c r="O3608" s="822"/>
      <c r="P3608" s="802"/>
      <c r="Q3608" s="586">
        <f t="shared" si="529"/>
        <v>31544</v>
      </c>
      <c r="R3608" s="803">
        <f t="shared" si="530"/>
        <v>2200</v>
      </c>
      <c r="S3608" s="748"/>
      <c r="T3608" s="748"/>
      <c r="U3608" s="1059"/>
      <c r="V3608" s="817"/>
      <c r="W3608" s="817"/>
      <c r="X3608" s="817"/>
      <c r="Y3608" s="817"/>
      <c r="Z3608" s="817"/>
      <c r="AA3608" s="534"/>
      <c r="AB3608" s="534"/>
      <c r="AC3608" s="534"/>
      <c r="AD3608" s="534"/>
      <c r="AE3608" s="534"/>
      <c r="AF3608" s="534"/>
      <c r="AG3608" s="534"/>
      <c r="AH3608" s="534"/>
      <c r="AI3608" s="534"/>
      <c r="AJ3608" s="534"/>
      <c r="AK3608" s="534"/>
      <c r="AL3608" s="534"/>
      <c r="AM3608" s="534"/>
      <c r="AN3608" s="534"/>
      <c r="AO3608" s="534"/>
      <c r="AP3608" s="534"/>
      <c r="AQ3608" s="534"/>
      <c r="AR3608" s="534"/>
      <c r="AS3608" s="534"/>
      <c r="AT3608" s="534"/>
      <c r="AU3608" s="534"/>
      <c r="AV3608" s="534"/>
      <c r="AW3608" s="534"/>
      <c r="AX3608" s="534"/>
      <c r="AY3608" s="534"/>
      <c r="AZ3608" s="534"/>
      <c r="BA3608" s="534"/>
      <c r="BB3608" s="534"/>
      <c r="BC3608" s="534"/>
      <c r="BD3608" s="534"/>
      <c r="BE3608" s="534"/>
      <c r="BF3608" s="534"/>
      <c r="BG3608" s="534"/>
      <c r="BH3608" s="534"/>
      <c r="BI3608" s="534"/>
      <c r="BJ3608" s="534"/>
      <c r="BK3608" s="534"/>
      <c r="BL3608" s="534"/>
      <c r="BM3608" s="534"/>
      <c r="BN3608" s="534"/>
      <c r="BO3608" s="534"/>
      <c r="BP3608" s="534"/>
      <c r="BQ3608" s="534"/>
      <c r="BR3608" s="534"/>
      <c r="BS3608" s="534"/>
      <c r="BT3608" s="534"/>
      <c r="BU3608" s="534"/>
      <c r="BV3608" s="534"/>
      <c r="BW3608" s="534"/>
      <c r="BX3608" s="534"/>
      <c r="BY3608" s="534"/>
      <c r="BZ3608" s="534"/>
      <c r="CA3608" s="534"/>
      <c r="CB3608" s="534"/>
      <c r="CC3608" s="534"/>
      <c r="CD3608" s="534"/>
      <c r="CE3608" s="534"/>
      <c r="CF3608" s="534"/>
      <c r="CG3608" s="534"/>
      <c r="CH3608" s="534"/>
      <c r="CI3608" s="534"/>
      <c r="CJ3608" s="534"/>
      <c r="CK3608" s="534"/>
      <c r="CL3608" s="534"/>
      <c r="CM3608" s="534"/>
      <c r="CN3608" s="534"/>
      <c r="CO3608" s="534"/>
      <c r="CP3608" s="534"/>
      <c r="CQ3608" s="534"/>
      <c r="CR3608" s="534"/>
      <c r="CS3608" s="534"/>
      <c r="CT3608" s="534"/>
      <c r="CU3608" s="534"/>
      <c r="CV3608" s="534"/>
      <c r="CW3608" s="534"/>
      <c r="CX3608" s="534"/>
      <c r="CY3608" s="534"/>
      <c r="CZ3608" s="534"/>
      <c r="DA3608" s="534"/>
      <c r="DB3608" s="534"/>
      <c r="DC3608" s="534"/>
      <c r="DD3608" s="534"/>
      <c r="DE3608" s="534"/>
      <c r="DF3608" s="534"/>
      <c r="DG3608" s="534"/>
      <c r="DH3608" s="534"/>
      <c r="DI3608" s="534"/>
      <c r="DJ3608" s="534"/>
      <c r="DK3608" s="534"/>
      <c r="DL3608" s="534"/>
      <c r="DM3608" s="534"/>
      <c r="DN3608" s="534"/>
      <c r="DO3608" s="534"/>
      <c r="DP3608" s="534"/>
      <c r="DQ3608" s="534"/>
      <c r="DR3608" s="534"/>
      <c r="DS3608" s="534"/>
      <c r="DT3608" s="534"/>
      <c r="DU3608" s="534"/>
      <c r="DV3608" s="534"/>
      <c r="DW3608" s="534"/>
      <c r="DX3608" s="534"/>
      <c r="DY3608" s="534"/>
      <c r="DZ3608" s="534"/>
      <c r="EA3608" s="534"/>
      <c r="EB3608" s="534"/>
      <c r="EC3608" s="534"/>
      <c r="ED3608" s="534"/>
      <c r="EE3608" s="534"/>
      <c r="EF3608" s="534"/>
      <c r="EG3608" s="534"/>
      <c r="EH3608" s="534"/>
      <c r="EI3608" s="534"/>
      <c r="EJ3608" s="534"/>
      <c r="EK3608" s="534"/>
      <c r="EL3608" s="534"/>
      <c r="EM3608" s="534"/>
      <c r="EN3608" s="534"/>
      <c r="EO3608" s="534"/>
      <c r="EP3608" s="534"/>
      <c r="EQ3608" s="534"/>
      <c r="ER3608" s="534"/>
      <c r="ES3608" s="534"/>
      <c r="ET3608" s="534"/>
      <c r="EU3608" s="534"/>
      <c r="EV3608" s="534"/>
      <c r="EW3608" s="534"/>
      <c r="EX3608" s="534"/>
      <c r="EY3608" s="534"/>
      <c r="EZ3608" s="534"/>
      <c r="FA3608" s="534"/>
      <c r="FB3608" s="534"/>
      <c r="FC3608" s="534"/>
      <c r="FD3608" s="534"/>
      <c r="FE3608" s="534"/>
      <c r="FF3608" s="534"/>
      <c r="FG3608" s="534"/>
      <c r="FH3608" s="534"/>
      <c r="FI3608" s="534"/>
      <c r="FJ3608" s="534"/>
      <c r="FK3608" s="534"/>
      <c r="FL3608" s="534"/>
      <c r="FM3608" s="534"/>
      <c r="FN3608" s="534"/>
      <c r="FO3608" s="534"/>
      <c r="FP3608" s="534"/>
      <c r="FQ3608" s="534"/>
      <c r="FR3608" s="534"/>
      <c r="FS3608" s="534"/>
      <c r="FT3608" s="534"/>
      <c r="FU3608" s="534"/>
      <c r="FV3608" s="534"/>
      <c r="FW3608" s="534"/>
      <c r="FX3608" s="534"/>
      <c r="FY3608" s="534"/>
      <c r="FZ3608" s="534"/>
      <c r="GA3608" s="534"/>
      <c r="GB3608" s="534"/>
      <c r="GC3608" s="534"/>
      <c r="GD3608" s="534"/>
      <c r="GE3608" s="534"/>
      <c r="GF3608" s="534"/>
      <c r="GG3608" s="534"/>
      <c r="GH3608" s="534"/>
      <c r="GI3608" s="534"/>
      <c r="GJ3608" s="534"/>
      <c r="GK3608" s="534"/>
      <c r="GL3608" s="534"/>
      <c r="GM3608" s="534"/>
      <c r="GN3608" s="534"/>
      <c r="GO3608" s="534"/>
      <c r="GP3608" s="534"/>
      <c r="GQ3608" s="534"/>
      <c r="GR3608" s="534"/>
      <c r="GS3608" s="534"/>
      <c r="GT3608" s="534"/>
      <c r="GU3608" s="534"/>
      <c r="GV3608" s="534"/>
      <c r="GW3608" s="534"/>
      <c r="GX3608" s="534"/>
      <c r="GY3608" s="534"/>
      <c r="GZ3608" s="534"/>
      <c r="HA3608" s="534"/>
      <c r="HB3608" s="534"/>
      <c r="HC3608" s="534"/>
    </row>
    <row r="3609" spans="1:222" s="90" customFormat="1" hidden="1">
      <c r="A3609" s="1216">
        <f t="shared" si="531"/>
        <v>4</v>
      </c>
      <c r="B3609" s="813" t="s">
        <v>2900</v>
      </c>
      <c r="C3609" s="744" t="s">
        <v>221</v>
      </c>
      <c r="D3609" s="815">
        <f t="shared" si="526"/>
        <v>1650</v>
      </c>
      <c r="E3609" s="816">
        <v>660</v>
      </c>
      <c r="F3609" s="815" t="s">
        <v>222</v>
      </c>
      <c r="G3609" s="816">
        <v>750</v>
      </c>
      <c r="H3609" s="819">
        <v>2</v>
      </c>
      <c r="I3609" s="819">
        <v>2</v>
      </c>
      <c r="J3609" s="803">
        <v>16</v>
      </c>
      <c r="K3609" s="812" t="s">
        <v>33</v>
      </c>
      <c r="L3609" s="746">
        <f t="shared" si="527"/>
        <v>1710060</v>
      </c>
      <c r="M3609" s="745">
        <f t="shared" si="528"/>
        <v>1650000</v>
      </c>
      <c r="N3609" s="802">
        <v>24750</v>
      </c>
      <c r="O3609" s="822"/>
      <c r="P3609" s="802"/>
      <c r="Q3609" s="586">
        <f t="shared" si="529"/>
        <v>35310</v>
      </c>
      <c r="R3609" s="803">
        <f t="shared" si="530"/>
        <v>2200</v>
      </c>
      <c r="S3609" s="817"/>
      <c r="T3609" s="817"/>
      <c r="U3609" s="1059"/>
      <c r="V3609" s="817"/>
      <c r="W3609" s="817"/>
      <c r="X3609" s="817"/>
      <c r="Y3609" s="817"/>
      <c r="Z3609" s="817"/>
      <c r="AA3609" s="534"/>
      <c r="AB3609" s="534"/>
      <c r="AC3609" s="534"/>
      <c r="AD3609" s="534"/>
      <c r="AE3609" s="534"/>
      <c r="AF3609" s="534"/>
      <c r="AG3609" s="534"/>
      <c r="AH3609" s="534"/>
      <c r="AI3609" s="534"/>
      <c r="AJ3609" s="534"/>
      <c r="AK3609" s="534"/>
      <c r="AL3609" s="534"/>
      <c r="AM3609" s="534"/>
      <c r="AN3609" s="534"/>
      <c r="AO3609" s="534"/>
      <c r="AP3609" s="534"/>
      <c r="AQ3609" s="534"/>
      <c r="AR3609" s="534"/>
      <c r="AS3609" s="534"/>
      <c r="AT3609" s="534"/>
      <c r="AU3609" s="534"/>
      <c r="AV3609" s="534"/>
      <c r="AW3609" s="534"/>
      <c r="AX3609" s="534"/>
      <c r="AY3609" s="534"/>
      <c r="AZ3609" s="534"/>
      <c r="BA3609" s="534"/>
      <c r="BB3609" s="534"/>
      <c r="BC3609" s="534"/>
      <c r="BD3609" s="534"/>
      <c r="BE3609" s="534"/>
      <c r="BF3609" s="534"/>
      <c r="BG3609" s="534"/>
      <c r="BH3609" s="534"/>
      <c r="BI3609" s="534"/>
      <c r="BJ3609" s="534"/>
      <c r="BK3609" s="534"/>
      <c r="BL3609" s="534"/>
      <c r="BM3609" s="534"/>
      <c r="BN3609" s="534"/>
      <c r="BO3609" s="534"/>
      <c r="BP3609" s="534"/>
      <c r="BQ3609" s="534"/>
      <c r="BR3609" s="534"/>
      <c r="BS3609" s="534"/>
      <c r="BT3609" s="534"/>
      <c r="BU3609" s="534"/>
      <c r="BV3609" s="534"/>
      <c r="BW3609" s="534"/>
      <c r="BX3609" s="534"/>
      <c r="BY3609" s="534"/>
      <c r="BZ3609" s="534"/>
      <c r="CA3609" s="534"/>
      <c r="CB3609" s="534"/>
      <c r="CC3609" s="534"/>
      <c r="CD3609" s="534"/>
      <c r="CE3609" s="534"/>
      <c r="CF3609" s="534"/>
      <c r="CG3609" s="534"/>
      <c r="CH3609" s="534"/>
      <c r="CI3609" s="534"/>
      <c r="CJ3609" s="534"/>
      <c r="CK3609" s="534"/>
      <c r="CL3609" s="534"/>
      <c r="CM3609" s="534"/>
      <c r="CN3609" s="534"/>
      <c r="CO3609" s="534"/>
      <c r="CP3609" s="534"/>
      <c r="CQ3609" s="534"/>
      <c r="CR3609" s="534"/>
      <c r="CS3609" s="534"/>
      <c r="CT3609" s="534"/>
      <c r="CU3609" s="534"/>
      <c r="CV3609" s="534"/>
      <c r="CW3609" s="534"/>
      <c r="CX3609" s="534"/>
      <c r="CY3609" s="534"/>
      <c r="CZ3609" s="534"/>
      <c r="DA3609" s="534"/>
      <c r="DB3609" s="534"/>
      <c r="DC3609" s="534"/>
      <c r="DD3609" s="534"/>
      <c r="DE3609" s="534"/>
      <c r="DF3609" s="534"/>
      <c r="DG3609" s="534"/>
      <c r="DH3609" s="534"/>
      <c r="DI3609" s="534"/>
      <c r="DJ3609" s="534"/>
      <c r="DK3609" s="534"/>
      <c r="DL3609" s="534"/>
      <c r="DM3609" s="534"/>
      <c r="DN3609" s="534"/>
      <c r="DO3609" s="534"/>
      <c r="DP3609" s="534"/>
      <c r="DQ3609" s="534"/>
      <c r="DR3609" s="534"/>
      <c r="DS3609" s="534"/>
      <c r="DT3609" s="534"/>
      <c r="DU3609" s="534"/>
      <c r="DV3609" s="534"/>
      <c r="DW3609" s="534"/>
      <c r="DX3609" s="534"/>
      <c r="DY3609" s="534"/>
      <c r="DZ3609" s="534"/>
      <c r="EA3609" s="534"/>
      <c r="EB3609" s="534"/>
      <c r="EC3609" s="534"/>
      <c r="ED3609" s="534"/>
      <c r="EE3609" s="534"/>
      <c r="EF3609" s="534"/>
      <c r="EG3609" s="534"/>
      <c r="EH3609" s="534"/>
      <c r="EI3609" s="534"/>
      <c r="EJ3609" s="534"/>
      <c r="EK3609" s="534"/>
      <c r="EL3609" s="534"/>
      <c r="EM3609" s="534"/>
      <c r="EN3609" s="534"/>
      <c r="EO3609" s="534"/>
      <c r="EP3609" s="534"/>
      <c r="EQ3609" s="534"/>
      <c r="ER3609" s="534"/>
      <c r="ES3609" s="534"/>
      <c r="ET3609" s="534"/>
      <c r="EU3609" s="534"/>
      <c r="EV3609" s="534"/>
      <c r="EW3609" s="534"/>
      <c r="EX3609" s="534"/>
      <c r="EY3609" s="534"/>
      <c r="EZ3609" s="534"/>
      <c r="FA3609" s="534"/>
      <c r="FB3609" s="534"/>
      <c r="FC3609" s="534"/>
      <c r="FD3609" s="534"/>
      <c r="FE3609" s="534"/>
      <c r="FF3609" s="534"/>
      <c r="FG3609" s="534"/>
      <c r="FH3609" s="534"/>
      <c r="FI3609" s="534"/>
      <c r="FJ3609" s="534"/>
      <c r="FK3609" s="534"/>
      <c r="FL3609" s="534"/>
      <c r="FM3609" s="534"/>
      <c r="FN3609" s="534"/>
      <c r="FO3609" s="534"/>
      <c r="FP3609" s="534"/>
      <c r="FQ3609" s="534"/>
      <c r="FR3609" s="534"/>
      <c r="FS3609" s="534"/>
      <c r="FT3609" s="534"/>
      <c r="FU3609" s="534"/>
      <c r="FV3609" s="534"/>
      <c r="FW3609" s="534"/>
      <c r="FX3609" s="534"/>
      <c r="FY3609" s="534"/>
      <c r="FZ3609" s="534"/>
      <c r="GA3609" s="534"/>
      <c r="GB3609" s="534"/>
      <c r="GC3609" s="534"/>
      <c r="GD3609" s="534"/>
      <c r="GE3609" s="534"/>
      <c r="GF3609" s="534"/>
      <c r="GG3609" s="534"/>
      <c r="GH3609" s="534"/>
      <c r="GI3609" s="534"/>
      <c r="GJ3609" s="534"/>
      <c r="GK3609" s="534"/>
      <c r="GL3609" s="534"/>
      <c r="GM3609" s="534"/>
      <c r="GN3609" s="534"/>
      <c r="GO3609" s="534"/>
      <c r="GP3609" s="534"/>
      <c r="GQ3609" s="534"/>
      <c r="GR3609" s="534"/>
      <c r="GS3609" s="534"/>
      <c r="GT3609" s="534"/>
      <c r="GU3609" s="534"/>
      <c r="GV3609" s="534"/>
      <c r="GW3609" s="534"/>
      <c r="GX3609" s="534"/>
      <c r="GY3609" s="534"/>
      <c r="GZ3609" s="534"/>
      <c r="HA3609" s="534"/>
      <c r="HB3609" s="534"/>
      <c r="HC3609" s="534"/>
    </row>
    <row r="3610" spans="1:222" s="90" customFormat="1" hidden="1">
      <c r="A3610" s="1216">
        <f t="shared" si="531"/>
        <v>5</v>
      </c>
      <c r="B3610" s="813" t="s">
        <v>2901</v>
      </c>
      <c r="C3610" s="744" t="s">
        <v>221</v>
      </c>
      <c r="D3610" s="815">
        <f t="shared" si="526"/>
        <v>1650</v>
      </c>
      <c r="E3610" s="816">
        <v>660</v>
      </c>
      <c r="F3610" s="815" t="s">
        <v>222</v>
      </c>
      <c r="G3610" s="816">
        <v>750</v>
      </c>
      <c r="H3610" s="819">
        <v>2</v>
      </c>
      <c r="I3610" s="819">
        <v>2</v>
      </c>
      <c r="J3610" s="803">
        <v>18</v>
      </c>
      <c r="K3610" s="812" t="s">
        <v>33</v>
      </c>
      <c r="L3610" s="746">
        <f t="shared" si="527"/>
        <v>1710060</v>
      </c>
      <c r="M3610" s="745">
        <f t="shared" si="528"/>
        <v>1650000</v>
      </c>
      <c r="N3610" s="802">
        <v>24750</v>
      </c>
      <c r="O3610" s="822"/>
      <c r="P3610" s="802"/>
      <c r="Q3610" s="586">
        <f t="shared" si="529"/>
        <v>35310</v>
      </c>
      <c r="R3610" s="803">
        <f t="shared" si="530"/>
        <v>2200</v>
      </c>
      <c r="S3610" s="817"/>
      <c r="T3610" s="817"/>
      <c r="U3610" s="1059"/>
      <c r="V3610" s="817"/>
      <c r="W3610" s="817"/>
      <c r="X3610" s="817"/>
      <c r="Y3610" s="817"/>
      <c r="Z3610" s="817"/>
      <c r="AA3610" s="534"/>
      <c r="AB3610" s="534"/>
      <c r="AC3610" s="534"/>
      <c r="AD3610" s="534"/>
      <c r="AE3610" s="534"/>
      <c r="AF3610" s="534"/>
      <c r="AG3610" s="534"/>
      <c r="AH3610" s="534"/>
      <c r="AI3610" s="534"/>
      <c r="AJ3610" s="534"/>
      <c r="AK3610" s="534"/>
      <c r="AL3610" s="534"/>
      <c r="AM3610" s="534"/>
      <c r="AN3610" s="534"/>
      <c r="AO3610" s="534"/>
      <c r="AP3610" s="534"/>
      <c r="AQ3610" s="534"/>
      <c r="AR3610" s="534"/>
      <c r="AS3610" s="534"/>
      <c r="AT3610" s="534"/>
      <c r="AU3610" s="534"/>
      <c r="AV3610" s="534"/>
      <c r="AW3610" s="534"/>
      <c r="AX3610" s="534"/>
      <c r="AY3610" s="534"/>
      <c r="AZ3610" s="534"/>
      <c r="BA3610" s="534"/>
      <c r="BB3610" s="534"/>
      <c r="BC3610" s="534"/>
      <c r="BD3610" s="534"/>
      <c r="BE3610" s="534"/>
      <c r="BF3610" s="534"/>
      <c r="BG3610" s="534"/>
      <c r="BH3610" s="534"/>
      <c r="BI3610" s="534"/>
      <c r="BJ3610" s="534"/>
      <c r="BK3610" s="534"/>
      <c r="BL3610" s="534"/>
      <c r="BM3610" s="534"/>
      <c r="BN3610" s="534"/>
      <c r="BO3610" s="534"/>
      <c r="BP3610" s="534"/>
      <c r="BQ3610" s="534"/>
      <c r="BR3610" s="534"/>
      <c r="BS3610" s="534"/>
      <c r="BT3610" s="534"/>
      <c r="BU3610" s="534"/>
      <c r="BV3610" s="534"/>
      <c r="BW3610" s="534"/>
      <c r="BX3610" s="534"/>
      <c r="BY3610" s="534"/>
      <c r="BZ3610" s="534"/>
      <c r="CA3610" s="534"/>
      <c r="CB3610" s="534"/>
      <c r="CC3610" s="534"/>
      <c r="CD3610" s="534"/>
      <c r="CE3610" s="534"/>
      <c r="CF3610" s="534"/>
      <c r="CG3610" s="534"/>
      <c r="CH3610" s="534"/>
      <c r="CI3610" s="534"/>
      <c r="CJ3610" s="534"/>
      <c r="CK3610" s="534"/>
      <c r="CL3610" s="534"/>
      <c r="CM3610" s="534"/>
      <c r="CN3610" s="534"/>
      <c r="CO3610" s="534"/>
      <c r="CP3610" s="534"/>
      <c r="CQ3610" s="534"/>
      <c r="CR3610" s="534"/>
      <c r="CS3610" s="534"/>
      <c r="CT3610" s="534"/>
      <c r="CU3610" s="534"/>
      <c r="CV3610" s="534"/>
      <c r="CW3610" s="534"/>
      <c r="CX3610" s="534"/>
      <c r="CY3610" s="534"/>
      <c r="CZ3610" s="534"/>
      <c r="DA3610" s="534"/>
      <c r="DB3610" s="534"/>
      <c r="DC3610" s="534"/>
      <c r="DD3610" s="534"/>
      <c r="DE3610" s="534"/>
      <c r="DF3610" s="534"/>
      <c r="DG3610" s="534"/>
      <c r="DH3610" s="534"/>
      <c r="DI3610" s="534"/>
      <c r="DJ3610" s="534"/>
      <c r="DK3610" s="534"/>
      <c r="DL3610" s="534"/>
      <c r="DM3610" s="534"/>
      <c r="DN3610" s="534"/>
      <c r="DO3610" s="534"/>
      <c r="DP3610" s="534"/>
      <c r="DQ3610" s="534"/>
      <c r="DR3610" s="534"/>
      <c r="DS3610" s="534"/>
      <c r="DT3610" s="534"/>
      <c r="DU3610" s="534"/>
      <c r="DV3610" s="534"/>
      <c r="DW3610" s="534"/>
      <c r="DX3610" s="534"/>
      <c r="DY3610" s="534"/>
      <c r="DZ3610" s="534"/>
      <c r="EA3610" s="534"/>
      <c r="EB3610" s="534"/>
      <c r="EC3610" s="534"/>
      <c r="ED3610" s="534"/>
      <c r="EE3610" s="534"/>
      <c r="EF3610" s="534"/>
      <c r="EG3610" s="534"/>
      <c r="EH3610" s="534"/>
      <c r="EI3610" s="534"/>
      <c r="EJ3610" s="534"/>
      <c r="EK3610" s="534"/>
      <c r="EL3610" s="534"/>
      <c r="EM3610" s="534"/>
      <c r="EN3610" s="534"/>
      <c r="EO3610" s="534"/>
      <c r="EP3610" s="534"/>
      <c r="EQ3610" s="534"/>
      <c r="ER3610" s="534"/>
      <c r="ES3610" s="534"/>
      <c r="ET3610" s="534"/>
      <c r="EU3610" s="534"/>
      <c r="EV3610" s="534"/>
      <c r="EW3610" s="534"/>
      <c r="EX3610" s="534"/>
      <c r="EY3610" s="534"/>
      <c r="EZ3610" s="534"/>
      <c r="FA3610" s="534"/>
      <c r="FB3610" s="534"/>
      <c r="FC3610" s="534"/>
      <c r="FD3610" s="534"/>
      <c r="FE3610" s="534"/>
      <c r="FF3610" s="534"/>
      <c r="FG3610" s="534"/>
      <c r="FH3610" s="534"/>
      <c r="FI3610" s="534"/>
      <c r="FJ3610" s="534"/>
      <c r="FK3610" s="534"/>
      <c r="FL3610" s="534"/>
      <c r="FM3610" s="534"/>
      <c r="FN3610" s="534"/>
      <c r="FO3610" s="534"/>
      <c r="FP3610" s="534"/>
      <c r="FQ3610" s="534"/>
      <c r="FR3610" s="534"/>
      <c r="FS3610" s="534"/>
      <c r="FT3610" s="534"/>
      <c r="FU3610" s="534"/>
      <c r="FV3610" s="534"/>
      <c r="FW3610" s="534"/>
      <c r="FX3610" s="534"/>
      <c r="FY3610" s="534"/>
      <c r="FZ3610" s="534"/>
      <c r="GA3610" s="534"/>
      <c r="GB3610" s="534"/>
      <c r="GC3610" s="534"/>
      <c r="GD3610" s="534"/>
      <c r="GE3610" s="534"/>
      <c r="GF3610" s="534"/>
      <c r="GG3610" s="534"/>
      <c r="GH3610" s="534"/>
      <c r="GI3610" s="534"/>
      <c r="GJ3610" s="534"/>
      <c r="GK3610" s="534"/>
      <c r="GL3610" s="534"/>
      <c r="GM3610" s="534"/>
      <c r="GN3610" s="534"/>
      <c r="GO3610" s="534"/>
      <c r="GP3610" s="534"/>
      <c r="GQ3610" s="534"/>
      <c r="GR3610" s="534"/>
      <c r="GS3610" s="534"/>
      <c r="GT3610" s="534"/>
      <c r="GU3610" s="534"/>
      <c r="GV3610" s="534"/>
      <c r="GW3610" s="534"/>
      <c r="GX3610" s="534"/>
      <c r="GY3610" s="534"/>
      <c r="GZ3610" s="534"/>
      <c r="HA3610" s="534"/>
      <c r="HB3610" s="534"/>
      <c r="HC3610" s="534"/>
    </row>
    <row r="3611" spans="1:222" s="90" customFormat="1" hidden="1">
      <c r="A3611" s="1216">
        <f t="shared" si="531"/>
        <v>6</v>
      </c>
      <c r="B3611" s="813" t="s">
        <v>2902</v>
      </c>
      <c r="C3611" s="744" t="s">
        <v>221</v>
      </c>
      <c r="D3611" s="815">
        <f t="shared" si="526"/>
        <v>1395</v>
      </c>
      <c r="E3611" s="816">
        <v>558</v>
      </c>
      <c r="F3611" s="815" t="s">
        <v>222</v>
      </c>
      <c r="G3611" s="816">
        <v>802</v>
      </c>
      <c r="H3611" s="803">
        <v>2</v>
      </c>
      <c r="I3611" s="803">
        <v>2</v>
      </c>
      <c r="J3611" s="803">
        <v>16</v>
      </c>
      <c r="K3611" s="812" t="s">
        <v>33</v>
      </c>
      <c r="L3611" s="746">
        <f t="shared" si="527"/>
        <v>1828624</v>
      </c>
      <c r="M3611" s="745">
        <f t="shared" si="528"/>
        <v>1764400</v>
      </c>
      <c r="N3611" s="802">
        <v>26466</v>
      </c>
      <c r="O3611" s="822"/>
      <c r="P3611" s="802"/>
      <c r="Q3611" s="586">
        <f t="shared" si="529"/>
        <v>37758</v>
      </c>
      <c r="R3611" s="803">
        <f t="shared" si="530"/>
        <v>2200</v>
      </c>
      <c r="S3611" s="817"/>
      <c r="T3611" s="817"/>
      <c r="U3611" s="1059"/>
      <c r="V3611" s="817"/>
      <c r="W3611" s="817"/>
      <c r="X3611" s="817"/>
      <c r="Y3611" s="817"/>
      <c r="Z3611" s="817"/>
      <c r="AA3611" s="534"/>
      <c r="AB3611" s="534"/>
      <c r="AC3611" s="534"/>
      <c r="AD3611" s="534"/>
      <c r="AE3611" s="534"/>
      <c r="AF3611" s="534"/>
      <c r="AG3611" s="534"/>
      <c r="AH3611" s="534"/>
      <c r="AI3611" s="534"/>
      <c r="AJ3611" s="534"/>
      <c r="AK3611" s="534"/>
      <c r="AL3611" s="534"/>
      <c r="AM3611" s="534"/>
      <c r="AN3611" s="534"/>
      <c r="AO3611" s="534"/>
      <c r="AP3611" s="534"/>
      <c r="AQ3611" s="534"/>
      <c r="AR3611" s="534"/>
      <c r="AS3611" s="534"/>
      <c r="AT3611" s="534"/>
      <c r="AU3611" s="534"/>
      <c r="AV3611" s="534"/>
      <c r="AW3611" s="534"/>
      <c r="AX3611" s="534"/>
      <c r="AY3611" s="534"/>
      <c r="AZ3611" s="534"/>
      <c r="BA3611" s="534"/>
      <c r="BB3611" s="534"/>
      <c r="BC3611" s="534"/>
      <c r="BD3611" s="534"/>
      <c r="BE3611" s="534"/>
      <c r="BF3611" s="534"/>
      <c r="BG3611" s="534"/>
      <c r="BH3611" s="534"/>
      <c r="BI3611" s="534"/>
      <c r="BJ3611" s="534"/>
      <c r="BK3611" s="534"/>
      <c r="BL3611" s="534"/>
      <c r="BM3611" s="534"/>
      <c r="BN3611" s="534"/>
      <c r="BO3611" s="534"/>
      <c r="BP3611" s="534"/>
      <c r="BQ3611" s="534"/>
      <c r="BR3611" s="534"/>
      <c r="BS3611" s="534"/>
      <c r="BT3611" s="534"/>
      <c r="BU3611" s="534"/>
      <c r="BV3611" s="534"/>
      <c r="BW3611" s="534"/>
      <c r="BX3611" s="534"/>
      <c r="BY3611" s="534"/>
      <c r="BZ3611" s="534"/>
      <c r="CA3611" s="534"/>
      <c r="CB3611" s="534"/>
      <c r="CC3611" s="534"/>
      <c r="CD3611" s="534"/>
      <c r="CE3611" s="534"/>
      <c r="CF3611" s="534"/>
      <c r="CG3611" s="534"/>
      <c r="CH3611" s="534"/>
      <c r="CI3611" s="534"/>
      <c r="CJ3611" s="534"/>
      <c r="CK3611" s="534"/>
      <c r="CL3611" s="534"/>
      <c r="CM3611" s="534"/>
      <c r="CN3611" s="534"/>
      <c r="CO3611" s="534"/>
      <c r="CP3611" s="534"/>
      <c r="CQ3611" s="534"/>
      <c r="CR3611" s="534"/>
      <c r="CS3611" s="534"/>
      <c r="CT3611" s="534"/>
      <c r="CU3611" s="534"/>
      <c r="CV3611" s="534"/>
      <c r="CW3611" s="534"/>
      <c r="CX3611" s="534"/>
      <c r="CY3611" s="534"/>
      <c r="CZ3611" s="534"/>
      <c r="DA3611" s="534"/>
      <c r="DB3611" s="534"/>
      <c r="DC3611" s="534"/>
      <c r="DD3611" s="534"/>
      <c r="DE3611" s="534"/>
      <c r="DF3611" s="534"/>
      <c r="DG3611" s="534"/>
      <c r="DH3611" s="534"/>
      <c r="DI3611" s="534"/>
      <c r="DJ3611" s="534"/>
      <c r="DK3611" s="534"/>
      <c r="DL3611" s="534"/>
      <c r="DM3611" s="534"/>
      <c r="DN3611" s="534"/>
      <c r="DO3611" s="534"/>
      <c r="DP3611" s="534"/>
      <c r="DQ3611" s="534"/>
      <c r="DR3611" s="534"/>
      <c r="DS3611" s="534"/>
      <c r="DT3611" s="534"/>
      <c r="DU3611" s="534"/>
      <c r="DV3611" s="534"/>
      <c r="DW3611" s="534"/>
      <c r="DX3611" s="534"/>
      <c r="DY3611" s="534"/>
      <c r="DZ3611" s="534"/>
      <c r="EA3611" s="534"/>
      <c r="EB3611" s="534"/>
      <c r="EC3611" s="534"/>
      <c r="ED3611" s="534"/>
      <c r="EE3611" s="534"/>
      <c r="EF3611" s="534"/>
      <c r="EG3611" s="534"/>
      <c r="EH3611" s="534"/>
      <c r="EI3611" s="534"/>
      <c r="EJ3611" s="534"/>
      <c r="EK3611" s="534"/>
      <c r="EL3611" s="534"/>
      <c r="EM3611" s="534"/>
      <c r="EN3611" s="534"/>
      <c r="EO3611" s="534"/>
      <c r="EP3611" s="534"/>
      <c r="EQ3611" s="534"/>
      <c r="ER3611" s="534"/>
      <c r="ES3611" s="534"/>
      <c r="ET3611" s="534"/>
      <c r="EU3611" s="534"/>
      <c r="EV3611" s="534"/>
      <c r="EW3611" s="534"/>
      <c r="EX3611" s="534"/>
      <c r="EY3611" s="534"/>
      <c r="EZ3611" s="534"/>
      <c r="FA3611" s="534"/>
      <c r="FB3611" s="534"/>
      <c r="FC3611" s="534"/>
      <c r="FD3611" s="534"/>
      <c r="FE3611" s="534"/>
      <c r="FF3611" s="534"/>
      <c r="FG3611" s="534"/>
      <c r="FH3611" s="534"/>
      <c r="FI3611" s="534"/>
      <c r="FJ3611" s="534"/>
      <c r="FK3611" s="534"/>
      <c r="FL3611" s="534"/>
      <c r="FM3611" s="534"/>
      <c r="FN3611" s="534"/>
      <c r="FO3611" s="534"/>
      <c r="FP3611" s="534"/>
      <c r="FQ3611" s="534"/>
      <c r="FR3611" s="534"/>
      <c r="FS3611" s="534"/>
      <c r="FT3611" s="534"/>
      <c r="FU3611" s="534"/>
      <c r="FV3611" s="534"/>
      <c r="FW3611" s="534"/>
      <c r="FX3611" s="534"/>
      <c r="FY3611" s="534"/>
      <c r="FZ3611" s="534"/>
      <c r="GA3611" s="534"/>
      <c r="GB3611" s="534"/>
      <c r="GC3611" s="534"/>
      <c r="GD3611" s="534"/>
      <c r="GE3611" s="534"/>
      <c r="GF3611" s="534"/>
      <c r="GG3611" s="534"/>
      <c r="GH3611" s="534"/>
      <c r="GI3611" s="534"/>
      <c r="GJ3611" s="534"/>
      <c r="GK3611" s="534"/>
      <c r="GL3611" s="534"/>
      <c r="GM3611" s="534"/>
      <c r="GN3611" s="534"/>
      <c r="GO3611" s="534"/>
      <c r="GP3611" s="534"/>
      <c r="GQ3611" s="534"/>
      <c r="GR3611" s="534"/>
      <c r="GS3611" s="534"/>
      <c r="GT3611" s="534"/>
      <c r="GU3611" s="534"/>
      <c r="GV3611" s="534"/>
      <c r="GW3611" s="534"/>
      <c r="GX3611" s="534"/>
      <c r="GY3611" s="534"/>
      <c r="GZ3611" s="534"/>
      <c r="HA3611" s="534"/>
      <c r="HB3611" s="534"/>
      <c r="HC3611" s="534"/>
    </row>
    <row r="3612" spans="1:222" s="90" customFormat="1" hidden="1">
      <c r="A3612" s="1216">
        <f t="shared" si="531"/>
        <v>7</v>
      </c>
      <c r="B3612" s="813" t="s">
        <v>2903</v>
      </c>
      <c r="C3612" s="744" t="s">
        <v>221</v>
      </c>
      <c r="D3612" s="815">
        <f t="shared" si="526"/>
        <v>1228.5</v>
      </c>
      <c r="E3612" s="816">
        <v>491.4</v>
      </c>
      <c r="F3612" s="815" t="s">
        <v>222</v>
      </c>
      <c r="G3612" s="816">
        <v>521.1</v>
      </c>
      <c r="H3612" s="819">
        <v>2</v>
      </c>
      <c r="I3612" s="819">
        <v>2</v>
      </c>
      <c r="J3612" s="803">
        <v>12</v>
      </c>
      <c r="K3612" s="812" t="s">
        <v>33</v>
      </c>
      <c r="L3612" s="746">
        <f t="shared" si="527"/>
        <v>1199614</v>
      </c>
      <c r="M3612" s="745">
        <f t="shared" si="528"/>
        <v>1146420</v>
      </c>
      <c r="N3612" s="802">
        <v>28661</v>
      </c>
      <c r="O3612" s="822"/>
      <c r="P3612" s="802"/>
      <c r="Q3612" s="586">
        <f t="shared" si="529"/>
        <v>24533</v>
      </c>
      <c r="R3612" s="803">
        <f t="shared" si="530"/>
        <v>2200</v>
      </c>
      <c r="S3612" s="817"/>
      <c r="T3612" s="817"/>
      <c r="U3612" s="1059"/>
      <c r="V3612" s="817"/>
      <c r="W3612" s="817"/>
      <c r="X3612" s="817"/>
      <c r="Y3612" s="817"/>
      <c r="Z3612" s="817"/>
      <c r="AA3612" s="534"/>
      <c r="AB3612" s="534"/>
      <c r="AC3612" s="534"/>
      <c r="AD3612" s="534"/>
      <c r="AE3612" s="534"/>
      <c r="AF3612" s="534"/>
      <c r="AG3612" s="534"/>
      <c r="AH3612" s="534"/>
      <c r="AI3612" s="534"/>
      <c r="AJ3612" s="534"/>
      <c r="AK3612" s="534"/>
      <c r="AL3612" s="534"/>
      <c r="AM3612" s="534"/>
      <c r="AN3612" s="534"/>
      <c r="AO3612" s="534"/>
      <c r="AP3612" s="534"/>
      <c r="AQ3612" s="534"/>
      <c r="AR3612" s="534"/>
      <c r="AS3612" s="534"/>
      <c r="AT3612" s="534"/>
      <c r="AU3612" s="534"/>
      <c r="AV3612" s="534"/>
      <c r="AW3612" s="534"/>
      <c r="AX3612" s="534"/>
      <c r="AY3612" s="534"/>
      <c r="AZ3612" s="534"/>
      <c r="BA3612" s="534"/>
      <c r="BB3612" s="534"/>
      <c r="BC3612" s="534"/>
      <c r="BD3612" s="534"/>
      <c r="BE3612" s="534"/>
      <c r="BF3612" s="534"/>
      <c r="BG3612" s="534"/>
      <c r="BH3612" s="534"/>
      <c r="BI3612" s="534"/>
      <c r="BJ3612" s="534"/>
      <c r="BK3612" s="534"/>
      <c r="BL3612" s="534"/>
      <c r="BM3612" s="534"/>
      <c r="BN3612" s="534"/>
      <c r="BO3612" s="534"/>
      <c r="BP3612" s="534"/>
      <c r="BQ3612" s="534"/>
      <c r="BR3612" s="534"/>
      <c r="BS3612" s="534"/>
      <c r="BT3612" s="534"/>
      <c r="BU3612" s="534"/>
      <c r="BV3612" s="534"/>
      <c r="BW3612" s="534"/>
      <c r="BX3612" s="534"/>
      <c r="BY3612" s="534"/>
      <c r="BZ3612" s="534"/>
      <c r="CA3612" s="534"/>
      <c r="CB3612" s="534"/>
      <c r="CC3612" s="534"/>
      <c r="CD3612" s="534"/>
      <c r="CE3612" s="534"/>
      <c r="CF3612" s="534"/>
      <c r="CG3612" s="534"/>
      <c r="CH3612" s="534"/>
      <c r="CI3612" s="534"/>
      <c r="CJ3612" s="534"/>
      <c r="CK3612" s="534"/>
      <c r="CL3612" s="534"/>
      <c r="CM3612" s="534"/>
      <c r="CN3612" s="534"/>
      <c r="CO3612" s="534"/>
      <c r="CP3612" s="534"/>
      <c r="CQ3612" s="534"/>
      <c r="CR3612" s="534"/>
      <c r="CS3612" s="534"/>
      <c r="CT3612" s="534"/>
      <c r="CU3612" s="534"/>
      <c r="CV3612" s="534"/>
      <c r="CW3612" s="534"/>
      <c r="CX3612" s="534"/>
      <c r="CY3612" s="534"/>
      <c r="CZ3612" s="534"/>
      <c r="DA3612" s="534"/>
      <c r="DB3612" s="534"/>
      <c r="DC3612" s="534"/>
      <c r="DD3612" s="534"/>
      <c r="DE3612" s="534"/>
      <c r="DF3612" s="534"/>
      <c r="DG3612" s="534"/>
      <c r="DH3612" s="534"/>
      <c r="DI3612" s="534"/>
      <c r="DJ3612" s="534"/>
      <c r="DK3612" s="534"/>
      <c r="DL3612" s="534"/>
      <c r="DM3612" s="534"/>
      <c r="DN3612" s="534"/>
      <c r="DO3612" s="534"/>
      <c r="DP3612" s="534"/>
      <c r="DQ3612" s="534"/>
      <c r="DR3612" s="534"/>
      <c r="DS3612" s="534"/>
      <c r="DT3612" s="534"/>
      <c r="DU3612" s="534"/>
      <c r="DV3612" s="534"/>
      <c r="DW3612" s="534"/>
      <c r="DX3612" s="534"/>
      <c r="DY3612" s="534"/>
      <c r="DZ3612" s="534"/>
      <c r="EA3612" s="534"/>
      <c r="EB3612" s="534"/>
      <c r="EC3612" s="534"/>
      <c r="ED3612" s="534"/>
      <c r="EE3612" s="534"/>
      <c r="EF3612" s="534"/>
      <c r="EG3612" s="534"/>
      <c r="EH3612" s="534"/>
      <c r="EI3612" s="534"/>
      <c r="EJ3612" s="534"/>
      <c r="EK3612" s="534"/>
      <c r="EL3612" s="534"/>
      <c r="EM3612" s="534"/>
      <c r="EN3612" s="534"/>
      <c r="EO3612" s="534"/>
      <c r="EP3612" s="534"/>
      <c r="EQ3612" s="534"/>
      <c r="ER3612" s="534"/>
      <c r="ES3612" s="534"/>
      <c r="ET3612" s="534"/>
      <c r="EU3612" s="534"/>
      <c r="EV3612" s="534"/>
      <c r="EW3612" s="534"/>
      <c r="EX3612" s="534"/>
      <c r="EY3612" s="534"/>
      <c r="EZ3612" s="534"/>
      <c r="FA3612" s="534"/>
      <c r="FB3612" s="534"/>
      <c r="FC3612" s="534"/>
      <c r="FD3612" s="534"/>
      <c r="FE3612" s="534"/>
      <c r="FF3612" s="534"/>
      <c r="FG3612" s="534"/>
      <c r="FH3612" s="534"/>
      <c r="FI3612" s="534"/>
      <c r="FJ3612" s="534"/>
      <c r="FK3612" s="534"/>
      <c r="FL3612" s="534"/>
      <c r="FM3612" s="534"/>
      <c r="FN3612" s="534"/>
      <c r="FO3612" s="534"/>
      <c r="FP3612" s="534"/>
      <c r="FQ3612" s="534"/>
      <c r="FR3612" s="534"/>
      <c r="FS3612" s="534"/>
      <c r="FT3612" s="534"/>
      <c r="FU3612" s="534"/>
      <c r="FV3612" s="534"/>
      <c r="FW3612" s="534"/>
      <c r="FX3612" s="534"/>
      <c r="FY3612" s="534"/>
      <c r="FZ3612" s="534"/>
      <c r="GA3612" s="534"/>
      <c r="GB3612" s="534"/>
      <c r="GC3612" s="534"/>
      <c r="GD3612" s="534"/>
      <c r="GE3612" s="534"/>
      <c r="GF3612" s="534"/>
      <c r="GG3612" s="534"/>
      <c r="GH3612" s="534"/>
      <c r="GI3612" s="534"/>
      <c r="GJ3612" s="534"/>
      <c r="GK3612" s="534"/>
      <c r="GL3612" s="534"/>
      <c r="GM3612" s="534"/>
      <c r="GN3612" s="534"/>
      <c r="GO3612" s="534"/>
      <c r="GP3612" s="534"/>
      <c r="GQ3612" s="534"/>
      <c r="GR3612" s="534"/>
      <c r="GS3612" s="534"/>
      <c r="GT3612" s="534"/>
      <c r="GU3612" s="534"/>
      <c r="GV3612" s="534"/>
      <c r="GW3612" s="534"/>
      <c r="GX3612" s="534"/>
      <c r="GY3612" s="534"/>
      <c r="GZ3612" s="534"/>
      <c r="HA3612" s="534"/>
      <c r="HB3612" s="534"/>
      <c r="HC3612" s="534"/>
    </row>
    <row r="3613" spans="1:222" s="90" customFormat="1" hidden="1">
      <c r="A3613" s="1216">
        <f t="shared" si="531"/>
        <v>8</v>
      </c>
      <c r="B3613" s="813" t="s">
        <v>2904</v>
      </c>
      <c r="C3613" s="700" t="s">
        <v>217</v>
      </c>
      <c r="D3613" s="815">
        <f t="shared" si="526"/>
        <v>1830</v>
      </c>
      <c r="E3613" s="816">
        <v>732</v>
      </c>
      <c r="F3613" s="815" t="s">
        <v>222</v>
      </c>
      <c r="G3613" s="816">
        <v>935</v>
      </c>
      <c r="H3613" s="819">
        <v>2</v>
      </c>
      <c r="I3613" s="819">
        <v>2</v>
      </c>
      <c r="J3613" s="803">
        <v>22</v>
      </c>
      <c r="K3613" s="812" t="s">
        <v>33</v>
      </c>
      <c r="L3613" s="746">
        <f t="shared" si="527"/>
        <v>2113085</v>
      </c>
      <c r="M3613" s="745">
        <v>2038870</v>
      </c>
      <c r="N3613" s="802">
        <v>30583</v>
      </c>
      <c r="O3613" s="822"/>
      <c r="P3613" s="802"/>
      <c r="Q3613" s="586">
        <f t="shared" si="529"/>
        <v>43632</v>
      </c>
      <c r="R3613" s="803">
        <f t="shared" si="530"/>
        <v>2180.6096256684491</v>
      </c>
      <c r="S3613" s="817"/>
      <c r="T3613" s="817"/>
      <c r="U3613" s="1059"/>
      <c r="V3613" s="817"/>
      <c r="W3613" s="817"/>
      <c r="X3613" s="817"/>
      <c r="Y3613" s="817"/>
      <c r="Z3613" s="817"/>
      <c r="AA3613" s="534"/>
      <c r="AB3613" s="534"/>
      <c r="AC3613" s="534"/>
      <c r="AD3613" s="534"/>
      <c r="AE3613" s="534"/>
      <c r="AF3613" s="534"/>
      <c r="AG3613" s="534"/>
      <c r="AH3613" s="534"/>
      <c r="AI3613" s="534"/>
      <c r="AJ3613" s="534"/>
      <c r="AK3613" s="534"/>
      <c r="AL3613" s="534"/>
      <c r="AM3613" s="534"/>
      <c r="AN3613" s="534"/>
      <c r="AO3613" s="534"/>
      <c r="AP3613" s="534"/>
      <c r="AQ3613" s="534"/>
      <c r="AR3613" s="534"/>
      <c r="AS3613" s="534"/>
      <c r="AT3613" s="534"/>
      <c r="AU3613" s="534"/>
      <c r="AV3613" s="534"/>
      <c r="AW3613" s="534"/>
      <c r="AX3613" s="534"/>
      <c r="AY3613" s="534"/>
      <c r="AZ3613" s="534"/>
      <c r="BA3613" s="534"/>
      <c r="BB3613" s="534"/>
      <c r="BC3613" s="534"/>
      <c r="BD3613" s="534"/>
      <c r="BE3613" s="534"/>
      <c r="BF3613" s="534"/>
      <c r="BG3613" s="534"/>
      <c r="BH3613" s="534"/>
      <c r="BI3613" s="534"/>
      <c r="BJ3613" s="534"/>
      <c r="BK3613" s="534"/>
      <c r="BL3613" s="534"/>
      <c r="BM3613" s="534"/>
      <c r="BN3613" s="534"/>
      <c r="BO3613" s="534"/>
      <c r="BP3613" s="534"/>
      <c r="BQ3613" s="534"/>
      <c r="BR3613" s="534"/>
      <c r="BS3613" s="534"/>
      <c r="BT3613" s="534"/>
      <c r="BU3613" s="534"/>
      <c r="BV3613" s="534"/>
      <c r="BW3613" s="534"/>
      <c r="BX3613" s="534"/>
      <c r="BY3613" s="534"/>
      <c r="BZ3613" s="534"/>
      <c r="CA3613" s="534"/>
      <c r="CB3613" s="534"/>
      <c r="CC3613" s="534"/>
      <c r="CD3613" s="534"/>
      <c r="CE3613" s="534"/>
      <c r="CF3613" s="534"/>
      <c r="CG3613" s="534"/>
      <c r="CH3613" s="534"/>
      <c r="CI3613" s="534"/>
      <c r="CJ3613" s="534"/>
      <c r="CK3613" s="534"/>
      <c r="CL3613" s="534"/>
      <c r="CM3613" s="534"/>
      <c r="CN3613" s="534"/>
      <c r="CO3613" s="534"/>
      <c r="CP3613" s="534"/>
      <c r="CQ3613" s="534"/>
      <c r="CR3613" s="534"/>
      <c r="CS3613" s="534"/>
      <c r="CT3613" s="534"/>
      <c r="CU3613" s="534"/>
      <c r="CV3613" s="534"/>
      <c r="CW3613" s="534"/>
      <c r="CX3613" s="534"/>
      <c r="CY3613" s="534"/>
      <c r="CZ3613" s="534"/>
      <c r="DA3613" s="534"/>
      <c r="DB3613" s="534"/>
      <c r="DC3613" s="534"/>
      <c r="DD3613" s="534"/>
      <c r="DE3613" s="534"/>
      <c r="DF3613" s="534"/>
      <c r="DG3613" s="534"/>
      <c r="DH3613" s="534"/>
      <c r="DI3613" s="534"/>
      <c r="DJ3613" s="534"/>
      <c r="DK3613" s="534"/>
      <c r="DL3613" s="534"/>
      <c r="DM3613" s="534"/>
      <c r="DN3613" s="534"/>
      <c r="DO3613" s="534"/>
      <c r="DP3613" s="534"/>
      <c r="DQ3613" s="534"/>
      <c r="DR3613" s="534"/>
      <c r="DS3613" s="534"/>
      <c r="DT3613" s="534"/>
      <c r="DU3613" s="534"/>
      <c r="DV3613" s="534"/>
      <c r="DW3613" s="534"/>
      <c r="DX3613" s="534"/>
      <c r="DY3613" s="534"/>
      <c r="DZ3613" s="534"/>
      <c r="EA3613" s="534"/>
      <c r="EB3613" s="534"/>
      <c r="EC3613" s="534"/>
      <c r="ED3613" s="534"/>
      <c r="EE3613" s="534"/>
      <c r="EF3613" s="534"/>
      <c r="EG3613" s="534"/>
      <c r="EH3613" s="534"/>
      <c r="EI3613" s="534"/>
      <c r="EJ3613" s="534"/>
      <c r="EK3613" s="534"/>
      <c r="EL3613" s="534"/>
      <c r="EM3613" s="534"/>
      <c r="EN3613" s="534"/>
      <c r="EO3613" s="534"/>
      <c r="EP3613" s="534"/>
      <c r="EQ3613" s="534"/>
      <c r="ER3613" s="534"/>
      <c r="ES3613" s="534"/>
      <c r="ET3613" s="534"/>
      <c r="EU3613" s="534"/>
      <c r="EV3613" s="534"/>
      <c r="EW3613" s="534"/>
      <c r="EX3613" s="534"/>
      <c r="EY3613" s="534"/>
      <c r="EZ3613" s="534"/>
      <c r="FA3613" s="534"/>
      <c r="FB3613" s="534"/>
      <c r="FC3613" s="534"/>
      <c r="FD3613" s="534"/>
      <c r="FE3613" s="534"/>
      <c r="FF3613" s="534"/>
      <c r="FG3613" s="534"/>
      <c r="FH3613" s="534"/>
      <c r="FI3613" s="534"/>
      <c r="FJ3613" s="534"/>
      <c r="FK3613" s="534"/>
      <c r="FL3613" s="534"/>
      <c r="FM3613" s="534"/>
      <c r="FN3613" s="534"/>
      <c r="FO3613" s="534"/>
      <c r="FP3613" s="534"/>
      <c r="FQ3613" s="534"/>
      <c r="FR3613" s="534"/>
      <c r="FS3613" s="534"/>
      <c r="FT3613" s="534"/>
      <c r="FU3613" s="534"/>
      <c r="FV3613" s="534"/>
      <c r="FW3613" s="534"/>
      <c r="FX3613" s="534"/>
      <c r="FY3613" s="534"/>
      <c r="FZ3613" s="534"/>
      <c r="GA3613" s="534"/>
      <c r="GB3613" s="534"/>
      <c r="GC3613" s="534"/>
      <c r="GD3613" s="534"/>
      <c r="GE3613" s="534"/>
      <c r="GF3613" s="534"/>
      <c r="GG3613" s="534"/>
      <c r="GH3613" s="534"/>
      <c r="GI3613" s="534"/>
      <c r="GJ3613" s="534"/>
      <c r="GK3613" s="534"/>
      <c r="GL3613" s="534"/>
      <c r="GM3613" s="534"/>
      <c r="GN3613" s="534"/>
      <c r="GO3613" s="534"/>
      <c r="GP3613" s="534"/>
      <c r="GQ3613" s="534"/>
      <c r="GR3613" s="534"/>
      <c r="GS3613" s="534"/>
      <c r="GT3613" s="534"/>
      <c r="GU3613" s="534"/>
      <c r="GV3613" s="534"/>
      <c r="GW3613" s="534"/>
      <c r="GX3613" s="534"/>
      <c r="GY3613" s="534"/>
      <c r="GZ3613" s="534"/>
      <c r="HA3613" s="534"/>
      <c r="HB3613" s="534"/>
      <c r="HC3613" s="534"/>
    </row>
    <row r="3614" spans="1:222" s="90" customFormat="1" hidden="1">
      <c r="A3614" s="1216">
        <f t="shared" si="531"/>
        <v>9</v>
      </c>
      <c r="B3614" s="813" t="s">
        <v>2905</v>
      </c>
      <c r="C3614" s="744" t="s">
        <v>221</v>
      </c>
      <c r="D3614" s="815">
        <f t="shared" si="526"/>
        <v>1311</v>
      </c>
      <c r="E3614" s="816">
        <v>524.4</v>
      </c>
      <c r="F3614" s="815" t="s">
        <v>222</v>
      </c>
      <c r="G3614" s="816">
        <v>570.6</v>
      </c>
      <c r="H3614" s="819">
        <v>2</v>
      </c>
      <c r="I3614" s="819">
        <v>2</v>
      </c>
      <c r="J3614" s="803">
        <v>12</v>
      </c>
      <c r="K3614" s="812" t="s">
        <v>33</v>
      </c>
      <c r="L3614" s="746">
        <f t="shared" si="527"/>
        <v>1247868</v>
      </c>
      <c r="M3614" s="745">
        <f>G3614*2100</f>
        <v>1198260</v>
      </c>
      <c r="N3614" s="802">
        <v>23965</v>
      </c>
      <c r="O3614" s="822"/>
      <c r="P3614" s="802"/>
      <c r="Q3614" s="586">
        <f t="shared" si="529"/>
        <v>25643</v>
      </c>
      <c r="R3614" s="803">
        <f t="shared" si="530"/>
        <v>2100</v>
      </c>
      <c r="S3614" s="817"/>
      <c r="T3614" s="817"/>
      <c r="U3614" s="1059"/>
      <c r="V3614" s="817"/>
      <c r="W3614" s="817"/>
      <c r="X3614" s="817"/>
      <c r="Y3614" s="817"/>
      <c r="Z3614" s="817"/>
      <c r="AA3614" s="534"/>
      <c r="AB3614" s="534"/>
      <c r="AC3614" s="534"/>
      <c r="AD3614" s="534"/>
      <c r="AE3614" s="534"/>
      <c r="AF3614" s="534"/>
      <c r="AG3614" s="534"/>
      <c r="AH3614" s="534"/>
      <c r="AI3614" s="534"/>
      <c r="AJ3614" s="534"/>
      <c r="AK3614" s="534"/>
      <c r="AL3614" s="534"/>
      <c r="AM3614" s="534"/>
      <c r="AN3614" s="534"/>
      <c r="AO3614" s="534"/>
      <c r="AP3614" s="534"/>
      <c r="AQ3614" s="534"/>
      <c r="AR3614" s="534"/>
      <c r="AS3614" s="534"/>
      <c r="AT3614" s="534"/>
      <c r="AU3614" s="534"/>
      <c r="AV3614" s="534"/>
      <c r="AW3614" s="534"/>
      <c r="AX3614" s="534"/>
      <c r="AY3614" s="534"/>
      <c r="AZ3614" s="534"/>
      <c r="BA3614" s="534"/>
      <c r="BB3614" s="534"/>
      <c r="BC3614" s="534"/>
      <c r="BD3614" s="534"/>
      <c r="BE3614" s="534"/>
      <c r="BF3614" s="534"/>
      <c r="BG3614" s="534"/>
      <c r="BH3614" s="534"/>
      <c r="BI3614" s="534"/>
      <c r="BJ3614" s="534"/>
      <c r="BK3614" s="534"/>
      <c r="BL3614" s="534"/>
      <c r="BM3614" s="534"/>
      <c r="BN3614" s="534"/>
      <c r="BO3614" s="534"/>
      <c r="BP3614" s="534"/>
      <c r="BQ3614" s="534"/>
      <c r="BR3614" s="534"/>
      <c r="BS3614" s="534"/>
      <c r="BT3614" s="534"/>
      <c r="BU3614" s="534"/>
      <c r="BV3614" s="534"/>
      <c r="BW3614" s="534"/>
      <c r="BX3614" s="534"/>
      <c r="BY3614" s="534"/>
      <c r="BZ3614" s="534"/>
      <c r="CA3614" s="534"/>
      <c r="CB3614" s="534"/>
      <c r="CC3614" s="534"/>
      <c r="CD3614" s="534"/>
      <c r="CE3614" s="534"/>
      <c r="CF3614" s="534"/>
      <c r="CG3614" s="534"/>
      <c r="CH3614" s="534"/>
      <c r="CI3614" s="534"/>
      <c r="CJ3614" s="534"/>
      <c r="CK3614" s="534"/>
      <c r="CL3614" s="534"/>
      <c r="CM3614" s="534"/>
      <c r="CN3614" s="534"/>
      <c r="CO3614" s="534"/>
      <c r="CP3614" s="534"/>
      <c r="CQ3614" s="534"/>
      <c r="CR3614" s="534"/>
      <c r="CS3614" s="534"/>
      <c r="CT3614" s="534"/>
      <c r="CU3614" s="534"/>
      <c r="CV3614" s="534"/>
      <c r="CW3614" s="534"/>
      <c r="CX3614" s="534"/>
      <c r="CY3614" s="534"/>
      <c r="CZ3614" s="534"/>
      <c r="DA3614" s="534"/>
      <c r="DB3614" s="534"/>
      <c r="DC3614" s="534"/>
      <c r="DD3614" s="534"/>
      <c r="DE3614" s="534"/>
      <c r="DF3614" s="534"/>
      <c r="DG3614" s="534"/>
      <c r="DH3614" s="534"/>
      <c r="DI3614" s="534"/>
      <c r="DJ3614" s="534"/>
      <c r="DK3614" s="534"/>
      <c r="DL3614" s="534"/>
      <c r="DM3614" s="534"/>
      <c r="DN3614" s="534"/>
      <c r="DO3614" s="534"/>
      <c r="DP3614" s="534"/>
      <c r="DQ3614" s="534"/>
      <c r="DR3614" s="534"/>
      <c r="DS3614" s="534"/>
      <c r="DT3614" s="534"/>
      <c r="DU3614" s="534"/>
      <c r="DV3614" s="534"/>
      <c r="DW3614" s="534"/>
      <c r="DX3614" s="534"/>
      <c r="DY3614" s="534"/>
      <c r="DZ3614" s="534"/>
      <c r="EA3614" s="534"/>
      <c r="EB3614" s="534"/>
      <c r="EC3614" s="534"/>
      <c r="ED3614" s="534"/>
      <c r="EE3614" s="534"/>
      <c r="EF3614" s="534"/>
      <c r="EG3614" s="534"/>
      <c r="EH3614" s="534"/>
      <c r="EI3614" s="534"/>
      <c r="EJ3614" s="534"/>
      <c r="EK3614" s="534"/>
      <c r="EL3614" s="534"/>
      <c r="EM3614" s="534"/>
      <c r="EN3614" s="534"/>
      <c r="EO3614" s="534"/>
      <c r="EP3614" s="534"/>
      <c r="EQ3614" s="534"/>
      <c r="ER3614" s="534"/>
      <c r="ES3614" s="534"/>
      <c r="ET3614" s="534"/>
      <c r="EU3614" s="534"/>
      <c r="EV3614" s="534"/>
      <c r="EW3614" s="534"/>
      <c r="EX3614" s="534"/>
      <c r="EY3614" s="534"/>
      <c r="EZ3614" s="534"/>
      <c r="FA3614" s="534"/>
      <c r="FB3614" s="534"/>
      <c r="FC3614" s="534"/>
      <c r="FD3614" s="534"/>
      <c r="FE3614" s="534"/>
      <c r="FF3614" s="534"/>
      <c r="FG3614" s="534"/>
      <c r="FH3614" s="534"/>
      <c r="FI3614" s="534"/>
      <c r="FJ3614" s="534"/>
      <c r="FK3614" s="534"/>
      <c r="FL3614" s="534"/>
      <c r="FM3614" s="534"/>
      <c r="FN3614" s="534"/>
      <c r="FO3614" s="534"/>
      <c r="FP3614" s="534"/>
      <c r="FQ3614" s="534"/>
      <c r="FR3614" s="534"/>
      <c r="FS3614" s="534"/>
      <c r="FT3614" s="534"/>
      <c r="FU3614" s="534"/>
      <c r="FV3614" s="534"/>
      <c r="FW3614" s="534"/>
      <c r="FX3614" s="534"/>
      <c r="FY3614" s="534"/>
      <c r="FZ3614" s="534"/>
      <c r="GA3614" s="534"/>
      <c r="GB3614" s="534"/>
      <c r="GC3614" s="534"/>
      <c r="GD3614" s="534"/>
      <c r="GE3614" s="534"/>
      <c r="GF3614" s="534"/>
      <c r="GG3614" s="534"/>
      <c r="GH3614" s="534"/>
      <c r="GI3614" s="534"/>
      <c r="GJ3614" s="534"/>
      <c r="GK3614" s="534"/>
      <c r="GL3614" s="534"/>
      <c r="GM3614" s="534"/>
      <c r="GN3614" s="534"/>
      <c r="GO3614" s="534"/>
      <c r="GP3614" s="534"/>
      <c r="GQ3614" s="534"/>
      <c r="GR3614" s="534"/>
      <c r="GS3614" s="534"/>
      <c r="GT3614" s="534"/>
      <c r="GU3614" s="534"/>
      <c r="GV3614" s="534"/>
      <c r="GW3614" s="534"/>
      <c r="GX3614" s="534"/>
      <c r="GY3614" s="534"/>
      <c r="GZ3614" s="534"/>
      <c r="HA3614" s="534"/>
      <c r="HB3614" s="534"/>
      <c r="HC3614" s="534"/>
    </row>
    <row r="3615" spans="1:222" s="90" customFormat="1" hidden="1">
      <c r="A3615" s="1216">
        <f t="shared" si="531"/>
        <v>10</v>
      </c>
      <c r="B3615" s="813" t="s">
        <v>2906</v>
      </c>
      <c r="C3615" s="700" t="s">
        <v>217</v>
      </c>
      <c r="D3615" s="815">
        <f t="shared" si="526"/>
        <v>1395</v>
      </c>
      <c r="E3615" s="816">
        <v>558</v>
      </c>
      <c r="F3615" s="815" t="s">
        <v>222</v>
      </c>
      <c r="G3615" s="816">
        <v>902</v>
      </c>
      <c r="H3615" s="819">
        <v>3</v>
      </c>
      <c r="I3615" s="819">
        <v>2</v>
      </c>
      <c r="J3615" s="803">
        <v>54</v>
      </c>
      <c r="K3615" s="812" t="s">
        <v>33</v>
      </c>
      <c r="L3615" s="746">
        <f t="shared" si="527"/>
        <v>1963149</v>
      </c>
      <c r="M3615" s="745">
        <f>G3615*2100</f>
        <v>1894200</v>
      </c>
      <c r="N3615" s="802">
        <v>28413</v>
      </c>
      <c r="O3615" s="822"/>
      <c r="P3615" s="802"/>
      <c r="Q3615" s="586">
        <f t="shared" si="529"/>
        <v>40536</v>
      </c>
      <c r="R3615" s="803">
        <f t="shared" si="530"/>
        <v>2100</v>
      </c>
      <c r="S3615" s="817"/>
      <c r="T3615" s="817"/>
      <c r="U3615" s="1059"/>
      <c r="V3615" s="817"/>
      <c r="W3615" s="817"/>
      <c r="X3615" s="817"/>
      <c r="Y3615" s="817"/>
      <c r="Z3615" s="817"/>
      <c r="AA3615" s="534"/>
      <c r="AB3615" s="534"/>
      <c r="AC3615" s="534"/>
      <c r="AD3615" s="534"/>
      <c r="AE3615" s="534"/>
      <c r="AF3615" s="534"/>
      <c r="AG3615" s="534"/>
      <c r="AH3615" s="534"/>
      <c r="AI3615" s="534"/>
      <c r="AJ3615" s="534"/>
      <c r="AK3615" s="534"/>
      <c r="AL3615" s="534"/>
      <c r="AM3615" s="534"/>
      <c r="AN3615" s="534"/>
      <c r="AO3615" s="534"/>
      <c r="AP3615" s="534"/>
      <c r="AQ3615" s="534"/>
      <c r="AR3615" s="534"/>
      <c r="AS3615" s="534"/>
      <c r="AT3615" s="534"/>
      <c r="AU3615" s="534"/>
      <c r="AV3615" s="534"/>
      <c r="AW3615" s="534"/>
      <c r="AX3615" s="534"/>
      <c r="AY3615" s="534"/>
      <c r="AZ3615" s="534"/>
      <c r="BA3615" s="534"/>
      <c r="BB3615" s="534"/>
      <c r="BC3615" s="534"/>
      <c r="BD3615" s="534"/>
      <c r="BE3615" s="534"/>
      <c r="BF3615" s="534"/>
      <c r="BG3615" s="534"/>
      <c r="BH3615" s="534"/>
      <c r="BI3615" s="534"/>
      <c r="BJ3615" s="534"/>
      <c r="BK3615" s="534"/>
      <c r="BL3615" s="534"/>
      <c r="BM3615" s="534"/>
      <c r="BN3615" s="534"/>
      <c r="BO3615" s="534"/>
      <c r="BP3615" s="534"/>
      <c r="BQ3615" s="534"/>
      <c r="BR3615" s="534"/>
      <c r="BS3615" s="534"/>
      <c r="BT3615" s="534"/>
      <c r="BU3615" s="534"/>
      <c r="BV3615" s="534"/>
      <c r="BW3615" s="534"/>
      <c r="BX3615" s="534"/>
      <c r="BY3615" s="534"/>
      <c r="BZ3615" s="534"/>
      <c r="CA3615" s="534"/>
      <c r="CB3615" s="534"/>
      <c r="CC3615" s="534"/>
      <c r="CD3615" s="534"/>
      <c r="CE3615" s="534"/>
      <c r="CF3615" s="534"/>
      <c r="CG3615" s="534"/>
      <c r="CH3615" s="534"/>
      <c r="CI3615" s="534"/>
      <c r="CJ3615" s="534"/>
      <c r="CK3615" s="534"/>
      <c r="CL3615" s="534"/>
      <c r="CM3615" s="534"/>
      <c r="CN3615" s="534"/>
      <c r="CO3615" s="534"/>
      <c r="CP3615" s="534"/>
      <c r="CQ3615" s="534"/>
      <c r="CR3615" s="534"/>
      <c r="CS3615" s="534"/>
      <c r="CT3615" s="534"/>
      <c r="CU3615" s="534"/>
      <c r="CV3615" s="534"/>
      <c r="CW3615" s="534"/>
      <c r="CX3615" s="534"/>
      <c r="CY3615" s="534"/>
      <c r="CZ3615" s="534"/>
      <c r="DA3615" s="534"/>
      <c r="DB3615" s="534"/>
      <c r="DC3615" s="534"/>
      <c r="DD3615" s="534"/>
      <c r="DE3615" s="534"/>
      <c r="DF3615" s="534"/>
      <c r="DG3615" s="534"/>
      <c r="DH3615" s="534"/>
      <c r="DI3615" s="534"/>
      <c r="DJ3615" s="534"/>
      <c r="DK3615" s="534"/>
      <c r="DL3615" s="534"/>
      <c r="DM3615" s="534"/>
      <c r="DN3615" s="534"/>
      <c r="DO3615" s="534"/>
      <c r="DP3615" s="534"/>
      <c r="DQ3615" s="534"/>
      <c r="DR3615" s="534"/>
      <c r="DS3615" s="534"/>
      <c r="DT3615" s="534"/>
      <c r="DU3615" s="534"/>
      <c r="DV3615" s="534"/>
      <c r="DW3615" s="534"/>
      <c r="DX3615" s="534"/>
      <c r="DY3615" s="534"/>
      <c r="DZ3615" s="534"/>
      <c r="EA3615" s="534"/>
      <c r="EB3615" s="534"/>
      <c r="EC3615" s="534"/>
      <c r="ED3615" s="534"/>
      <c r="EE3615" s="534"/>
      <c r="EF3615" s="534"/>
      <c r="EG3615" s="534"/>
      <c r="EH3615" s="534"/>
      <c r="EI3615" s="534"/>
      <c r="EJ3615" s="534"/>
      <c r="EK3615" s="534"/>
      <c r="EL3615" s="534"/>
      <c r="EM3615" s="534"/>
      <c r="EN3615" s="534"/>
      <c r="EO3615" s="534"/>
      <c r="EP3615" s="534"/>
      <c r="EQ3615" s="534"/>
      <c r="ER3615" s="534"/>
      <c r="ES3615" s="534"/>
      <c r="ET3615" s="534"/>
      <c r="EU3615" s="534"/>
      <c r="EV3615" s="534"/>
      <c r="EW3615" s="534"/>
      <c r="EX3615" s="534"/>
      <c r="EY3615" s="534"/>
      <c r="EZ3615" s="534"/>
      <c r="FA3615" s="534"/>
      <c r="FB3615" s="534"/>
      <c r="FC3615" s="534"/>
      <c r="FD3615" s="534"/>
      <c r="FE3615" s="534"/>
      <c r="FF3615" s="534"/>
      <c r="FG3615" s="534"/>
      <c r="FH3615" s="534"/>
      <c r="FI3615" s="534"/>
      <c r="FJ3615" s="534"/>
      <c r="FK3615" s="534"/>
      <c r="FL3615" s="534"/>
      <c r="FM3615" s="534"/>
      <c r="FN3615" s="534"/>
      <c r="FO3615" s="534"/>
      <c r="FP3615" s="534"/>
      <c r="FQ3615" s="534"/>
      <c r="FR3615" s="534"/>
      <c r="FS3615" s="534"/>
      <c r="FT3615" s="534"/>
      <c r="FU3615" s="534"/>
      <c r="FV3615" s="534"/>
      <c r="FW3615" s="534"/>
      <c r="FX3615" s="534"/>
      <c r="FY3615" s="534"/>
      <c r="FZ3615" s="534"/>
      <c r="GA3615" s="534"/>
      <c r="GB3615" s="534"/>
      <c r="GC3615" s="534"/>
      <c r="GD3615" s="534"/>
      <c r="GE3615" s="534"/>
      <c r="GF3615" s="534"/>
      <c r="GG3615" s="534"/>
      <c r="GH3615" s="534"/>
      <c r="GI3615" s="534"/>
      <c r="GJ3615" s="534"/>
      <c r="GK3615" s="534"/>
      <c r="GL3615" s="534"/>
      <c r="GM3615" s="534"/>
      <c r="GN3615" s="534"/>
      <c r="GO3615" s="534"/>
      <c r="GP3615" s="534"/>
      <c r="GQ3615" s="534"/>
      <c r="GR3615" s="534"/>
      <c r="GS3615" s="534"/>
      <c r="GT3615" s="534"/>
      <c r="GU3615" s="534"/>
      <c r="GV3615" s="534"/>
      <c r="GW3615" s="534"/>
      <c r="GX3615" s="534"/>
      <c r="GY3615" s="534"/>
      <c r="GZ3615" s="534"/>
      <c r="HA3615" s="534"/>
      <c r="HB3615" s="534"/>
      <c r="HC3615" s="534"/>
    </row>
    <row r="3616" spans="1:222" s="547" customFormat="1" hidden="1">
      <c r="A3616" s="1216">
        <f t="shared" si="531"/>
        <v>11</v>
      </c>
      <c r="B3616" s="813" t="s">
        <v>2907</v>
      </c>
      <c r="C3616" s="744" t="s">
        <v>221</v>
      </c>
      <c r="D3616" s="815">
        <f t="shared" si="526"/>
        <v>1597.5</v>
      </c>
      <c r="E3616" s="816">
        <v>639</v>
      </c>
      <c r="F3616" s="815" t="s">
        <v>222</v>
      </c>
      <c r="G3616" s="816">
        <v>820</v>
      </c>
      <c r="H3616" s="819">
        <v>2</v>
      </c>
      <c r="I3616" s="819">
        <v>2</v>
      </c>
      <c r="J3616" s="803">
        <v>16</v>
      </c>
      <c r="K3616" s="812" t="s">
        <v>33</v>
      </c>
      <c r="L3616" s="746">
        <f t="shared" si="527"/>
        <v>1784681</v>
      </c>
      <c r="M3616" s="745">
        <f>G3616*2100</f>
        <v>1722000</v>
      </c>
      <c r="N3616" s="802">
        <v>25830</v>
      </c>
      <c r="O3616" s="822"/>
      <c r="P3616" s="802"/>
      <c r="Q3616" s="586">
        <f t="shared" si="529"/>
        <v>36851</v>
      </c>
      <c r="R3616" s="803">
        <f t="shared" si="530"/>
        <v>2100</v>
      </c>
      <c r="S3616" s="817"/>
      <c r="T3616" s="817"/>
      <c r="U3616" s="1059"/>
      <c r="V3616" s="1079"/>
      <c r="W3616" s="1079"/>
      <c r="X3616" s="1079"/>
      <c r="Y3616" s="1079"/>
      <c r="Z3616" s="1079"/>
      <c r="AA3616" s="546"/>
      <c r="AB3616" s="546"/>
      <c r="AC3616" s="546"/>
      <c r="AD3616" s="546"/>
      <c r="AE3616" s="546"/>
      <c r="AF3616" s="546"/>
      <c r="AG3616" s="546"/>
      <c r="AH3616" s="546"/>
      <c r="AI3616" s="546"/>
      <c r="AJ3616" s="546"/>
      <c r="AK3616" s="546"/>
      <c r="AL3616" s="546"/>
      <c r="AM3616" s="546"/>
      <c r="AN3616" s="546"/>
      <c r="AO3616" s="546"/>
      <c r="AP3616" s="546"/>
      <c r="AQ3616" s="546"/>
      <c r="AR3616" s="546"/>
      <c r="AS3616" s="546"/>
      <c r="AT3616" s="546"/>
      <c r="AU3616" s="546"/>
      <c r="AV3616" s="546"/>
      <c r="AW3616" s="546"/>
      <c r="AX3616" s="546"/>
      <c r="AY3616" s="546"/>
      <c r="AZ3616" s="546"/>
      <c r="BA3616" s="546"/>
      <c r="BB3616" s="546"/>
      <c r="BC3616" s="546"/>
      <c r="BD3616" s="546"/>
      <c r="BE3616" s="546"/>
      <c r="BF3616" s="546"/>
      <c r="BG3616" s="546"/>
      <c r="BH3616" s="546"/>
      <c r="BI3616" s="546"/>
      <c r="BJ3616" s="546"/>
      <c r="BK3616" s="546"/>
      <c r="BL3616" s="546"/>
      <c r="BM3616" s="546"/>
      <c r="BN3616" s="546"/>
      <c r="BO3616" s="546"/>
      <c r="BP3616" s="546"/>
      <c r="BQ3616" s="546"/>
      <c r="BR3616" s="546"/>
      <c r="BS3616" s="546"/>
      <c r="BT3616" s="546"/>
      <c r="BU3616" s="546"/>
      <c r="BV3616" s="546"/>
      <c r="BW3616" s="546"/>
      <c r="BX3616" s="546"/>
      <c r="BY3616" s="546"/>
      <c r="BZ3616" s="546"/>
      <c r="CA3616" s="546"/>
      <c r="CB3616" s="546"/>
      <c r="CC3616" s="546"/>
      <c r="CD3616" s="546"/>
      <c r="CE3616" s="546"/>
      <c r="CF3616" s="546"/>
      <c r="CG3616" s="546"/>
      <c r="CH3616" s="546"/>
      <c r="CI3616" s="546"/>
      <c r="CJ3616" s="546"/>
      <c r="CK3616" s="546"/>
      <c r="CL3616" s="546"/>
      <c r="CM3616" s="546"/>
      <c r="CN3616" s="546"/>
      <c r="CO3616" s="546"/>
      <c r="CP3616" s="546"/>
      <c r="CQ3616" s="546"/>
      <c r="CR3616" s="546"/>
      <c r="CS3616" s="546"/>
      <c r="CT3616" s="546"/>
      <c r="CU3616" s="546"/>
      <c r="CV3616" s="546"/>
      <c r="CW3616" s="546"/>
      <c r="CX3616" s="546"/>
      <c r="CY3616" s="546"/>
      <c r="CZ3616" s="546"/>
      <c r="DA3616" s="546"/>
      <c r="DB3616" s="546"/>
      <c r="DC3616" s="546"/>
      <c r="DD3616" s="546"/>
      <c r="DE3616" s="546"/>
      <c r="DF3616" s="546"/>
      <c r="DG3616" s="546"/>
      <c r="DH3616" s="546"/>
      <c r="DI3616" s="546"/>
      <c r="DJ3616" s="546"/>
      <c r="DK3616" s="546"/>
      <c r="DL3616" s="546"/>
      <c r="DM3616" s="546"/>
      <c r="DN3616" s="546"/>
      <c r="DO3616" s="546"/>
      <c r="DP3616" s="546"/>
      <c r="DQ3616" s="546"/>
      <c r="DR3616" s="546"/>
      <c r="DS3616" s="546"/>
      <c r="DT3616" s="546"/>
      <c r="DU3616" s="546"/>
      <c r="DV3616" s="546"/>
      <c r="DW3616" s="546"/>
      <c r="DX3616" s="546"/>
      <c r="DY3616" s="546"/>
      <c r="DZ3616" s="546"/>
      <c r="EA3616" s="546"/>
      <c r="EB3616" s="546"/>
      <c r="EC3616" s="546"/>
      <c r="ED3616" s="546"/>
      <c r="EE3616" s="546"/>
      <c r="EF3616" s="546"/>
      <c r="EG3616" s="546"/>
      <c r="EH3616" s="546"/>
      <c r="EI3616" s="546"/>
      <c r="EJ3616" s="546"/>
      <c r="EK3616" s="546"/>
      <c r="EL3616" s="546"/>
      <c r="EM3616" s="546"/>
      <c r="EN3616" s="546"/>
      <c r="EO3616" s="546"/>
      <c r="EP3616" s="546"/>
      <c r="EQ3616" s="546"/>
      <c r="ER3616" s="546"/>
      <c r="ES3616" s="546"/>
      <c r="ET3616" s="546"/>
      <c r="EU3616" s="546"/>
      <c r="EV3616" s="546"/>
      <c r="EW3616" s="546"/>
      <c r="EX3616" s="546"/>
      <c r="EY3616" s="546"/>
      <c r="EZ3616" s="546"/>
      <c r="FA3616" s="546"/>
      <c r="FB3616" s="546"/>
      <c r="FC3616" s="546"/>
      <c r="FD3616" s="546"/>
      <c r="FE3616" s="546"/>
      <c r="FF3616" s="546"/>
      <c r="FG3616" s="546"/>
      <c r="FH3616" s="546"/>
      <c r="FI3616" s="546"/>
      <c r="FJ3616" s="546"/>
      <c r="FK3616" s="546"/>
      <c r="FL3616" s="546"/>
      <c r="FM3616" s="546"/>
      <c r="FN3616" s="546"/>
      <c r="FO3616" s="546"/>
      <c r="FP3616" s="546"/>
      <c r="FQ3616" s="546"/>
      <c r="FR3616" s="546"/>
      <c r="FS3616" s="546"/>
      <c r="FT3616" s="546"/>
      <c r="FU3616" s="546"/>
      <c r="FV3616" s="546"/>
      <c r="FW3616" s="546"/>
      <c r="FX3616" s="546"/>
      <c r="FY3616" s="546"/>
      <c r="FZ3616" s="546"/>
      <c r="GA3616" s="546"/>
      <c r="GB3616" s="546"/>
      <c r="GC3616" s="546"/>
      <c r="GD3616" s="546"/>
      <c r="GE3616" s="546"/>
      <c r="GF3616" s="546"/>
      <c r="GG3616" s="546"/>
      <c r="GH3616" s="546"/>
      <c r="GI3616" s="546"/>
      <c r="GJ3616" s="546"/>
      <c r="GK3616" s="546"/>
      <c r="GL3616" s="546"/>
      <c r="GM3616" s="546"/>
      <c r="GN3616" s="546"/>
      <c r="GO3616" s="546"/>
      <c r="GP3616" s="546"/>
      <c r="GQ3616" s="546"/>
      <c r="GR3616" s="546"/>
      <c r="GS3616" s="546"/>
      <c r="GT3616" s="546"/>
      <c r="GU3616" s="546"/>
      <c r="GV3616" s="546"/>
      <c r="GW3616" s="546"/>
      <c r="GX3616" s="546"/>
      <c r="GY3616" s="546"/>
      <c r="GZ3616" s="546"/>
      <c r="HA3616" s="546"/>
      <c r="HB3616" s="546"/>
      <c r="HC3616" s="546"/>
      <c r="HD3616" s="546"/>
      <c r="HE3616" s="546"/>
      <c r="HF3616" s="546"/>
      <c r="HG3616" s="546"/>
      <c r="HH3616" s="546"/>
      <c r="HI3616" s="546"/>
      <c r="HJ3616" s="546"/>
      <c r="HK3616" s="546"/>
      <c r="HL3616" s="546"/>
      <c r="HM3616" s="546"/>
      <c r="HN3616" s="546"/>
    </row>
    <row r="3617" spans="1:222" s="547" customFormat="1" hidden="1">
      <c r="A3617" s="1216">
        <f t="shared" si="531"/>
        <v>12</v>
      </c>
      <c r="B3617" s="813" t="s">
        <v>2908</v>
      </c>
      <c r="C3617" s="700" t="s">
        <v>217</v>
      </c>
      <c r="D3617" s="815">
        <f>E3617*2.5</f>
        <v>825</v>
      </c>
      <c r="E3617" s="816">
        <f>(20+13)*2*2.5*2</f>
        <v>330</v>
      </c>
      <c r="F3617" s="815" t="s">
        <v>227</v>
      </c>
      <c r="G3617" s="816">
        <v>650</v>
      </c>
      <c r="H3617" s="819">
        <v>2</v>
      </c>
      <c r="I3617" s="819">
        <v>2</v>
      </c>
      <c r="J3617" s="803">
        <v>22</v>
      </c>
      <c r="K3617" s="812" t="s">
        <v>33</v>
      </c>
      <c r="L3617" s="746">
        <f t="shared" si="527"/>
        <v>1398306</v>
      </c>
      <c r="M3617" s="745">
        <f>G3617*2100</f>
        <v>1365000</v>
      </c>
      <c r="N3617" s="802"/>
      <c r="O3617" s="736">
        <f>ROUND(M3617*0.3%,0)</f>
        <v>4095</v>
      </c>
      <c r="P3617" s="802"/>
      <c r="Q3617" s="586">
        <f t="shared" si="529"/>
        <v>29211</v>
      </c>
      <c r="R3617" s="803">
        <f t="shared" si="530"/>
        <v>2100</v>
      </c>
      <c r="S3617" s="817"/>
      <c r="T3617" s="817"/>
      <c r="U3617" s="1059"/>
      <c r="V3617" s="1079"/>
      <c r="W3617" s="1079"/>
      <c r="X3617" s="1079"/>
      <c r="Y3617" s="1079"/>
      <c r="Z3617" s="1079"/>
      <c r="AA3617" s="546"/>
      <c r="AB3617" s="546"/>
      <c r="AC3617" s="546"/>
      <c r="AD3617" s="546"/>
      <c r="AE3617" s="546"/>
      <c r="AF3617" s="546"/>
      <c r="AG3617" s="546"/>
      <c r="AH3617" s="546"/>
      <c r="AI3617" s="546"/>
      <c r="AJ3617" s="546"/>
      <c r="AK3617" s="546"/>
      <c r="AL3617" s="546"/>
      <c r="AM3617" s="546"/>
      <c r="AN3617" s="546"/>
      <c r="AO3617" s="546"/>
      <c r="AP3617" s="546"/>
      <c r="AQ3617" s="546"/>
      <c r="AR3617" s="546"/>
      <c r="AS3617" s="546"/>
      <c r="AT3617" s="546"/>
      <c r="AU3617" s="546"/>
      <c r="AV3617" s="546"/>
      <c r="AW3617" s="546"/>
      <c r="AX3617" s="546"/>
      <c r="AY3617" s="546"/>
      <c r="AZ3617" s="546"/>
      <c r="BA3617" s="546"/>
      <c r="BB3617" s="546"/>
      <c r="BC3617" s="546"/>
      <c r="BD3617" s="546"/>
      <c r="BE3617" s="546"/>
      <c r="BF3617" s="546"/>
      <c r="BG3617" s="546"/>
      <c r="BH3617" s="546"/>
      <c r="BI3617" s="546"/>
      <c r="BJ3617" s="546"/>
      <c r="BK3617" s="546"/>
      <c r="BL3617" s="546"/>
      <c r="BM3617" s="546"/>
      <c r="BN3617" s="546"/>
      <c r="BO3617" s="546"/>
      <c r="BP3617" s="546"/>
      <c r="BQ3617" s="546"/>
      <c r="BR3617" s="546"/>
      <c r="BS3617" s="546"/>
      <c r="BT3617" s="546"/>
      <c r="BU3617" s="546"/>
      <c r="BV3617" s="546"/>
      <c r="BW3617" s="546"/>
      <c r="BX3617" s="546"/>
      <c r="BY3617" s="546"/>
      <c r="BZ3617" s="546"/>
      <c r="CA3617" s="546"/>
      <c r="CB3617" s="546"/>
      <c r="CC3617" s="546"/>
      <c r="CD3617" s="546"/>
      <c r="CE3617" s="546"/>
      <c r="CF3617" s="546"/>
      <c r="CG3617" s="546"/>
      <c r="CH3617" s="546"/>
      <c r="CI3617" s="546"/>
      <c r="CJ3617" s="546"/>
      <c r="CK3617" s="546"/>
      <c r="CL3617" s="546"/>
      <c r="CM3617" s="546"/>
      <c r="CN3617" s="546"/>
      <c r="CO3617" s="546"/>
      <c r="CP3617" s="546"/>
      <c r="CQ3617" s="546"/>
      <c r="CR3617" s="546"/>
      <c r="CS3617" s="546"/>
      <c r="CT3617" s="546"/>
      <c r="CU3617" s="546"/>
      <c r="CV3617" s="546"/>
      <c r="CW3617" s="546"/>
      <c r="CX3617" s="546"/>
      <c r="CY3617" s="546"/>
      <c r="CZ3617" s="546"/>
      <c r="DA3617" s="546"/>
      <c r="DB3617" s="546"/>
      <c r="DC3617" s="546"/>
      <c r="DD3617" s="546"/>
      <c r="DE3617" s="546"/>
      <c r="DF3617" s="546"/>
      <c r="DG3617" s="546"/>
      <c r="DH3617" s="546"/>
      <c r="DI3617" s="546"/>
      <c r="DJ3617" s="546"/>
      <c r="DK3617" s="546"/>
      <c r="DL3617" s="546"/>
      <c r="DM3617" s="546"/>
      <c r="DN3617" s="546"/>
      <c r="DO3617" s="546"/>
      <c r="DP3617" s="546"/>
      <c r="DQ3617" s="546"/>
      <c r="DR3617" s="546"/>
      <c r="DS3617" s="546"/>
      <c r="DT3617" s="546"/>
      <c r="DU3617" s="546"/>
      <c r="DV3617" s="546"/>
      <c r="DW3617" s="546"/>
      <c r="DX3617" s="546"/>
      <c r="DY3617" s="546"/>
      <c r="DZ3617" s="546"/>
      <c r="EA3617" s="546"/>
      <c r="EB3617" s="546"/>
      <c r="EC3617" s="546"/>
      <c r="ED3617" s="546"/>
      <c r="EE3617" s="546"/>
      <c r="EF3617" s="546"/>
      <c r="EG3617" s="546"/>
      <c r="EH3617" s="546"/>
      <c r="EI3617" s="546"/>
      <c r="EJ3617" s="546"/>
      <c r="EK3617" s="546"/>
      <c r="EL3617" s="546"/>
      <c r="EM3617" s="546"/>
      <c r="EN3617" s="546"/>
      <c r="EO3617" s="546"/>
      <c r="EP3617" s="546"/>
      <c r="EQ3617" s="546"/>
      <c r="ER3617" s="546"/>
      <c r="ES3617" s="546"/>
      <c r="ET3617" s="546"/>
      <c r="EU3617" s="546"/>
      <c r="EV3617" s="546"/>
      <c r="EW3617" s="546"/>
      <c r="EX3617" s="546"/>
      <c r="EY3617" s="546"/>
      <c r="EZ3617" s="546"/>
      <c r="FA3617" s="546"/>
      <c r="FB3617" s="546"/>
      <c r="FC3617" s="546"/>
      <c r="FD3617" s="546"/>
      <c r="FE3617" s="546"/>
      <c r="FF3617" s="546"/>
      <c r="FG3617" s="546"/>
      <c r="FH3617" s="546"/>
      <c r="FI3617" s="546"/>
      <c r="FJ3617" s="546"/>
      <c r="FK3617" s="546"/>
      <c r="FL3617" s="546"/>
      <c r="FM3617" s="546"/>
      <c r="FN3617" s="546"/>
      <c r="FO3617" s="546"/>
      <c r="FP3617" s="546"/>
      <c r="FQ3617" s="546"/>
      <c r="FR3617" s="546"/>
      <c r="FS3617" s="546"/>
      <c r="FT3617" s="546"/>
      <c r="FU3617" s="546"/>
      <c r="FV3617" s="546"/>
      <c r="FW3617" s="546"/>
      <c r="FX3617" s="546"/>
      <c r="FY3617" s="546"/>
      <c r="FZ3617" s="546"/>
      <c r="GA3617" s="546"/>
      <c r="GB3617" s="546"/>
      <c r="GC3617" s="546"/>
      <c r="GD3617" s="546"/>
      <c r="GE3617" s="546"/>
      <c r="GF3617" s="546"/>
      <c r="GG3617" s="546"/>
      <c r="GH3617" s="546"/>
      <c r="GI3617" s="546"/>
      <c r="GJ3617" s="546"/>
      <c r="GK3617" s="546"/>
      <c r="GL3617" s="546"/>
      <c r="GM3617" s="546"/>
      <c r="GN3617" s="546"/>
      <c r="GO3617" s="546"/>
      <c r="GP3617" s="546"/>
      <c r="GQ3617" s="546"/>
      <c r="GR3617" s="546"/>
      <c r="GS3617" s="546"/>
      <c r="GT3617" s="546"/>
      <c r="GU3617" s="546"/>
      <c r="GV3617" s="546"/>
      <c r="GW3617" s="546"/>
      <c r="GX3617" s="546"/>
      <c r="GY3617" s="546"/>
      <c r="GZ3617" s="546"/>
      <c r="HA3617" s="546"/>
      <c r="HB3617" s="546"/>
      <c r="HC3617" s="546"/>
      <c r="HD3617" s="546"/>
      <c r="HE3617" s="546"/>
      <c r="HF3617" s="546"/>
      <c r="HG3617" s="546"/>
      <c r="HH3617" s="546"/>
      <c r="HI3617" s="546"/>
      <c r="HJ3617" s="546"/>
      <c r="HK3617" s="546"/>
      <c r="HL3617" s="546"/>
      <c r="HM3617" s="546"/>
      <c r="HN3617" s="546"/>
    </row>
    <row r="3618" spans="1:222" s="547" customFormat="1" ht="37.5" hidden="1">
      <c r="A3618" s="1216">
        <f t="shared" si="531"/>
        <v>13</v>
      </c>
      <c r="B3618" s="813" t="s">
        <v>3675</v>
      </c>
      <c r="C3618" s="700" t="s">
        <v>221</v>
      </c>
      <c r="D3618" s="815">
        <v>3276</v>
      </c>
      <c r="E3618" s="816">
        <v>1310.4000000000001</v>
      </c>
      <c r="F3618" s="815" t="s">
        <v>227</v>
      </c>
      <c r="G3618" s="816">
        <v>766.8</v>
      </c>
      <c r="H3618" s="819">
        <v>9</v>
      </c>
      <c r="I3618" s="819">
        <v>2</v>
      </c>
      <c r="J3618" s="803">
        <v>108</v>
      </c>
      <c r="K3618" s="812" t="s">
        <v>219</v>
      </c>
      <c r="L3618" s="746">
        <f t="shared" si="527"/>
        <v>4106250</v>
      </c>
      <c r="M3618" s="745">
        <v>4000000</v>
      </c>
      <c r="N3618" s="802">
        <v>106250</v>
      </c>
      <c r="O3618" s="736"/>
      <c r="P3618" s="802"/>
      <c r="Q3618" s="586"/>
      <c r="R3618" s="582">
        <f>M3618/I3618</f>
        <v>2000000</v>
      </c>
      <c r="S3618" s="817"/>
      <c r="T3618" s="817"/>
      <c r="U3618" s="1059"/>
      <c r="V3618" s="1079"/>
      <c r="W3618" s="1079"/>
      <c r="X3618" s="1079"/>
      <c r="Y3618" s="1079"/>
      <c r="Z3618" s="1079"/>
      <c r="AA3618" s="546"/>
      <c r="AB3618" s="546"/>
      <c r="AC3618" s="546"/>
      <c r="AD3618" s="546"/>
      <c r="AE3618" s="546"/>
      <c r="AF3618" s="546"/>
      <c r="AG3618" s="546"/>
      <c r="AH3618" s="546"/>
      <c r="AI3618" s="546"/>
      <c r="AJ3618" s="546"/>
      <c r="AK3618" s="546"/>
      <c r="AL3618" s="546"/>
      <c r="AM3618" s="546"/>
      <c r="AN3618" s="546"/>
      <c r="AO3618" s="546"/>
      <c r="AP3618" s="546"/>
      <c r="AQ3618" s="546"/>
      <c r="AR3618" s="546"/>
      <c r="AS3618" s="546"/>
      <c r="AT3618" s="546"/>
      <c r="AU3618" s="546"/>
      <c r="AV3618" s="546"/>
      <c r="AW3618" s="546"/>
      <c r="AX3618" s="546"/>
      <c r="AY3618" s="546"/>
      <c r="AZ3618" s="546"/>
      <c r="BA3618" s="546"/>
      <c r="BB3618" s="546"/>
      <c r="BC3618" s="546"/>
      <c r="BD3618" s="546"/>
      <c r="BE3618" s="546"/>
      <c r="BF3618" s="546"/>
      <c r="BG3618" s="546"/>
      <c r="BH3618" s="546"/>
      <c r="BI3618" s="546"/>
      <c r="BJ3618" s="546"/>
      <c r="BK3618" s="546"/>
      <c r="BL3618" s="546"/>
      <c r="BM3618" s="546"/>
      <c r="BN3618" s="546"/>
      <c r="BO3618" s="546"/>
      <c r="BP3618" s="546"/>
      <c r="BQ3618" s="546"/>
      <c r="BR3618" s="546"/>
      <c r="BS3618" s="546"/>
      <c r="BT3618" s="546"/>
      <c r="BU3618" s="546"/>
      <c r="BV3618" s="546"/>
      <c r="BW3618" s="546"/>
      <c r="BX3618" s="546"/>
      <c r="BY3618" s="546"/>
      <c r="BZ3618" s="546"/>
      <c r="CA3618" s="546"/>
      <c r="CB3618" s="546"/>
      <c r="CC3618" s="546"/>
      <c r="CD3618" s="546"/>
      <c r="CE3618" s="546"/>
      <c r="CF3618" s="546"/>
      <c r="CG3618" s="546"/>
      <c r="CH3618" s="546"/>
      <c r="CI3618" s="546"/>
      <c r="CJ3618" s="546"/>
      <c r="CK3618" s="546"/>
      <c r="CL3618" s="546"/>
      <c r="CM3618" s="546"/>
      <c r="CN3618" s="546"/>
      <c r="CO3618" s="546"/>
      <c r="CP3618" s="546"/>
      <c r="CQ3618" s="546"/>
      <c r="CR3618" s="546"/>
      <c r="CS3618" s="546"/>
      <c r="CT3618" s="546"/>
      <c r="CU3618" s="546"/>
      <c r="CV3618" s="546"/>
      <c r="CW3618" s="546"/>
      <c r="CX3618" s="546"/>
      <c r="CY3618" s="546"/>
      <c r="CZ3618" s="546"/>
      <c r="DA3618" s="546"/>
      <c r="DB3618" s="546"/>
      <c r="DC3618" s="546"/>
      <c r="DD3618" s="546"/>
      <c r="DE3618" s="546"/>
      <c r="DF3618" s="546"/>
      <c r="DG3618" s="546"/>
      <c r="DH3618" s="546"/>
      <c r="DI3618" s="546"/>
      <c r="DJ3618" s="546"/>
      <c r="DK3618" s="546"/>
      <c r="DL3618" s="546"/>
      <c r="DM3618" s="546"/>
      <c r="DN3618" s="546"/>
      <c r="DO3618" s="546"/>
      <c r="DP3618" s="546"/>
      <c r="DQ3618" s="546"/>
      <c r="DR3618" s="546"/>
      <c r="DS3618" s="546"/>
      <c r="DT3618" s="546"/>
      <c r="DU3618" s="546"/>
      <c r="DV3618" s="546"/>
      <c r="DW3618" s="546"/>
      <c r="DX3618" s="546"/>
      <c r="DY3618" s="546"/>
      <c r="DZ3618" s="546"/>
      <c r="EA3618" s="546"/>
      <c r="EB3618" s="546"/>
      <c r="EC3618" s="546"/>
      <c r="ED3618" s="546"/>
      <c r="EE3618" s="546"/>
      <c r="EF3618" s="546"/>
      <c r="EG3618" s="546"/>
      <c r="EH3618" s="546"/>
      <c r="EI3618" s="546"/>
      <c r="EJ3618" s="546"/>
      <c r="EK3618" s="546"/>
      <c r="EL3618" s="546"/>
      <c r="EM3618" s="546"/>
      <c r="EN3618" s="546"/>
      <c r="EO3618" s="546"/>
      <c r="EP3618" s="546"/>
      <c r="EQ3618" s="546"/>
      <c r="ER3618" s="546"/>
      <c r="ES3618" s="546"/>
      <c r="ET3618" s="546"/>
      <c r="EU3618" s="546"/>
      <c r="EV3618" s="546"/>
      <c r="EW3618" s="546"/>
      <c r="EX3618" s="546"/>
      <c r="EY3618" s="546"/>
      <c r="EZ3618" s="546"/>
      <c r="FA3618" s="546"/>
      <c r="FB3618" s="546"/>
      <c r="FC3618" s="546"/>
      <c r="FD3618" s="546"/>
      <c r="FE3618" s="546"/>
      <c r="FF3618" s="546"/>
      <c r="FG3618" s="546"/>
      <c r="FH3618" s="546"/>
      <c r="FI3618" s="546"/>
      <c r="FJ3618" s="546"/>
      <c r="FK3618" s="546"/>
      <c r="FL3618" s="546"/>
      <c r="FM3618" s="546"/>
      <c r="FN3618" s="546"/>
      <c r="FO3618" s="546"/>
      <c r="FP3618" s="546"/>
      <c r="FQ3618" s="546"/>
      <c r="FR3618" s="546"/>
      <c r="FS3618" s="546"/>
      <c r="FT3618" s="546"/>
      <c r="FU3618" s="546"/>
      <c r="FV3618" s="546"/>
      <c r="FW3618" s="546"/>
      <c r="FX3618" s="546"/>
      <c r="FY3618" s="546"/>
      <c r="FZ3618" s="546"/>
      <c r="GA3618" s="546"/>
      <c r="GB3618" s="546"/>
      <c r="GC3618" s="546"/>
      <c r="GD3618" s="546"/>
      <c r="GE3618" s="546"/>
      <c r="GF3618" s="546"/>
      <c r="GG3618" s="546"/>
      <c r="GH3618" s="546"/>
      <c r="GI3618" s="546"/>
      <c r="GJ3618" s="546"/>
      <c r="GK3618" s="546"/>
      <c r="GL3618" s="546"/>
      <c r="GM3618" s="546"/>
      <c r="GN3618" s="546"/>
      <c r="GO3618" s="546"/>
      <c r="GP3618" s="546"/>
      <c r="GQ3618" s="546"/>
      <c r="GR3618" s="546"/>
      <c r="GS3618" s="546"/>
      <c r="GT3618" s="546"/>
      <c r="GU3618" s="546"/>
      <c r="GV3618" s="546"/>
      <c r="GW3618" s="546"/>
      <c r="GX3618" s="546"/>
      <c r="GY3618" s="546"/>
      <c r="GZ3618" s="546"/>
      <c r="HA3618" s="546"/>
      <c r="HB3618" s="546"/>
      <c r="HC3618" s="546"/>
      <c r="HD3618" s="546"/>
      <c r="HE3618" s="546"/>
      <c r="HF3618" s="546"/>
      <c r="HG3618" s="546"/>
      <c r="HH3618" s="546"/>
      <c r="HI3618" s="546"/>
      <c r="HJ3618" s="546"/>
      <c r="HK3618" s="546"/>
      <c r="HL3618" s="546"/>
      <c r="HM3618" s="546"/>
      <c r="HN3618" s="546"/>
    </row>
    <row r="3619" spans="1:222" s="111" customFormat="1" hidden="1">
      <c r="A3619" s="1216">
        <f t="shared" si="531"/>
        <v>14</v>
      </c>
      <c r="B3619" s="813" t="s">
        <v>3465</v>
      </c>
      <c r="C3619" s="744" t="s">
        <v>221</v>
      </c>
      <c r="D3619" s="815">
        <f>E3619*2.5</f>
        <v>7712.5</v>
      </c>
      <c r="E3619" s="816">
        <v>3085</v>
      </c>
      <c r="F3619" s="815" t="s">
        <v>233</v>
      </c>
      <c r="G3619" s="816">
        <v>2080</v>
      </c>
      <c r="H3619" s="819">
        <v>5</v>
      </c>
      <c r="I3619" s="819">
        <v>8</v>
      </c>
      <c r="J3619" s="803">
        <v>84</v>
      </c>
      <c r="K3619" s="812" t="s">
        <v>33</v>
      </c>
      <c r="L3619" s="746">
        <f>M3619+N3619+O3619+P3619+Q3619</f>
        <v>4261504</v>
      </c>
      <c r="M3619" s="745">
        <f>G3619*2000</f>
        <v>4160000</v>
      </c>
      <c r="N3619" s="802"/>
      <c r="O3619" s="736">
        <f>ROUND(M3619*0.3%,0)</f>
        <v>12480</v>
      </c>
      <c r="P3619" s="802"/>
      <c r="Q3619" s="586">
        <f>ROUND(M3619*2.14%,0)</f>
        <v>89024</v>
      </c>
      <c r="R3619" s="803">
        <f>M3619/G3619</f>
        <v>2000</v>
      </c>
      <c r="S3619" s="823"/>
      <c r="T3619" s="738">
        <f>L3619-M3619-N3619-O3619-Q3619</f>
        <v>0</v>
      </c>
      <c r="U3619" s="824"/>
      <c r="V3619" s="823"/>
      <c r="W3619" s="823"/>
      <c r="X3619" s="823"/>
      <c r="Y3619" s="823"/>
      <c r="Z3619" s="823"/>
    </row>
    <row r="3620" spans="1:222" s="28" customFormat="1" hidden="1">
      <c r="A3620" s="1349" t="s">
        <v>34</v>
      </c>
      <c r="B3620" s="1349"/>
      <c r="C3620" s="586" t="s">
        <v>28</v>
      </c>
      <c r="D3620" s="646">
        <f>SUM(D3606:D3619)</f>
        <v>27740.5</v>
      </c>
      <c r="E3620" s="646">
        <f>SUM(E3606:E3619)</f>
        <v>11096.199999999999</v>
      </c>
      <c r="F3620" s="646" t="s">
        <v>28</v>
      </c>
      <c r="G3620" s="646">
        <f>SUM(G3606:G3619)</f>
        <v>11926.5</v>
      </c>
      <c r="H3620" s="582" t="s">
        <v>28</v>
      </c>
      <c r="I3620" s="582" t="s">
        <v>28</v>
      </c>
      <c r="J3620" s="582">
        <f>SUM(J3606:J3619)</f>
        <v>427</v>
      </c>
      <c r="K3620" s="588" t="s">
        <v>28</v>
      </c>
      <c r="L3620" s="584">
        <f t="shared" ref="L3620:Q3620" si="532">SUM(L3606:L3619)</f>
        <v>28754882</v>
      </c>
      <c r="M3620" s="585">
        <f t="shared" si="532"/>
        <v>27822950</v>
      </c>
      <c r="N3620" s="586">
        <f t="shared" si="532"/>
        <v>405545</v>
      </c>
      <c r="O3620" s="587">
        <f t="shared" si="532"/>
        <v>16575</v>
      </c>
      <c r="P3620" s="586">
        <f t="shared" si="532"/>
        <v>0</v>
      </c>
      <c r="Q3620" s="586">
        <f t="shared" si="532"/>
        <v>509812</v>
      </c>
      <c r="R3620" s="582" t="s">
        <v>28</v>
      </c>
      <c r="S3620" s="592"/>
      <c r="T3620" s="645"/>
      <c r="U3620" s="1059"/>
      <c r="V3620" s="592"/>
      <c r="W3620" s="592"/>
      <c r="X3620" s="592"/>
      <c r="Y3620" s="592"/>
      <c r="Z3620" s="592"/>
    </row>
    <row r="3621" spans="1:222" s="28" customFormat="1" hidden="1">
      <c r="A3621" s="1347" t="s">
        <v>57</v>
      </c>
      <c r="B3621" s="1347"/>
      <c r="C3621" s="1347"/>
      <c r="D3621" s="1347"/>
      <c r="E3621" s="1347"/>
      <c r="F3621" s="1347"/>
      <c r="G3621" s="1347"/>
      <c r="H3621" s="1347"/>
      <c r="I3621" s="1347"/>
      <c r="J3621" s="1347"/>
      <c r="K3621" s="1347"/>
      <c r="L3621" s="1347"/>
      <c r="M3621" s="1347"/>
      <c r="N3621" s="1347"/>
      <c r="O3621" s="1347"/>
      <c r="P3621" s="1347"/>
      <c r="Q3621" s="1347"/>
      <c r="R3621" s="590"/>
      <c r="S3621" s="592"/>
      <c r="T3621" s="645"/>
      <c r="U3621" s="1059"/>
      <c r="V3621" s="592"/>
      <c r="W3621" s="592"/>
      <c r="X3621" s="592"/>
      <c r="Y3621" s="592"/>
      <c r="Z3621" s="592"/>
    </row>
    <row r="3622" spans="1:222" s="28" customFormat="1" ht="37.5" hidden="1">
      <c r="A3622" s="590">
        <v>1</v>
      </c>
      <c r="B3622" s="592" t="s">
        <v>2909</v>
      </c>
      <c r="C3622" s="593" t="s">
        <v>221</v>
      </c>
      <c r="D3622" s="646">
        <v>2776</v>
      </c>
      <c r="E3622" s="646">
        <v>694</v>
      </c>
      <c r="F3622" s="646" t="s">
        <v>222</v>
      </c>
      <c r="G3622" s="646">
        <v>820</v>
      </c>
      <c r="H3622" s="582">
        <v>2</v>
      </c>
      <c r="I3622" s="582">
        <v>1</v>
      </c>
      <c r="J3622" s="582">
        <v>32</v>
      </c>
      <c r="K3622" s="590" t="s">
        <v>255</v>
      </c>
      <c r="L3622" s="584">
        <f>M3622+N3622+O3622+P3622+Q3622</f>
        <v>1699696</v>
      </c>
      <c r="M3622" s="585">
        <f>G3622*2000</f>
        <v>1640000</v>
      </c>
      <c r="N3622" s="586">
        <f>M3622*0.015</f>
        <v>24600</v>
      </c>
      <c r="O3622" s="587"/>
      <c r="P3622" s="586"/>
      <c r="Q3622" s="586">
        <f>ROUND(M3622*2.14%,0)</f>
        <v>35096</v>
      </c>
      <c r="R3622" s="582">
        <f>M3622/G3622</f>
        <v>2000</v>
      </c>
      <c r="S3622" s="592"/>
      <c r="T3622" s="645"/>
      <c r="U3622" s="1059"/>
      <c r="V3622" s="592"/>
      <c r="W3622" s="592"/>
      <c r="X3622" s="592"/>
      <c r="Y3622" s="592"/>
      <c r="Z3622" s="592"/>
    </row>
    <row r="3623" spans="1:222" s="28" customFormat="1" ht="37.5" hidden="1">
      <c r="A3623" s="590">
        <v>2</v>
      </c>
      <c r="B3623" s="592" t="s">
        <v>2910</v>
      </c>
      <c r="C3623" s="593" t="s">
        <v>217</v>
      </c>
      <c r="D3623" s="646">
        <v>2304</v>
      </c>
      <c r="E3623" s="646">
        <v>598.5</v>
      </c>
      <c r="F3623" s="646" t="s">
        <v>222</v>
      </c>
      <c r="G3623" s="646">
        <v>561.29999999999995</v>
      </c>
      <c r="H3623" s="582">
        <v>2</v>
      </c>
      <c r="I3623" s="582">
        <v>3</v>
      </c>
      <c r="J3623" s="582">
        <v>18</v>
      </c>
      <c r="K3623" s="590" t="s">
        <v>421</v>
      </c>
      <c r="L3623" s="584">
        <f>M3623+N3623+O3623+P3623+Q3623</f>
        <v>311623</v>
      </c>
      <c r="M3623" s="585">
        <f>J3623*16900</f>
        <v>304200</v>
      </c>
      <c r="N3623" s="586"/>
      <c r="O3623" s="736">
        <f>ROUND(M3623*0.3%,0)</f>
        <v>913</v>
      </c>
      <c r="P3623" s="586"/>
      <c r="Q3623" s="586">
        <f>ROUND(M3623*2.14%,0)</f>
        <v>6510</v>
      </c>
      <c r="R3623" s="582">
        <f>M3623/J3623</f>
        <v>16900</v>
      </c>
      <c r="S3623" s="592"/>
      <c r="T3623" s="645"/>
      <c r="U3623" s="1059"/>
      <c r="V3623" s="592"/>
      <c r="W3623" s="592"/>
      <c r="X3623" s="592"/>
      <c r="Y3623" s="592"/>
      <c r="Z3623" s="592"/>
    </row>
    <row r="3624" spans="1:222" s="530" customFormat="1" ht="37.5" hidden="1">
      <c r="A3624" s="792">
        <f>A3623+1</f>
        <v>3</v>
      </c>
      <c r="B3624" s="788" t="s">
        <v>2911</v>
      </c>
      <c r="C3624" s="744" t="s">
        <v>221</v>
      </c>
      <c r="D3624" s="789">
        <v>1950.2</v>
      </c>
      <c r="E3624" s="789">
        <v>513.20000000000005</v>
      </c>
      <c r="F3624" s="789" t="s">
        <v>222</v>
      </c>
      <c r="G3624" s="789">
        <v>543.4</v>
      </c>
      <c r="H3624" s="744">
        <v>2</v>
      </c>
      <c r="I3624" s="744">
        <v>2</v>
      </c>
      <c r="J3624" s="744">
        <v>16</v>
      </c>
      <c r="K3624" s="590" t="s">
        <v>421</v>
      </c>
      <c r="L3624" s="584">
        <f>M3624+N3624+O3624+P3624+Q3624</f>
        <v>275358</v>
      </c>
      <c r="M3624" s="585">
        <f>J3624*16800</f>
        <v>268800</v>
      </c>
      <c r="N3624" s="742"/>
      <c r="O3624" s="736">
        <f>ROUND(M3624*0.3%,0)</f>
        <v>806</v>
      </c>
      <c r="P3624" s="742"/>
      <c r="Q3624" s="586">
        <f>ROUND(M3624*2.14%,0)</f>
        <v>5752</v>
      </c>
      <c r="R3624" s="582">
        <f>M3624/J3624</f>
        <v>16800</v>
      </c>
      <c r="S3624" s="788"/>
      <c r="T3624" s="738"/>
      <c r="U3624" s="1059"/>
      <c r="V3624" s="788"/>
      <c r="W3624" s="788"/>
      <c r="X3624" s="788"/>
      <c r="Y3624" s="788"/>
      <c r="Z3624" s="788"/>
    </row>
    <row r="3625" spans="1:222" s="530" customFormat="1" ht="37.5" hidden="1">
      <c r="A3625" s="792">
        <f>A3624+1</f>
        <v>4</v>
      </c>
      <c r="B3625" s="788" t="s">
        <v>2912</v>
      </c>
      <c r="C3625" s="593" t="s">
        <v>221</v>
      </c>
      <c r="D3625" s="789">
        <v>1925</v>
      </c>
      <c r="E3625" s="789">
        <v>541.5</v>
      </c>
      <c r="F3625" s="789" t="s">
        <v>222</v>
      </c>
      <c r="G3625" s="789">
        <v>547.9</v>
      </c>
      <c r="H3625" s="744">
        <v>2</v>
      </c>
      <c r="I3625" s="744">
        <v>2</v>
      </c>
      <c r="J3625" s="744">
        <v>16</v>
      </c>
      <c r="K3625" s="590" t="s">
        <v>273</v>
      </c>
      <c r="L3625" s="584">
        <f>M3625+N3625+O3625+P3625+Q3625</f>
        <v>275358</v>
      </c>
      <c r="M3625" s="585">
        <f>J3625*16800</f>
        <v>268800</v>
      </c>
      <c r="N3625" s="742"/>
      <c r="O3625" s="736">
        <f>ROUND(M3625*0.3%,0)</f>
        <v>806</v>
      </c>
      <c r="P3625" s="742"/>
      <c r="Q3625" s="586">
        <f>ROUND(M3625*2.14%,0)</f>
        <v>5752</v>
      </c>
      <c r="R3625" s="744">
        <f>M3625/J3625</f>
        <v>16800</v>
      </c>
      <c r="S3625" s="788"/>
      <c r="T3625" s="738"/>
      <c r="U3625" s="1059"/>
      <c r="V3625" s="788"/>
      <c r="W3625" s="788"/>
      <c r="X3625" s="788"/>
      <c r="Y3625" s="788"/>
      <c r="Z3625" s="788"/>
    </row>
    <row r="3626" spans="1:222" s="28" customFormat="1" hidden="1">
      <c r="A3626" s="1349" t="s">
        <v>58</v>
      </c>
      <c r="B3626" s="1349"/>
      <c r="C3626" s="586" t="s">
        <v>28</v>
      </c>
      <c r="D3626" s="646">
        <f>SUM(D3622:D3625)</f>
        <v>8955.2000000000007</v>
      </c>
      <c r="E3626" s="646">
        <f>SUM(E3622:E3625)</f>
        <v>2347.1999999999998</v>
      </c>
      <c r="F3626" s="646" t="s">
        <v>28</v>
      </c>
      <c r="G3626" s="646">
        <f>SUM(G3622:G3625)</f>
        <v>2472.6</v>
      </c>
      <c r="H3626" s="582" t="s">
        <v>28</v>
      </c>
      <c r="I3626" s="582" t="s">
        <v>28</v>
      </c>
      <c r="J3626" s="582">
        <f>SUM(J3622:J3625)</f>
        <v>82</v>
      </c>
      <c r="K3626" s="588" t="s">
        <v>28</v>
      </c>
      <c r="L3626" s="584">
        <f>SUM(L3622:L3625)</f>
        <v>2562035</v>
      </c>
      <c r="M3626" s="585">
        <f>SUM(M3622:M3625)</f>
        <v>2481800</v>
      </c>
      <c r="N3626" s="586">
        <f>SUM(N3622:N3625)</f>
        <v>24600</v>
      </c>
      <c r="O3626" s="587">
        <f>SUM(O3622:O3625)</f>
        <v>2525</v>
      </c>
      <c r="P3626" s="586"/>
      <c r="Q3626" s="586">
        <f>SUM(Q3622:Q3625)</f>
        <v>53110</v>
      </c>
      <c r="R3626" s="582" t="s">
        <v>28</v>
      </c>
      <c r="S3626" s="592"/>
      <c r="T3626" s="645"/>
      <c r="U3626" s="1059"/>
      <c r="V3626" s="592"/>
      <c r="W3626" s="592"/>
      <c r="X3626" s="592"/>
      <c r="Y3626" s="592"/>
      <c r="Z3626" s="592"/>
    </row>
    <row r="3627" spans="1:222" s="28" customFormat="1" hidden="1">
      <c r="A3627" s="1347" t="s">
        <v>59</v>
      </c>
      <c r="B3627" s="1347"/>
      <c r="C3627" s="1347"/>
      <c r="D3627" s="1347"/>
      <c r="E3627" s="1347"/>
      <c r="F3627" s="1347"/>
      <c r="G3627" s="1347"/>
      <c r="H3627" s="1347"/>
      <c r="I3627" s="1347"/>
      <c r="J3627" s="1347"/>
      <c r="K3627" s="1347"/>
      <c r="L3627" s="1347"/>
      <c r="M3627" s="1347"/>
      <c r="N3627" s="1347"/>
      <c r="O3627" s="1347"/>
      <c r="P3627" s="1347"/>
      <c r="Q3627" s="1347"/>
      <c r="R3627" s="590"/>
      <c r="S3627" s="592"/>
      <c r="T3627" s="645"/>
      <c r="U3627" s="1059"/>
      <c r="V3627" s="592"/>
      <c r="W3627" s="592"/>
      <c r="X3627" s="592"/>
      <c r="Y3627" s="592"/>
      <c r="Z3627" s="592"/>
    </row>
    <row r="3628" spans="1:222" s="28" customFormat="1" ht="37.5" hidden="1">
      <c r="A3628" s="826">
        <v>1</v>
      </c>
      <c r="B3628" s="827" t="s">
        <v>2913</v>
      </c>
      <c r="C3628" s="828" t="s">
        <v>221</v>
      </c>
      <c r="D3628" s="829">
        <f>E3628*2.95</f>
        <v>1876.2</v>
      </c>
      <c r="E3628" s="829">
        <f>((20*I3628)+13)*2*3*H3628</f>
        <v>636</v>
      </c>
      <c r="F3628" s="646" t="s">
        <v>222</v>
      </c>
      <c r="G3628" s="829">
        <v>635</v>
      </c>
      <c r="H3628" s="830">
        <v>2</v>
      </c>
      <c r="I3628" s="830">
        <v>2</v>
      </c>
      <c r="J3628" s="830">
        <v>22</v>
      </c>
      <c r="K3628" s="831" t="s">
        <v>3877</v>
      </c>
      <c r="L3628" s="584">
        <f>M3628+N3628+O3628+P3628+Q3628</f>
        <v>1851609</v>
      </c>
      <c r="M3628" s="585">
        <f>G3628*2800</f>
        <v>1778000</v>
      </c>
      <c r="N3628" s="586">
        <f>M3628*0.02</f>
        <v>35560</v>
      </c>
      <c r="O3628" s="587"/>
      <c r="P3628" s="586"/>
      <c r="Q3628" s="586">
        <f>ROUND(M3628*2.14%,0)</f>
        <v>38049</v>
      </c>
      <c r="R3628" s="582">
        <f>M3628/G3628</f>
        <v>2800</v>
      </c>
      <c r="S3628" s="592"/>
      <c r="T3628" s="645"/>
      <c r="U3628" s="1059"/>
      <c r="V3628" s="592"/>
      <c r="W3628" s="592"/>
      <c r="X3628" s="592"/>
      <c r="Y3628" s="592"/>
      <c r="Z3628" s="592"/>
    </row>
    <row r="3629" spans="1:222" s="28" customFormat="1" hidden="1">
      <c r="A3629" s="1349" t="s">
        <v>60</v>
      </c>
      <c r="B3629" s="1349"/>
      <c r="C3629" s="586" t="s">
        <v>28</v>
      </c>
      <c r="D3629" s="646">
        <f>SUM(D3628:D3628)</f>
        <v>1876.2</v>
      </c>
      <c r="E3629" s="646">
        <f>SUM(E3628:E3628)</f>
        <v>636</v>
      </c>
      <c r="F3629" s="646" t="s">
        <v>28</v>
      </c>
      <c r="G3629" s="646">
        <f>SUM(G3628:G3628)</f>
        <v>635</v>
      </c>
      <c r="H3629" s="582" t="s">
        <v>28</v>
      </c>
      <c r="I3629" s="582" t="s">
        <v>28</v>
      </c>
      <c r="J3629" s="582">
        <f>SUM(J3628:J3628)</f>
        <v>22</v>
      </c>
      <c r="K3629" s="588" t="s">
        <v>28</v>
      </c>
      <c r="L3629" s="584">
        <f>SUM(L3628:L3628)</f>
        <v>1851609</v>
      </c>
      <c r="M3629" s="585">
        <f>SUM(M3628:M3628)</f>
        <v>1778000</v>
      </c>
      <c r="N3629" s="586">
        <f>SUM(N3628:N3628)</f>
        <v>35560</v>
      </c>
      <c r="O3629" s="587"/>
      <c r="P3629" s="586"/>
      <c r="Q3629" s="586">
        <f>SUM(Q3628:Q3628)</f>
        <v>38049</v>
      </c>
      <c r="R3629" s="582" t="s">
        <v>28</v>
      </c>
      <c r="S3629" s="592"/>
      <c r="T3629" s="645"/>
      <c r="U3629" s="1059"/>
      <c r="V3629" s="592"/>
      <c r="W3629" s="592"/>
      <c r="X3629" s="592"/>
      <c r="Y3629" s="592"/>
      <c r="Z3629" s="592"/>
    </row>
    <row r="3630" spans="1:222" s="28" customFormat="1" hidden="1">
      <c r="A3630" s="1347" t="s">
        <v>61</v>
      </c>
      <c r="B3630" s="1347"/>
      <c r="C3630" s="1347"/>
      <c r="D3630" s="1347"/>
      <c r="E3630" s="1347"/>
      <c r="F3630" s="1347"/>
      <c r="G3630" s="1347"/>
      <c r="H3630" s="1347"/>
      <c r="I3630" s="1347"/>
      <c r="J3630" s="1347"/>
      <c r="K3630" s="1347"/>
      <c r="L3630" s="1347"/>
      <c r="M3630" s="1347"/>
      <c r="N3630" s="1347"/>
      <c r="O3630" s="1347"/>
      <c r="P3630" s="1347"/>
      <c r="Q3630" s="1347"/>
      <c r="R3630" s="590"/>
      <c r="S3630" s="592"/>
      <c r="T3630" s="645"/>
      <c r="U3630" s="1059"/>
      <c r="V3630" s="592"/>
      <c r="W3630" s="592"/>
      <c r="X3630" s="592"/>
      <c r="Y3630" s="592"/>
      <c r="Z3630" s="592"/>
    </row>
    <row r="3631" spans="1:222" s="71" customFormat="1" hidden="1">
      <c r="A3631" s="667">
        <v>1</v>
      </c>
      <c r="B3631" s="592" t="s">
        <v>2914</v>
      </c>
      <c r="C3631" s="593" t="s">
        <v>217</v>
      </c>
      <c r="D3631" s="619">
        <f>E3631*2.9</f>
        <v>1479</v>
      </c>
      <c r="E3631" s="619">
        <v>510</v>
      </c>
      <c r="F3631" s="646" t="s">
        <v>230</v>
      </c>
      <c r="G3631" s="619">
        <v>508</v>
      </c>
      <c r="H3631" s="599">
        <v>2</v>
      </c>
      <c r="I3631" s="599">
        <v>1</v>
      </c>
      <c r="J3631" s="599">
        <v>10</v>
      </c>
      <c r="K3631" s="606" t="s">
        <v>38</v>
      </c>
      <c r="L3631" s="584">
        <f>M3631+N3631+O3631+P3631+Q3631</f>
        <v>940399</v>
      </c>
      <c r="M3631" s="585">
        <f>E3631*1800</f>
        <v>918000</v>
      </c>
      <c r="N3631" s="586"/>
      <c r="O3631" s="736">
        <f>ROUND(M3631*0.3%,0)</f>
        <v>2754</v>
      </c>
      <c r="P3631" s="586"/>
      <c r="Q3631" s="586">
        <f t="shared" ref="Q3631:Q3636" si="533">ROUND(M3631*2.14%,0)</f>
        <v>19645</v>
      </c>
      <c r="R3631" s="599">
        <f>M3631/E3631</f>
        <v>1800</v>
      </c>
      <c r="S3631" s="737"/>
      <c r="T3631" s="737"/>
      <c r="U3631" s="1059"/>
      <c r="V3631" s="737"/>
      <c r="W3631" s="737"/>
      <c r="X3631" s="737"/>
      <c r="Y3631" s="737"/>
      <c r="Z3631" s="737"/>
    </row>
    <row r="3632" spans="1:222" s="71" customFormat="1" hidden="1">
      <c r="A3632" s="667">
        <v>2</v>
      </c>
      <c r="B3632" s="592" t="s">
        <v>2915</v>
      </c>
      <c r="C3632" s="744" t="s">
        <v>221</v>
      </c>
      <c r="D3632" s="619">
        <f>E3632*2.9</f>
        <v>1479</v>
      </c>
      <c r="E3632" s="619">
        <v>510</v>
      </c>
      <c r="F3632" s="646" t="s">
        <v>230</v>
      </c>
      <c r="G3632" s="619">
        <v>508</v>
      </c>
      <c r="H3632" s="599">
        <v>2</v>
      </c>
      <c r="I3632" s="599">
        <v>1</v>
      </c>
      <c r="J3632" s="599">
        <v>8</v>
      </c>
      <c r="K3632" s="606" t="s">
        <v>38</v>
      </c>
      <c r="L3632" s="584">
        <f>M3632+N3632+O3632+P3632+Q3632</f>
        <v>940399</v>
      </c>
      <c r="M3632" s="585">
        <f>E3632*1800</f>
        <v>918000</v>
      </c>
      <c r="N3632" s="586"/>
      <c r="O3632" s="736">
        <f>ROUND(M3632*0.3%,0)</f>
        <v>2754</v>
      </c>
      <c r="P3632" s="586"/>
      <c r="Q3632" s="586">
        <f t="shared" si="533"/>
        <v>19645</v>
      </c>
      <c r="R3632" s="599">
        <f>M3632/E3632</f>
        <v>1800</v>
      </c>
      <c r="S3632" s="737"/>
      <c r="T3632" s="737"/>
      <c r="U3632" s="1059"/>
      <c r="V3632" s="737"/>
      <c r="W3632" s="737"/>
      <c r="X3632" s="737"/>
      <c r="Y3632" s="737"/>
      <c r="Z3632" s="737"/>
    </row>
    <row r="3633" spans="1:220" s="71" customFormat="1" hidden="1">
      <c r="A3633" s="667">
        <v>3</v>
      </c>
      <c r="B3633" s="592" t="s">
        <v>2916</v>
      </c>
      <c r="C3633" s="744" t="s">
        <v>221</v>
      </c>
      <c r="D3633" s="619">
        <f>E3633*2.8</f>
        <v>8076.32</v>
      </c>
      <c r="E3633" s="619">
        <v>2884.4</v>
      </c>
      <c r="F3633" s="646" t="s">
        <v>223</v>
      </c>
      <c r="G3633" s="619">
        <v>1767</v>
      </c>
      <c r="H3633" s="599">
        <v>5</v>
      </c>
      <c r="I3633" s="599">
        <v>4</v>
      </c>
      <c r="J3633" s="599">
        <v>80</v>
      </c>
      <c r="K3633" s="606" t="s">
        <v>33</v>
      </c>
      <c r="L3633" s="584">
        <f>M3633+N3633+O3633+P3633+Q3633</f>
        <v>3801241</v>
      </c>
      <c r="M3633" s="585">
        <f>G3633*2100</f>
        <v>3710700</v>
      </c>
      <c r="N3633" s="586"/>
      <c r="O3633" s="736">
        <f>ROUND(M3633*0.3%,0)</f>
        <v>11132</v>
      </c>
      <c r="P3633" s="586"/>
      <c r="Q3633" s="586">
        <f t="shared" si="533"/>
        <v>79409</v>
      </c>
      <c r="R3633" s="599">
        <f>M3633/G3633</f>
        <v>2100</v>
      </c>
      <c r="S3633" s="737"/>
      <c r="T3633" s="737"/>
      <c r="U3633" s="1059"/>
      <c r="V3633" s="737"/>
      <c r="W3633" s="737"/>
      <c r="X3633" s="737"/>
      <c r="Y3633" s="737"/>
      <c r="Z3633" s="737"/>
    </row>
    <row r="3634" spans="1:220" s="71" customFormat="1" hidden="1">
      <c r="A3634" s="667">
        <v>4</v>
      </c>
      <c r="B3634" s="592" t="s">
        <v>2917</v>
      </c>
      <c r="C3634" s="744" t="s">
        <v>221</v>
      </c>
      <c r="D3634" s="619">
        <f>E3634*3</f>
        <v>2244</v>
      </c>
      <c r="E3634" s="619">
        <v>748</v>
      </c>
      <c r="F3634" s="789" t="s">
        <v>241</v>
      </c>
      <c r="G3634" s="619">
        <v>432</v>
      </c>
      <c r="H3634" s="599">
        <v>2</v>
      </c>
      <c r="I3634" s="599">
        <v>2</v>
      </c>
      <c r="J3634" s="599">
        <v>8</v>
      </c>
      <c r="K3634" s="606" t="s">
        <v>38</v>
      </c>
      <c r="L3634" s="584">
        <f>M3634+N3634+O3634+P3634+Q3634</f>
        <v>1379252</v>
      </c>
      <c r="M3634" s="585">
        <f>E3634*1800</f>
        <v>1346400</v>
      </c>
      <c r="N3634" s="586"/>
      <c r="O3634" s="736">
        <f>ROUND(M3634*0.3%,0)</f>
        <v>4039</v>
      </c>
      <c r="P3634" s="586"/>
      <c r="Q3634" s="586">
        <f t="shared" si="533"/>
        <v>28813</v>
      </c>
      <c r="R3634" s="599">
        <f>M3634/E3634</f>
        <v>1800</v>
      </c>
      <c r="S3634" s="737"/>
      <c r="T3634" s="737"/>
      <c r="U3634" s="1059"/>
      <c r="V3634" s="737"/>
      <c r="W3634" s="737"/>
      <c r="X3634" s="737"/>
      <c r="Y3634" s="737"/>
      <c r="Z3634" s="737"/>
    </row>
    <row r="3635" spans="1:220" s="71" customFormat="1" hidden="1">
      <c r="A3635" s="667">
        <v>5</v>
      </c>
      <c r="B3635" s="592" t="s">
        <v>2918</v>
      </c>
      <c r="C3635" s="744" t="s">
        <v>217</v>
      </c>
      <c r="D3635" s="619">
        <f>E3635*3</f>
        <v>3636</v>
      </c>
      <c r="E3635" s="619">
        <v>1212</v>
      </c>
      <c r="F3635" s="789" t="s">
        <v>241</v>
      </c>
      <c r="G3635" s="619">
        <v>1195</v>
      </c>
      <c r="H3635" s="599">
        <v>2</v>
      </c>
      <c r="I3635" s="599">
        <v>4</v>
      </c>
      <c r="J3635" s="599">
        <v>24</v>
      </c>
      <c r="K3635" s="606" t="s">
        <v>226</v>
      </c>
      <c r="L3635" s="584">
        <f>M3635+N3635+O3635+P3635+Q3635</f>
        <v>3371881</v>
      </c>
      <c r="M3635" s="585">
        <v>3272400</v>
      </c>
      <c r="N3635" s="586">
        <v>29452</v>
      </c>
      <c r="O3635" s="736"/>
      <c r="P3635" s="586"/>
      <c r="Q3635" s="586">
        <f t="shared" si="533"/>
        <v>70029</v>
      </c>
      <c r="R3635" s="599">
        <f>M3635/E3635</f>
        <v>2700</v>
      </c>
      <c r="S3635" s="737"/>
      <c r="T3635" s="737"/>
      <c r="U3635" s="1059"/>
      <c r="V3635" s="737"/>
      <c r="W3635" s="737"/>
      <c r="X3635" s="737"/>
      <c r="Y3635" s="737"/>
      <c r="Z3635" s="737"/>
    </row>
    <row r="3636" spans="1:220" s="71" customFormat="1" hidden="1">
      <c r="A3636" s="667">
        <v>6</v>
      </c>
      <c r="B3636" s="592" t="s">
        <v>2919</v>
      </c>
      <c r="C3636" s="744" t="s">
        <v>221</v>
      </c>
      <c r="D3636" s="619">
        <f>E3636*3</f>
        <v>1629</v>
      </c>
      <c r="E3636" s="619">
        <v>543</v>
      </c>
      <c r="F3636" s="789" t="s">
        <v>241</v>
      </c>
      <c r="G3636" s="619">
        <v>683</v>
      </c>
      <c r="H3636" s="599">
        <v>2</v>
      </c>
      <c r="I3636" s="599">
        <v>2</v>
      </c>
      <c r="J3636" s="599">
        <v>26</v>
      </c>
      <c r="K3636" s="606" t="s">
        <v>33</v>
      </c>
      <c r="L3636" s="584">
        <f>M3636+N3636+O3636+Q3636</f>
        <v>1951019</v>
      </c>
      <c r="M3636" s="585">
        <v>1882497</v>
      </c>
      <c r="N3636" s="586">
        <v>28237</v>
      </c>
      <c r="O3636" s="587"/>
      <c r="P3636" s="586"/>
      <c r="Q3636" s="586">
        <f t="shared" si="533"/>
        <v>40285</v>
      </c>
      <c r="R3636" s="582">
        <f>M3636/G3636</f>
        <v>2756.2181551976573</v>
      </c>
      <c r="S3636" s="737"/>
      <c r="T3636" s="737"/>
      <c r="U3636" s="1059"/>
      <c r="V3636" s="737"/>
      <c r="W3636" s="737"/>
      <c r="X3636" s="737"/>
      <c r="Y3636" s="737"/>
      <c r="Z3636" s="737"/>
    </row>
    <row r="3637" spans="1:220" s="28" customFormat="1" hidden="1">
      <c r="A3637" s="1349" t="s">
        <v>62</v>
      </c>
      <c r="B3637" s="1349"/>
      <c r="C3637" s="593" t="s">
        <v>28</v>
      </c>
      <c r="D3637" s="646">
        <f>SUM(D3631:D3636)</f>
        <v>18543.32</v>
      </c>
      <c r="E3637" s="646">
        <f>SUM(E3631:E3636)</f>
        <v>6407.4</v>
      </c>
      <c r="F3637" s="646" t="s">
        <v>28</v>
      </c>
      <c r="G3637" s="646">
        <f>SUM(G3631:G3636)</f>
        <v>5093</v>
      </c>
      <c r="H3637" s="582" t="s">
        <v>28</v>
      </c>
      <c r="I3637" s="582" t="s">
        <v>28</v>
      </c>
      <c r="J3637" s="582">
        <f>SUM(J3631:J3636)</f>
        <v>156</v>
      </c>
      <c r="K3637" s="590" t="s">
        <v>28</v>
      </c>
      <c r="L3637" s="584">
        <f t="shared" ref="L3637:Q3637" si="534">SUM(L3631:L3636)</f>
        <v>12384191</v>
      </c>
      <c r="M3637" s="585">
        <f t="shared" si="534"/>
        <v>12047997</v>
      </c>
      <c r="N3637" s="586">
        <f t="shared" si="534"/>
        <v>57689</v>
      </c>
      <c r="O3637" s="587">
        <f t="shared" si="534"/>
        <v>20679</v>
      </c>
      <c r="P3637" s="586">
        <f t="shared" si="534"/>
        <v>0</v>
      </c>
      <c r="Q3637" s="586">
        <f t="shared" si="534"/>
        <v>257826</v>
      </c>
      <c r="R3637" s="582" t="s">
        <v>28</v>
      </c>
      <c r="S3637" s="592"/>
      <c r="T3637" s="645"/>
      <c r="U3637" s="1059"/>
      <c r="V3637" s="592"/>
      <c r="W3637" s="592"/>
      <c r="X3637" s="592"/>
      <c r="Y3637" s="592"/>
      <c r="Z3637" s="592"/>
    </row>
    <row r="3638" spans="1:220" s="28" customFormat="1" hidden="1">
      <c r="A3638" s="1347" t="s">
        <v>63</v>
      </c>
      <c r="B3638" s="1347"/>
      <c r="C3638" s="1347"/>
      <c r="D3638" s="1347"/>
      <c r="E3638" s="1347"/>
      <c r="F3638" s="1347"/>
      <c r="G3638" s="1347"/>
      <c r="H3638" s="1347"/>
      <c r="I3638" s="1347"/>
      <c r="J3638" s="1347"/>
      <c r="K3638" s="1347"/>
      <c r="L3638" s="1347"/>
      <c r="M3638" s="1347"/>
      <c r="N3638" s="1347"/>
      <c r="O3638" s="1347"/>
      <c r="P3638" s="1347"/>
      <c r="Q3638" s="1347"/>
      <c r="R3638" s="590"/>
      <c r="S3638" s="592"/>
      <c r="T3638" s="645"/>
      <c r="U3638" s="1059"/>
      <c r="V3638" s="592"/>
      <c r="W3638" s="592"/>
      <c r="X3638" s="592"/>
      <c r="Y3638" s="592"/>
      <c r="Z3638" s="592"/>
    </row>
    <row r="3639" spans="1:220" s="530" customFormat="1" hidden="1">
      <c r="A3639" s="792">
        <v>1</v>
      </c>
      <c r="B3639" s="865" t="s">
        <v>2920</v>
      </c>
      <c r="C3639" s="744" t="s">
        <v>221</v>
      </c>
      <c r="D3639" s="789">
        <v>2603</v>
      </c>
      <c r="E3639" s="789">
        <v>554.79999999999995</v>
      </c>
      <c r="F3639" s="789" t="s">
        <v>241</v>
      </c>
      <c r="G3639" s="739">
        <f>(20*I3639)*12*1.3</f>
        <v>624</v>
      </c>
      <c r="H3639" s="744">
        <v>2</v>
      </c>
      <c r="I3639" s="744">
        <v>2</v>
      </c>
      <c r="J3639" s="744">
        <v>16</v>
      </c>
      <c r="K3639" s="735" t="s">
        <v>33</v>
      </c>
      <c r="L3639" s="584">
        <f>M3639+N3639+O3639+Q3639</f>
        <v>1533371</v>
      </c>
      <c r="M3639" s="585">
        <v>1479516</v>
      </c>
      <c r="N3639" s="586">
        <v>22193</v>
      </c>
      <c r="O3639" s="587"/>
      <c r="P3639" s="586"/>
      <c r="Q3639" s="586">
        <f>ROUND(M3639*2.14%,0)</f>
        <v>31662</v>
      </c>
      <c r="R3639" s="582">
        <f>M3639/G3639</f>
        <v>2371.0192307692309</v>
      </c>
      <c r="S3639" s="788"/>
      <c r="T3639" s="788"/>
      <c r="U3639" s="1059"/>
      <c r="V3639" s="788"/>
      <c r="W3639" s="788"/>
      <c r="X3639" s="788"/>
      <c r="Y3639" s="788"/>
      <c r="Z3639" s="788"/>
    </row>
    <row r="3640" spans="1:220" s="551" customFormat="1" hidden="1">
      <c r="A3640" s="792">
        <v>2</v>
      </c>
      <c r="B3640" s="865" t="s">
        <v>2921</v>
      </c>
      <c r="C3640" s="744" t="s">
        <v>217</v>
      </c>
      <c r="D3640" s="789">
        <v>2613</v>
      </c>
      <c r="E3640" s="789">
        <v>564.79999999999995</v>
      </c>
      <c r="F3640" s="789" t="s">
        <v>222</v>
      </c>
      <c r="G3640" s="739">
        <f>(20*I3640)*12*1.4</f>
        <v>336</v>
      </c>
      <c r="H3640" s="744">
        <v>2</v>
      </c>
      <c r="I3640" s="744">
        <v>1</v>
      </c>
      <c r="J3640" s="744">
        <v>8</v>
      </c>
      <c r="K3640" s="735" t="s">
        <v>33</v>
      </c>
      <c r="L3640" s="584">
        <f>M3640+N3640+O3640+Q3640</f>
        <v>843817</v>
      </c>
      <c r="M3640" s="585">
        <v>806400</v>
      </c>
      <c r="N3640" s="586">
        <v>20160</v>
      </c>
      <c r="O3640" s="587"/>
      <c r="P3640" s="586"/>
      <c r="Q3640" s="586">
        <f>ROUND(M3640*2.14%,0)</f>
        <v>17257</v>
      </c>
      <c r="R3640" s="582">
        <f>M3640/G3640</f>
        <v>2400</v>
      </c>
      <c r="S3640" s="1217"/>
      <c r="T3640" s="667"/>
      <c r="U3640" s="1059"/>
      <c r="V3640" s="1218"/>
      <c r="W3640" s="733"/>
      <c r="X3640" s="733"/>
      <c r="Y3640" s="734"/>
      <c r="Z3640" s="734"/>
      <c r="AA3640" s="523"/>
      <c r="AB3640" s="523"/>
      <c r="AC3640" s="524"/>
      <c r="AD3640" s="525"/>
      <c r="AE3640" s="525"/>
      <c r="AF3640" s="525"/>
      <c r="AG3640" s="526"/>
      <c r="AH3640" s="526"/>
      <c r="AI3640" s="526"/>
      <c r="AJ3640" s="527"/>
      <c r="AK3640" s="439"/>
      <c r="AL3640" s="123"/>
      <c r="AM3640" s="528"/>
      <c r="AN3640" s="522"/>
      <c r="AO3640" s="522"/>
      <c r="AP3640" s="522"/>
      <c r="AQ3640" s="523"/>
      <c r="AR3640" s="523"/>
      <c r="AS3640" s="523"/>
      <c r="AT3640" s="523"/>
      <c r="AU3640" s="524"/>
      <c r="AV3640" s="525"/>
      <c r="AW3640" s="525"/>
      <c r="AX3640" s="525"/>
      <c r="AY3640" s="526"/>
      <c r="AZ3640" s="526"/>
      <c r="BA3640" s="526"/>
      <c r="BB3640" s="527"/>
      <c r="BC3640" s="439"/>
      <c r="BD3640" s="123"/>
      <c r="BE3640" s="528"/>
      <c r="BF3640" s="522"/>
      <c r="BG3640" s="522"/>
      <c r="BH3640" s="522"/>
      <c r="BI3640" s="523"/>
      <c r="BJ3640" s="523"/>
      <c r="BK3640" s="523"/>
      <c r="BL3640" s="523"/>
      <c r="BM3640" s="524"/>
      <c r="BN3640" s="525"/>
      <c r="BO3640" s="525"/>
      <c r="BP3640" s="525"/>
      <c r="BQ3640" s="526"/>
      <c r="BR3640" s="526"/>
      <c r="BS3640" s="526"/>
      <c r="BT3640" s="527"/>
      <c r="BU3640" s="439"/>
      <c r="BV3640" s="123"/>
      <c r="BW3640" s="528"/>
      <c r="BX3640" s="522"/>
      <c r="BY3640" s="522"/>
      <c r="BZ3640" s="522"/>
      <c r="CA3640" s="523"/>
      <c r="CB3640" s="523"/>
      <c r="CC3640" s="523"/>
      <c r="CD3640" s="523"/>
      <c r="CE3640" s="524"/>
      <c r="CF3640" s="525"/>
      <c r="CG3640" s="525"/>
      <c r="CH3640" s="525"/>
      <c r="CI3640" s="526"/>
      <c r="CJ3640" s="526"/>
      <c r="CK3640" s="526"/>
      <c r="CL3640" s="527"/>
      <c r="CM3640" s="439"/>
      <c r="CN3640" s="123"/>
      <c r="CO3640" s="528"/>
      <c r="CP3640" s="522"/>
      <c r="CQ3640" s="522"/>
      <c r="CR3640" s="522"/>
      <c r="CS3640" s="523"/>
      <c r="CT3640" s="523"/>
      <c r="CU3640" s="523"/>
      <c r="CV3640" s="523"/>
      <c r="CW3640" s="524"/>
      <c r="CX3640" s="525"/>
      <c r="CY3640" s="525"/>
      <c r="CZ3640" s="525"/>
      <c r="DA3640" s="526"/>
      <c r="DB3640" s="526"/>
      <c r="DC3640" s="526"/>
      <c r="DD3640" s="527"/>
      <c r="DE3640" s="439"/>
      <c r="DF3640" s="123"/>
      <c r="DG3640" s="528"/>
      <c r="DH3640" s="522"/>
      <c r="DI3640" s="522"/>
      <c r="DJ3640" s="522"/>
      <c r="DK3640" s="523"/>
      <c r="DL3640" s="523"/>
      <c r="DM3640" s="523"/>
      <c r="DN3640" s="523"/>
      <c r="DO3640" s="524"/>
      <c r="DP3640" s="525"/>
      <c r="DQ3640" s="525"/>
      <c r="DR3640" s="525"/>
      <c r="DS3640" s="526"/>
      <c r="DT3640" s="526"/>
      <c r="DU3640" s="526"/>
      <c r="DV3640" s="527"/>
      <c r="DW3640" s="439"/>
      <c r="DX3640" s="123"/>
      <c r="DY3640" s="528"/>
      <c r="DZ3640" s="522"/>
      <c r="EA3640" s="522"/>
      <c r="EB3640" s="522"/>
      <c r="EC3640" s="523"/>
      <c r="ED3640" s="523"/>
      <c r="EE3640" s="523"/>
      <c r="EF3640" s="523"/>
      <c r="EG3640" s="524"/>
      <c r="EH3640" s="525"/>
      <c r="EI3640" s="525"/>
      <c r="EJ3640" s="525"/>
      <c r="EK3640" s="526"/>
      <c r="EL3640" s="526"/>
      <c r="EM3640" s="526"/>
      <c r="EN3640" s="527"/>
      <c r="EO3640" s="439"/>
      <c r="EP3640" s="123"/>
      <c r="EQ3640" s="528"/>
      <c r="ER3640" s="522"/>
      <c r="ES3640" s="522"/>
      <c r="ET3640" s="522"/>
      <c r="EU3640" s="523"/>
      <c r="EV3640" s="523"/>
      <c r="EW3640" s="523"/>
      <c r="EX3640" s="523"/>
      <c r="EY3640" s="524"/>
      <c r="EZ3640" s="525"/>
      <c r="FA3640" s="525"/>
      <c r="FB3640" s="525"/>
      <c r="FC3640" s="526"/>
      <c r="FD3640" s="526"/>
      <c r="FE3640" s="526"/>
      <c r="FF3640" s="527"/>
      <c r="FG3640" s="439"/>
      <c r="FH3640" s="123"/>
      <c r="FI3640" s="528"/>
      <c r="FJ3640" s="522"/>
      <c r="FK3640" s="522"/>
      <c r="FL3640" s="522"/>
      <c r="FM3640" s="523"/>
      <c r="FN3640" s="523"/>
      <c r="FO3640" s="523"/>
      <c r="FP3640" s="523"/>
      <c r="FQ3640" s="524"/>
      <c r="FR3640" s="525"/>
      <c r="FS3640" s="525"/>
      <c r="FT3640" s="525"/>
      <c r="FU3640" s="526"/>
      <c r="FV3640" s="526"/>
      <c r="FW3640" s="526"/>
      <c r="FX3640" s="527"/>
      <c r="FY3640" s="439"/>
      <c r="FZ3640" s="123"/>
      <c r="GA3640" s="528"/>
      <c r="GB3640" s="522"/>
      <c r="GC3640" s="522"/>
      <c r="GD3640" s="522"/>
      <c r="GE3640" s="523"/>
      <c r="GF3640" s="523"/>
      <c r="GG3640" s="523"/>
      <c r="GH3640" s="523"/>
      <c r="GI3640" s="524"/>
      <c r="GJ3640" s="525"/>
      <c r="GK3640" s="525"/>
      <c r="GL3640" s="525"/>
      <c r="GM3640" s="526"/>
      <c r="GN3640" s="526"/>
      <c r="GO3640" s="526"/>
      <c r="GP3640" s="527"/>
      <c r="GQ3640" s="439"/>
      <c r="GR3640" s="123"/>
      <c r="GS3640" s="528"/>
      <c r="GT3640" s="522"/>
      <c r="GU3640" s="522"/>
      <c r="GV3640" s="522"/>
      <c r="GW3640" s="523"/>
      <c r="GX3640" s="523"/>
      <c r="GY3640" s="523"/>
      <c r="GZ3640" s="523"/>
      <c r="HA3640" s="524"/>
      <c r="HB3640" s="525"/>
      <c r="HC3640" s="525"/>
      <c r="HD3640" s="525"/>
      <c r="HE3640" s="526"/>
      <c r="HF3640" s="526"/>
      <c r="HG3640" s="526"/>
      <c r="HH3640" s="527"/>
      <c r="HI3640" s="439"/>
      <c r="HJ3640" s="123"/>
      <c r="HK3640" s="528"/>
      <c r="HL3640" s="522"/>
    </row>
    <row r="3641" spans="1:220" s="28" customFormat="1" hidden="1">
      <c r="A3641" s="1349" t="s">
        <v>122</v>
      </c>
      <c r="B3641" s="1349"/>
      <c r="C3641" s="593" t="s">
        <v>28</v>
      </c>
      <c r="D3641" s="646">
        <f>SUM(D3639:D3640)</f>
        <v>5216</v>
      </c>
      <c r="E3641" s="646">
        <f>SUM(E3639:E3640)</f>
        <v>1119.5999999999999</v>
      </c>
      <c r="F3641" s="646" t="s">
        <v>28</v>
      </c>
      <c r="G3641" s="646">
        <f>SUM(G3639:G3640)</f>
        <v>960</v>
      </c>
      <c r="H3641" s="582" t="s">
        <v>28</v>
      </c>
      <c r="I3641" s="582" t="s">
        <v>28</v>
      </c>
      <c r="J3641" s="582">
        <f>SUM(J3639:J3640)</f>
        <v>24</v>
      </c>
      <c r="K3641" s="590" t="s">
        <v>28</v>
      </c>
      <c r="L3641" s="584">
        <f>SUM(L3639:L3640)</f>
        <v>2377188</v>
      </c>
      <c r="M3641" s="585">
        <f>SUM(M3639:M3640)</f>
        <v>2285916</v>
      </c>
      <c r="N3641" s="586">
        <f>SUM(N3639:N3640)</f>
        <v>42353</v>
      </c>
      <c r="O3641" s="587"/>
      <c r="P3641" s="586"/>
      <c r="Q3641" s="586">
        <f>SUM(Q3639:Q3640)</f>
        <v>48919</v>
      </c>
      <c r="R3641" s="582" t="s">
        <v>28</v>
      </c>
      <c r="S3641" s="592"/>
      <c r="T3641" s="645"/>
      <c r="U3641" s="1059"/>
      <c r="V3641" s="592"/>
      <c r="W3641" s="592"/>
      <c r="X3641" s="592"/>
      <c r="Y3641" s="592"/>
      <c r="Z3641" s="592"/>
    </row>
    <row r="3642" spans="1:220" s="28" customFormat="1" hidden="1">
      <c r="A3642" s="1347" t="s">
        <v>65</v>
      </c>
      <c r="B3642" s="1347"/>
      <c r="C3642" s="1347"/>
      <c r="D3642" s="1347"/>
      <c r="E3642" s="1347"/>
      <c r="F3642" s="1347"/>
      <c r="G3642" s="1347"/>
      <c r="H3642" s="1347"/>
      <c r="I3642" s="1347"/>
      <c r="J3642" s="1347"/>
      <c r="K3642" s="1347"/>
      <c r="L3642" s="1347"/>
      <c r="M3642" s="1347"/>
      <c r="N3642" s="1347"/>
      <c r="O3642" s="1347"/>
      <c r="P3642" s="1347"/>
      <c r="Q3642" s="1347"/>
      <c r="R3642" s="590"/>
      <c r="S3642" s="592"/>
      <c r="T3642" s="645"/>
      <c r="U3642" s="1059"/>
      <c r="V3642" s="592"/>
      <c r="W3642" s="592"/>
      <c r="X3642" s="592"/>
      <c r="Y3642" s="592"/>
      <c r="Z3642" s="592"/>
    </row>
    <row r="3643" spans="1:220" s="552" customFormat="1" hidden="1">
      <c r="A3643" s="792">
        <v>1</v>
      </c>
      <c r="B3643" s="834" t="s">
        <v>2922</v>
      </c>
      <c r="C3643" s="744" t="s">
        <v>221</v>
      </c>
      <c r="D3643" s="739">
        <v>3371</v>
      </c>
      <c r="E3643" s="739">
        <v>786</v>
      </c>
      <c r="F3643" s="646" t="s">
        <v>230</v>
      </c>
      <c r="G3643" s="739">
        <f>(20*I3643)*13*1.3</f>
        <v>338</v>
      </c>
      <c r="H3643" s="835">
        <v>4</v>
      </c>
      <c r="I3643" s="835">
        <v>1</v>
      </c>
      <c r="J3643" s="835">
        <v>14</v>
      </c>
      <c r="K3643" s="792" t="s">
        <v>33</v>
      </c>
      <c r="L3643" s="740">
        <f t="shared" ref="L3643:L3660" si="535">M3643+N3643+O3643+P3643+Q3643</f>
        <v>785539</v>
      </c>
      <c r="M3643" s="741">
        <v>743600</v>
      </c>
      <c r="N3643" s="586">
        <v>26026.000000000004</v>
      </c>
      <c r="O3643" s="743"/>
      <c r="P3643" s="742"/>
      <c r="Q3643" s="586">
        <f t="shared" ref="Q3643:Q3658" si="536">ROUND(M3643*2.14%,0)</f>
        <v>15913</v>
      </c>
      <c r="R3643" s="744">
        <f>M3643/G3643</f>
        <v>2200</v>
      </c>
      <c r="S3643" s="1219"/>
      <c r="T3643" s="1219"/>
      <c r="U3643" s="1059"/>
      <c r="V3643" s="1219"/>
      <c r="W3643" s="1219"/>
      <c r="X3643" s="1219"/>
      <c r="Y3643" s="1219"/>
      <c r="Z3643" s="1219"/>
    </row>
    <row r="3644" spans="1:220" s="552" customFormat="1" hidden="1">
      <c r="A3644" s="792">
        <f t="shared" ref="A3644:A3660" si="537">A3643+1</f>
        <v>2</v>
      </c>
      <c r="B3644" s="592" t="s">
        <v>2923</v>
      </c>
      <c r="C3644" s="744" t="s">
        <v>221</v>
      </c>
      <c r="D3644" s="789">
        <v>12699</v>
      </c>
      <c r="E3644" s="789">
        <v>2322</v>
      </c>
      <c r="F3644" s="789" t="s">
        <v>233</v>
      </c>
      <c r="G3644" s="739">
        <f>(20*I3644)*13</f>
        <v>1040</v>
      </c>
      <c r="H3644" s="744">
        <v>5</v>
      </c>
      <c r="I3644" s="744">
        <v>4</v>
      </c>
      <c r="J3644" s="744">
        <v>76</v>
      </c>
      <c r="K3644" s="792" t="s">
        <v>33</v>
      </c>
      <c r="L3644" s="740">
        <f t="shared" si="535"/>
        <v>2130752</v>
      </c>
      <c r="M3644" s="741">
        <v>2080000</v>
      </c>
      <c r="N3644" s="586"/>
      <c r="O3644" s="736">
        <f>ROUND(M3644*0.3%,0)</f>
        <v>6240</v>
      </c>
      <c r="P3644" s="742"/>
      <c r="Q3644" s="586">
        <f t="shared" si="536"/>
        <v>44512</v>
      </c>
      <c r="R3644" s="744">
        <f>M3644/G3644</f>
        <v>2000</v>
      </c>
      <c r="S3644" s="1219" t="s">
        <v>431</v>
      </c>
      <c r="T3644" s="1219" t="s">
        <v>432</v>
      </c>
      <c r="U3644" s="1059"/>
      <c r="V3644" s="1219"/>
      <c r="W3644" s="1219"/>
      <c r="X3644" s="1219"/>
      <c r="Y3644" s="1219"/>
      <c r="Z3644" s="1219"/>
    </row>
    <row r="3645" spans="1:220" s="552" customFormat="1" hidden="1">
      <c r="A3645" s="792">
        <f t="shared" si="537"/>
        <v>3</v>
      </c>
      <c r="B3645" s="592" t="s">
        <v>2924</v>
      </c>
      <c r="C3645" s="744" t="s">
        <v>221</v>
      </c>
      <c r="D3645" s="789">
        <v>13150</v>
      </c>
      <c r="E3645" s="789">
        <v>3400</v>
      </c>
      <c r="F3645" s="789" t="s">
        <v>233</v>
      </c>
      <c r="G3645" s="739">
        <f>(20*I3645)*12*1.2</f>
        <v>1728</v>
      </c>
      <c r="H3645" s="744">
        <v>5</v>
      </c>
      <c r="I3645" s="744">
        <v>6</v>
      </c>
      <c r="J3645" s="744">
        <v>120</v>
      </c>
      <c r="K3645" s="792" t="s">
        <v>238</v>
      </c>
      <c r="L3645" s="740">
        <f t="shared" si="535"/>
        <v>3713040</v>
      </c>
      <c r="M3645" s="741">
        <v>3600000</v>
      </c>
      <c r="N3645" s="586">
        <v>36000</v>
      </c>
      <c r="O3645" s="743"/>
      <c r="P3645" s="742"/>
      <c r="Q3645" s="586">
        <f t="shared" si="536"/>
        <v>77040</v>
      </c>
      <c r="R3645" s="744">
        <f>M3645/J3645</f>
        <v>30000</v>
      </c>
      <c r="S3645" s="1219"/>
      <c r="T3645" s="1219"/>
      <c r="U3645" s="1059"/>
      <c r="V3645" s="1219"/>
      <c r="W3645" s="1219"/>
      <c r="X3645" s="1219"/>
      <c r="Y3645" s="1219"/>
      <c r="Z3645" s="1219"/>
    </row>
    <row r="3646" spans="1:220" s="552" customFormat="1" hidden="1">
      <c r="A3646" s="792">
        <f t="shared" si="537"/>
        <v>4</v>
      </c>
      <c r="B3646" s="592" t="s">
        <v>2925</v>
      </c>
      <c r="C3646" s="744" t="s">
        <v>221</v>
      </c>
      <c r="D3646" s="646">
        <v>42686</v>
      </c>
      <c r="E3646" s="646">
        <v>4847.68</v>
      </c>
      <c r="F3646" s="646" t="s">
        <v>230</v>
      </c>
      <c r="G3646" s="739">
        <f>(20*I3646)*13*1.3</f>
        <v>1352</v>
      </c>
      <c r="H3646" s="582">
        <v>6</v>
      </c>
      <c r="I3646" s="582">
        <v>4</v>
      </c>
      <c r="J3646" s="582">
        <v>90</v>
      </c>
      <c r="K3646" s="590" t="s">
        <v>33</v>
      </c>
      <c r="L3646" s="740">
        <f t="shared" si="535"/>
        <v>3207241</v>
      </c>
      <c r="M3646" s="741">
        <v>3109600</v>
      </c>
      <c r="N3646" s="586">
        <v>31096</v>
      </c>
      <c r="O3646" s="743"/>
      <c r="P3646" s="742"/>
      <c r="Q3646" s="586">
        <f t="shared" si="536"/>
        <v>66545</v>
      </c>
      <c r="R3646" s="744">
        <f>M3646/G3646</f>
        <v>2300</v>
      </c>
      <c r="S3646" s="1219"/>
      <c r="T3646" s="1219"/>
      <c r="U3646" s="1059"/>
      <c r="V3646" s="1219"/>
      <c r="W3646" s="1219"/>
      <c r="X3646" s="1219"/>
      <c r="Y3646" s="1219"/>
      <c r="Z3646" s="1219"/>
    </row>
    <row r="3647" spans="1:220" s="552" customFormat="1" hidden="1">
      <c r="A3647" s="792">
        <f t="shared" si="537"/>
        <v>5</v>
      </c>
      <c r="B3647" s="592" t="s">
        <v>2926</v>
      </c>
      <c r="C3647" s="744" t="s">
        <v>221</v>
      </c>
      <c r="D3647" s="789">
        <v>8303</v>
      </c>
      <c r="E3647" s="789">
        <v>1968.7</v>
      </c>
      <c r="F3647" s="789" t="s">
        <v>233</v>
      </c>
      <c r="G3647" s="739">
        <f>(20*I3647)*12*1.2</f>
        <v>576</v>
      </c>
      <c r="H3647" s="744">
        <v>5</v>
      </c>
      <c r="I3647" s="744">
        <v>2</v>
      </c>
      <c r="J3647" s="744">
        <v>30</v>
      </c>
      <c r="K3647" s="792" t="s">
        <v>238</v>
      </c>
      <c r="L3647" s="740">
        <f t="shared" si="535"/>
        <v>946260</v>
      </c>
      <c r="M3647" s="741">
        <v>900000</v>
      </c>
      <c r="N3647" s="586">
        <v>27000</v>
      </c>
      <c r="O3647" s="743"/>
      <c r="P3647" s="742"/>
      <c r="Q3647" s="586">
        <f t="shared" si="536"/>
        <v>19260</v>
      </c>
      <c r="R3647" s="744">
        <f>M3647/J3647</f>
        <v>30000</v>
      </c>
      <c r="S3647" s="1219"/>
      <c r="T3647" s="1219"/>
      <c r="U3647" s="1059"/>
      <c r="V3647" s="1219"/>
      <c r="W3647" s="1219"/>
      <c r="X3647" s="1219"/>
      <c r="Y3647" s="1219"/>
      <c r="Z3647" s="1219"/>
    </row>
    <row r="3648" spans="1:220" s="552" customFormat="1" ht="37.5" hidden="1">
      <c r="A3648" s="792">
        <f t="shared" si="537"/>
        <v>6</v>
      </c>
      <c r="B3648" s="592" t="s">
        <v>2927</v>
      </c>
      <c r="C3648" s="744" t="s">
        <v>221</v>
      </c>
      <c r="D3648" s="789">
        <v>13499</v>
      </c>
      <c r="E3648" s="789">
        <v>2520</v>
      </c>
      <c r="F3648" s="807" t="s">
        <v>222</v>
      </c>
      <c r="G3648" s="739">
        <f>(20*I3648)*12*1.2</f>
        <v>1152</v>
      </c>
      <c r="H3648" s="744">
        <v>5</v>
      </c>
      <c r="I3648" s="744">
        <v>4</v>
      </c>
      <c r="J3648" s="744">
        <v>70</v>
      </c>
      <c r="K3648" s="590" t="s">
        <v>30</v>
      </c>
      <c r="L3648" s="740">
        <f t="shared" si="535"/>
        <v>1792700</v>
      </c>
      <c r="M3648" s="741">
        <v>1750000</v>
      </c>
      <c r="N3648" s="586"/>
      <c r="O3648" s="736">
        <f>ROUND(M3648*0.3%,0)</f>
        <v>5250</v>
      </c>
      <c r="P3648" s="742"/>
      <c r="Q3648" s="586">
        <f t="shared" si="536"/>
        <v>37450</v>
      </c>
      <c r="R3648" s="744">
        <f>M3648/J3648</f>
        <v>25000</v>
      </c>
      <c r="S3648" s="1219"/>
      <c r="T3648" s="1219"/>
      <c r="U3648" s="1059"/>
      <c r="V3648" s="1219"/>
      <c r="W3648" s="1219"/>
      <c r="X3648" s="1219"/>
      <c r="Y3648" s="1219"/>
      <c r="Z3648" s="1219"/>
    </row>
    <row r="3649" spans="1:26" s="552" customFormat="1" hidden="1">
      <c r="A3649" s="792">
        <f t="shared" si="537"/>
        <v>7</v>
      </c>
      <c r="B3649" s="592" t="s">
        <v>2928</v>
      </c>
      <c r="C3649" s="744" t="s">
        <v>221</v>
      </c>
      <c r="D3649" s="789">
        <v>4432</v>
      </c>
      <c r="E3649" s="789">
        <v>1465.85</v>
      </c>
      <c r="F3649" s="789" t="s">
        <v>233</v>
      </c>
      <c r="G3649" s="739">
        <f>(20*I3649)*12*1.3</f>
        <v>312</v>
      </c>
      <c r="H3649" s="744">
        <v>6</v>
      </c>
      <c r="I3649" s="744">
        <v>1</v>
      </c>
      <c r="J3649" s="744">
        <v>18</v>
      </c>
      <c r="K3649" s="792" t="s">
        <v>238</v>
      </c>
      <c r="L3649" s="740">
        <f t="shared" si="535"/>
        <v>578556</v>
      </c>
      <c r="M3649" s="741">
        <v>540000</v>
      </c>
      <c r="N3649" s="586">
        <v>27000</v>
      </c>
      <c r="O3649" s="743"/>
      <c r="P3649" s="742"/>
      <c r="Q3649" s="586">
        <f t="shared" si="536"/>
        <v>11556</v>
      </c>
      <c r="R3649" s="744">
        <f>M3649/J3649</f>
        <v>30000</v>
      </c>
      <c r="S3649" s="1219"/>
      <c r="T3649" s="1219"/>
      <c r="U3649" s="1059"/>
      <c r="V3649" s="1219"/>
      <c r="W3649" s="1219"/>
      <c r="X3649" s="1219"/>
      <c r="Y3649" s="1219"/>
      <c r="Z3649" s="1219"/>
    </row>
    <row r="3650" spans="1:26" s="552" customFormat="1" hidden="1">
      <c r="A3650" s="792">
        <f t="shared" si="537"/>
        <v>8</v>
      </c>
      <c r="B3650" s="834" t="s">
        <v>2930</v>
      </c>
      <c r="C3650" s="744" t="s">
        <v>221</v>
      </c>
      <c r="D3650" s="789">
        <v>20729</v>
      </c>
      <c r="E3650" s="789">
        <v>4000.5</v>
      </c>
      <c r="F3650" s="789" t="s">
        <v>222</v>
      </c>
      <c r="G3650" s="739">
        <f>(20*I3650)*13*1.3</f>
        <v>2028</v>
      </c>
      <c r="H3650" s="744">
        <v>5</v>
      </c>
      <c r="I3650" s="744">
        <v>6</v>
      </c>
      <c r="J3650" s="744">
        <v>96</v>
      </c>
      <c r="K3650" s="590" t="s">
        <v>33</v>
      </c>
      <c r="L3650" s="740">
        <f t="shared" si="535"/>
        <v>4810862</v>
      </c>
      <c r="M3650" s="741">
        <v>4664400</v>
      </c>
      <c r="N3650" s="586">
        <v>46644</v>
      </c>
      <c r="O3650" s="743"/>
      <c r="P3650" s="742"/>
      <c r="Q3650" s="586">
        <f t="shared" si="536"/>
        <v>99818</v>
      </c>
      <c r="R3650" s="744">
        <f>M3650/G3650</f>
        <v>2300</v>
      </c>
      <c r="S3650" s="1219"/>
      <c r="T3650" s="1219"/>
      <c r="U3650" s="1059"/>
      <c r="V3650" s="1219"/>
      <c r="W3650" s="1219"/>
      <c r="X3650" s="1219"/>
      <c r="Y3650" s="1219"/>
      <c r="Z3650" s="1219"/>
    </row>
    <row r="3651" spans="1:26" s="552" customFormat="1" hidden="1">
      <c r="A3651" s="792">
        <f t="shared" si="537"/>
        <v>9</v>
      </c>
      <c r="B3651" s="834" t="s">
        <v>2931</v>
      </c>
      <c r="C3651" s="744" t="s">
        <v>221</v>
      </c>
      <c r="D3651" s="789">
        <v>17748</v>
      </c>
      <c r="E3651" s="789">
        <v>3314.7</v>
      </c>
      <c r="F3651" s="789" t="s">
        <v>222</v>
      </c>
      <c r="G3651" s="739">
        <f>(20*I3651)*12*1.2</f>
        <v>1728</v>
      </c>
      <c r="H3651" s="744">
        <v>5</v>
      </c>
      <c r="I3651" s="744">
        <v>6</v>
      </c>
      <c r="J3651" s="744">
        <v>96</v>
      </c>
      <c r="K3651" s="590" t="s">
        <v>224</v>
      </c>
      <c r="L3651" s="740">
        <f t="shared" si="535"/>
        <v>2178317</v>
      </c>
      <c r="M3651" s="741">
        <v>2112000</v>
      </c>
      <c r="N3651" s="586">
        <v>21120</v>
      </c>
      <c r="O3651" s="743"/>
      <c r="P3651" s="742"/>
      <c r="Q3651" s="586">
        <f t="shared" si="536"/>
        <v>45197</v>
      </c>
      <c r="R3651" s="744">
        <f>M3651/J3651</f>
        <v>22000</v>
      </c>
      <c r="S3651" s="1219"/>
      <c r="T3651" s="1219"/>
      <c r="U3651" s="1059"/>
      <c r="V3651" s="1219"/>
      <c r="W3651" s="1219"/>
      <c r="X3651" s="1219"/>
      <c r="Y3651" s="1219"/>
      <c r="Z3651" s="1219"/>
    </row>
    <row r="3652" spans="1:26" s="552" customFormat="1" hidden="1">
      <c r="A3652" s="792">
        <f t="shared" si="537"/>
        <v>10</v>
      </c>
      <c r="B3652" s="834" t="s">
        <v>2932</v>
      </c>
      <c r="C3652" s="744" t="s">
        <v>221</v>
      </c>
      <c r="D3652" s="789">
        <f>E3652*3</f>
        <v>4347</v>
      </c>
      <c r="E3652" s="789">
        <v>1449</v>
      </c>
      <c r="F3652" s="789" t="s">
        <v>222</v>
      </c>
      <c r="G3652" s="739">
        <f>(20*I3652)*13*1.3</f>
        <v>338</v>
      </c>
      <c r="H3652" s="744">
        <v>3</v>
      </c>
      <c r="I3652" s="744">
        <v>1</v>
      </c>
      <c r="J3652" s="744">
        <v>48</v>
      </c>
      <c r="K3652" s="590" t="s">
        <v>33</v>
      </c>
      <c r="L3652" s="740">
        <f t="shared" si="535"/>
        <v>821245</v>
      </c>
      <c r="M3652" s="741">
        <v>777400</v>
      </c>
      <c r="N3652" s="586">
        <v>27209.000000000004</v>
      </c>
      <c r="O3652" s="743"/>
      <c r="P3652" s="742"/>
      <c r="Q3652" s="586">
        <f t="shared" si="536"/>
        <v>16636</v>
      </c>
      <c r="R3652" s="744">
        <f>M3652/G3652</f>
        <v>2300</v>
      </c>
      <c r="S3652" s="1219"/>
      <c r="T3652" s="1219"/>
      <c r="U3652" s="1059"/>
      <c r="V3652" s="1219"/>
      <c r="W3652" s="1219"/>
      <c r="X3652" s="1219"/>
      <c r="Y3652" s="1219"/>
      <c r="Z3652" s="1219"/>
    </row>
    <row r="3653" spans="1:26" s="552" customFormat="1" hidden="1">
      <c r="A3653" s="792">
        <f t="shared" si="537"/>
        <v>11</v>
      </c>
      <c r="B3653" s="834" t="s">
        <v>2933</v>
      </c>
      <c r="C3653" s="744" t="s">
        <v>221</v>
      </c>
      <c r="D3653" s="789">
        <v>3843</v>
      </c>
      <c r="E3653" s="789">
        <v>853</v>
      </c>
      <c r="F3653" s="789" t="s">
        <v>222</v>
      </c>
      <c r="G3653" s="739">
        <f>(20*I3653)*13*1.3</f>
        <v>1014</v>
      </c>
      <c r="H3653" s="744">
        <v>3</v>
      </c>
      <c r="I3653" s="744">
        <v>3</v>
      </c>
      <c r="J3653" s="744">
        <v>24</v>
      </c>
      <c r="K3653" s="590" t="s">
        <v>33</v>
      </c>
      <c r="L3653" s="740">
        <f t="shared" si="535"/>
        <v>2597111</v>
      </c>
      <c r="M3653" s="741">
        <v>2505897</v>
      </c>
      <c r="N3653" s="586">
        <v>37588</v>
      </c>
      <c r="O3653" s="743"/>
      <c r="P3653" s="742"/>
      <c r="Q3653" s="586">
        <f t="shared" si="536"/>
        <v>53626</v>
      </c>
      <c r="R3653" s="744">
        <f>M3653/G3653</f>
        <v>2471.2988165680472</v>
      </c>
      <c r="S3653" s="1219"/>
      <c r="T3653" s="1219"/>
      <c r="U3653" s="1059"/>
      <c r="V3653" s="1219"/>
      <c r="W3653" s="1219"/>
      <c r="X3653" s="1219"/>
      <c r="Y3653" s="1219"/>
      <c r="Z3653" s="1219"/>
    </row>
    <row r="3654" spans="1:26" s="552" customFormat="1" hidden="1">
      <c r="A3654" s="792">
        <f t="shared" si="537"/>
        <v>12</v>
      </c>
      <c r="B3654" s="834" t="s">
        <v>2934</v>
      </c>
      <c r="C3654" s="744" t="s">
        <v>221</v>
      </c>
      <c r="D3654" s="789">
        <v>2779</v>
      </c>
      <c r="E3654" s="789">
        <v>618</v>
      </c>
      <c r="F3654" s="789" t="s">
        <v>222</v>
      </c>
      <c r="G3654" s="739">
        <f>(20*I3654)*12*1.2</f>
        <v>576</v>
      </c>
      <c r="H3654" s="744">
        <v>2</v>
      </c>
      <c r="I3654" s="744">
        <v>2</v>
      </c>
      <c r="J3654" s="744">
        <v>16</v>
      </c>
      <c r="K3654" s="590" t="s">
        <v>224</v>
      </c>
      <c r="L3654" s="740">
        <f t="shared" si="535"/>
        <v>384173</v>
      </c>
      <c r="M3654" s="741">
        <v>352000</v>
      </c>
      <c r="N3654" s="586">
        <v>24640.000000000004</v>
      </c>
      <c r="O3654" s="743"/>
      <c r="P3654" s="742"/>
      <c r="Q3654" s="586">
        <f t="shared" si="536"/>
        <v>7533</v>
      </c>
      <c r="R3654" s="744">
        <f>M3654/J3654</f>
        <v>22000</v>
      </c>
      <c r="S3654" s="1219"/>
      <c r="T3654" s="1219"/>
      <c r="U3654" s="1059"/>
      <c r="V3654" s="1219"/>
      <c r="W3654" s="1219"/>
      <c r="X3654" s="1219"/>
      <c r="Y3654" s="1219"/>
      <c r="Z3654" s="1219"/>
    </row>
    <row r="3655" spans="1:26" s="552" customFormat="1" hidden="1">
      <c r="A3655" s="792">
        <f t="shared" si="537"/>
        <v>13</v>
      </c>
      <c r="B3655" s="840" t="s">
        <v>2935</v>
      </c>
      <c r="C3655" s="744" t="s">
        <v>221</v>
      </c>
      <c r="D3655" s="789">
        <v>2830</v>
      </c>
      <c r="E3655" s="789">
        <v>654</v>
      </c>
      <c r="F3655" s="646" t="s">
        <v>222</v>
      </c>
      <c r="G3655" s="739">
        <f>(20*I3655)*12*1.2</f>
        <v>576</v>
      </c>
      <c r="H3655" s="744">
        <v>2</v>
      </c>
      <c r="I3655" s="744">
        <v>2</v>
      </c>
      <c r="J3655" s="744">
        <v>16</v>
      </c>
      <c r="K3655" s="792" t="s">
        <v>245</v>
      </c>
      <c r="L3655" s="740">
        <f t="shared" si="535"/>
        <v>262246</v>
      </c>
      <c r="M3655" s="741">
        <v>256000</v>
      </c>
      <c r="N3655" s="586"/>
      <c r="O3655" s="736">
        <f>ROUND(M3655*0.3%,0)</f>
        <v>768</v>
      </c>
      <c r="P3655" s="742"/>
      <c r="Q3655" s="586">
        <f t="shared" si="536"/>
        <v>5478</v>
      </c>
      <c r="R3655" s="744">
        <f>M3655/J3655</f>
        <v>16000</v>
      </c>
      <c r="S3655" s="1219"/>
      <c r="T3655" s="1219"/>
      <c r="U3655" s="1059"/>
      <c r="V3655" s="1219"/>
      <c r="W3655" s="1219"/>
      <c r="X3655" s="1219"/>
      <c r="Y3655" s="1219"/>
      <c r="Z3655" s="1219"/>
    </row>
    <row r="3656" spans="1:26" s="552" customFormat="1" hidden="1">
      <c r="A3656" s="792">
        <f t="shared" si="537"/>
        <v>14</v>
      </c>
      <c r="B3656" s="840" t="s">
        <v>2936</v>
      </c>
      <c r="C3656" s="744" t="s">
        <v>221</v>
      </c>
      <c r="D3656" s="789">
        <v>2892</v>
      </c>
      <c r="E3656" s="789">
        <v>654</v>
      </c>
      <c r="F3656" s="646" t="s">
        <v>222</v>
      </c>
      <c r="G3656" s="739">
        <f>(20*I3656)*12*1.2</f>
        <v>576</v>
      </c>
      <c r="H3656" s="744">
        <v>2</v>
      </c>
      <c r="I3656" s="744">
        <v>2</v>
      </c>
      <c r="J3656" s="744">
        <v>16</v>
      </c>
      <c r="K3656" s="792" t="s">
        <v>245</v>
      </c>
      <c r="L3656" s="740">
        <f t="shared" si="535"/>
        <v>262246</v>
      </c>
      <c r="M3656" s="741">
        <v>256000</v>
      </c>
      <c r="N3656" s="586"/>
      <c r="O3656" s="736">
        <f>ROUND(M3656*0.3%,0)</f>
        <v>768</v>
      </c>
      <c r="P3656" s="742"/>
      <c r="Q3656" s="586">
        <f t="shared" si="536"/>
        <v>5478</v>
      </c>
      <c r="R3656" s="744">
        <f>M3656/J3656</f>
        <v>16000</v>
      </c>
      <c r="S3656" s="1219"/>
      <c r="T3656" s="1219"/>
      <c r="U3656" s="1059"/>
      <c r="V3656" s="1219"/>
      <c r="W3656" s="1219"/>
      <c r="X3656" s="1219"/>
      <c r="Y3656" s="1219"/>
      <c r="Z3656" s="1219"/>
    </row>
    <row r="3657" spans="1:26" s="552" customFormat="1" hidden="1">
      <c r="A3657" s="792">
        <f t="shared" si="537"/>
        <v>15</v>
      </c>
      <c r="B3657" s="592" t="s">
        <v>2937</v>
      </c>
      <c r="C3657" s="744" t="s">
        <v>221</v>
      </c>
      <c r="D3657" s="789">
        <v>3662</v>
      </c>
      <c r="E3657" s="789">
        <v>660</v>
      </c>
      <c r="F3657" s="789" t="s">
        <v>222</v>
      </c>
      <c r="G3657" s="739">
        <f>(20*I3657)*13*1.3</f>
        <v>676</v>
      </c>
      <c r="H3657" s="744">
        <v>2</v>
      </c>
      <c r="I3657" s="744">
        <v>2</v>
      </c>
      <c r="J3657" s="744">
        <v>16</v>
      </c>
      <c r="K3657" s="590" t="s">
        <v>33</v>
      </c>
      <c r="L3657" s="740">
        <f t="shared" si="535"/>
        <v>1689567</v>
      </c>
      <c r="M3657" s="741">
        <v>1622400</v>
      </c>
      <c r="N3657" s="586">
        <v>32448</v>
      </c>
      <c r="O3657" s="743"/>
      <c r="P3657" s="742"/>
      <c r="Q3657" s="586">
        <f t="shared" si="536"/>
        <v>34719</v>
      </c>
      <c r="R3657" s="744">
        <f>M3657/G3657</f>
        <v>2400</v>
      </c>
      <c r="S3657" s="1219"/>
      <c r="T3657" s="1219"/>
      <c r="U3657" s="1059"/>
      <c r="V3657" s="1219"/>
      <c r="W3657" s="1219"/>
      <c r="X3657" s="1219"/>
      <c r="Y3657" s="1219"/>
      <c r="Z3657" s="1219"/>
    </row>
    <row r="3658" spans="1:26" s="552" customFormat="1" hidden="1">
      <c r="A3658" s="792">
        <f t="shared" si="537"/>
        <v>16</v>
      </c>
      <c r="B3658" s="592" t="s">
        <v>2938</v>
      </c>
      <c r="C3658" s="744" t="s">
        <v>221</v>
      </c>
      <c r="D3658" s="789">
        <v>3728</v>
      </c>
      <c r="E3658" s="789">
        <v>666</v>
      </c>
      <c r="F3658" s="789" t="s">
        <v>222</v>
      </c>
      <c r="G3658" s="739">
        <f>(20*I3658)*13*1.3</f>
        <v>676</v>
      </c>
      <c r="H3658" s="744">
        <v>2</v>
      </c>
      <c r="I3658" s="744">
        <v>2</v>
      </c>
      <c r="J3658" s="744">
        <v>16</v>
      </c>
      <c r="K3658" s="590" t="s">
        <v>33</v>
      </c>
      <c r="L3658" s="740">
        <f t="shared" si="535"/>
        <v>1689567</v>
      </c>
      <c r="M3658" s="741">
        <v>1622400</v>
      </c>
      <c r="N3658" s="586">
        <v>32448</v>
      </c>
      <c r="O3658" s="743"/>
      <c r="P3658" s="742"/>
      <c r="Q3658" s="586">
        <f t="shared" si="536"/>
        <v>34719</v>
      </c>
      <c r="R3658" s="744">
        <f>M3658/G3658</f>
        <v>2400</v>
      </c>
      <c r="S3658" s="1219"/>
      <c r="T3658" s="1219"/>
      <c r="U3658" s="1059"/>
      <c r="V3658" s="1219"/>
      <c r="W3658" s="1219"/>
      <c r="X3658" s="1219"/>
      <c r="Y3658" s="1219"/>
      <c r="Z3658" s="1219"/>
    </row>
    <row r="3659" spans="1:26" s="91" customFormat="1" hidden="1">
      <c r="A3659" s="792">
        <f t="shared" si="537"/>
        <v>17</v>
      </c>
      <c r="B3659" s="592" t="s">
        <v>1980</v>
      </c>
      <c r="C3659" s="744" t="s">
        <v>221</v>
      </c>
      <c r="D3659" s="646">
        <v>13110</v>
      </c>
      <c r="E3659" s="646">
        <v>2564.4</v>
      </c>
      <c r="F3659" s="646" t="s">
        <v>222</v>
      </c>
      <c r="G3659" s="805">
        <v>1604</v>
      </c>
      <c r="H3659" s="582">
        <v>5</v>
      </c>
      <c r="I3659" s="582">
        <v>4</v>
      </c>
      <c r="J3659" s="582">
        <v>70</v>
      </c>
      <c r="K3659" s="792" t="s">
        <v>33</v>
      </c>
      <c r="L3659" s="595">
        <f t="shared" si="535"/>
        <v>4135914</v>
      </c>
      <c r="M3659" s="745">
        <v>4010000</v>
      </c>
      <c r="N3659" s="802">
        <v>40100</v>
      </c>
      <c r="O3659" s="822"/>
      <c r="P3659" s="802"/>
      <c r="Q3659" s="586">
        <v>85814</v>
      </c>
      <c r="R3659" s="744">
        <f>M3659/G3659</f>
        <v>2500</v>
      </c>
      <c r="S3659" s="575">
        <f>L3659-M3659-N3659-O3659-P3659-Q3659</f>
        <v>0</v>
      </c>
      <c r="T3659" s="748"/>
      <c r="U3659" s="738"/>
      <c r="V3659" s="589"/>
      <c r="W3659" s="748"/>
      <c r="X3659" s="748"/>
      <c r="Y3659" s="748"/>
      <c r="Z3659" s="748"/>
    </row>
    <row r="3660" spans="1:26" s="91" customFormat="1" hidden="1">
      <c r="A3660" s="792">
        <f t="shared" si="537"/>
        <v>18</v>
      </c>
      <c r="B3660" s="592" t="s">
        <v>3947</v>
      </c>
      <c r="C3660" s="744" t="s">
        <v>221</v>
      </c>
      <c r="D3660" s="646">
        <v>4377.6000000000004</v>
      </c>
      <c r="E3660" s="646">
        <v>977.19999999999993</v>
      </c>
      <c r="F3660" s="646" t="s">
        <v>222</v>
      </c>
      <c r="G3660" s="805">
        <v>948.48</v>
      </c>
      <c r="H3660" s="582">
        <v>2</v>
      </c>
      <c r="I3660" s="582">
        <v>3</v>
      </c>
      <c r="J3660" s="582">
        <v>22</v>
      </c>
      <c r="K3660" s="792" t="s">
        <v>33</v>
      </c>
      <c r="L3660" s="595">
        <f t="shared" si="535"/>
        <v>2457512</v>
      </c>
      <c r="M3660" s="741">
        <v>2371200</v>
      </c>
      <c r="N3660" s="586">
        <v>35568</v>
      </c>
      <c r="O3660" s="743"/>
      <c r="P3660" s="742"/>
      <c r="Q3660" s="586">
        <v>50744</v>
      </c>
      <c r="R3660" s="744">
        <f>M3660/G3660</f>
        <v>2500</v>
      </c>
      <c r="S3660" s="575"/>
      <c r="T3660" s="748"/>
      <c r="U3660" s="738"/>
      <c r="V3660" s="589"/>
      <c r="W3660" s="748"/>
      <c r="X3660" s="748"/>
      <c r="Y3660" s="748"/>
      <c r="Z3660" s="748"/>
    </row>
    <row r="3661" spans="1:26" s="28" customFormat="1" hidden="1">
      <c r="A3661" s="1349" t="s">
        <v>66</v>
      </c>
      <c r="B3661" s="1349"/>
      <c r="C3661" s="593" t="s">
        <v>28</v>
      </c>
      <c r="D3661" s="646">
        <f>SUM(D3643:D3660)</f>
        <v>178185.60000000001</v>
      </c>
      <c r="E3661" s="646">
        <f>SUM(E3643:E3660)</f>
        <v>33721.03</v>
      </c>
      <c r="F3661" s="646" t="s">
        <v>28</v>
      </c>
      <c r="G3661" s="646">
        <f>SUM(G3643:G3660)</f>
        <v>17238.48</v>
      </c>
      <c r="H3661" s="582" t="s">
        <v>28</v>
      </c>
      <c r="I3661" s="582" t="s">
        <v>28</v>
      </c>
      <c r="J3661" s="582">
        <f>SUM(J3643:J3660)</f>
        <v>854</v>
      </c>
      <c r="K3661" s="590" t="s">
        <v>28</v>
      </c>
      <c r="L3661" s="584">
        <f>SUM(L3643:L3660)</f>
        <v>34442848</v>
      </c>
      <c r="M3661" s="585">
        <f>SUM(M3643:M3660)</f>
        <v>33272897</v>
      </c>
      <c r="N3661" s="586">
        <f>SUM(N3643:N3660)</f>
        <v>444887</v>
      </c>
      <c r="O3661" s="587">
        <f>SUM(O3643:O3660)</f>
        <v>13026</v>
      </c>
      <c r="P3661" s="586"/>
      <c r="Q3661" s="586">
        <f>SUM(Q3643:Q3660)</f>
        <v>712038</v>
      </c>
      <c r="R3661" s="582" t="s">
        <v>28</v>
      </c>
      <c r="S3661" s="592"/>
      <c r="T3661" s="645"/>
      <c r="U3661" s="1059"/>
      <c r="V3661" s="592"/>
      <c r="W3661" s="592"/>
      <c r="X3661" s="592"/>
      <c r="Y3661" s="592"/>
      <c r="Z3661" s="592"/>
    </row>
    <row r="3662" spans="1:26" s="28" customFormat="1" hidden="1">
      <c r="A3662" s="1347" t="s">
        <v>67</v>
      </c>
      <c r="B3662" s="1347"/>
      <c r="C3662" s="1347"/>
      <c r="D3662" s="1347"/>
      <c r="E3662" s="1347"/>
      <c r="F3662" s="1347"/>
      <c r="G3662" s="1347"/>
      <c r="H3662" s="1347"/>
      <c r="I3662" s="1347"/>
      <c r="J3662" s="1347"/>
      <c r="K3662" s="1347"/>
      <c r="L3662" s="1347"/>
      <c r="M3662" s="1347"/>
      <c r="N3662" s="1347"/>
      <c r="O3662" s="1347"/>
      <c r="P3662" s="1347"/>
      <c r="Q3662" s="1347"/>
      <c r="R3662" s="590"/>
      <c r="S3662" s="592"/>
      <c r="T3662" s="645"/>
      <c r="U3662" s="1059"/>
      <c r="V3662" s="592"/>
      <c r="W3662" s="592"/>
      <c r="X3662" s="592"/>
      <c r="Y3662" s="592"/>
      <c r="Z3662" s="592"/>
    </row>
    <row r="3663" spans="1:26" s="90" customFormat="1" hidden="1">
      <c r="A3663" s="590">
        <v>1</v>
      </c>
      <c r="B3663" s="592" t="s">
        <v>2939</v>
      </c>
      <c r="C3663" s="593" t="s">
        <v>221</v>
      </c>
      <c r="D3663" s="619">
        <v>4737.6000000000004</v>
      </c>
      <c r="E3663" s="619">
        <v>302</v>
      </c>
      <c r="F3663" s="619" t="s">
        <v>222</v>
      </c>
      <c r="G3663" s="619">
        <v>1026.48</v>
      </c>
      <c r="H3663" s="599">
        <v>2</v>
      </c>
      <c r="I3663" s="599">
        <v>2</v>
      </c>
      <c r="J3663" s="599">
        <v>16</v>
      </c>
      <c r="K3663" s="556" t="s">
        <v>33</v>
      </c>
      <c r="L3663" s="584">
        <f>M3663+N3663+O3663+P3663+Q3663</f>
        <v>1427828</v>
      </c>
      <c r="M3663" s="585">
        <v>1371066</v>
      </c>
      <c r="N3663" s="586">
        <v>27421</v>
      </c>
      <c r="O3663" s="587"/>
      <c r="P3663" s="564"/>
      <c r="Q3663" s="586">
        <f>ROUND(M3663*2.14%,0)</f>
        <v>29341</v>
      </c>
      <c r="R3663" s="582">
        <f>M3663/G3663</f>
        <v>1335.6967500584522</v>
      </c>
      <c r="S3663" s="748"/>
      <c r="T3663" s="748"/>
      <c r="U3663" s="1059"/>
      <c r="V3663" s="748"/>
      <c r="W3663" s="748"/>
      <c r="X3663" s="748"/>
      <c r="Y3663" s="748"/>
      <c r="Z3663" s="748"/>
    </row>
    <row r="3664" spans="1:26" s="28" customFormat="1" hidden="1">
      <c r="A3664" s="1349" t="s">
        <v>68</v>
      </c>
      <c r="B3664" s="1349"/>
      <c r="C3664" s="593" t="s">
        <v>28</v>
      </c>
      <c r="D3664" s="646">
        <f>SUM(D3663:D3663)</f>
        <v>4737.6000000000004</v>
      </c>
      <c r="E3664" s="646">
        <f>SUM(E3663:E3663)</f>
        <v>302</v>
      </c>
      <c r="F3664" s="646" t="s">
        <v>28</v>
      </c>
      <c r="G3664" s="646">
        <f>SUM(G3663:G3663)</f>
        <v>1026.48</v>
      </c>
      <c r="H3664" s="582" t="s">
        <v>28</v>
      </c>
      <c r="I3664" s="582" t="s">
        <v>28</v>
      </c>
      <c r="J3664" s="582">
        <f>SUM(J3663:J3663)</f>
        <v>16</v>
      </c>
      <c r="K3664" s="590" t="s">
        <v>28</v>
      </c>
      <c r="L3664" s="584">
        <f>SUM(L3663:L3663)</f>
        <v>1427828</v>
      </c>
      <c r="M3664" s="585">
        <f>SUM(M3663:M3663)</f>
        <v>1371066</v>
      </c>
      <c r="N3664" s="586">
        <f>SUM(N3663:N3663)</f>
        <v>27421</v>
      </c>
      <c r="O3664" s="587"/>
      <c r="P3664" s="586"/>
      <c r="Q3664" s="586">
        <f>SUM(Q3663:Q3663)</f>
        <v>29341</v>
      </c>
      <c r="R3664" s="582" t="s">
        <v>28</v>
      </c>
      <c r="S3664" s="592"/>
      <c r="T3664" s="645"/>
      <c r="U3664" s="1059"/>
      <c r="V3664" s="592"/>
      <c r="W3664" s="592"/>
      <c r="X3664" s="592"/>
      <c r="Y3664" s="592"/>
      <c r="Z3664" s="592"/>
    </row>
    <row r="3665" spans="1:26" s="28" customFormat="1" hidden="1">
      <c r="A3665" s="1347" t="s">
        <v>92</v>
      </c>
      <c r="B3665" s="1347"/>
      <c r="C3665" s="1347"/>
      <c r="D3665" s="1347"/>
      <c r="E3665" s="1347"/>
      <c r="F3665" s="1347"/>
      <c r="G3665" s="1347"/>
      <c r="H3665" s="1347"/>
      <c r="I3665" s="1347"/>
      <c r="J3665" s="1347"/>
      <c r="K3665" s="1347"/>
      <c r="L3665" s="1347"/>
      <c r="M3665" s="1347"/>
      <c r="N3665" s="1347"/>
      <c r="O3665" s="1347"/>
      <c r="P3665" s="1347"/>
      <c r="Q3665" s="1347"/>
      <c r="R3665" s="590"/>
      <c r="S3665" s="592"/>
      <c r="T3665" s="645"/>
      <c r="U3665" s="1059"/>
      <c r="V3665" s="592"/>
      <c r="W3665" s="592"/>
      <c r="X3665" s="592"/>
      <c r="Y3665" s="592"/>
      <c r="Z3665" s="592"/>
    </row>
    <row r="3666" spans="1:26" hidden="1">
      <c r="A3666" s="556">
        <v>1</v>
      </c>
      <c r="B3666" s="560" t="s">
        <v>2940</v>
      </c>
      <c r="C3666" s="561" t="s">
        <v>221</v>
      </c>
      <c r="D3666" s="805">
        <f>E3666*2.5</f>
        <v>7102.7249999999995</v>
      </c>
      <c r="E3666" s="805">
        <v>2841.0899999999997</v>
      </c>
      <c r="F3666" s="805" t="s">
        <v>223</v>
      </c>
      <c r="G3666" s="739">
        <f>(20*I3666)*13</f>
        <v>1300</v>
      </c>
      <c r="H3666" s="561">
        <v>5</v>
      </c>
      <c r="I3666" s="561">
        <v>5</v>
      </c>
      <c r="J3666" s="561">
        <v>75</v>
      </c>
      <c r="K3666" s="556" t="s">
        <v>33</v>
      </c>
      <c r="L3666" s="584">
        <f>M3666+N3666+O3666+P3666+Q3666</f>
        <v>2596854</v>
      </c>
      <c r="M3666" s="585">
        <f>G3666*1950</f>
        <v>2535000</v>
      </c>
      <c r="N3666" s="586"/>
      <c r="O3666" s="736">
        <f>ROUND(M3666*0.3%,0)</f>
        <v>7605</v>
      </c>
      <c r="Q3666" s="586">
        <f>ROUND(M3666*2.14%,0)</f>
        <v>54249</v>
      </c>
      <c r="R3666" s="582">
        <f>M3666/G3666</f>
        <v>1950</v>
      </c>
      <c r="S3666" s="560"/>
      <c r="T3666" s="560"/>
      <c r="U3666" s="1059"/>
    </row>
    <row r="3667" spans="1:26" hidden="1">
      <c r="A3667" s="556">
        <v>2</v>
      </c>
      <c r="B3667" s="560" t="s">
        <v>2941</v>
      </c>
      <c r="C3667" s="561" t="s">
        <v>229</v>
      </c>
      <c r="D3667" s="805">
        <f>E3667*2.5</f>
        <v>1648.7950000000001</v>
      </c>
      <c r="E3667" s="805">
        <v>659.51800000000003</v>
      </c>
      <c r="F3667" s="805" t="s">
        <v>222</v>
      </c>
      <c r="G3667" s="739">
        <f>(20*I3667)*13*1.3</f>
        <v>676</v>
      </c>
      <c r="H3667" s="561">
        <v>2</v>
      </c>
      <c r="I3667" s="561">
        <v>2</v>
      </c>
      <c r="J3667" s="561">
        <v>16</v>
      </c>
      <c r="K3667" s="556" t="s">
        <v>33</v>
      </c>
      <c r="L3667" s="584">
        <f>M3667+N3667+O3667+P3667+Q3667</f>
        <v>1450255</v>
      </c>
      <c r="M3667" s="741">
        <v>1399320</v>
      </c>
      <c r="N3667" s="742">
        <v>20990</v>
      </c>
      <c r="O3667" s="743"/>
      <c r="P3667" s="742"/>
      <c r="Q3667" s="586">
        <f>ROUND(M3667*2.14%,0)</f>
        <v>29945</v>
      </c>
      <c r="R3667" s="744">
        <f>M3667/G3667</f>
        <v>2070</v>
      </c>
      <c r="S3667" s="560"/>
      <c r="T3667" s="560"/>
      <c r="U3667" s="1059"/>
    </row>
    <row r="3668" spans="1:26" hidden="1">
      <c r="A3668" s="556">
        <v>3</v>
      </c>
      <c r="B3668" s="560" t="s">
        <v>2942</v>
      </c>
      <c r="C3668" s="561" t="s">
        <v>221</v>
      </c>
      <c r="D3668" s="805">
        <f>E3668*2.5</f>
        <v>1120.5</v>
      </c>
      <c r="E3668" s="805">
        <v>448.2</v>
      </c>
      <c r="F3668" s="805" t="s">
        <v>222</v>
      </c>
      <c r="G3668" s="739">
        <f>(17*I3668)*12*1.3</f>
        <v>795.6</v>
      </c>
      <c r="H3668" s="561">
        <v>2</v>
      </c>
      <c r="I3668" s="561">
        <v>3</v>
      </c>
      <c r="J3668" s="561">
        <v>12</v>
      </c>
      <c r="K3668" s="556" t="s">
        <v>33</v>
      </c>
      <c r="L3668" s="584">
        <f>M3668+N3668+O3668+P3668+Q3668</f>
        <v>1695706</v>
      </c>
      <c r="M3668" s="741">
        <v>1636150</v>
      </c>
      <c r="N3668" s="742">
        <v>24542</v>
      </c>
      <c r="O3668" s="743"/>
      <c r="P3668" s="742"/>
      <c r="Q3668" s="586">
        <f>ROUND(M3668*2.14%,0)</f>
        <v>35014</v>
      </c>
      <c r="R3668" s="744">
        <f>M3668/G3668</f>
        <v>2056.4982403217696</v>
      </c>
      <c r="S3668" s="560"/>
      <c r="T3668" s="560"/>
      <c r="U3668" s="1059"/>
    </row>
    <row r="3669" spans="1:26" s="28" customFormat="1" hidden="1">
      <c r="A3669" s="1349" t="s">
        <v>123</v>
      </c>
      <c r="B3669" s="1349"/>
      <c r="C3669" s="593" t="s">
        <v>28</v>
      </c>
      <c r="D3669" s="646">
        <f>SUM(D3666:D3668)</f>
        <v>9872.02</v>
      </c>
      <c r="E3669" s="646">
        <f>SUM(E3666:E3668)</f>
        <v>3948.8079999999995</v>
      </c>
      <c r="F3669" s="646" t="s">
        <v>28</v>
      </c>
      <c r="G3669" s="646">
        <f>SUM(G3666:G3668)</f>
        <v>2771.6</v>
      </c>
      <c r="H3669" s="582" t="s">
        <v>28</v>
      </c>
      <c r="I3669" s="582" t="s">
        <v>28</v>
      </c>
      <c r="J3669" s="582">
        <f>SUM(J3666:J3668)</f>
        <v>103</v>
      </c>
      <c r="K3669" s="590" t="s">
        <v>28</v>
      </c>
      <c r="L3669" s="584">
        <f>SUM(L3666:L3668)</f>
        <v>5742815</v>
      </c>
      <c r="M3669" s="585">
        <f>SUM(M3666:M3668)</f>
        <v>5570470</v>
      </c>
      <c r="N3669" s="586">
        <f>SUM(N3666:N3668)</f>
        <v>45532</v>
      </c>
      <c r="O3669" s="587">
        <f>SUM(O3666:O3668)</f>
        <v>7605</v>
      </c>
      <c r="P3669" s="586"/>
      <c r="Q3669" s="586">
        <f>SUM(Q3666:Q3668)</f>
        <v>119208</v>
      </c>
      <c r="R3669" s="582" t="s">
        <v>28</v>
      </c>
      <c r="S3669" s="592"/>
      <c r="T3669" s="645"/>
      <c r="U3669" s="1059"/>
      <c r="V3669" s="592"/>
      <c r="W3669" s="592"/>
      <c r="X3669" s="592"/>
      <c r="Y3669" s="592"/>
      <c r="Z3669" s="592"/>
    </row>
    <row r="3670" spans="1:26" s="28" customFormat="1" hidden="1">
      <c r="A3670" s="1347" t="s">
        <v>69</v>
      </c>
      <c r="B3670" s="1347"/>
      <c r="C3670" s="1347"/>
      <c r="D3670" s="1347"/>
      <c r="E3670" s="1347"/>
      <c r="F3670" s="1347"/>
      <c r="G3670" s="1347"/>
      <c r="H3670" s="1347"/>
      <c r="I3670" s="1347"/>
      <c r="J3670" s="1347"/>
      <c r="K3670" s="1347"/>
      <c r="L3670" s="1347"/>
      <c r="M3670" s="1347"/>
      <c r="N3670" s="1347"/>
      <c r="O3670" s="1347"/>
      <c r="P3670" s="1347"/>
      <c r="Q3670" s="1347"/>
      <c r="R3670" s="590"/>
      <c r="S3670" s="592"/>
      <c r="T3670" s="645"/>
      <c r="U3670" s="1059"/>
      <c r="V3670" s="592"/>
      <c r="W3670" s="592"/>
      <c r="X3670" s="592"/>
      <c r="Y3670" s="592"/>
      <c r="Z3670" s="592"/>
    </row>
    <row r="3671" spans="1:26" s="28" customFormat="1" hidden="1">
      <c r="A3671" s="590">
        <v>1</v>
      </c>
      <c r="B3671" s="592" t="s">
        <v>2943</v>
      </c>
      <c r="C3671" s="593" t="s">
        <v>221</v>
      </c>
      <c r="D3671" s="646">
        <v>4401</v>
      </c>
      <c r="E3671" s="646">
        <v>733.5</v>
      </c>
      <c r="F3671" s="1220" t="s">
        <v>222</v>
      </c>
      <c r="G3671" s="646">
        <v>1007.6</v>
      </c>
      <c r="H3671" s="582">
        <v>2</v>
      </c>
      <c r="I3671" s="582">
        <v>2</v>
      </c>
      <c r="J3671" s="582">
        <v>33</v>
      </c>
      <c r="K3671" s="590" t="s">
        <v>224</v>
      </c>
      <c r="L3671" s="740">
        <f>M3671+N3671+O3671+P3671+Q3671</f>
        <v>770576</v>
      </c>
      <c r="M3671" s="741">
        <f>J3671*22000</f>
        <v>726000</v>
      </c>
      <c r="N3671" s="586">
        <f>M3671*0.04</f>
        <v>29040</v>
      </c>
      <c r="O3671" s="743"/>
      <c r="P3671" s="742"/>
      <c r="Q3671" s="586">
        <f>ROUND(M3671*2.14%,0)</f>
        <v>15536</v>
      </c>
      <c r="R3671" s="744">
        <f>M3671/J3671</f>
        <v>22000</v>
      </c>
      <c r="S3671" s="592"/>
      <c r="T3671" s="645"/>
      <c r="U3671" s="1059"/>
      <c r="V3671" s="592"/>
      <c r="W3671" s="592"/>
      <c r="X3671" s="592"/>
      <c r="Y3671" s="592"/>
      <c r="Z3671" s="592"/>
    </row>
    <row r="3672" spans="1:26" s="28" customFormat="1" hidden="1">
      <c r="A3672" s="590">
        <v>2</v>
      </c>
      <c r="B3672" s="592" t="s">
        <v>2944</v>
      </c>
      <c r="C3672" s="593" t="s">
        <v>221</v>
      </c>
      <c r="D3672" s="646">
        <v>3998</v>
      </c>
      <c r="E3672" s="646">
        <v>333</v>
      </c>
      <c r="F3672" s="1220" t="s">
        <v>228</v>
      </c>
      <c r="G3672" s="646">
        <v>375</v>
      </c>
      <c r="H3672" s="582">
        <v>4</v>
      </c>
      <c r="I3672" s="582">
        <v>1</v>
      </c>
      <c r="J3672" s="582">
        <v>16</v>
      </c>
      <c r="K3672" s="590" t="s">
        <v>224</v>
      </c>
      <c r="L3672" s="740">
        <f>M3672+N3672+O3672+P3672+Q3672</f>
        <v>384173</v>
      </c>
      <c r="M3672" s="741">
        <f>J3672*22000</f>
        <v>352000</v>
      </c>
      <c r="N3672" s="586">
        <f>M3672*0.07</f>
        <v>24640.000000000004</v>
      </c>
      <c r="O3672" s="743"/>
      <c r="P3672" s="742"/>
      <c r="Q3672" s="586">
        <f>ROUND(M3672*2.14%,0)</f>
        <v>7533</v>
      </c>
      <c r="R3672" s="744">
        <f>M3672/J3672</f>
        <v>22000</v>
      </c>
      <c r="S3672" s="592"/>
      <c r="T3672" s="645"/>
      <c r="U3672" s="1059"/>
      <c r="V3672" s="592"/>
      <c r="W3672" s="592"/>
      <c r="X3672" s="592"/>
      <c r="Y3672" s="592"/>
      <c r="Z3672" s="592"/>
    </row>
    <row r="3673" spans="1:26" s="28" customFormat="1" hidden="1">
      <c r="A3673" s="590">
        <v>3</v>
      </c>
      <c r="B3673" s="592" t="s">
        <v>2945</v>
      </c>
      <c r="C3673" s="593" t="s">
        <v>221</v>
      </c>
      <c r="D3673" s="646">
        <v>3887</v>
      </c>
      <c r="E3673" s="646">
        <v>598</v>
      </c>
      <c r="F3673" s="646" t="s">
        <v>228</v>
      </c>
      <c r="G3673" s="646">
        <v>493</v>
      </c>
      <c r="H3673" s="582">
        <v>2</v>
      </c>
      <c r="I3673" s="582">
        <v>1</v>
      </c>
      <c r="J3673" s="582">
        <v>24</v>
      </c>
      <c r="K3673" s="590" t="s">
        <v>224</v>
      </c>
      <c r="L3673" s="740">
        <f>M3673+N3673+O3673+P3673+Q3673</f>
        <v>565699</v>
      </c>
      <c r="M3673" s="741">
        <f>J3673*22000</f>
        <v>528000</v>
      </c>
      <c r="N3673" s="586">
        <f>M3673*0.05</f>
        <v>26400</v>
      </c>
      <c r="O3673" s="743"/>
      <c r="P3673" s="742"/>
      <c r="Q3673" s="586">
        <f>ROUND(M3673*2.14%,0)</f>
        <v>11299</v>
      </c>
      <c r="R3673" s="744">
        <f>M3673/J3673</f>
        <v>22000</v>
      </c>
      <c r="S3673" s="592"/>
      <c r="T3673" s="645"/>
      <c r="U3673" s="1059"/>
      <c r="V3673" s="592"/>
      <c r="W3673" s="592"/>
      <c r="X3673" s="592"/>
      <c r="Y3673" s="592"/>
      <c r="Z3673" s="592"/>
    </row>
    <row r="3674" spans="1:26" s="28" customFormat="1" ht="37.5" hidden="1">
      <c r="A3674" s="590">
        <v>4</v>
      </c>
      <c r="B3674" s="592" t="s">
        <v>2946</v>
      </c>
      <c r="C3674" s="593" t="s">
        <v>221</v>
      </c>
      <c r="D3674" s="646">
        <v>2875</v>
      </c>
      <c r="E3674" s="646">
        <v>295</v>
      </c>
      <c r="F3674" s="1220" t="s">
        <v>222</v>
      </c>
      <c r="G3674" s="646">
        <v>670</v>
      </c>
      <c r="H3674" s="582">
        <v>2</v>
      </c>
      <c r="I3674" s="582">
        <v>2</v>
      </c>
      <c r="J3674" s="582">
        <v>16</v>
      </c>
      <c r="K3674" s="606" t="s">
        <v>30</v>
      </c>
      <c r="L3674" s="584">
        <f>M3674+N3674+O3674+P3674+Q3674</f>
        <v>409760</v>
      </c>
      <c r="M3674" s="585">
        <f>J3674*25000</f>
        <v>400000</v>
      </c>
      <c r="N3674" s="586"/>
      <c r="O3674" s="736">
        <f>ROUND(M3674*0.3%,0)</f>
        <v>1200</v>
      </c>
      <c r="P3674" s="586"/>
      <c r="Q3674" s="586">
        <f>ROUND(M3674*2.14%,0)</f>
        <v>8560</v>
      </c>
      <c r="R3674" s="582">
        <f>M3674/J3674</f>
        <v>25000</v>
      </c>
      <c r="S3674" s="592"/>
      <c r="T3674" s="645"/>
      <c r="U3674" s="1059"/>
      <c r="V3674" s="592"/>
      <c r="W3674" s="592"/>
      <c r="X3674" s="592"/>
      <c r="Y3674" s="592"/>
      <c r="Z3674" s="592"/>
    </row>
    <row r="3675" spans="1:26" s="28" customFormat="1" hidden="1">
      <c r="A3675" s="1349" t="s">
        <v>70</v>
      </c>
      <c r="B3675" s="1349"/>
      <c r="C3675" s="593" t="s">
        <v>28</v>
      </c>
      <c r="D3675" s="646">
        <f>SUM(D3671:D3674)</f>
        <v>15161</v>
      </c>
      <c r="E3675" s="646">
        <f>SUM(E3671:E3674)</f>
        <v>1959.5</v>
      </c>
      <c r="F3675" s="646" t="s">
        <v>28</v>
      </c>
      <c r="G3675" s="646">
        <f>SUM(G3671:G3674)</f>
        <v>2545.6</v>
      </c>
      <c r="H3675" s="582" t="s">
        <v>28</v>
      </c>
      <c r="I3675" s="582" t="s">
        <v>28</v>
      </c>
      <c r="J3675" s="582">
        <f>SUM(J3671:J3674)</f>
        <v>89</v>
      </c>
      <c r="K3675" s="590" t="s">
        <v>28</v>
      </c>
      <c r="L3675" s="584">
        <f>SUM(L3671:L3674)</f>
        <v>2130208</v>
      </c>
      <c r="M3675" s="585">
        <f>SUM(M3671:M3674)</f>
        <v>2006000</v>
      </c>
      <c r="N3675" s="586">
        <f>SUM(N3671:N3674)</f>
        <v>80080</v>
      </c>
      <c r="O3675" s="587">
        <f>SUM(O3671:O3674)</f>
        <v>1200</v>
      </c>
      <c r="P3675" s="586"/>
      <c r="Q3675" s="586">
        <f>SUM(Q3671:Q3674)</f>
        <v>42928</v>
      </c>
      <c r="R3675" s="582" t="s">
        <v>28</v>
      </c>
      <c r="S3675" s="592"/>
      <c r="T3675" s="645"/>
      <c r="U3675" s="1059"/>
      <c r="V3675" s="592"/>
      <c r="W3675" s="592"/>
      <c r="X3675" s="592"/>
      <c r="Y3675" s="592"/>
      <c r="Z3675" s="592"/>
    </row>
    <row r="3676" spans="1:26" s="28" customFormat="1" hidden="1">
      <c r="A3676" s="1347" t="s">
        <v>71</v>
      </c>
      <c r="B3676" s="1347"/>
      <c r="C3676" s="1347"/>
      <c r="D3676" s="1347"/>
      <c r="E3676" s="1347"/>
      <c r="F3676" s="1347"/>
      <c r="G3676" s="1347"/>
      <c r="H3676" s="1347"/>
      <c r="I3676" s="1347"/>
      <c r="J3676" s="1347"/>
      <c r="K3676" s="1347"/>
      <c r="L3676" s="1347"/>
      <c r="M3676" s="1347"/>
      <c r="N3676" s="1347"/>
      <c r="O3676" s="1347"/>
      <c r="P3676" s="1347"/>
      <c r="Q3676" s="1347"/>
      <c r="R3676" s="590"/>
      <c r="S3676" s="592"/>
      <c r="T3676" s="645"/>
      <c r="U3676" s="1059"/>
      <c r="V3676" s="592"/>
      <c r="W3676" s="592"/>
      <c r="X3676" s="592"/>
      <c r="Y3676" s="592"/>
      <c r="Z3676" s="592"/>
    </row>
    <row r="3677" spans="1:26" s="28" customFormat="1" hidden="1">
      <c r="A3677" s="590">
        <v>1</v>
      </c>
      <c r="B3677" s="592" t="s">
        <v>2947</v>
      </c>
      <c r="C3677" s="593" t="s">
        <v>221</v>
      </c>
      <c r="D3677" s="646">
        <v>4215</v>
      </c>
      <c r="E3677" s="646">
        <v>810</v>
      </c>
      <c r="F3677" s="619" t="s">
        <v>222</v>
      </c>
      <c r="G3677" s="646">
        <v>946</v>
      </c>
      <c r="H3677" s="582">
        <v>2</v>
      </c>
      <c r="I3677" s="582">
        <v>3</v>
      </c>
      <c r="J3677" s="582">
        <v>24</v>
      </c>
      <c r="K3677" s="590" t="s">
        <v>33</v>
      </c>
      <c r="L3677" s="595">
        <f>M3677+N3677+O3677+P3677+Q3677</f>
        <v>2451086</v>
      </c>
      <c r="M3677" s="741">
        <f>G3677*2500</f>
        <v>2365000</v>
      </c>
      <c r="N3677" s="586">
        <v>35475</v>
      </c>
      <c r="O3677" s="587"/>
      <c r="P3677" s="586"/>
      <c r="Q3677" s="586">
        <f>ROUND(M3677*2.14%,0)</f>
        <v>50611</v>
      </c>
      <c r="R3677" s="599">
        <f>M3677/G3677</f>
        <v>2500</v>
      </c>
      <c r="S3677" s="592"/>
      <c r="T3677" s="645"/>
      <c r="U3677" s="1059"/>
      <c r="V3677" s="592"/>
      <c r="W3677" s="592"/>
      <c r="X3677" s="592"/>
      <c r="Y3677" s="592"/>
      <c r="Z3677" s="592"/>
    </row>
    <row r="3678" spans="1:26" s="28" customFormat="1" hidden="1">
      <c r="A3678" s="590">
        <f>A3677+1</f>
        <v>2</v>
      </c>
      <c r="B3678" s="592" t="s">
        <v>2948</v>
      </c>
      <c r="C3678" s="593" t="s">
        <v>221</v>
      </c>
      <c r="D3678" s="619">
        <v>3709</v>
      </c>
      <c r="E3678" s="619">
        <v>3709</v>
      </c>
      <c r="F3678" s="619" t="s">
        <v>222</v>
      </c>
      <c r="G3678" s="619">
        <v>832</v>
      </c>
      <c r="H3678" s="599">
        <v>2</v>
      </c>
      <c r="I3678" s="599">
        <v>2</v>
      </c>
      <c r="J3678" s="599">
        <v>16</v>
      </c>
      <c r="K3678" s="590" t="s">
        <v>33</v>
      </c>
      <c r="L3678" s="595">
        <f>M3678+N3678+O3678+P3678+Q3678</f>
        <v>2155712</v>
      </c>
      <c r="M3678" s="741">
        <f>G3678*2500</f>
        <v>2080000</v>
      </c>
      <c r="N3678" s="586">
        <v>31200</v>
      </c>
      <c r="O3678" s="587"/>
      <c r="P3678" s="586"/>
      <c r="Q3678" s="586">
        <f>ROUND(M3678*2.14%,0)</f>
        <v>44512</v>
      </c>
      <c r="R3678" s="599">
        <f>M3678/G3678</f>
        <v>2500</v>
      </c>
      <c r="S3678" s="592"/>
      <c r="T3678" s="645"/>
      <c r="U3678" s="1059"/>
      <c r="V3678" s="592"/>
      <c r="W3678" s="592"/>
      <c r="X3678" s="592"/>
      <c r="Y3678" s="592"/>
      <c r="Z3678" s="592"/>
    </row>
    <row r="3679" spans="1:26" s="90" customFormat="1" hidden="1">
      <c r="A3679" s="590">
        <f>A3678+1</f>
        <v>3</v>
      </c>
      <c r="B3679" s="1145" t="s">
        <v>2949</v>
      </c>
      <c r="C3679" s="593" t="s">
        <v>221</v>
      </c>
      <c r="D3679" s="619">
        <v>1386.2</v>
      </c>
      <c r="E3679" s="619">
        <v>478</v>
      </c>
      <c r="F3679" s="619" t="s">
        <v>222</v>
      </c>
      <c r="G3679" s="619">
        <v>947</v>
      </c>
      <c r="H3679" s="599">
        <v>2</v>
      </c>
      <c r="I3679" s="599">
        <v>3</v>
      </c>
      <c r="J3679" s="599">
        <v>22</v>
      </c>
      <c r="K3679" s="590" t="s">
        <v>33</v>
      </c>
      <c r="L3679" s="595">
        <f>M3679+N3679+O3679+P3679+Q3679</f>
        <v>2453678</v>
      </c>
      <c r="M3679" s="741">
        <f>G3679*2500</f>
        <v>2367500</v>
      </c>
      <c r="N3679" s="586">
        <v>35513</v>
      </c>
      <c r="O3679" s="587"/>
      <c r="P3679" s="586"/>
      <c r="Q3679" s="586">
        <f>ROUND(M3679*2.14%,0)</f>
        <v>50665</v>
      </c>
      <c r="R3679" s="599">
        <f>M3679/G3679</f>
        <v>2500</v>
      </c>
      <c r="S3679" s="748"/>
      <c r="T3679" s="748"/>
      <c r="U3679" s="1059"/>
      <c r="V3679" s="748"/>
      <c r="W3679" s="748"/>
      <c r="X3679" s="748"/>
      <c r="Y3679" s="748"/>
      <c r="Z3679" s="748"/>
    </row>
    <row r="3680" spans="1:26" s="28" customFormat="1" hidden="1">
      <c r="A3680" s="1349" t="s">
        <v>72</v>
      </c>
      <c r="B3680" s="1349"/>
      <c r="C3680" s="593" t="s">
        <v>28</v>
      </c>
      <c r="D3680" s="646">
        <f>SUM(D3677:D3679)</f>
        <v>9310.2000000000007</v>
      </c>
      <c r="E3680" s="646">
        <f>SUM(E3677:E3679)</f>
        <v>4997</v>
      </c>
      <c r="F3680" s="646" t="s">
        <v>28</v>
      </c>
      <c r="G3680" s="646">
        <f>SUM(G3677:G3679)</f>
        <v>2725</v>
      </c>
      <c r="H3680" s="582" t="s">
        <v>28</v>
      </c>
      <c r="I3680" s="582" t="s">
        <v>28</v>
      </c>
      <c r="J3680" s="582">
        <f>SUM(J3677:J3679)</f>
        <v>62</v>
      </c>
      <c r="K3680" s="590" t="s">
        <v>28</v>
      </c>
      <c r="L3680" s="584">
        <f>SUM(L3677:L3679)</f>
        <v>7060476</v>
      </c>
      <c r="M3680" s="585">
        <f>SUM(M3677:M3679)</f>
        <v>6812500</v>
      </c>
      <c r="N3680" s="586">
        <f>SUM(N3677:N3679)</f>
        <v>102188</v>
      </c>
      <c r="O3680" s="587">
        <f>SUM(O3677:O3679)</f>
        <v>0</v>
      </c>
      <c r="P3680" s="586"/>
      <c r="Q3680" s="586">
        <f>SUM(Q3677:Q3679)</f>
        <v>145788</v>
      </c>
      <c r="R3680" s="582" t="s">
        <v>28</v>
      </c>
      <c r="S3680" s="592"/>
      <c r="T3680" s="645"/>
      <c r="U3680" s="1059"/>
      <c r="V3680" s="592"/>
      <c r="W3680" s="592"/>
      <c r="X3680" s="592"/>
      <c r="Y3680" s="592"/>
      <c r="Z3680" s="592"/>
    </row>
    <row r="3681" spans="1:26" s="28" customFormat="1" hidden="1">
      <c r="A3681" s="1347" t="s">
        <v>124</v>
      </c>
      <c r="B3681" s="1347"/>
      <c r="C3681" s="1347"/>
      <c r="D3681" s="1347"/>
      <c r="E3681" s="1347"/>
      <c r="F3681" s="1347"/>
      <c r="G3681" s="1347"/>
      <c r="H3681" s="1347"/>
      <c r="I3681" s="1347"/>
      <c r="J3681" s="1347"/>
      <c r="K3681" s="1347"/>
      <c r="L3681" s="1347"/>
      <c r="M3681" s="1347"/>
      <c r="N3681" s="1347"/>
      <c r="O3681" s="1347"/>
      <c r="P3681" s="1347"/>
      <c r="Q3681" s="1347"/>
      <c r="R3681" s="590"/>
      <c r="S3681" s="592"/>
      <c r="T3681" s="645"/>
      <c r="U3681" s="1059"/>
      <c r="V3681" s="592"/>
      <c r="W3681" s="592"/>
      <c r="X3681" s="592"/>
      <c r="Y3681" s="592"/>
      <c r="Z3681" s="592"/>
    </row>
    <row r="3682" spans="1:26" s="90" customFormat="1" hidden="1">
      <c r="A3682" s="590">
        <v>1</v>
      </c>
      <c r="B3682" s="592" t="s">
        <v>2950</v>
      </c>
      <c r="C3682" s="593" t="s">
        <v>221</v>
      </c>
      <c r="D3682" s="646">
        <v>5701.2</v>
      </c>
      <c r="E3682" s="619">
        <v>768.8</v>
      </c>
      <c r="F3682" s="619" t="s">
        <v>222</v>
      </c>
      <c r="G3682" s="619">
        <v>664.3</v>
      </c>
      <c r="H3682" s="599">
        <v>2</v>
      </c>
      <c r="I3682" s="599">
        <v>2</v>
      </c>
      <c r="J3682" s="599">
        <v>40</v>
      </c>
      <c r="K3682" s="590" t="s">
        <v>33</v>
      </c>
      <c r="L3682" s="595">
        <f>M3682+N3682+Q3682</f>
        <v>1419868</v>
      </c>
      <c r="M3682" s="741">
        <v>1370000</v>
      </c>
      <c r="N3682" s="586">
        <v>20550</v>
      </c>
      <c r="O3682" s="587"/>
      <c r="P3682" s="586"/>
      <c r="Q3682" s="586">
        <f>ROUND(M3682*2.14%,0)</f>
        <v>29318</v>
      </c>
      <c r="R3682" s="599">
        <f>M3682/G3682</f>
        <v>2062.3212404034325</v>
      </c>
      <c r="S3682" s="748"/>
      <c r="T3682" s="748"/>
      <c r="U3682" s="1059"/>
      <c r="V3682" s="748"/>
      <c r="W3682" s="748"/>
      <c r="X3682" s="748"/>
      <c r="Y3682" s="748"/>
      <c r="Z3682" s="748"/>
    </row>
    <row r="3683" spans="1:26" s="28" customFormat="1" hidden="1">
      <c r="A3683" s="1349" t="s">
        <v>125</v>
      </c>
      <c r="B3683" s="1349"/>
      <c r="C3683" s="593" t="s">
        <v>28</v>
      </c>
      <c r="D3683" s="646">
        <f>SUM(D3682)</f>
        <v>5701.2</v>
      </c>
      <c r="E3683" s="646">
        <f>SUM(E3682)</f>
        <v>768.8</v>
      </c>
      <c r="F3683" s="646" t="s">
        <v>28</v>
      </c>
      <c r="G3683" s="646">
        <f>SUM(G3682)</f>
        <v>664.3</v>
      </c>
      <c r="H3683" s="582" t="s">
        <v>28</v>
      </c>
      <c r="I3683" s="582" t="s">
        <v>28</v>
      </c>
      <c r="J3683" s="582">
        <f>SUM(J3682)</f>
        <v>40</v>
      </c>
      <c r="K3683" s="590" t="s">
        <v>28</v>
      </c>
      <c r="L3683" s="584">
        <f>SUM(L3682)</f>
        <v>1419868</v>
      </c>
      <c r="M3683" s="585">
        <f>SUM(M3682)</f>
        <v>1370000</v>
      </c>
      <c r="N3683" s="586">
        <f>SUM(N3682)</f>
        <v>20550</v>
      </c>
      <c r="O3683" s="587"/>
      <c r="P3683" s="586"/>
      <c r="Q3683" s="586">
        <f>SUM(Q3682)</f>
        <v>29318</v>
      </c>
      <c r="R3683" s="582" t="s">
        <v>28</v>
      </c>
      <c r="S3683" s="592"/>
      <c r="T3683" s="645"/>
      <c r="U3683" s="1059"/>
      <c r="V3683" s="592"/>
      <c r="W3683" s="592"/>
      <c r="X3683" s="592"/>
      <c r="Y3683" s="592"/>
      <c r="Z3683" s="592"/>
    </row>
    <row r="3684" spans="1:26" s="28" customFormat="1" hidden="1">
      <c r="A3684" s="1347" t="s">
        <v>74</v>
      </c>
      <c r="B3684" s="1347"/>
      <c r="C3684" s="1347"/>
      <c r="D3684" s="1347"/>
      <c r="E3684" s="1347"/>
      <c r="F3684" s="1347"/>
      <c r="G3684" s="1347"/>
      <c r="H3684" s="1347"/>
      <c r="I3684" s="1347"/>
      <c r="J3684" s="1347"/>
      <c r="K3684" s="1347"/>
      <c r="L3684" s="1347"/>
      <c r="M3684" s="1347"/>
      <c r="N3684" s="1347"/>
      <c r="O3684" s="1347"/>
      <c r="P3684" s="1347"/>
      <c r="Q3684" s="1347"/>
      <c r="R3684" s="590"/>
      <c r="S3684" s="592"/>
      <c r="T3684" s="645"/>
      <c r="U3684" s="1059"/>
      <c r="V3684" s="592"/>
      <c r="W3684" s="592"/>
      <c r="X3684" s="592"/>
      <c r="Y3684" s="592"/>
      <c r="Z3684" s="592"/>
    </row>
    <row r="3685" spans="1:26" s="28" customFormat="1" hidden="1">
      <c r="A3685" s="590">
        <v>1</v>
      </c>
      <c r="B3685" s="592" t="s">
        <v>2951</v>
      </c>
      <c r="C3685" s="593" t="s">
        <v>221</v>
      </c>
      <c r="D3685" s="646">
        <v>957</v>
      </c>
      <c r="E3685" s="646">
        <v>382.8</v>
      </c>
      <c r="F3685" s="619" t="s">
        <v>222</v>
      </c>
      <c r="G3685" s="646">
        <v>402</v>
      </c>
      <c r="H3685" s="582">
        <v>2</v>
      </c>
      <c r="I3685" s="582">
        <v>1</v>
      </c>
      <c r="J3685" s="582">
        <v>4</v>
      </c>
      <c r="K3685" s="590" t="s">
        <v>33</v>
      </c>
      <c r="L3685" s="595">
        <f>M3685+N3685+Q3685</f>
        <v>1183456</v>
      </c>
      <c r="M3685" s="596">
        <f>G3685*2800</f>
        <v>1125600</v>
      </c>
      <c r="N3685" s="586">
        <f>M3685*0.03</f>
        <v>33768</v>
      </c>
      <c r="O3685" s="587"/>
      <c r="P3685" s="586"/>
      <c r="Q3685" s="586">
        <f>ROUND(M3685*2.14%,0)</f>
        <v>24088</v>
      </c>
      <c r="R3685" s="599">
        <f>M3685/G3685</f>
        <v>2800</v>
      </c>
      <c r="S3685" s="592"/>
      <c r="T3685" s="645"/>
      <c r="U3685" s="1059"/>
      <c r="V3685" s="592"/>
      <c r="W3685" s="592"/>
      <c r="X3685" s="592"/>
      <c r="Y3685" s="592"/>
      <c r="Z3685" s="592"/>
    </row>
    <row r="3686" spans="1:26" s="28" customFormat="1" hidden="1">
      <c r="A3686" s="1349" t="s">
        <v>126</v>
      </c>
      <c r="B3686" s="1349"/>
      <c r="C3686" s="593" t="s">
        <v>28</v>
      </c>
      <c r="D3686" s="646">
        <f>SUM(D3685)</f>
        <v>957</v>
      </c>
      <c r="E3686" s="646">
        <f>SUM(E3685:E3685)</f>
        <v>382.8</v>
      </c>
      <c r="F3686" s="646" t="s">
        <v>28</v>
      </c>
      <c r="G3686" s="646">
        <f>SUM(G3685:G3685)</f>
        <v>402</v>
      </c>
      <c r="H3686" s="582" t="s">
        <v>28</v>
      </c>
      <c r="I3686" s="582" t="s">
        <v>28</v>
      </c>
      <c r="J3686" s="582">
        <f>SUM(J3685:J3685)</f>
        <v>4</v>
      </c>
      <c r="K3686" s="590" t="s">
        <v>28</v>
      </c>
      <c r="L3686" s="584">
        <f>SUM(L3685:L3685)</f>
        <v>1183456</v>
      </c>
      <c r="M3686" s="585">
        <f>SUM(M3685:M3685)</f>
        <v>1125600</v>
      </c>
      <c r="N3686" s="586">
        <f>SUM(N3685:N3685)</f>
        <v>33768</v>
      </c>
      <c r="O3686" s="587"/>
      <c r="P3686" s="586"/>
      <c r="Q3686" s="586">
        <f>SUM(Q3685:Q3685)</f>
        <v>24088</v>
      </c>
      <c r="R3686" s="582" t="s">
        <v>28</v>
      </c>
      <c r="S3686" s="592"/>
      <c r="T3686" s="645"/>
      <c r="U3686" s="1059"/>
      <c r="V3686" s="592"/>
      <c r="W3686" s="592"/>
      <c r="X3686" s="592"/>
      <c r="Y3686" s="592"/>
      <c r="Z3686" s="592"/>
    </row>
    <row r="3687" spans="1:26" s="28" customFormat="1" hidden="1">
      <c r="A3687" s="1347" t="s">
        <v>75</v>
      </c>
      <c r="B3687" s="1347"/>
      <c r="C3687" s="1347"/>
      <c r="D3687" s="1347"/>
      <c r="E3687" s="1347"/>
      <c r="F3687" s="1347"/>
      <c r="G3687" s="1347"/>
      <c r="H3687" s="1347"/>
      <c r="I3687" s="1347"/>
      <c r="J3687" s="1347"/>
      <c r="K3687" s="1347"/>
      <c r="L3687" s="1347"/>
      <c r="M3687" s="1347"/>
      <c r="N3687" s="1347"/>
      <c r="O3687" s="1347"/>
      <c r="P3687" s="1347"/>
      <c r="Q3687" s="1347"/>
      <c r="R3687" s="590"/>
      <c r="S3687" s="592"/>
      <c r="T3687" s="645"/>
      <c r="U3687" s="1059"/>
      <c r="V3687" s="592"/>
      <c r="W3687" s="592"/>
      <c r="X3687" s="592"/>
      <c r="Y3687" s="592"/>
      <c r="Z3687" s="592"/>
    </row>
    <row r="3688" spans="1:26" s="28" customFormat="1" ht="37.5" hidden="1">
      <c r="A3688" s="667">
        <v>1</v>
      </c>
      <c r="B3688" s="592" t="s">
        <v>2952</v>
      </c>
      <c r="C3688" s="593" t="s">
        <v>217</v>
      </c>
      <c r="D3688" s="646">
        <v>1266</v>
      </c>
      <c r="E3688" s="646">
        <v>343.9</v>
      </c>
      <c r="F3688" s="619" t="s">
        <v>222</v>
      </c>
      <c r="G3688" s="646">
        <v>676</v>
      </c>
      <c r="H3688" s="582">
        <v>2</v>
      </c>
      <c r="I3688" s="582">
        <v>2</v>
      </c>
      <c r="J3688" s="582">
        <v>4</v>
      </c>
      <c r="K3688" s="590" t="s">
        <v>274</v>
      </c>
      <c r="L3688" s="595">
        <f>M3688+N3688+Q3688</f>
        <v>1681455</v>
      </c>
      <c r="M3688" s="741">
        <v>1622400</v>
      </c>
      <c r="N3688" s="586">
        <v>24336</v>
      </c>
      <c r="O3688" s="587"/>
      <c r="P3688" s="586"/>
      <c r="Q3688" s="586">
        <v>34719</v>
      </c>
      <c r="R3688" s="599">
        <f>M3688/G3688</f>
        <v>2400</v>
      </c>
      <c r="S3688" s="592"/>
      <c r="T3688" s="645"/>
      <c r="U3688" s="1059"/>
      <c r="V3688" s="592"/>
      <c r="W3688" s="592"/>
      <c r="X3688" s="592"/>
      <c r="Y3688" s="592"/>
      <c r="Z3688" s="592"/>
    </row>
    <row r="3689" spans="1:26" s="28" customFormat="1" hidden="1">
      <c r="A3689" s="667">
        <v>3</v>
      </c>
      <c r="B3689" s="592" t="s">
        <v>2953</v>
      </c>
      <c r="C3689" s="593" t="s">
        <v>217</v>
      </c>
      <c r="D3689" s="646">
        <v>2558.75</v>
      </c>
      <c r="E3689" s="646">
        <v>1023.5</v>
      </c>
      <c r="F3689" s="619" t="s">
        <v>222</v>
      </c>
      <c r="G3689" s="646">
        <v>928</v>
      </c>
      <c r="H3689" s="582">
        <v>2</v>
      </c>
      <c r="I3689" s="582">
        <v>3</v>
      </c>
      <c r="J3689" s="582">
        <v>18</v>
      </c>
      <c r="K3689" s="590" t="s">
        <v>33</v>
      </c>
      <c r="L3689" s="595">
        <f>M3689+N3689+Q3689</f>
        <v>2313502</v>
      </c>
      <c r="M3689" s="741">
        <v>2232248</v>
      </c>
      <c r="N3689" s="586">
        <v>33484</v>
      </c>
      <c r="O3689" s="587"/>
      <c r="P3689" s="586"/>
      <c r="Q3689" s="586">
        <v>47770</v>
      </c>
      <c r="R3689" s="599">
        <f>M3689/G3689</f>
        <v>2405.4396551724139</v>
      </c>
      <c r="S3689" s="592"/>
      <c r="T3689" s="645"/>
      <c r="U3689" s="1059"/>
      <c r="V3689" s="592"/>
      <c r="W3689" s="592"/>
      <c r="X3689" s="592"/>
      <c r="Y3689" s="592"/>
      <c r="Z3689" s="592"/>
    </row>
    <row r="3690" spans="1:26" s="28" customFormat="1" hidden="1">
      <c r="A3690" s="1349" t="s">
        <v>127</v>
      </c>
      <c r="B3690" s="1349"/>
      <c r="C3690" s="593" t="s">
        <v>28</v>
      </c>
      <c r="D3690" s="646">
        <f>SUM(D3688:D3689)</f>
        <v>3824.75</v>
      </c>
      <c r="E3690" s="646">
        <f>SUM(E3688:E3689)</f>
        <v>1367.4</v>
      </c>
      <c r="F3690" s="646" t="s">
        <v>28</v>
      </c>
      <c r="G3690" s="646">
        <f>SUM(G3688:G3689)</f>
        <v>1604</v>
      </c>
      <c r="H3690" s="582" t="s">
        <v>28</v>
      </c>
      <c r="I3690" s="582" t="s">
        <v>28</v>
      </c>
      <c r="J3690" s="582">
        <f>SUM(J3688:J3689)</f>
        <v>22</v>
      </c>
      <c r="K3690" s="590" t="s">
        <v>28</v>
      </c>
      <c r="L3690" s="584">
        <f>SUM(L3688:L3689)</f>
        <v>3994957</v>
      </c>
      <c r="M3690" s="585">
        <f>SUM(M3688:M3689)</f>
        <v>3854648</v>
      </c>
      <c r="N3690" s="586">
        <f>SUM(N3688:N3689)</f>
        <v>57820</v>
      </c>
      <c r="O3690" s="587">
        <f>SUM(O3688:O3689)</f>
        <v>0</v>
      </c>
      <c r="P3690" s="586"/>
      <c r="Q3690" s="586">
        <f>SUM(Q3688:Q3689)</f>
        <v>82489</v>
      </c>
      <c r="R3690" s="582" t="s">
        <v>28</v>
      </c>
      <c r="S3690" s="592"/>
      <c r="T3690" s="645"/>
      <c r="U3690" s="1059"/>
      <c r="V3690" s="592"/>
      <c r="W3690" s="592"/>
      <c r="X3690" s="592"/>
      <c r="Y3690" s="592"/>
      <c r="Z3690" s="592"/>
    </row>
    <row r="3691" spans="1:26" s="28" customFormat="1" hidden="1">
      <c r="A3691" s="1347" t="s">
        <v>76</v>
      </c>
      <c r="B3691" s="1347"/>
      <c r="C3691" s="1347"/>
      <c r="D3691" s="1347"/>
      <c r="E3691" s="1347"/>
      <c r="F3691" s="1347"/>
      <c r="G3691" s="1347"/>
      <c r="H3691" s="1347"/>
      <c r="I3691" s="1347"/>
      <c r="J3691" s="1347"/>
      <c r="K3691" s="1347"/>
      <c r="L3691" s="1347"/>
      <c r="M3691" s="1347"/>
      <c r="N3691" s="1347"/>
      <c r="O3691" s="1347"/>
      <c r="P3691" s="1347"/>
      <c r="Q3691" s="1347"/>
      <c r="R3691" s="590"/>
      <c r="S3691" s="592"/>
      <c r="T3691" s="645"/>
      <c r="U3691" s="1059"/>
      <c r="V3691" s="592"/>
      <c r="W3691" s="592"/>
      <c r="X3691" s="592"/>
      <c r="Y3691" s="592"/>
      <c r="Z3691" s="592"/>
    </row>
    <row r="3692" spans="1:26" s="28" customFormat="1" ht="37.5" hidden="1">
      <c r="A3692" s="590">
        <v>1</v>
      </c>
      <c r="B3692" s="592" t="s">
        <v>2954</v>
      </c>
      <c r="C3692" s="594" t="s">
        <v>221</v>
      </c>
      <c r="D3692" s="619">
        <v>2250</v>
      </c>
      <c r="E3692" s="619">
        <v>726.6</v>
      </c>
      <c r="F3692" s="646" t="s">
        <v>222</v>
      </c>
      <c r="G3692" s="619">
        <v>690</v>
      </c>
      <c r="H3692" s="599">
        <v>2</v>
      </c>
      <c r="I3692" s="599">
        <v>2</v>
      </c>
      <c r="J3692" s="599">
        <v>16</v>
      </c>
      <c r="K3692" s="590" t="s">
        <v>274</v>
      </c>
      <c r="L3692" s="584">
        <f>M3692+N3692+O3692+P3692+Q3692</f>
        <v>1246712</v>
      </c>
      <c r="M3692" s="741">
        <v>1197150</v>
      </c>
      <c r="N3692" s="586">
        <v>23943</v>
      </c>
      <c r="O3692" s="587"/>
      <c r="P3692" s="586"/>
      <c r="Q3692" s="586">
        <f>ROUND(M3692*2.14%,0)</f>
        <v>25619</v>
      </c>
      <c r="R3692" s="599">
        <f>M3692/G3692</f>
        <v>1735</v>
      </c>
      <c r="S3692" s="592"/>
      <c r="T3692" s="645"/>
      <c r="U3692" s="1059"/>
      <c r="V3692" s="592"/>
      <c r="W3692" s="592"/>
      <c r="X3692" s="592"/>
      <c r="Y3692" s="592"/>
      <c r="Z3692" s="592"/>
    </row>
    <row r="3693" spans="1:26" s="28" customFormat="1" ht="37.5" hidden="1">
      <c r="A3693" s="590">
        <v>2</v>
      </c>
      <c r="B3693" s="592" t="s">
        <v>2955</v>
      </c>
      <c r="C3693" s="593" t="s">
        <v>221</v>
      </c>
      <c r="D3693" s="619">
        <f>E3693*2.8</f>
        <v>1148</v>
      </c>
      <c r="E3693" s="619">
        <v>410</v>
      </c>
      <c r="F3693" s="619" t="s">
        <v>222</v>
      </c>
      <c r="G3693" s="619">
        <v>670.8</v>
      </c>
      <c r="H3693" s="599">
        <v>2</v>
      </c>
      <c r="I3693" s="599">
        <v>2</v>
      </c>
      <c r="J3693" s="599">
        <v>4</v>
      </c>
      <c r="K3693" s="590" t="s">
        <v>267</v>
      </c>
      <c r="L3693" s="584">
        <f>M3693+N3693+O3693+P3693+Q3693</f>
        <v>672006</v>
      </c>
      <c r="M3693" s="585">
        <v>656000</v>
      </c>
      <c r="N3693" s="586"/>
      <c r="O3693" s="736">
        <f>ROUND(M3693*0.3%,0)</f>
        <v>1968</v>
      </c>
      <c r="P3693" s="586"/>
      <c r="Q3693" s="586">
        <f>ROUND(M3693*2.14%,0)</f>
        <v>14038</v>
      </c>
      <c r="R3693" s="599">
        <f>M3693/E3693</f>
        <v>1600</v>
      </c>
      <c r="S3693" s="592"/>
      <c r="T3693" s="645"/>
      <c r="U3693" s="1059"/>
      <c r="V3693" s="592"/>
      <c r="W3693" s="592"/>
      <c r="X3693" s="592"/>
      <c r="Y3693" s="592"/>
      <c r="Z3693" s="592"/>
    </row>
    <row r="3694" spans="1:26" s="28" customFormat="1" hidden="1">
      <c r="A3694" s="1349" t="s">
        <v>77</v>
      </c>
      <c r="B3694" s="1349"/>
      <c r="C3694" s="593" t="s">
        <v>28</v>
      </c>
      <c r="D3694" s="646">
        <f>SUM(D3692:D3693)</f>
        <v>3398</v>
      </c>
      <c r="E3694" s="646">
        <f>SUM(E3692:E3693)</f>
        <v>1136.5999999999999</v>
      </c>
      <c r="F3694" s="646" t="s">
        <v>28</v>
      </c>
      <c r="G3694" s="646">
        <f>SUM(G3692:G3693)</f>
        <v>1360.8</v>
      </c>
      <c r="H3694" s="582" t="s">
        <v>28</v>
      </c>
      <c r="I3694" s="582" t="s">
        <v>28</v>
      </c>
      <c r="J3694" s="582">
        <f>SUM(J3692:J3693)</f>
        <v>20</v>
      </c>
      <c r="K3694" s="590" t="s">
        <v>28</v>
      </c>
      <c r="L3694" s="584">
        <f>SUM(L3692:L3693)</f>
        <v>1918718</v>
      </c>
      <c r="M3694" s="585">
        <f>SUM(M3692:M3693)</f>
        <v>1853150</v>
      </c>
      <c r="N3694" s="586">
        <f>SUM(N3692:N3693)</f>
        <v>23943</v>
      </c>
      <c r="O3694" s="587">
        <f>SUM(O3692:O3693)</f>
        <v>1968</v>
      </c>
      <c r="P3694" s="586"/>
      <c r="Q3694" s="586">
        <f>SUM(Q3692:Q3693)</f>
        <v>39657</v>
      </c>
      <c r="R3694" s="582" t="s">
        <v>28</v>
      </c>
      <c r="S3694" s="592"/>
      <c r="T3694" s="645"/>
      <c r="U3694" s="1059"/>
      <c r="V3694" s="592"/>
      <c r="W3694" s="592"/>
      <c r="X3694" s="592"/>
      <c r="Y3694" s="592"/>
      <c r="Z3694" s="592"/>
    </row>
    <row r="3695" spans="1:26" s="28" customFormat="1" hidden="1">
      <c r="A3695" s="1347" t="s">
        <v>78</v>
      </c>
      <c r="B3695" s="1347"/>
      <c r="C3695" s="1347"/>
      <c r="D3695" s="1347"/>
      <c r="E3695" s="1347"/>
      <c r="F3695" s="1347"/>
      <c r="G3695" s="1347"/>
      <c r="H3695" s="1347"/>
      <c r="I3695" s="1347"/>
      <c r="J3695" s="1347"/>
      <c r="K3695" s="1347"/>
      <c r="L3695" s="1347"/>
      <c r="M3695" s="1347"/>
      <c r="N3695" s="1347"/>
      <c r="O3695" s="1347"/>
      <c r="P3695" s="1347"/>
      <c r="Q3695" s="1347"/>
      <c r="R3695" s="590"/>
      <c r="S3695" s="592"/>
      <c r="T3695" s="645"/>
      <c r="U3695" s="1059"/>
      <c r="V3695" s="592"/>
      <c r="W3695" s="592"/>
      <c r="X3695" s="592"/>
      <c r="Y3695" s="592"/>
      <c r="Z3695" s="592"/>
    </row>
    <row r="3696" spans="1:26" s="90" customFormat="1" hidden="1">
      <c r="A3696" s="590">
        <v>1</v>
      </c>
      <c r="B3696" s="592" t="s">
        <v>2956</v>
      </c>
      <c r="C3696" s="845" t="s">
        <v>221</v>
      </c>
      <c r="D3696" s="619">
        <v>4612</v>
      </c>
      <c r="E3696" s="619">
        <f>G3696*3</f>
        <v>936</v>
      </c>
      <c r="F3696" s="619" t="s">
        <v>222</v>
      </c>
      <c r="G3696" s="619">
        <f>(20*I3696)*12*1.3</f>
        <v>312</v>
      </c>
      <c r="H3696" s="582">
        <v>2</v>
      </c>
      <c r="I3696" s="582">
        <v>1</v>
      </c>
      <c r="J3696" s="582">
        <v>24</v>
      </c>
      <c r="K3696" s="590" t="s">
        <v>33</v>
      </c>
      <c r="L3696" s="740">
        <f>M3696+N3696+O3696+P3696+Q3696</f>
        <v>725120</v>
      </c>
      <c r="M3696" s="741">
        <v>686407</v>
      </c>
      <c r="N3696" s="586">
        <v>24024</v>
      </c>
      <c r="O3696" s="587"/>
      <c r="P3696" s="586"/>
      <c r="Q3696" s="586">
        <f>ROUND(M3696*2.14%,0)</f>
        <v>14689</v>
      </c>
      <c r="R3696" s="599">
        <f>M3696/G3696</f>
        <v>2200.022435897436</v>
      </c>
      <c r="S3696" s="748"/>
      <c r="T3696" s="748"/>
      <c r="U3696" s="1059"/>
      <c r="V3696" s="748"/>
      <c r="W3696" s="748"/>
      <c r="X3696" s="748"/>
      <c r="Y3696" s="748"/>
      <c r="Z3696" s="748"/>
    </row>
    <row r="3697" spans="1:26" s="90" customFormat="1" hidden="1">
      <c r="A3697" s="590">
        <v>2</v>
      </c>
      <c r="B3697" s="592" t="s">
        <v>2957</v>
      </c>
      <c r="C3697" s="845" t="s">
        <v>221</v>
      </c>
      <c r="D3697" s="646">
        <v>1573</v>
      </c>
      <c r="E3697" s="619">
        <f>G3697*3</f>
        <v>936</v>
      </c>
      <c r="F3697" s="646" t="s">
        <v>222</v>
      </c>
      <c r="G3697" s="619">
        <f>(20*I3697)*12*1.3</f>
        <v>312</v>
      </c>
      <c r="H3697" s="599">
        <v>2</v>
      </c>
      <c r="I3697" s="599">
        <v>1</v>
      </c>
      <c r="J3697" s="599">
        <v>17</v>
      </c>
      <c r="K3697" s="590" t="s">
        <v>33</v>
      </c>
      <c r="L3697" s="740">
        <f>M3697+N3697+O3697+P3697+Q3697</f>
        <v>750544</v>
      </c>
      <c r="M3697" s="741">
        <v>710473</v>
      </c>
      <c r="N3697" s="586">
        <v>24867</v>
      </c>
      <c r="O3697" s="587"/>
      <c r="P3697" s="586"/>
      <c r="Q3697" s="586">
        <f>ROUND(M3697*2.14%,0)</f>
        <v>15204</v>
      </c>
      <c r="R3697" s="599">
        <f>M3697/G3697</f>
        <v>2277.1570512820513</v>
      </c>
      <c r="S3697" s="748"/>
      <c r="T3697" s="748"/>
      <c r="U3697" s="1059"/>
      <c r="V3697" s="748"/>
      <c r="W3697" s="748"/>
      <c r="X3697" s="748"/>
      <c r="Y3697" s="748"/>
      <c r="Z3697" s="748"/>
    </row>
    <row r="3698" spans="1:26" s="90" customFormat="1" hidden="1">
      <c r="A3698" s="590">
        <v>3</v>
      </c>
      <c r="B3698" s="592" t="s">
        <v>2958</v>
      </c>
      <c r="C3698" s="845" t="s">
        <v>221</v>
      </c>
      <c r="D3698" s="646">
        <v>3432</v>
      </c>
      <c r="E3698" s="619">
        <f>G3698*3</f>
        <v>1014</v>
      </c>
      <c r="F3698" s="646" t="s">
        <v>222</v>
      </c>
      <c r="G3698" s="619">
        <f>(20*I3698)*13*1.3</f>
        <v>338</v>
      </c>
      <c r="H3698" s="599">
        <v>2</v>
      </c>
      <c r="I3698" s="599">
        <v>1</v>
      </c>
      <c r="J3698" s="599">
        <v>25</v>
      </c>
      <c r="K3698" s="590" t="s">
        <v>224</v>
      </c>
      <c r="L3698" s="740">
        <f>M3698+N3698+O3698+P3698+Q3698</f>
        <v>530700</v>
      </c>
      <c r="M3698" s="741">
        <v>500000</v>
      </c>
      <c r="N3698" s="742">
        <v>20000</v>
      </c>
      <c r="O3698" s="743"/>
      <c r="P3698" s="742"/>
      <c r="Q3698" s="586">
        <f>ROUND(M3698*2.14%,0)</f>
        <v>10700</v>
      </c>
      <c r="R3698" s="744">
        <f>M3698/J3698</f>
        <v>20000</v>
      </c>
      <c r="S3698" s="748"/>
      <c r="T3698" s="748"/>
      <c r="U3698" s="1059"/>
      <c r="V3698" s="748"/>
      <c r="W3698" s="748"/>
      <c r="X3698" s="748"/>
      <c r="Y3698" s="748"/>
      <c r="Z3698" s="748"/>
    </row>
    <row r="3699" spans="1:26" s="28" customFormat="1" hidden="1">
      <c r="A3699" s="1349" t="s">
        <v>128</v>
      </c>
      <c r="B3699" s="1349"/>
      <c r="C3699" s="593" t="s">
        <v>28</v>
      </c>
      <c r="D3699" s="646">
        <f>SUM(D3696:D3698)</f>
        <v>9617</v>
      </c>
      <c r="E3699" s="646">
        <f>SUM(E3696:E3698)</f>
        <v>2886</v>
      </c>
      <c r="F3699" s="646" t="s">
        <v>28</v>
      </c>
      <c r="G3699" s="646">
        <f>SUM(G3696:G3698)</f>
        <v>962</v>
      </c>
      <c r="H3699" s="582" t="s">
        <v>28</v>
      </c>
      <c r="I3699" s="582" t="s">
        <v>28</v>
      </c>
      <c r="J3699" s="582">
        <f>SUM(J3696:J3698)</f>
        <v>66</v>
      </c>
      <c r="K3699" s="590" t="s">
        <v>28</v>
      </c>
      <c r="L3699" s="584">
        <f>SUM(L3696:L3698)</f>
        <v>2006364</v>
      </c>
      <c r="M3699" s="585">
        <f>SUM(M3696:M3698)</f>
        <v>1896880</v>
      </c>
      <c r="N3699" s="586">
        <f>SUM(N3696:N3698)</f>
        <v>68891</v>
      </c>
      <c r="O3699" s="587"/>
      <c r="P3699" s="586"/>
      <c r="Q3699" s="586">
        <f>SUM(Q3696:Q3698)</f>
        <v>40593</v>
      </c>
      <c r="R3699" s="582" t="s">
        <v>28</v>
      </c>
      <c r="S3699" s="592"/>
      <c r="T3699" s="645"/>
      <c r="U3699" s="1059"/>
      <c r="V3699" s="592"/>
      <c r="W3699" s="592"/>
      <c r="X3699" s="592"/>
      <c r="Y3699" s="592"/>
      <c r="Z3699" s="592"/>
    </row>
    <row r="3700" spans="1:26" s="28" customFormat="1" hidden="1">
      <c r="A3700" s="1347" t="s">
        <v>79</v>
      </c>
      <c r="B3700" s="1347"/>
      <c r="C3700" s="1347"/>
      <c r="D3700" s="1347"/>
      <c r="E3700" s="1347"/>
      <c r="F3700" s="1347"/>
      <c r="G3700" s="1347"/>
      <c r="H3700" s="1347"/>
      <c r="I3700" s="1347"/>
      <c r="J3700" s="1347"/>
      <c r="K3700" s="1347"/>
      <c r="L3700" s="1347"/>
      <c r="M3700" s="1347"/>
      <c r="N3700" s="1347"/>
      <c r="O3700" s="1347"/>
      <c r="P3700" s="1347"/>
      <c r="Q3700" s="1347"/>
      <c r="R3700" s="590"/>
      <c r="S3700" s="592"/>
      <c r="T3700" s="645"/>
      <c r="U3700" s="1059"/>
      <c r="V3700" s="592"/>
      <c r="W3700" s="592"/>
      <c r="X3700" s="592"/>
      <c r="Y3700" s="592"/>
      <c r="Z3700" s="592"/>
    </row>
    <row r="3701" spans="1:26" s="90" customFormat="1" hidden="1">
      <c r="A3701" s="792">
        <v>1</v>
      </c>
      <c r="B3701" s="788" t="s">
        <v>2959</v>
      </c>
      <c r="C3701" s="845" t="s">
        <v>221</v>
      </c>
      <c r="D3701" s="789">
        <v>4506</v>
      </c>
      <c r="E3701" s="789">
        <v>758</v>
      </c>
      <c r="F3701" s="789" t="s">
        <v>222</v>
      </c>
      <c r="G3701" s="789">
        <v>680</v>
      </c>
      <c r="H3701" s="744">
        <v>2</v>
      </c>
      <c r="I3701" s="744">
        <v>2</v>
      </c>
      <c r="J3701" s="744">
        <v>33</v>
      </c>
      <c r="K3701" s="792" t="s">
        <v>33</v>
      </c>
      <c r="L3701" s="740">
        <f>M3701+N3701+O3701+P3701+Q3701</f>
        <v>1324383</v>
      </c>
      <c r="M3701" s="741">
        <v>1274181</v>
      </c>
      <c r="N3701" s="586">
        <v>22935</v>
      </c>
      <c r="O3701" s="587"/>
      <c r="P3701" s="586"/>
      <c r="Q3701" s="586">
        <f>ROUND(M3701*2.14%,0)</f>
        <v>27267</v>
      </c>
      <c r="R3701" s="599">
        <f>M3701/G3701</f>
        <v>1873.7955882352942</v>
      </c>
      <c r="S3701" s="748"/>
      <c r="T3701" s="748"/>
      <c r="U3701" s="1059"/>
      <c r="V3701" s="748"/>
      <c r="W3701" s="748"/>
      <c r="X3701" s="748"/>
      <c r="Y3701" s="748"/>
      <c r="Z3701" s="748"/>
    </row>
    <row r="3702" spans="1:26" s="28" customFormat="1" hidden="1">
      <c r="A3702" s="1349" t="s">
        <v>129</v>
      </c>
      <c r="B3702" s="1349"/>
      <c r="C3702" s="593" t="s">
        <v>28</v>
      </c>
      <c r="D3702" s="646">
        <f>D3701</f>
        <v>4506</v>
      </c>
      <c r="E3702" s="646">
        <f>E3701</f>
        <v>758</v>
      </c>
      <c r="F3702" s="646" t="s">
        <v>28</v>
      </c>
      <c r="G3702" s="646">
        <f>G3701</f>
        <v>680</v>
      </c>
      <c r="H3702" s="582" t="s">
        <v>28</v>
      </c>
      <c r="I3702" s="582" t="s">
        <v>28</v>
      </c>
      <c r="J3702" s="582">
        <f>J3701</f>
        <v>33</v>
      </c>
      <c r="K3702" s="590" t="s">
        <v>28</v>
      </c>
      <c r="L3702" s="584">
        <f>L3701</f>
        <v>1324383</v>
      </c>
      <c r="M3702" s="585">
        <f>M3701</f>
        <v>1274181</v>
      </c>
      <c r="N3702" s="586">
        <f>N3701</f>
        <v>22935</v>
      </c>
      <c r="O3702" s="587"/>
      <c r="P3702" s="586"/>
      <c r="Q3702" s="586">
        <f>Q3701</f>
        <v>27267</v>
      </c>
      <c r="R3702" s="582" t="s">
        <v>28</v>
      </c>
      <c r="S3702" s="592"/>
      <c r="T3702" s="645"/>
      <c r="U3702" s="1059"/>
      <c r="V3702" s="592"/>
      <c r="W3702" s="592"/>
      <c r="X3702" s="592"/>
      <c r="Y3702" s="592"/>
      <c r="Z3702" s="592"/>
    </row>
    <row r="3703" spans="1:26" s="28" customFormat="1" hidden="1">
      <c r="A3703" s="1356" t="s">
        <v>130</v>
      </c>
      <c r="B3703" s="1356"/>
      <c r="C3703" s="1356"/>
      <c r="D3703" s="1356"/>
      <c r="E3703" s="1356"/>
      <c r="F3703" s="1356"/>
      <c r="G3703" s="1356"/>
      <c r="H3703" s="1356"/>
      <c r="I3703" s="1356"/>
      <c r="J3703" s="1356"/>
      <c r="K3703" s="1356"/>
      <c r="L3703" s="1356"/>
      <c r="M3703" s="1356"/>
      <c r="N3703" s="1356"/>
      <c r="O3703" s="1356"/>
      <c r="P3703" s="1356"/>
      <c r="Q3703" s="1356"/>
      <c r="R3703" s="1221"/>
      <c r="S3703" s="592"/>
      <c r="T3703" s="645"/>
      <c r="U3703" s="1059"/>
      <c r="V3703" s="592"/>
      <c r="W3703" s="592"/>
      <c r="X3703" s="592"/>
      <c r="Y3703" s="592"/>
      <c r="Z3703" s="592"/>
    </row>
    <row r="3704" spans="1:26" s="75" customFormat="1" hidden="1">
      <c r="A3704" s="1222">
        <v>1</v>
      </c>
      <c r="B3704" s="1223" t="s">
        <v>2960</v>
      </c>
      <c r="C3704" s="1224" t="s">
        <v>221</v>
      </c>
      <c r="D3704" s="849">
        <v>2573</v>
      </c>
      <c r="E3704" s="850">
        <v>517.6</v>
      </c>
      <c r="F3704" s="789" t="s">
        <v>222</v>
      </c>
      <c r="G3704" s="851">
        <v>660.3</v>
      </c>
      <c r="H3704" s="852">
        <v>2</v>
      </c>
      <c r="I3704" s="852">
        <v>1</v>
      </c>
      <c r="J3704" s="852">
        <v>18</v>
      </c>
      <c r="K3704" s="1225" t="s">
        <v>33</v>
      </c>
      <c r="L3704" s="740">
        <f>M3704+N3704+O3704+P3704+Q3704</f>
        <v>1532431</v>
      </c>
      <c r="M3704" s="741">
        <v>1478610</v>
      </c>
      <c r="N3704" s="586">
        <v>22179</v>
      </c>
      <c r="O3704" s="587"/>
      <c r="P3704" s="586"/>
      <c r="Q3704" s="586">
        <v>31642</v>
      </c>
      <c r="R3704" s="599">
        <f>M3704/G3704</f>
        <v>2239.3003180372561</v>
      </c>
      <c r="S3704" s="601"/>
      <c r="T3704" s="601"/>
      <c r="U3704" s="1059"/>
      <c r="V3704" s="601"/>
      <c r="W3704" s="601"/>
      <c r="X3704" s="601"/>
      <c r="Y3704" s="601"/>
      <c r="Z3704" s="601"/>
    </row>
    <row r="3705" spans="1:26" s="28" customFormat="1" hidden="1">
      <c r="A3705" s="1371" t="s">
        <v>131</v>
      </c>
      <c r="B3705" s="1371"/>
      <c r="C3705" s="700" t="s">
        <v>28</v>
      </c>
      <c r="D3705" s="779">
        <f>SUM(D3704)</f>
        <v>2573</v>
      </c>
      <c r="E3705" s="779">
        <f>SUM(E3704)</f>
        <v>517.6</v>
      </c>
      <c r="F3705" s="854" t="s">
        <v>28</v>
      </c>
      <c r="G3705" s="779">
        <f>SUM(G3704:G3704)</f>
        <v>660.3</v>
      </c>
      <c r="H3705" s="643" t="s">
        <v>28</v>
      </c>
      <c r="I3705" s="643" t="s">
        <v>28</v>
      </c>
      <c r="J3705" s="780">
        <f>SUM(J3704:J3704)</f>
        <v>18</v>
      </c>
      <c r="K3705" s="855" t="s">
        <v>28</v>
      </c>
      <c r="L3705" s="781">
        <f>SUM(L3704:L3704)</f>
        <v>1532431</v>
      </c>
      <c r="M3705" s="782">
        <f>SUM(M3704:M3704)</f>
        <v>1478610</v>
      </c>
      <c r="N3705" s="783">
        <f>SUM(N3704:N3704)</f>
        <v>22179</v>
      </c>
      <c r="O3705" s="784"/>
      <c r="P3705" s="783"/>
      <c r="Q3705" s="783">
        <f>SUM(Q3704:Q3704)</f>
        <v>31642</v>
      </c>
      <c r="R3705" s="582" t="s">
        <v>28</v>
      </c>
      <c r="S3705" s="592"/>
      <c r="T3705" s="645"/>
      <c r="U3705" s="1059"/>
      <c r="V3705" s="592"/>
      <c r="W3705" s="592"/>
      <c r="X3705" s="592"/>
      <c r="Y3705" s="592"/>
      <c r="Z3705" s="592"/>
    </row>
    <row r="3706" spans="1:26" s="28" customFormat="1" hidden="1">
      <c r="A3706" s="1347" t="s">
        <v>80</v>
      </c>
      <c r="B3706" s="1347"/>
      <c r="C3706" s="1347"/>
      <c r="D3706" s="1347"/>
      <c r="E3706" s="1347"/>
      <c r="F3706" s="1347"/>
      <c r="G3706" s="1347"/>
      <c r="H3706" s="1347"/>
      <c r="I3706" s="1347"/>
      <c r="J3706" s="1347"/>
      <c r="K3706" s="1347"/>
      <c r="L3706" s="1347"/>
      <c r="M3706" s="1347"/>
      <c r="N3706" s="1347"/>
      <c r="O3706" s="1347"/>
      <c r="P3706" s="1347"/>
      <c r="Q3706" s="1347"/>
      <c r="R3706" s="590"/>
      <c r="S3706" s="592"/>
      <c r="T3706" s="645"/>
      <c r="U3706" s="1059"/>
      <c r="V3706" s="592"/>
      <c r="W3706" s="592"/>
      <c r="X3706" s="592"/>
      <c r="Y3706" s="592"/>
      <c r="Z3706" s="592"/>
    </row>
    <row r="3707" spans="1:26" s="90" customFormat="1" hidden="1">
      <c r="A3707" s="590">
        <v>1</v>
      </c>
      <c r="B3707" s="592" t="s">
        <v>2961</v>
      </c>
      <c r="C3707" s="593" t="s">
        <v>217</v>
      </c>
      <c r="D3707" s="646">
        <v>2736</v>
      </c>
      <c r="E3707" s="646">
        <v>580</v>
      </c>
      <c r="F3707" s="646" t="s">
        <v>222</v>
      </c>
      <c r="G3707" s="646">
        <v>665</v>
      </c>
      <c r="H3707" s="582">
        <v>2</v>
      </c>
      <c r="I3707" s="582">
        <v>2</v>
      </c>
      <c r="J3707" s="582">
        <v>16</v>
      </c>
      <c r="K3707" s="590" t="s">
        <v>33</v>
      </c>
      <c r="L3707" s="584">
        <f>SUM(M3707:Q3707)</f>
        <v>1766697</v>
      </c>
      <c r="M3707" s="585">
        <v>1704648</v>
      </c>
      <c r="N3707" s="586">
        <v>25570</v>
      </c>
      <c r="O3707" s="587"/>
      <c r="P3707" s="586"/>
      <c r="Q3707" s="586">
        <f>ROUND(M3707*2.14%,0)</f>
        <v>36479</v>
      </c>
      <c r="R3707" s="744">
        <f>M3707/G3707</f>
        <v>2563.3804511278195</v>
      </c>
      <c r="S3707" s="748" t="s">
        <v>433</v>
      </c>
      <c r="T3707" s="748"/>
      <c r="U3707" s="1059"/>
      <c r="V3707" s="748"/>
      <c r="W3707" s="748"/>
      <c r="X3707" s="748"/>
      <c r="Y3707" s="748"/>
      <c r="Z3707" s="748"/>
    </row>
    <row r="3708" spans="1:26" s="90" customFormat="1" ht="37.5" hidden="1">
      <c r="A3708" s="590">
        <v>2</v>
      </c>
      <c r="B3708" s="592" t="s">
        <v>2962</v>
      </c>
      <c r="C3708" s="593" t="s">
        <v>221</v>
      </c>
      <c r="D3708" s="646">
        <v>5732</v>
      </c>
      <c r="E3708" s="646">
        <v>812</v>
      </c>
      <c r="F3708" s="646" t="s">
        <v>230</v>
      </c>
      <c r="G3708" s="646">
        <v>900</v>
      </c>
      <c r="H3708" s="582">
        <v>3</v>
      </c>
      <c r="I3708" s="582">
        <v>1</v>
      </c>
      <c r="J3708" s="582">
        <v>22</v>
      </c>
      <c r="K3708" s="590" t="s">
        <v>30</v>
      </c>
      <c r="L3708" s="584">
        <f>SUM(M3708:Q3708)</f>
        <v>495810</v>
      </c>
      <c r="M3708" s="585">
        <v>484000</v>
      </c>
      <c r="N3708" s="586"/>
      <c r="O3708" s="736">
        <f>ROUND(M3708*0.3%,0)</f>
        <v>1452</v>
      </c>
      <c r="P3708" s="586"/>
      <c r="Q3708" s="586">
        <f>ROUND(M3708*2.14%,0)</f>
        <v>10358</v>
      </c>
      <c r="R3708" s="744">
        <f>M3708/J3708</f>
        <v>22000</v>
      </c>
      <c r="S3708" s="748"/>
      <c r="T3708" s="748"/>
      <c r="U3708" s="1059"/>
      <c r="V3708" s="748"/>
      <c r="W3708" s="748"/>
      <c r="X3708" s="748"/>
      <c r="Y3708" s="748"/>
      <c r="Z3708" s="748"/>
    </row>
    <row r="3709" spans="1:26" s="28" customFormat="1" hidden="1">
      <c r="A3709" s="1349" t="s">
        <v>132</v>
      </c>
      <c r="B3709" s="1349"/>
      <c r="C3709" s="593" t="s">
        <v>28</v>
      </c>
      <c r="D3709" s="646">
        <f>SUM(D3707:D3708)</f>
        <v>8468</v>
      </c>
      <c r="E3709" s="646">
        <f>SUM(E3707:E3708)</f>
        <v>1392</v>
      </c>
      <c r="F3709" s="646" t="s">
        <v>28</v>
      </c>
      <c r="G3709" s="646">
        <f>SUM(G3707:G3708)</f>
        <v>1565</v>
      </c>
      <c r="H3709" s="582" t="s">
        <v>28</v>
      </c>
      <c r="I3709" s="582" t="s">
        <v>28</v>
      </c>
      <c r="J3709" s="582">
        <f>SUM(J3707:J3708)</f>
        <v>38</v>
      </c>
      <c r="K3709" s="590" t="s">
        <v>28</v>
      </c>
      <c r="L3709" s="584">
        <f>SUM(L3707:L3708)</f>
        <v>2262507</v>
      </c>
      <c r="M3709" s="585">
        <f>SUM(M3707:M3708)</f>
        <v>2188648</v>
      </c>
      <c r="N3709" s="586">
        <f>SUM(N3707:N3708)</f>
        <v>25570</v>
      </c>
      <c r="O3709" s="587">
        <f>SUM(O3707:O3708)</f>
        <v>1452</v>
      </c>
      <c r="P3709" s="586"/>
      <c r="Q3709" s="586">
        <f>SUM(Q3707:Q3708)</f>
        <v>46837</v>
      </c>
      <c r="R3709" s="582" t="s">
        <v>28</v>
      </c>
      <c r="S3709" s="592"/>
      <c r="T3709" s="645"/>
      <c r="U3709" s="1059"/>
      <c r="V3709" s="592"/>
      <c r="W3709" s="592"/>
      <c r="X3709" s="592"/>
      <c r="Y3709" s="592"/>
      <c r="Z3709" s="592"/>
    </row>
    <row r="3710" spans="1:26" s="28" customFormat="1" hidden="1">
      <c r="A3710" s="1347" t="s">
        <v>214</v>
      </c>
      <c r="B3710" s="1347"/>
      <c r="C3710" s="1347"/>
      <c r="D3710" s="1347"/>
      <c r="E3710" s="1347"/>
      <c r="F3710" s="1347"/>
      <c r="G3710" s="1347"/>
      <c r="H3710" s="1347"/>
      <c r="I3710" s="1347"/>
      <c r="J3710" s="1347"/>
      <c r="K3710" s="1347"/>
      <c r="L3710" s="1347"/>
      <c r="M3710" s="1347"/>
      <c r="N3710" s="1347"/>
      <c r="O3710" s="1347"/>
      <c r="P3710" s="1347"/>
      <c r="Q3710" s="1347"/>
      <c r="R3710" s="590"/>
      <c r="S3710" s="592"/>
      <c r="T3710" s="645"/>
      <c r="U3710" s="1059"/>
      <c r="V3710" s="592"/>
      <c r="W3710" s="592"/>
      <c r="X3710" s="592"/>
      <c r="Y3710" s="592"/>
      <c r="Z3710" s="592"/>
    </row>
    <row r="3711" spans="1:26" s="28" customFormat="1" hidden="1">
      <c r="A3711" s="590">
        <v>1</v>
      </c>
      <c r="B3711" s="592" t="s">
        <v>2963</v>
      </c>
      <c r="C3711" s="593" t="s">
        <v>221</v>
      </c>
      <c r="D3711" s="646">
        <v>6899</v>
      </c>
      <c r="E3711" s="646">
        <v>910</v>
      </c>
      <c r="F3711" s="619" t="s">
        <v>222</v>
      </c>
      <c r="G3711" s="646">
        <v>980</v>
      </c>
      <c r="H3711" s="582">
        <v>3</v>
      </c>
      <c r="I3711" s="582">
        <v>3</v>
      </c>
      <c r="J3711" s="582">
        <v>59</v>
      </c>
      <c r="K3711" s="590" t="s">
        <v>33</v>
      </c>
      <c r="L3711" s="595">
        <f>M3711+N3711+Q3711</f>
        <v>2830162</v>
      </c>
      <c r="M3711" s="596">
        <f>G3711*2800</f>
        <v>2744000</v>
      </c>
      <c r="N3711" s="597">
        <f>M3711*0.01</f>
        <v>27440</v>
      </c>
      <c r="O3711" s="598"/>
      <c r="P3711" s="597"/>
      <c r="Q3711" s="586">
        <f>ROUND(M3711*2.14%,0)</f>
        <v>58722</v>
      </c>
      <c r="R3711" s="599">
        <f>M3711/G3711</f>
        <v>2800</v>
      </c>
      <c r="S3711" s="645"/>
      <c r="T3711" s="645"/>
      <c r="U3711" s="1059"/>
      <c r="V3711" s="592"/>
      <c r="W3711" s="592"/>
      <c r="X3711" s="592"/>
      <c r="Y3711" s="592"/>
      <c r="Z3711" s="592"/>
    </row>
    <row r="3712" spans="1:26" s="28" customFormat="1" hidden="1">
      <c r="A3712" s="1349" t="s">
        <v>215</v>
      </c>
      <c r="B3712" s="1349"/>
      <c r="C3712" s="593" t="s">
        <v>28</v>
      </c>
      <c r="D3712" s="646">
        <f>SUM(D3711:D3711)</f>
        <v>6899</v>
      </c>
      <c r="E3712" s="646">
        <f>SUM(E3711:E3711)</f>
        <v>910</v>
      </c>
      <c r="F3712" s="646" t="s">
        <v>28</v>
      </c>
      <c r="G3712" s="646">
        <f>SUM(G3711:G3711)</f>
        <v>980</v>
      </c>
      <c r="H3712" s="582" t="s">
        <v>28</v>
      </c>
      <c r="I3712" s="582" t="s">
        <v>28</v>
      </c>
      <c r="J3712" s="582">
        <f>SUM(J3711:J3711)</f>
        <v>59</v>
      </c>
      <c r="K3712" s="590" t="s">
        <v>28</v>
      </c>
      <c r="L3712" s="584">
        <f>SUM(L3711:L3711)</f>
        <v>2830162</v>
      </c>
      <c r="M3712" s="585">
        <f>SUM(M3711:M3711)</f>
        <v>2744000</v>
      </c>
      <c r="N3712" s="586">
        <f>SUM(N3711:N3711)</f>
        <v>27440</v>
      </c>
      <c r="O3712" s="587"/>
      <c r="P3712" s="586"/>
      <c r="Q3712" s="586">
        <f>SUM(Q3711:Q3711)</f>
        <v>58722</v>
      </c>
      <c r="R3712" s="582" t="s">
        <v>28</v>
      </c>
      <c r="S3712" s="592"/>
      <c r="T3712" s="645"/>
      <c r="U3712" s="1059"/>
      <c r="V3712" s="592"/>
      <c r="W3712" s="592"/>
      <c r="X3712" s="592"/>
      <c r="Y3712" s="592"/>
      <c r="Z3712" s="592"/>
    </row>
    <row r="3713" spans="1:26 16383:16383" s="28" customFormat="1" hidden="1">
      <c r="A3713" s="1347" t="s">
        <v>81</v>
      </c>
      <c r="B3713" s="1347"/>
      <c r="C3713" s="1347"/>
      <c r="D3713" s="1347"/>
      <c r="E3713" s="1347"/>
      <c r="F3713" s="1347"/>
      <c r="G3713" s="1347"/>
      <c r="H3713" s="1347"/>
      <c r="I3713" s="1347"/>
      <c r="J3713" s="1347"/>
      <c r="K3713" s="1347"/>
      <c r="L3713" s="1347"/>
      <c r="M3713" s="1347"/>
      <c r="N3713" s="1347"/>
      <c r="O3713" s="1347"/>
      <c r="P3713" s="1347"/>
      <c r="Q3713" s="1347"/>
      <c r="R3713" s="590"/>
      <c r="S3713" s="592"/>
      <c r="T3713" s="645"/>
      <c r="U3713" s="1059"/>
      <c r="V3713" s="592"/>
      <c r="W3713" s="592"/>
      <c r="X3713" s="592"/>
      <c r="Y3713" s="592"/>
      <c r="Z3713" s="592"/>
    </row>
    <row r="3714" spans="1:26 16383:16383" s="28" customFormat="1" ht="56.25" hidden="1">
      <c r="A3714" s="590">
        <v>1</v>
      </c>
      <c r="B3714" s="592" t="s">
        <v>2964</v>
      </c>
      <c r="C3714" s="593" t="s">
        <v>221</v>
      </c>
      <c r="D3714" s="646">
        <v>2907</v>
      </c>
      <c r="E3714" s="646">
        <v>533</v>
      </c>
      <c r="F3714" s="646" t="s">
        <v>228</v>
      </c>
      <c r="G3714" s="646">
        <v>610</v>
      </c>
      <c r="H3714" s="582">
        <v>2</v>
      </c>
      <c r="I3714" s="582">
        <v>2</v>
      </c>
      <c r="J3714" s="582">
        <v>16</v>
      </c>
      <c r="K3714" s="590" t="s">
        <v>275</v>
      </c>
      <c r="L3714" s="746">
        <f>M3714+N3714+O3714+P3714+Q3714</f>
        <v>995914</v>
      </c>
      <c r="M3714" s="745">
        <v>972192</v>
      </c>
      <c r="N3714" s="747"/>
      <c r="O3714" s="736">
        <v>2917</v>
      </c>
      <c r="P3714" s="747"/>
      <c r="Q3714" s="586">
        <v>20805</v>
      </c>
      <c r="R3714" s="864">
        <f>M3714/E3714</f>
        <v>1824</v>
      </c>
      <c r="S3714" s="592"/>
      <c r="T3714" s="645"/>
      <c r="U3714" s="1059"/>
      <c r="V3714" s="592"/>
      <c r="W3714" s="592"/>
      <c r="X3714" s="592"/>
      <c r="Y3714" s="592"/>
      <c r="Z3714" s="592"/>
    </row>
    <row r="3715" spans="1:26 16383:16383" s="28" customFormat="1" hidden="1">
      <c r="A3715" s="1349" t="s">
        <v>133</v>
      </c>
      <c r="B3715" s="1349"/>
      <c r="C3715" s="593" t="s">
        <v>28</v>
      </c>
      <c r="D3715" s="646">
        <f>SUM(D3714)</f>
        <v>2907</v>
      </c>
      <c r="E3715" s="646">
        <f>SUM(E3714)</f>
        <v>533</v>
      </c>
      <c r="F3715" s="646" t="s">
        <v>28</v>
      </c>
      <c r="G3715" s="646">
        <f>SUM(G3714)</f>
        <v>610</v>
      </c>
      <c r="H3715" s="582" t="s">
        <v>28</v>
      </c>
      <c r="I3715" s="582" t="s">
        <v>28</v>
      </c>
      <c r="J3715" s="582">
        <f>SUM(J3714)</f>
        <v>16</v>
      </c>
      <c r="K3715" s="590" t="s">
        <v>28</v>
      </c>
      <c r="L3715" s="584">
        <f>SUM(L3714)</f>
        <v>995914</v>
      </c>
      <c r="M3715" s="585">
        <f>SUM(M3714)</f>
        <v>972192</v>
      </c>
      <c r="N3715" s="586"/>
      <c r="O3715" s="587">
        <f>SUM(O3714)</f>
        <v>2917</v>
      </c>
      <c r="P3715" s="586"/>
      <c r="Q3715" s="586">
        <f>SUM(Q3714)</f>
        <v>20805</v>
      </c>
      <c r="R3715" s="582" t="s">
        <v>28</v>
      </c>
      <c r="S3715" s="592"/>
      <c r="T3715" s="645"/>
      <c r="U3715" s="1059"/>
      <c r="V3715" s="592"/>
      <c r="W3715" s="592"/>
      <c r="X3715" s="592"/>
      <c r="Y3715" s="592"/>
      <c r="Z3715" s="592"/>
    </row>
    <row r="3716" spans="1:26 16383:16383" s="28" customFormat="1" hidden="1">
      <c r="A3716" s="1347" t="s">
        <v>40</v>
      </c>
      <c r="B3716" s="1347"/>
      <c r="C3716" s="1347"/>
      <c r="D3716" s="1347"/>
      <c r="E3716" s="1347"/>
      <c r="F3716" s="1347"/>
      <c r="G3716" s="1347"/>
      <c r="H3716" s="1347"/>
      <c r="I3716" s="1347"/>
      <c r="J3716" s="1347"/>
      <c r="K3716" s="1347"/>
      <c r="L3716" s="1347"/>
      <c r="M3716" s="1347"/>
      <c r="N3716" s="1347"/>
      <c r="O3716" s="1347"/>
      <c r="P3716" s="1347"/>
      <c r="Q3716" s="1347"/>
      <c r="R3716" s="590"/>
      <c r="S3716" s="592"/>
      <c r="T3716" s="645"/>
      <c r="U3716" s="1059"/>
      <c r="V3716" s="592"/>
      <c r="W3716" s="592"/>
      <c r="X3716" s="592"/>
      <c r="Y3716" s="592"/>
      <c r="Z3716" s="592"/>
    </row>
    <row r="3717" spans="1:26 16383:16383" s="102" customFormat="1" ht="37.5" hidden="1">
      <c r="A3717" s="679">
        <v>1</v>
      </c>
      <c r="B3717" s="592" t="s">
        <v>2965</v>
      </c>
      <c r="C3717" s="593" t="s">
        <v>221</v>
      </c>
      <c r="D3717" s="619">
        <v>2464.5</v>
      </c>
      <c r="E3717" s="646">
        <v>13251</v>
      </c>
      <c r="F3717" s="768" t="s">
        <v>222</v>
      </c>
      <c r="G3717" s="619">
        <v>1229</v>
      </c>
      <c r="H3717" s="599">
        <v>5</v>
      </c>
      <c r="I3717" s="599">
        <v>4</v>
      </c>
      <c r="J3717" s="599">
        <v>70</v>
      </c>
      <c r="K3717" s="590" t="s">
        <v>262</v>
      </c>
      <c r="L3717" s="595">
        <f t="shared" ref="L3717:L3742" si="538">M3717+N3717+O3717+P3717+Q3717</f>
        <v>2788699</v>
      </c>
      <c r="M3717" s="596">
        <v>2703800</v>
      </c>
      <c r="N3717" s="597">
        <v>27038</v>
      </c>
      <c r="O3717" s="598"/>
      <c r="P3717" s="597"/>
      <c r="Q3717" s="586">
        <v>57861</v>
      </c>
      <c r="R3717" s="599">
        <f>M3717/G3717</f>
        <v>2200</v>
      </c>
      <c r="S3717" s="856"/>
      <c r="T3717" s="856"/>
      <c r="U3717" s="1059"/>
      <c r="V3717" s="856"/>
      <c r="W3717" s="856"/>
      <c r="X3717" s="856"/>
      <c r="Y3717" s="856"/>
      <c r="Z3717" s="856"/>
      <c r="XFC3717" s="102">
        <v>2076321.2</v>
      </c>
    </row>
    <row r="3718" spans="1:26 16383:16383" s="102" customFormat="1" ht="37.5" hidden="1">
      <c r="A3718" s="679">
        <f t="shared" ref="A3718:A3753" si="539">A3717+1</f>
        <v>2</v>
      </c>
      <c r="B3718" s="592" t="s">
        <v>2966</v>
      </c>
      <c r="C3718" s="593" t="s">
        <v>221</v>
      </c>
      <c r="D3718" s="619">
        <v>2484.14</v>
      </c>
      <c r="E3718" s="646">
        <v>13630</v>
      </c>
      <c r="F3718" s="768" t="s">
        <v>222</v>
      </c>
      <c r="G3718" s="619">
        <v>1269</v>
      </c>
      <c r="H3718" s="599">
        <v>5</v>
      </c>
      <c r="I3718" s="599">
        <v>4</v>
      </c>
      <c r="J3718" s="599">
        <v>70</v>
      </c>
      <c r="K3718" s="590" t="s">
        <v>262</v>
      </c>
      <c r="L3718" s="595">
        <f t="shared" si="538"/>
        <v>3018121</v>
      </c>
      <c r="M3718" s="596">
        <v>2926238</v>
      </c>
      <c r="N3718" s="597">
        <v>29262</v>
      </c>
      <c r="O3718" s="598"/>
      <c r="P3718" s="597"/>
      <c r="Q3718" s="586">
        <v>62621</v>
      </c>
      <c r="R3718" s="599">
        <f>M3718/G3718</f>
        <v>2305.9401103230889</v>
      </c>
      <c r="S3718" s="856"/>
      <c r="T3718" s="856"/>
      <c r="U3718" s="1059"/>
      <c r="V3718" s="856"/>
      <c r="W3718" s="856"/>
      <c r="X3718" s="856"/>
      <c r="Y3718" s="856"/>
      <c r="Z3718" s="856"/>
      <c r="XFC3718" s="102">
        <v>2374084.2799999998</v>
      </c>
    </row>
    <row r="3719" spans="1:26 16383:16383" s="90" customFormat="1" ht="37.5" hidden="1">
      <c r="A3719" s="679">
        <f t="shared" si="539"/>
        <v>3</v>
      </c>
      <c r="B3719" s="592" t="s">
        <v>2967</v>
      </c>
      <c r="C3719" s="593" t="s">
        <v>221</v>
      </c>
      <c r="D3719" s="619">
        <v>535.79999999999995</v>
      </c>
      <c r="E3719" s="619">
        <v>2470</v>
      </c>
      <c r="F3719" s="619" t="s">
        <v>222</v>
      </c>
      <c r="G3719" s="619">
        <v>764</v>
      </c>
      <c r="H3719" s="599">
        <v>2</v>
      </c>
      <c r="I3719" s="599">
        <v>2</v>
      </c>
      <c r="J3719" s="599">
        <v>16</v>
      </c>
      <c r="K3719" s="590" t="s">
        <v>262</v>
      </c>
      <c r="L3719" s="584">
        <f t="shared" si="538"/>
        <v>1741981</v>
      </c>
      <c r="M3719" s="596">
        <v>1680800</v>
      </c>
      <c r="N3719" s="586">
        <v>25212</v>
      </c>
      <c r="O3719" s="587"/>
      <c r="P3719" s="586"/>
      <c r="Q3719" s="586">
        <v>35969</v>
      </c>
      <c r="R3719" s="582">
        <f>M3719/G3719</f>
        <v>2200</v>
      </c>
      <c r="S3719" s="748"/>
      <c r="T3719" s="738">
        <f>L3719-M3719-N3719-O3719-Q3719</f>
        <v>0</v>
      </c>
      <c r="U3719" s="737"/>
      <c r="V3719" s="748"/>
      <c r="W3719" s="748"/>
      <c r="X3719" s="748"/>
      <c r="Y3719" s="748"/>
      <c r="Z3719" s="748"/>
    </row>
    <row r="3720" spans="1:26 16383:16383" s="90" customFormat="1" hidden="1">
      <c r="A3720" s="679">
        <f t="shared" si="539"/>
        <v>4</v>
      </c>
      <c r="B3720" s="592" t="s">
        <v>2968</v>
      </c>
      <c r="C3720" s="593" t="s">
        <v>221</v>
      </c>
      <c r="D3720" s="619">
        <v>1075.25</v>
      </c>
      <c r="E3720" s="619">
        <v>4959</v>
      </c>
      <c r="F3720" s="619" t="s">
        <v>222</v>
      </c>
      <c r="G3720" s="619">
        <v>587.29999999999995</v>
      </c>
      <c r="H3720" s="599">
        <v>4</v>
      </c>
      <c r="I3720" s="599">
        <v>2</v>
      </c>
      <c r="J3720" s="599">
        <v>32</v>
      </c>
      <c r="K3720" s="590" t="s">
        <v>238</v>
      </c>
      <c r="L3720" s="584">
        <f t="shared" si="538"/>
        <v>1009344</v>
      </c>
      <c r="M3720" s="741">
        <v>960000</v>
      </c>
      <c r="N3720" s="742">
        <v>28800</v>
      </c>
      <c r="O3720" s="743"/>
      <c r="P3720" s="742"/>
      <c r="Q3720" s="586">
        <v>20544</v>
      </c>
      <c r="R3720" s="744">
        <f>M3720/J3720</f>
        <v>30000</v>
      </c>
      <c r="S3720" s="601"/>
      <c r="T3720" s="738">
        <f>L3720-M3720-N3720-O3720-Q3720</f>
        <v>0</v>
      </c>
      <c r="U3720" s="737"/>
      <c r="V3720" s="748"/>
      <c r="W3720" s="748"/>
      <c r="X3720" s="748"/>
      <c r="Y3720" s="748"/>
      <c r="Z3720" s="748"/>
    </row>
    <row r="3721" spans="1:26 16383:16383" s="102" customFormat="1" ht="37.5" hidden="1">
      <c r="A3721" s="679">
        <f t="shared" si="539"/>
        <v>5</v>
      </c>
      <c r="B3721" s="592" t="s">
        <v>2969</v>
      </c>
      <c r="C3721" s="593" t="s">
        <v>221</v>
      </c>
      <c r="D3721" s="619">
        <v>3439.35</v>
      </c>
      <c r="E3721" s="619">
        <v>29104</v>
      </c>
      <c r="F3721" s="768" t="s">
        <v>233</v>
      </c>
      <c r="G3721" s="619">
        <v>1535</v>
      </c>
      <c r="H3721" s="599">
        <v>9</v>
      </c>
      <c r="I3721" s="599">
        <v>2</v>
      </c>
      <c r="J3721" s="599">
        <v>117</v>
      </c>
      <c r="K3721" s="590" t="s">
        <v>237</v>
      </c>
      <c r="L3721" s="595">
        <f t="shared" si="538"/>
        <v>2996370</v>
      </c>
      <c r="M3721" s="596">
        <v>2925000</v>
      </c>
      <c r="N3721" s="597"/>
      <c r="O3721" s="736">
        <v>8775</v>
      </c>
      <c r="P3721" s="597"/>
      <c r="Q3721" s="586">
        <v>62595</v>
      </c>
      <c r="R3721" s="599">
        <f>M3721/J3721</f>
        <v>25000</v>
      </c>
      <c r="S3721" s="856"/>
      <c r="T3721" s="856"/>
      <c r="U3721" s="1059"/>
      <c r="V3721" s="856"/>
      <c r="W3721" s="856"/>
      <c r="X3721" s="856"/>
      <c r="Y3721" s="856"/>
      <c r="Z3721" s="856"/>
      <c r="XFC3721" s="102">
        <v>2890124.88</v>
      </c>
    </row>
    <row r="3722" spans="1:26 16383:16383" s="102" customFormat="1" hidden="1">
      <c r="A3722" s="679">
        <f t="shared" si="539"/>
        <v>6</v>
      </c>
      <c r="B3722" s="592" t="s">
        <v>2970</v>
      </c>
      <c r="C3722" s="700" t="s">
        <v>221</v>
      </c>
      <c r="D3722" s="619">
        <v>6625</v>
      </c>
      <c r="E3722" s="619">
        <v>1185.2</v>
      </c>
      <c r="F3722" s="768" t="s">
        <v>222</v>
      </c>
      <c r="G3722" s="619">
        <v>584</v>
      </c>
      <c r="H3722" s="599">
        <v>4</v>
      </c>
      <c r="I3722" s="599">
        <v>2</v>
      </c>
      <c r="J3722" s="599">
        <v>32</v>
      </c>
      <c r="K3722" s="590" t="s">
        <v>238</v>
      </c>
      <c r="L3722" s="595">
        <f t="shared" si="538"/>
        <v>1009344</v>
      </c>
      <c r="M3722" s="585">
        <v>960000</v>
      </c>
      <c r="N3722" s="586">
        <v>28800</v>
      </c>
      <c r="O3722" s="587"/>
      <c r="P3722" s="586"/>
      <c r="Q3722" s="586">
        <v>20544</v>
      </c>
      <c r="R3722" s="582">
        <f>M3722/J3722</f>
        <v>30000</v>
      </c>
      <c r="S3722" s="856"/>
      <c r="T3722" s="856"/>
      <c r="U3722" s="1059"/>
      <c r="V3722" s="856"/>
      <c r="W3722" s="856"/>
      <c r="X3722" s="856"/>
      <c r="Y3722" s="856"/>
      <c r="Z3722" s="856"/>
      <c r="XFC3722" s="102">
        <v>2374086.2799999998</v>
      </c>
    </row>
    <row r="3723" spans="1:26 16383:16383" s="102" customFormat="1" ht="37.5" hidden="1">
      <c r="A3723" s="679">
        <f t="shared" si="539"/>
        <v>7</v>
      </c>
      <c r="B3723" s="592" t="s">
        <v>2971</v>
      </c>
      <c r="C3723" s="593" t="s">
        <v>221</v>
      </c>
      <c r="D3723" s="619">
        <v>3335.3</v>
      </c>
      <c r="E3723" s="619">
        <v>17795</v>
      </c>
      <c r="F3723" s="768" t="s">
        <v>222</v>
      </c>
      <c r="G3723" s="619">
        <v>1704.3</v>
      </c>
      <c r="H3723" s="599">
        <v>5</v>
      </c>
      <c r="I3723" s="599">
        <v>6</v>
      </c>
      <c r="J3723" s="599">
        <v>100</v>
      </c>
      <c r="K3723" s="590" t="s">
        <v>262</v>
      </c>
      <c r="L3723" s="595">
        <f t="shared" si="538"/>
        <v>3867193</v>
      </c>
      <c r="M3723" s="596">
        <v>3749460</v>
      </c>
      <c r="N3723" s="597">
        <v>37495</v>
      </c>
      <c r="O3723" s="598"/>
      <c r="P3723" s="597"/>
      <c r="Q3723" s="586">
        <v>80238</v>
      </c>
      <c r="R3723" s="599">
        <f>M3723/G3723</f>
        <v>2200</v>
      </c>
      <c r="S3723" s="734">
        <v>2014</v>
      </c>
      <c r="T3723" s="856"/>
      <c r="U3723" s="1059"/>
      <c r="V3723" s="856"/>
      <c r="W3723" s="856"/>
      <c r="X3723" s="856"/>
      <c r="Y3723" s="856"/>
      <c r="Z3723" s="856"/>
      <c r="XFC3723" s="102">
        <v>2374087.2799999998</v>
      </c>
    </row>
    <row r="3724" spans="1:26 16383:16383" s="90" customFormat="1" ht="37.5" hidden="1">
      <c r="A3724" s="679">
        <f t="shared" si="539"/>
        <v>8</v>
      </c>
      <c r="B3724" s="592" t="s">
        <v>2972</v>
      </c>
      <c r="C3724" s="593" t="s">
        <v>221</v>
      </c>
      <c r="D3724" s="619">
        <v>2631.9</v>
      </c>
      <c r="E3724" s="619">
        <v>15550</v>
      </c>
      <c r="F3724" s="619" t="s">
        <v>222</v>
      </c>
      <c r="G3724" s="619">
        <v>1255.0999999999999</v>
      </c>
      <c r="H3724" s="599">
        <v>5</v>
      </c>
      <c r="I3724" s="599">
        <v>4</v>
      </c>
      <c r="J3724" s="599">
        <v>70</v>
      </c>
      <c r="K3724" s="590" t="s">
        <v>262</v>
      </c>
      <c r="L3724" s="584">
        <f t="shared" si="538"/>
        <v>2847922</v>
      </c>
      <c r="M3724" s="596">
        <v>2761220</v>
      </c>
      <c r="N3724" s="586">
        <v>27612</v>
      </c>
      <c r="O3724" s="587"/>
      <c r="P3724" s="586"/>
      <c r="Q3724" s="586">
        <v>59090</v>
      </c>
      <c r="R3724" s="582">
        <f>M3724/G3724</f>
        <v>2200</v>
      </c>
      <c r="S3724" s="748"/>
      <c r="T3724" s="738">
        <f>L3724-M3724-N3724-O3724-Q3724</f>
        <v>0</v>
      </c>
      <c r="U3724" s="737"/>
      <c r="V3724" s="748"/>
      <c r="W3724" s="748"/>
      <c r="X3724" s="748"/>
      <c r="Y3724" s="748"/>
      <c r="Z3724" s="748"/>
    </row>
    <row r="3725" spans="1:26 16383:16383" s="102" customFormat="1" ht="37.5" hidden="1">
      <c r="A3725" s="679">
        <f t="shared" si="539"/>
        <v>9</v>
      </c>
      <c r="B3725" s="592" t="s">
        <v>2973</v>
      </c>
      <c r="C3725" s="593" t="s">
        <v>221</v>
      </c>
      <c r="D3725" s="619">
        <v>2284.8000000000002</v>
      </c>
      <c r="E3725" s="619">
        <v>12717</v>
      </c>
      <c r="F3725" s="768" t="s">
        <v>222</v>
      </c>
      <c r="G3725" s="619">
        <v>1196.3</v>
      </c>
      <c r="H3725" s="599">
        <v>5</v>
      </c>
      <c r="I3725" s="599">
        <v>4</v>
      </c>
      <c r="J3725" s="599">
        <v>80</v>
      </c>
      <c r="K3725" s="590" t="s">
        <v>262</v>
      </c>
      <c r="L3725" s="595">
        <f t="shared" si="538"/>
        <v>3084660</v>
      </c>
      <c r="M3725" s="596">
        <v>2990750</v>
      </c>
      <c r="N3725" s="597">
        <v>29908</v>
      </c>
      <c r="O3725" s="598"/>
      <c r="P3725" s="597"/>
      <c r="Q3725" s="586">
        <v>64002</v>
      </c>
      <c r="R3725" s="599">
        <f>M3725/G3725</f>
        <v>2500</v>
      </c>
      <c r="S3725" s="856"/>
      <c r="T3725" s="856"/>
      <c r="U3725" s="1059"/>
      <c r="V3725" s="856"/>
      <c r="W3725" s="856"/>
      <c r="X3725" s="856"/>
      <c r="Y3725" s="856"/>
      <c r="Z3725" s="856"/>
      <c r="XFC3725" s="102">
        <v>2374088.2799999998</v>
      </c>
    </row>
    <row r="3726" spans="1:26 16383:16383" s="102" customFormat="1" ht="37.5" hidden="1">
      <c r="A3726" s="679">
        <f t="shared" si="539"/>
        <v>10</v>
      </c>
      <c r="B3726" s="592" t="s">
        <v>2974</v>
      </c>
      <c r="C3726" s="593" t="s">
        <v>221</v>
      </c>
      <c r="D3726" s="619">
        <v>2384.4</v>
      </c>
      <c r="E3726" s="619">
        <v>13219</v>
      </c>
      <c r="F3726" s="768" t="s">
        <v>222</v>
      </c>
      <c r="G3726" s="619">
        <v>1203.9000000000001</v>
      </c>
      <c r="H3726" s="599">
        <v>5</v>
      </c>
      <c r="I3726" s="599">
        <v>4</v>
      </c>
      <c r="J3726" s="599">
        <v>80</v>
      </c>
      <c r="K3726" s="590" t="s">
        <v>262</v>
      </c>
      <c r="L3726" s="595">
        <f t="shared" si="538"/>
        <v>3104257</v>
      </c>
      <c r="M3726" s="596">
        <v>3009750</v>
      </c>
      <c r="N3726" s="597">
        <v>30098</v>
      </c>
      <c r="O3726" s="598"/>
      <c r="P3726" s="597"/>
      <c r="Q3726" s="586">
        <v>64409</v>
      </c>
      <c r="R3726" s="599">
        <f>M3726/G3726</f>
        <v>2500</v>
      </c>
      <c r="S3726" s="856"/>
      <c r="T3726" s="856"/>
      <c r="U3726" s="1059"/>
      <c r="V3726" s="856"/>
      <c r="W3726" s="856"/>
      <c r="X3726" s="856"/>
      <c r="Y3726" s="856"/>
      <c r="Z3726" s="856"/>
      <c r="XFC3726" s="102">
        <v>2374089.2799999998</v>
      </c>
    </row>
    <row r="3727" spans="1:26 16383:16383" s="102" customFormat="1" ht="37.5" hidden="1">
      <c r="A3727" s="679">
        <f t="shared" si="539"/>
        <v>11</v>
      </c>
      <c r="B3727" s="592" t="s">
        <v>2975</v>
      </c>
      <c r="C3727" s="593" t="s">
        <v>221</v>
      </c>
      <c r="D3727" s="619">
        <v>2438.1</v>
      </c>
      <c r="E3727" s="646">
        <v>13219</v>
      </c>
      <c r="F3727" s="768" t="s">
        <v>222</v>
      </c>
      <c r="G3727" s="619">
        <v>1300</v>
      </c>
      <c r="H3727" s="599">
        <v>5</v>
      </c>
      <c r="I3727" s="599">
        <v>4</v>
      </c>
      <c r="J3727" s="599">
        <v>70</v>
      </c>
      <c r="K3727" s="590" t="s">
        <v>262</v>
      </c>
      <c r="L3727" s="595">
        <f t="shared" si="538"/>
        <v>3352050</v>
      </c>
      <c r="M3727" s="596">
        <v>3250000</v>
      </c>
      <c r="N3727" s="597">
        <v>32500</v>
      </c>
      <c r="O3727" s="598"/>
      <c r="P3727" s="597"/>
      <c r="Q3727" s="586">
        <v>69550</v>
      </c>
      <c r="R3727" s="599">
        <f>M3727/G3727</f>
        <v>2500</v>
      </c>
      <c r="S3727" s="856"/>
      <c r="T3727" s="856"/>
      <c r="U3727" s="1059"/>
      <c r="V3727" s="856"/>
      <c r="W3727" s="856"/>
      <c r="X3727" s="856"/>
      <c r="Y3727" s="856"/>
      <c r="Z3727" s="856"/>
      <c r="XFC3727" s="102">
        <v>2374090.2799999998</v>
      </c>
    </row>
    <row r="3728" spans="1:26 16383:16383" s="102" customFormat="1" hidden="1">
      <c r="A3728" s="679">
        <f t="shared" si="539"/>
        <v>12</v>
      </c>
      <c r="B3728" s="592" t="s">
        <v>2976</v>
      </c>
      <c r="C3728" s="593" t="s">
        <v>217</v>
      </c>
      <c r="D3728" s="619">
        <v>18497</v>
      </c>
      <c r="E3728" s="646">
        <v>3317.8</v>
      </c>
      <c r="F3728" s="768" t="s">
        <v>233</v>
      </c>
      <c r="G3728" s="619">
        <v>1284.5</v>
      </c>
      <c r="H3728" s="599">
        <v>5</v>
      </c>
      <c r="I3728" s="599">
        <v>5</v>
      </c>
      <c r="J3728" s="599">
        <v>98</v>
      </c>
      <c r="K3728" s="590" t="s">
        <v>226</v>
      </c>
      <c r="L3728" s="595">
        <f t="shared" si="538"/>
        <v>11790997</v>
      </c>
      <c r="M3728" s="745">
        <v>11498924</v>
      </c>
      <c r="N3728" s="747">
        <v>45996</v>
      </c>
      <c r="O3728" s="743"/>
      <c r="P3728" s="747"/>
      <c r="Q3728" s="586">
        <v>246077</v>
      </c>
      <c r="R3728" s="599">
        <f>M3728/E3728</f>
        <v>3465.8279582856107</v>
      </c>
      <c r="S3728" s="856"/>
      <c r="T3728" s="856"/>
      <c r="U3728" s="1059"/>
      <c r="V3728" s="856"/>
      <c r="W3728" s="856"/>
      <c r="X3728" s="856"/>
      <c r="Y3728" s="856"/>
      <c r="Z3728" s="856"/>
      <c r="XFC3728" s="102">
        <v>2414019.52</v>
      </c>
    </row>
    <row r="3729" spans="1:26 16383:16383" s="102" customFormat="1" ht="37.5" hidden="1">
      <c r="A3729" s="679">
        <f t="shared" si="539"/>
        <v>13</v>
      </c>
      <c r="B3729" s="592" t="s">
        <v>2977</v>
      </c>
      <c r="C3729" s="593" t="s">
        <v>221</v>
      </c>
      <c r="D3729" s="619">
        <v>3027.6</v>
      </c>
      <c r="E3729" s="619">
        <v>21249</v>
      </c>
      <c r="F3729" s="768" t="s">
        <v>222</v>
      </c>
      <c r="G3729" s="619">
        <v>1682</v>
      </c>
      <c r="H3729" s="599">
        <v>5</v>
      </c>
      <c r="I3729" s="599">
        <v>6</v>
      </c>
      <c r="J3729" s="599">
        <v>100</v>
      </c>
      <c r="K3729" s="590" t="s">
        <v>262</v>
      </c>
      <c r="L3729" s="595">
        <f t="shared" si="538"/>
        <v>4337037</v>
      </c>
      <c r="M3729" s="596">
        <v>4205000</v>
      </c>
      <c r="N3729" s="597">
        <v>42050</v>
      </c>
      <c r="O3729" s="598"/>
      <c r="P3729" s="597"/>
      <c r="Q3729" s="586">
        <v>89987</v>
      </c>
      <c r="R3729" s="599">
        <f>M3729/G3729</f>
        <v>2500</v>
      </c>
      <c r="S3729" s="856"/>
      <c r="T3729" s="856"/>
      <c r="U3729" s="1059"/>
      <c r="V3729" s="856"/>
      <c r="W3729" s="856"/>
      <c r="X3729" s="856"/>
      <c r="Y3729" s="856"/>
      <c r="Z3729" s="856"/>
      <c r="XFC3729" s="102">
        <v>4820151.3599999994</v>
      </c>
    </row>
    <row r="3730" spans="1:26 16383:16383" s="102" customFormat="1" hidden="1">
      <c r="A3730" s="679">
        <f t="shared" si="539"/>
        <v>14</v>
      </c>
      <c r="B3730" s="592" t="s">
        <v>2018</v>
      </c>
      <c r="C3730" s="593" t="s">
        <v>221</v>
      </c>
      <c r="D3730" s="646">
        <v>17741</v>
      </c>
      <c r="E3730" s="646">
        <v>4081</v>
      </c>
      <c r="F3730" s="646" t="s">
        <v>222</v>
      </c>
      <c r="G3730" s="646">
        <v>650</v>
      </c>
      <c r="H3730" s="582">
        <v>5</v>
      </c>
      <c r="I3730" s="582">
        <v>1</v>
      </c>
      <c r="J3730" s="582">
        <v>172</v>
      </c>
      <c r="K3730" s="590" t="s">
        <v>33</v>
      </c>
      <c r="L3730" s="595">
        <f t="shared" si="538"/>
        <v>1360320</v>
      </c>
      <c r="M3730" s="745">
        <v>1300000</v>
      </c>
      <c r="N3730" s="597">
        <v>32500</v>
      </c>
      <c r="O3730" s="598"/>
      <c r="P3730" s="802"/>
      <c r="Q3730" s="586">
        <v>27820</v>
      </c>
      <c r="R3730" s="803">
        <f>M3730/G3730</f>
        <v>2000</v>
      </c>
      <c r="S3730" s="856"/>
      <c r="T3730" s="856"/>
      <c r="U3730" s="1059"/>
      <c r="V3730" s="856"/>
      <c r="W3730" s="856"/>
      <c r="X3730" s="856"/>
      <c r="Y3730" s="856"/>
      <c r="Z3730" s="856"/>
      <c r="XFC3730" s="102">
        <v>2670360</v>
      </c>
    </row>
    <row r="3731" spans="1:26 16383:16383" s="102" customFormat="1" hidden="1">
      <c r="A3731" s="679">
        <f t="shared" si="539"/>
        <v>15</v>
      </c>
      <c r="B3731" s="592" t="s">
        <v>2978</v>
      </c>
      <c r="C3731" s="593" t="s">
        <v>221</v>
      </c>
      <c r="D3731" s="619">
        <f>E3731*3</f>
        <v>5047.2</v>
      </c>
      <c r="E3731" s="619">
        <f>(54.6+15.5)*2*3*H3731</f>
        <v>1682.3999999999999</v>
      </c>
      <c r="F3731" s="768" t="s">
        <v>222</v>
      </c>
      <c r="G3731" s="619">
        <v>936.8</v>
      </c>
      <c r="H3731" s="599">
        <v>4</v>
      </c>
      <c r="I3731" s="599">
        <v>3</v>
      </c>
      <c r="J3731" s="599">
        <v>36</v>
      </c>
      <c r="K3731" s="590" t="s">
        <v>238</v>
      </c>
      <c r="L3731" s="595">
        <f t="shared" si="538"/>
        <v>1130112</v>
      </c>
      <c r="M3731" s="585">
        <v>1080000</v>
      </c>
      <c r="N3731" s="586">
        <v>27000</v>
      </c>
      <c r="O3731" s="587"/>
      <c r="P3731" s="586"/>
      <c r="Q3731" s="586">
        <v>23112</v>
      </c>
      <c r="R3731" s="582">
        <f>M3731/J3731</f>
        <v>30000</v>
      </c>
      <c r="S3731" s="856"/>
      <c r="T3731" s="856"/>
      <c r="U3731" s="1059"/>
      <c r="V3731" s="856"/>
      <c r="W3731" s="856"/>
      <c r="X3731" s="856"/>
      <c r="Y3731" s="856"/>
      <c r="Z3731" s="856"/>
      <c r="XFC3731" s="102">
        <v>23820016.539999999</v>
      </c>
    </row>
    <row r="3732" spans="1:26 16383:16383" s="102" customFormat="1" hidden="1">
      <c r="A3732" s="679">
        <f t="shared" si="539"/>
        <v>16</v>
      </c>
      <c r="B3732" s="592" t="s">
        <v>2979</v>
      </c>
      <c r="C3732" s="593" t="s">
        <v>221</v>
      </c>
      <c r="D3732" s="619">
        <v>3268.2</v>
      </c>
      <c r="E3732" s="619">
        <v>16235</v>
      </c>
      <c r="F3732" s="768" t="s">
        <v>233</v>
      </c>
      <c r="G3732" s="619">
        <v>1139.3</v>
      </c>
      <c r="H3732" s="599">
        <v>5</v>
      </c>
      <c r="I3732" s="599">
        <v>5</v>
      </c>
      <c r="J3732" s="599">
        <v>65</v>
      </c>
      <c r="K3732" s="590" t="s">
        <v>33</v>
      </c>
      <c r="L3732" s="595">
        <f t="shared" si="538"/>
        <v>2334198</v>
      </c>
      <c r="M3732" s="745">
        <v>2278600</v>
      </c>
      <c r="N3732" s="802"/>
      <c r="O3732" s="736">
        <v>6836</v>
      </c>
      <c r="P3732" s="802"/>
      <c r="Q3732" s="586">
        <v>48762</v>
      </c>
      <c r="R3732" s="803">
        <f>M3732/G3732</f>
        <v>2000</v>
      </c>
      <c r="S3732" s="601"/>
      <c r="T3732" s="856"/>
      <c r="U3732" s="1059"/>
      <c r="V3732" s="856"/>
      <c r="W3732" s="856"/>
      <c r="X3732" s="856"/>
      <c r="Y3732" s="856"/>
      <c r="Z3732" s="856"/>
      <c r="XFC3732" s="102">
        <v>2735851.5999999996</v>
      </c>
    </row>
    <row r="3733" spans="1:26 16383:16383" s="102" customFormat="1" hidden="1">
      <c r="A3733" s="679">
        <f t="shared" si="539"/>
        <v>17</v>
      </c>
      <c r="B3733" s="592" t="s">
        <v>2980</v>
      </c>
      <c r="C3733" s="593" t="s">
        <v>221</v>
      </c>
      <c r="D3733" s="619">
        <v>37765</v>
      </c>
      <c r="E3733" s="619">
        <v>480</v>
      </c>
      <c r="F3733" s="768" t="s">
        <v>233</v>
      </c>
      <c r="G3733" s="619">
        <v>2678.4</v>
      </c>
      <c r="H3733" s="599">
        <v>5</v>
      </c>
      <c r="I3733" s="599">
        <v>12</v>
      </c>
      <c r="J3733" s="599">
        <v>174</v>
      </c>
      <c r="K3733" s="590" t="s">
        <v>434</v>
      </c>
      <c r="L3733" s="595">
        <f t="shared" si="538"/>
        <v>1749552</v>
      </c>
      <c r="M3733" s="745">
        <v>1680000</v>
      </c>
      <c r="N3733" s="747">
        <v>33600</v>
      </c>
      <c r="O3733" s="743"/>
      <c r="P3733" s="747"/>
      <c r="Q3733" s="586">
        <v>35952</v>
      </c>
      <c r="R3733" s="599">
        <f>M3733/E3733</f>
        <v>3500</v>
      </c>
      <c r="S3733" s="856"/>
      <c r="T3733" s="856"/>
      <c r="U3733" s="1059"/>
      <c r="V3733" s="856"/>
      <c r="W3733" s="856"/>
      <c r="X3733" s="856"/>
      <c r="Y3733" s="856"/>
      <c r="Z3733" s="856"/>
      <c r="XFC3733" s="102">
        <v>3535938</v>
      </c>
    </row>
    <row r="3734" spans="1:26 16383:16383" s="102" customFormat="1" hidden="1">
      <c r="A3734" s="679">
        <f t="shared" si="539"/>
        <v>18</v>
      </c>
      <c r="B3734" s="592" t="s">
        <v>2981</v>
      </c>
      <c r="C3734" s="593" t="s">
        <v>221</v>
      </c>
      <c r="D3734" s="646">
        <v>37790</v>
      </c>
      <c r="E3734" s="646">
        <v>480</v>
      </c>
      <c r="F3734" s="768" t="s">
        <v>233</v>
      </c>
      <c r="G3734" s="619">
        <v>2718.7</v>
      </c>
      <c r="H3734" s="599">
        <v>5</v>
      </c>
      <c r="I3734" s="599">
        <v>12</v>
      </c>
      <c r="J3734" s="599">
        <v>174</v>
      </c>
      <c r="K3734" s="590" t="s">
        <v>434</v>
      </c>
      <c r="L3734" s="595">
        <f t="shared" si="538"/>
        <v>1749552</v>
      </c>
      <c r="M3734" s="745">
        <v>1680000</v>
      </c>
      <c r="N3734" s="747">
        <v>33600</v>
      </c>
      <c r="O3734" s="743"/>
      <c r="P3734" s="747"/>
      <c r="Q3734" s="586">
        <v>35952</v>
      </c>
      <c r="R3734" s="599">
        <f>M3734/E3734</f>
        <v>3500</v>
      </c>
      <c r="S3734" s="856"/>
      <c r="T3734" s="856"/>
      <c r="U3734" s="1059"/>
      <c r="V3734" s="856"/>
      <c r="W3734" s="856"/>
      <c r="X3734" s="856"/>
      <c r="Y3734" s="856"/>
      <c r="Z3734" s="856"/>
      <c r="XFC3734" s="102">
        <v>5208984.8000000007</v>
      </c>
    </row>
    <row r="3735" spans="1:26 16383:16383" s="102" customFormat="1" hidden="1">
      <c r="A3735" s="679">
        <f t="shared" si="539"/>
        <v>19</v>
      </c>
      <c r="B3735" s="592" t="s">
        <v>2982</v>
      </c>
      <c r="C3735" s="593" t="s">
        <v>221</v>
      </c>
      <c r="D3735" s="619">
        <v>16855</v>
      </c>
      <c r="E3735" s="619">
        <v>2931.6</v>
      </c>
      <c r="F3735" s="768" t="s">
        <v>233</v>
      </c>
      <c r="G3735" s="619">
        <v>1203.9000000000001</v>
      </c>
      <c r="H3735" s="599">
        <v>5</v>
      </c>
      <c r="I3735" s="599">
        <v>2</v>
      </c>
      <c r="J3735" s="599">
        <v>90</v>
      </c>
      <c r="K3735" s="590" t="s">
        <v>33</v>
      </c>
      <c r="L3735" s="595">
        <f t="shared" si="538"/>
        <v>2466550</v>
      </c>
      <c r="M3735" s="745">
        <v>2407800</v>
      </c>
      <c r="N3735" s="802"/>
      <c r="O3735" s="736">
        <v>7223</v>
      </c>
      <c r="P3735" s="802"/>
      <c r="Q3735" s="586">
        <v>51527</v>
      </c>
      <c r="R3735" s="803">
        <f t="shared" ref="R3735:R3740" si="540">M3735/G3735</f>
        <v>1999.9999999999998</v>
      </c>
      <c r="S3735" s="856"/>
      <c r="T3735" s="856"/>
      <c r="U3735" s="1059"/>
      <c r="V3735" s="856"/>
      <c r="W3735" s="856"/>
      <c r="X3735" s="856"/>
      <c r="Y3735" s="856"/>
      <c r="Z3735" s="856"/>
      <c r="XFC3735" s="102">
        <v>4956207.1400000006</v>
      </c>
    </row>
    <row r="3736" spans="1:26 16383:16383" s="102" customFormat="1" ht="37.5" hidden="1">
      <c r="A3736" s="679">
        <f t="shared" si="539"/>
        <v>20</v>
      </c>
      <c r="B3736" s="592" t="s">
        <v>2983</v>
      </c>
      <c r="C3736" s="593" t="s">
        <v>221</v>
      </c>
      <c r="D3736" s="646">
        <v>637.20000000000005</v>
      </c>
      <c r="E3736" s="646">
        <v>2941</v>
      </c>
      <c r="F3736" s="768" t="s">
        <v>222</v>
      </c>
      <c r="G3736" s="646">
        <v>686</v>
      </c>
      <c r="H3736" s="582">
        <v>2</v>
      </c>
      <c r="I3736" s="582">
        <v>2</v>
      </c>
      <c r="J3736" s="582">
        <v>16</v>
      </c>
      <c r="K3736" s="590" t="s">
        <v>255</v>
      </c>
      <c r="L3736" s="595">
        <f t="shared" si="538"/>
        <v>1786001</v>
      </c>
      <c r="M3736" s="596">
        <v>1715000</v>
      </c>
      <c r="N3736" s="597">
        <v>34300</v>
      </c>
      <c r="O3736" s="598"/>
      <c r="P3736" s="597"/>
      <c r="Q3736" s="586">
        <v>36701</v>
      </c>
      <c r="R3736" s="599">
        <f t="shared" si="540"/>
        <v>2500</v>
      </c>
      <c r="S3736" s="856"/>
      <c r="T3736" s="856"/>
      <c r="U3736" s="1059"/>
      <c r="V3736" s="856"/>
      <c r="W3736" s="856"/>
      <c r="X3736" s="856"/>
      <c r="Y3736" s="856"/>
      <c r="Z3736" s="856"/>
      <c r="XFC3736" s="102">
        <v>3525350</v>
      </c>
    </row>
    <row r="3737" spans="1:26 16383:16383" s="102" customFormat="1" hidden="1">
      <c r="A3737" s="679">
        <f t="shared" si="539"/>
        <v>21</v>
      </c>
      <c r="B3737" s="592" t="s">
        <v>2984</v>
      </c>
      <c r="C3737" s="593" t="s">
        <v>221</v>
      </c>
      <c r="D3737" s="646">
        <v>1955.4</v>
      </c>
      <c r="E3737" s="646">
        <v>12321</v>
      </c>
      <c r="F3737" s="768" t="s">
        <v>233</v>
      </c>
      <c r="G3737" s="646">
        <v>887.2</v>
      </c>
      <c r="H3737" s="582">
        <v>5</v>
      </c>
      <c r="I3737" s="582">
        <v>4</v>
      </c>
      <c r="J3737" s="582">
        <v>60</v>
      </c>
      <c r="K3737" s="590" t="s">
        <v>33</v>
      </c>
      <c r="L3737" s="595">
        <f t="shared" si="538"/>
        <v>1635926</v>
      </c>
      <c r="M3737" s="585">
        <v>1596960</v>
      </c>
      <c r="N3737" s="586"/>
      <c r="O3737" s="736">
        <v>4791</v>
      </c>
      <c r="P3737" s="597"/>
      <c r="Q3737" s="586">
        <v>34175</v>
      </c>
      <c r="R3737" s="599">
        <f t="shared" si="540"/>
        <v>1800</v>
      </c>
      <c r="S3737" s="856"/>
      <c r="T3737" s="856"/>
      <c r="U3737" s="1059"/>
      <c r="V3737" s="856"/>
      <c r="W3737" s="856"/>
      <c r="X3737" s="856"/>
      <c r="Y3737" s="856"/>
      <c r="Z3737" s="856"/>
      <c r="XFC3737" s="102">
        <v>4438334.5</v>
      </c>
    </row>
    <row r="3738" spans="1:26 16383:16383" s="102" customFormat="1" ht="37.5" hidden="1">
      <c r="A3738" s="679">
        <f t="shared" si="539"/>
        <v>22</v>
      </c>
      <c r="B3738" s="592" t="s">
        <v>2985</v>
      </c>
      <c r="C3738" s="593" t="s">
        <v>221</v>
      </c>
      <c r="D3738" s="619">
        <v>2891</v>
      </c>
      <c r="E3738" s="619">
        <v>662</v>
      </c>
      <c r="F3738" s="619" t="s">
        <v>222</v>
      </c>
      <c r="G3738" s="619">
        <v>679</v>
      </c>
      <c r="H3738" s="599">
        <v>2</v>
      </c>
      <c r="I3738" s="599">
        <v>2</v>
      </c>
      <c r="J3738" s="599">
        <v>16</v>
      </c>
      <c r="K3738" s="590" t="s">
        <v>262</v>
      </c>
      <c r="L3738" s="595">
        <f t="shared" si="538"/>
        <v>1767777</v>
      </c>
      <c r="M3738" s="596">
        <v>1697500</v>
      </c>
      <c r="N3738" s="597">
        <v>33950</v>
      </c>
      <c r="O3738" s="598"/>
      <c r="P3738" s="597"/>
      <c r="Q3738" s="586">
        <v>36327</v>
      </c>
      <c r="R3738" s="599">
        <f t="shared" si="540"/>
        <v>2500</v>
      </c>
      <c r="S3738" s="856"/>
      <c r="T3738" s="856"/>
      <c r="U3738" s="1059"/>
      <c r="V3738" s="856"/>
      <c r="W3738" s="856"/>
      <c r="X3738" s="856"/>
      <c r="Y3738" s="856"/>
      <c r="Z3738" s="856"/>
      <c r="XFC3738" s="102">
        <v>2817259.8</v>
      </c>
    </row>
    <row r="3739" spans="1:26 16383:16383" s="102" customFormat="1" ht="37.5" hidden="1">
      <c r="A3739" s="679">
        <f t="shared" si="539"/>
        <v>23</v>
      </c>
      <c r="B3739" s="592" t="s">
        <v>2986</v>
      </c>
      <c r="C3739" s="593" t="s">
        <v>221</v>
      </c>
      <c r="D3739" s="646">
        <v>3609</v>
      </c>
      <c r="E3739" s="646">
        <v>712.5</v>
      </c>
      <c r="F3739" s="646" t="s">
        <v>222</v>
      </c>
      <c r="G3739" s="646">
        <v>855</v>
      </c>
      <c r="H3739" s="582">
        <v>2</v>
      </c>
      <c r="I3739" s="582">
        <v>3</v>
      </c>
      <c r="J3739" s="582">
        <v>22</v>
      </c>
      <c r="K3739" s="590" t="s">
        <v>262</v>
      </c>
      <c r="L3739" s="595">
        <f t="shared" si="538"/>
        <v>2215306</v>
      </c>
      <c r="M3739" s="596">
        <v>2137500</v>
      </c>
      <c r="N3739" s="597">
        <v>32063</v>
      </c>
      <c r="O3739" s="598"/>
      <c r="P3739" s="597"/>
      <c r="Q3739" s="586">
        <v>45743</v>
      </c>
      <c r="R3739" s="599">
        <f t="shared" si="540"/>
        <v>2500</v>
      </c>
      <c r="S3739" s="856"/>
      <c r="T3739" s="856"/>
      <c r="U3739" s="1059"/>
      <c r="V3739" s="856"/>
      <c r="W3739" s="856"/>
      <c r="X3739" s="856"/>
      <c r="Y3739" s="856"/>
      <c r="Z3739" s="856"/>
      <c r="XFC3739" s="102">
        <v>3288907.2479999997</v>
      </c>
    </row>
    <row r="3740" spans="1:26 16383:16383" s="102" customFormat="1" hidden="1">
      <c r="A3740" s="679">
        <f t="shared" si="539"/>
        <v>24</v>
      </c>
      <c r="B3740" s="592" t="s">
        <v>2987</v>
      </c>
      <c r="C3740" s="593" t="s">
        <v>221</v>
      </c>
      <c r="D3740" s="619">
        <v>3207</v>
      </c>
      <c r="E3740" s="646">
        <v>636</v>
      </c>
      <c r="F3740" s="768" t="s">
        <v>222</v>
      </c>
      <c r="G3740" s="619">
        <v>502</v>
      </c>
      <c r="H3740" s="599">
        <v>2</v>
      </c>
      <c r="I3740" s="599">
        <v>2</v>
      </c>
      <c r="J3740" s="599">
        <v>8</v>
      </c>
      <c r="K3740" s="590" t="s">
        <v>33</v>
      </c>
      <c r="L3740" s="595">
        <f t="shared" si="538"/>
        <v>1313232</v>
      </c>
      <c r="M3740" s="596">
        <v>1255000</v>
      </c>
      <c r="N3740" s="597">
        <v>31375</v>
      </c>
      <c r="O3740" s="598"/>
      <c r="P3740" s="597"/>
      <c r="Q3740" s="586">
        <v>26857</v>
      </c>
      <c r="R3740" s="599">
        <f t="shared" si="540"/>
        <v>2500</v>
      </c>
      <c r="S3740" s="856"/>
      <c r="T3740" s="856"/>
      <c r="U3740" s="1059"/>
      <c r="V3740" s="856"/>
      <c r="W3740" s="856"/>
      <c r="X3740" s="856"/>
      <c r="Y3740" s="856"/>
      <c r="Z3740" s="856"/>
      <c r="XFC3740" s="102">
        <v>2303709.5430000001</v>
      </c>
    </row>
    <row r="3741" spans="1:26 16383:16383" s="102" customFormat="1" hidden="1">
      <c r="A3741" s="679">
        <f t="shared" si="539"/>
        <v>25</v>
      </c>
      <c r="B3741" s="592" t="s">
        <v>2988</v>
      </c>
      <c r="C3741" s="593" t="s">
        <v>221</v>
      </c>
      <c r="D3741" s="619">
        <v>3777</v>
      </c>
      <c r="E3741" s="646">
        <v>740</v>
      </c>
      <c r="F3741" s="768" t="s">
        <v>222</v>
      </c>
      <c r="G3741" s="619">
        <v>502</v>
      </c>
      <c r="H3741" s="599">
        <v>2</v>
      </c>
      <c r="I3741" s="599">
        <v>2</v>
      </c>
      <c r="J3741" s="599">
        <v>12</v>
      </c>
      <c r="K3741" s="590" t="s">
        <v>246</v>
      </c>
      <c r="L3741" s="595">
        <f t="shared" si="538"/>
        <v>1364501</v>
      </c>
      <c r="M3741" s="741">
        <v>1332000</v>
      </c>
      <c r="N3741" s="742"/>
      <c r="O3741" s="736">
        <v>3996</v>
      </c>
      <c r="P3741" s="742"/>
      <c r="Q3741" s="586">
        <v>28505</v>
      </c>
      <c r="R3741" s="599">
        <f>M3741/E3741</f>
        <v>1800</v>
      </c>
      <c r="S3741" s="856"/>
      <c r="T3741" s="856"/>
      <c r="U3741" s="1059"/>
      <c r="V3741" s="856"/>
      <c r="W3741" s="856"/>
      <c r="X3741" s="856"/>
      <c r="Y3741" s="856"/>
      <c r="Z3741" s="856"/>
      <c r="XFC3741" s="102">
        <v>3512203.548</v>
      </c>
    </row>
    <row r="3742" spans="1:26 16383:16383" s="102" customFormat="1" hidden="1">
      <c r="A3742" s="679">
        <f t="shared" si="539"/>
        <v>26</v>
      </c>
      <c r="B3742" s="592" t="s">
        <v>2989</v>
      </c>
      <c r="C3742" s="593" t="s">
        <v>239</v>
      </c>
      <c r="D3742" s="646">
        <v>3417</v>
      </c>
      <c r="E3742" s="619">
        <v>642</v>
      </c>
      <c r="F3742" s="646" t="s">
        <v>222</v>
      </c>
      <c r="G3742" s="646">
        <v>614</v>
      </c>
      <c r="H3742" s="582">
        <v>2</v>
      </c>
      <c r="I3742" s="582">
        <v>2</v>
      </c>
      <c r="J3742" s="582">
        <v>12</v>
      </c>
      <c r="K3742" s="590" t="s">
        <v>246</v>
      </c>
      <c r="L3742" s="595">
        <f t="shared" si="538"/>
        <v>1183797</v>
      </c>
      <c r="M3742" s="741">
        <v>1155600</v>
      </c>
      <c r="N3742" s="742"/>
      <c r="O3742" s="736">
        <v>3467</v>
      </c>
      <c r="P3742" s="742"/>
      <c r="Q3742" s="586">
        <v>24730</v>
      </c>
      <c r="R3742" s="599">
        <f>M3742/E3742</f>
        <v>1800</v>
      </c>
      <c r="S3742" s="856"/>
      <c r="T3742" s="856"/>
      <c r="U3742" s="1059"/>
      <c r="V3742" s="856"/>
      <c r="W3742" s="856"/>
      <c r="X3742" s="856"/>
      <c r="Y3742" s="856"/>
      <c r="Z3742" s="856"/>
      <c r="XFC3742" s="102">
        <v>1780443.2000000002</v>
      </c>
    </row>
    <row r="3743" spans="1:26 16383:16383" s="102" customFormat="1" hidden="1">
      <c r="A3743" s="679">
        <f t="shared" si="539"/>
        <v>27</v>
      </c>
      <c r="B3743" s="592" t="s">
        <v>2990</v>
      </c>
      <c r="C3743" s="593" t="s">
        <v>221</v>
      </c>
      <c r="D3743" s="619">
        <v>8358</v>
      </c>
      <c r="E3743" s="619">
        <v>1545</v>
      </c>
      <c r="F3743" s="768" t="s">
        <v>222</v>
      </c>
      <c r="G3743" s="619">
        <v>1268</v>
      </c>
      <c r="H3743" s="599">
        <v>3</v>
      </c>
      <c r="I3743" s="599">
        <v>3</v>
      </c>
      <c r="J3743" s="599">
        <v>33</v>
      </c>
      <c r="K3743" s="590" t="s">
        <v>33</v>
      </c>
      <c r="L3743" s="1357">
        <f>M3743+N3743+O3743+P3743+Q3743+M3744+N3744+O3744+P3744+M3745+N3745+O3745+P3745+Q3744+Q3745</f>
        <v>8084865</v>
      </c>
      <c r="M3743" s="607">
        <v>3170000</v>
      </c>
      <c r="N3743" s="675">
        <v>31700</v>
      </c>
      <c r="O3743" s="887"/>
      <c r="P3743" s="675"/>
      <c r="Q3743" s="630">
        <v>25898</v>
      </c>
      <c r="R3743" s="599">
        <f>M3743/G3743</f>
        <v>2500</v>
      </c>
      <c r="S3743" s="856"/>
      <c r="T3743" s="856"/>
      <c r="U3743" s="1059"/>
      <c r="V3743" s="856"/>
      <c r="W3743" s="856"/>
      <c r="X3743" s="856"/>
      <c r="Y3743" s="856"/>
      <c r="Z3743" s="856"/>
      <c r="XFC3743" s="102">
        <v>4920272.9799999995</v>
      </c>
    </row>
    <row r="3744" spans="1:26 16383:16383" s="102" customFormat="1" hidden="1">
      <c r="A3744" s="679"/>
      <c r="B3744" s="592"/>
      <c r="C3744" s="593"/>
      <c r="D3744" s="619"/>
      <c r="E3744" s="619"/>
      <c r="F3744" s="768"/>
      <c r="G3744" s="619"/>
      <c r="H3744" s="599"/>
      <c r="I3744" s="599"/>
      <c r="J3744" s="599"/>
      <c r="K3744" s="590" t="s">
        <v>246</v>
      </c>
      <c r="L3744" s="1357"/>
      <c r="M3744" s="1058">
        <v>2781000</v>
      </c>
      <c r="N3744" s="753"/>
      <c r="O3744" s="1054">
        <v>8343</v>
      </c>
      <c r="P3744" s="753"/>
      <c r="Q3744" s="630">
        <v>30000</v>
      </c>
      <c r="R3744" s="599">
        <f>M3744/E3743</f>
        <v>1800</v>
      </c>
      <c r="S3744" s="856"/>
      <c r="T3744" s="856"/>
      <c r="U3744" s="1059"/>
      <c r="V3744" s="856"/>
      <c r="W3744" s="856"/>
      <c r="X3744" s="856"/>
      <c r="Y3744" s="856"/>
      <c r="Z3744" s="856"/>
    </row>
    <row r="3745" spans="1:26 16383:16383" s="102" customFormat="1" hidden="1">
      <c r="A3745" s="679"/>
      <c r="B3745" s="592"/>
      <c r="C3745" s="593"/>
      <c r="D3745" s="619"/>
      <c r="E3745" s="619"/>
      <c r="F3745" s="768"/>
      <c r="G3745" s="619"/>
      <c r="H3745" s="599"/>
      <c r="I3745" s="599"/>
      <c r="J3745" s="599"/>
      <c r="K3745" s="590" t="s">
        <v>100</v>
      </c>
      <c r="L3745" s="1357"/>
      <c r="M3745" s="623">
        <v>1998000</v>
      </c>
      <c r="N3745" s="630">
        <v>29970</v>
      </c>
      <c r="O3745" s="631"/>
      <c r="P3745" s="630"/>
      <c r="Q3745" s="630">
        <v>9954</v>
      </c>
      <c r="R3745" s="599">
        <f>M3745/G3743</f>
        <v>1575.7097791798108</v>
      </c>
      <c r="S3745" s="856"/>
      <c r="T3745" s="856"/>
      <c r="U3745" s="1059"/>
      <c r="V3745" s="856"/>
      <c r="W3745" s="856"/>
      <c r="X3745" s="856"/>
      <c r="Y3745" s="856"/>
      <c r="Z3745" s="856"/>
    </row>
    <row r="3746" spans="1:26 16383:16383" s="102" customFormat="1" hidden="1">
      <c r="A3746" s="679">
        <f>A3743+1</f>
        <v>28</v>
      </c>
      <c r="B3746" s="592" t="s">
        <v>2991</v>
      </c>
      <c r="C3746" s="593" t="s">
        <v>221</v>
      </c>
      <c r="D3746" s="619">
        <v>7543</v>
      </c>
      <c r="E3746" s="619">
        <v>1543</v>
      </c>
      <c r="F3746" s="768" t="s">
        <v>222</v>
      </c>
      <c r="G3746" s="619">
        <v>860</v>
      </c>
      <c r="H3746" s="599">
        <v>3</v>
      </c>
      <c r="I3746" s="599">
        <v>3</v>
      </c>
      <c r="J3746" s="599">
        <v>33</v>
      </c>
      <c r="K3746" s="590" t="s">
        <v>33</v>
      </c>
      <c r="L3746" s="595">
        <f t="shared" ref="L3746:L3753" si="541">M3746+N3746+O3746+P3746+Q3746</f>
        <v>2228260</v>
      </c>
      <c r="M3746" s="596">
        <v>2150000</v>
      </c>
      <c r="N3746" s="597">
        <v>32250</v>
      </c>
      <c r="O3746" s="598"/>
      <c r="P3746" s="597"/>
      <c r="Q3746" s="586">
        <v>46010</v>
      </c>
      <c r="R3746" s="599">
        <f>M3746/G3746</f>
        <v>2500</v>
      </c>
      <c r="S3746" s="856"/>
      <c r="T3746" s="856"/>
      <c r="U3746" s="1059"/>
      <c r="V3746" s="856"/>
      <c r="W3746" s="856"/>
      <c r="X3746" s="856"/>
      <c r="Y3746" s="856"/>
      <c r="Z3746" s="856"/>
      <c r="XFC3746" s="102">
        <v>6920260.7999999998</v>
      </c>
    </row>
    <row r="3747" spans="1:26 16383:16383" s="102" customFormat="1" hidden="1">
      <c r="A3747" s="679">
        <f t="shared" si="539"/>
        <v>29</v>
      </c>
      <c r="B3747" s="592" t="s">
        <v>2992</v>
      </c>
      <c r="C3747" s="700" t="s">
        <v>239</v>
      </c>
      <c r="D3747" s="619">
        <v>3033</v>
      </c>
      <c r="E3747" s="619">
        <v>782</v>
      </c>
      <c r="F3747" s="619" t="s">
        <v>222</v>
      </c>
      <c r="G3747" s="619">
        <v>600</v>
      </c>
      <c r="H3747" s="599">
        <v>2</v>
      </c>
      <c r="I3747" s="599">
        <v>2</v>
      </c>
      <c r="J3747" s="599">
        <v>12</v>
      </c>
      <c r="K3747" s="590" t="s">
        <v>246</v>
      </c>
      <c r="L3747" s="595">
        <f t="shared" si="541"/>
        <v>1441946</v>
      </c>
      <c r="M3747" s="741">
        <v>1407600</v>
      </c>
      <c r="N3747" s="742"/>
      <c r="O3747" s="736">
        <v>4223</v>
      </c>
      <c r="P3747" s="742"/>
      <c r="Q3747" s="586">
        <v>30123</v>
      </c>
      <c r="R3747" s="599">
        <f>M3747/E3747</f>
        <v>1800</v>
      </c>
      <c r="S3747" s="856"/>
      <c r="T3747" s="856"/>
      <c r="U3747" s="1059"/>
      <c r="V3747" s="856"/>
      <c r="W3747" s="856"/>
      <c r="X3747" s="856"/>
      <c r="Y3747" s="856"/>
      <c r="Z3747" s="856"/>
      <c r="XFC3747" s="102">
        <v>4952025.9399999995</v>
      </c>
    </row>
    <row r="3748" spans="1:26 16383:16383" s="102" customFormat="1" hidden="1">
      <c r="A3748" s="679">
        <f t="shared" si="539"/>
        <v>30</v>
      </c>
      <c r="B3748" s="592" t="s">
        <v>2993</v>
      </c>
      <c r="C3748" s="593" t="s">
        <v>239</v>
      </c>
      <c r="D3748" s="619">
        <v>6684</v>
      </c>
      <c r="E3748" s="646">
        <v>1304</v>
      </c>
      <c r="F3748" s="768" t="s">
        <v>222</v>
      </c>
      <c r="G3748" s="619">
        <v>1384</v>
      </c>
      <c r="H3748" s="599">
        <v>1</v>
      </c>
      <c r="I3748" s="599">
        <v>4</v>
      </c>
      <c r="J3748" s="599">
        <v>21</v>
      </c>
      <c r="K3748" s="590" t="s">
        <v>246</v>
      </c>
      <c r="L3748" s="595">
        <f t="shared" si="541"/>
        <v>2404472</v>
      </c>
      <c r="M3748" s="741">
        <v>2347200</v>
      </c>
      <c r="N3748" s="742"/>
      <c r="O3748" s="736">
        <v>7042</v>
      </c>
      <c r="P3748" s="742"/>
      <c r="Q3748" s="586">
        <v>50230</v>
      </c>
      <c r="R3748" s="599">
        <f>M3748/E3748</f>
        <v>1800</v>
      </c>
      <c r="S3748" s="856"/>
      <c r="T3748" s="856"/>
      <c r="U3748" s="1059"/>
      <c r="V3748" s="856"/>
      <c r="W3748" s="856"/>
      <c r="X3748" s="856"/>
      <c r="Y3748" s="856"/>
      <c r="Z3748" s="856"/>
      <c r="XFC3748" s="102">
        <v>4454362.4000000004</v>
      </c>
    </row>
    <row r="3749" spans="1:26 16383:16383" s="102" customFormat="1" hidden="1">
      <c r="A3749" s="679">
        <f t="shared" si="539"/>
        <v>31</v>
      </c>
      <c r="B3749" s="592" t="s">
        <v>2994</v>
      </c>
      <c r="C3749" s="593" t="s">
        <v>239</v>
      </c>
      <c r="D3749" s="619">
        <v>3417</v>
      </c>
      <c r="E3749" s="619">
        <v>642</v>
      </c>
      <c r="F3749" s="619" t="s">
        <v>222</v>
      </c>
      <c r="G3749" s="619">
        <v>614</v>
      </c>
      <c r="H3749" s="599">
        <v>2</v>
      </c>
      <c r="I3749" s="599">
        <v>2</v>
      </c>
      <c r="J3749" s="599">
        <v>12</v>
      </c>
      <c r="K3749" s="590" t="s">
        <v>246</v>
      </c>
      <c r="L3749" s="595">
        <f t="shared" si="541"/>
        <v>1183797</v>
      </c>
      <c r="M3749" s="741">
        <v>1155600</v>
      </c>
      <c r="N3749" s="742"/>
      <c r="O3749" s="736">
        <v>3467</v>
      </c>
      <c r="P3749" s="742"/>
      <c r="Q3749" s="586">
        <v>24730</v>
      </c>
      <c r="R3749" s="599">
        <f>M3749/E3749</f>
        <v>1800</v>
      </c>
      <c r="S3749" s="856"/>
      <c r="T3749" s="856"/>
      <c r="U3749" s="1059"/>
      <c r="V3749" s="856"/>
      <c r="W3749" s="856"/>
      <c r="X3749" s="856"/>
      <c r="Y3749" s="856"/>
      <c r="Z3749" s="856"/>
      <c r="XFC3749" s="102">
        <v>7008516.2799999993</v>
      </c>
    </row>
    <row r="3750" spans="1:26 16383:16383" s="102" customFormat="1" hidden="1">
      <c r="A3750" s="679">
        <f t="shared" si="539"/>
        <v>32</v>
      </c>
      <c r="B3750" s="592" t="s">
        <v>2995</v>
      </c>
      <c r="C3750" s="700" t="s">
        <v>239</v>
      </c>
      <c r="D3750" s="619">
        <v>3417</v>
      </c>
      <c r="E3750" s="619">
        <v>642</v>
      </c>
      <c r="F3750" s="768" t="s">
        <v>222</v>
      </c>
      <c r="G3750" s="619">
        <v>614</v>
      </c>
      <c r="H3750" s="599">
        <v>2</v>
      </c>
      <c r="I3750" s="599">
        <v>2</v>
      </c>
      <c r="J3750" s="599">
        <v>12</v>
      </c>
      <c r="K3750" s="590" t="s">
        <v>246</v>
      </c>
      <c r="L3750" s="595">
        <f t="shared" si="541"/>
        <v>1183797</v>
      </c>
      <c r="M3750" s="741">
        <v>1155600</v>
      </c>
      <c r="N3750" s="742"/>
      <c r="O3750" s="736">
        <v>3467</v>
      </c>
      <c r="P3750" s="742"/>
      <c r="Q3750" s="586">
        <v>24730</v>
      </c>
      <c r="R3750" s="599">
        <f>M3750/E3750</f>
        <v>1800</v>
      </c>
      <c r="S3750" s="856"/>
      <c r="T3750" s="856"/>
      <c r="U3750" s="1059"/>
      <c r="V3750" s="856"/>
      <c r="W3750" s="856"/>
      <c r="X3750" s="856"/>
      <c r="Y3750" s="856"/>
      <c r="Z3750" s="856"/>
      <c r="XFC3750" s="102">
        <v>3375281.6</v>
      </c>
    </row>
    <row r="3751" spans="1:26 16383:16383" s="102" customFormat="1" hidden="1">
      <c r="A3751" s="679">
        <f t="shared" si="539"/>
        <v>33</v>
      </c>
      <c r="B3751" s="592" t="s">
        <v>2996</v>
      </c>
      <c r="C3751" s="593" t="s">
        <v>221</v>
      </c>
      <c r="D3751" s="619">
        <v>1013</v>
      </c>
      <c r="E3751" s="619">
        <v>6914</v>
      </c>
      <c r="F3751" s="768" t="s">
        <v>233</v>
      </c>
      <c r="G3751" s="619">
        <v>480</v>
      </c>
      <c r="H3751" s="599">
        <v>5</v>
      </c>
      <c r="I3751" s="599">
        <v>2</v>
      </c>
      <c r="J3751" s="599">
        <v>40</v>
      </c>
      <c r="K3751" s="590" t="s">
        <v>33</v>
      </c>
      <c r="L3751" s="595">
        <f t="shared" si="541"/>
        <v>983424</v>
      </c>
      <c r="M3751" s="745">
        <v>960000</v>
      </c>
      <c r="N3751" s="802"/>
      <c r="O3751" s="736">
        <v>2880</v>
      </c>
      <c r="P3751" s="802"/>
      <c r="Q3751" s="586">
        <v>20544</v>
      </c>
      <c r="R3751" s="803">
        <f>M3751/G3751</f>
        <v>2000</v>
      </c>
      <c r="S3751" s="856"/>
      <c r="T3751" s="856"/>
      <c r="U3751" s="1059"/>
      <c r="V3751" s="856"/>
      <c r="W3751" s="856"/>
      <c r="X3751" s="856"/>
      <c r="Y3751" s="856"/>
      <c r="Z3751" s="856"/>
      <c r="XFC3751" s="102">
        <v>7445071.3499999996</v>
      </c>
    </row>
    <row r="3752" spans="1:26 16383:16383" s="75" customFormat="1" hidden="1">
      <c r="A3752" s="679">
        <f t="shared" si="539"/>
        <v>34</v>
      </c>
      <c r="B3752" s="592" t="s">
        <v>4086</v>
      </c>
      <c r="C3752" s="593" t="s">
        <v>221</v>
      </c>
      <c r="D3752" s="646">
        <v>1738.3</v>
      </c>
      <c r="E3752" s="646">
        <v>14492</v>
      </c>
      <c r="F3752" s="646" t="s">
        <v>233</v>
      </c>
      <c r="G3752" s="646">
        <v>947.2</v>
      </c>
      <c r="H3752" s="582">
        <v>5</v>
      </c>
      <c r="I3752" s="582">
        <v>4</v>
      </c>
      <c r="J3752" s="582">
        <v>70</v>
      </c>
      <c r="K3752" s="590" t="s">
        <v>33</v>
      </c>
      <c r="L3752" s="595">
        <f t="shared" si="541"/>
        <v>1940623</v>
      </c>
      <c r="M3752" s="745">
        <v>1894400</v>
      </c>
      <c r="N3752" s="802"/>
      <c r="O3752" s="736">
        <v>5683</v>
      </c>
      <c r="P3752" s="802"/>
      <c r="Q3752" s="586">
        <v>40540</v>
      </c>
      <c r="R3752" s="803">
        <f>M3752/G3752</f>
        <v>2000</v>
      </c>
      <c r="S3752" s="856"/>
      <c r="T3752" s="601"/>
      <c r="U3752" s="1059"/>
      <c r="V3752" s="601"/>
      <c r="W3752" s="601"/>
      <c r="X3752" s="601"/>
      <c r="Y3752" s="601"/>
      <c r="Z3752" s="601"/>
      <c r="XFC3752" s="75">
        <v>4224111.6119999997</v>
      </c>
    </row>
    <row r="3753" spans="1:26 16383:16383" s="75" customFormat="1" ht="37.5" hidden="1">
      <c r="A3753" s="679">
        <f t="shared" si="539"/>
        <v>35</v>
      </c>
      <c r="B3753" s="592" t="s">
        <v>3640</v>
      </c>
      <c r="C3753" s="593" t="s">
        <v>221</v>
      </c>
      <c r="D3753" s="646">
        <v>12443</v>
      </c>
      <c r="E3753" s="646">
        <v>2819</v>
      </c>
      <c r="F3753" s="646" t="s">
        <v>3641</v>
      </c>
      <c r="G3753" s="646">
        <v>1153</v>
      </c>
      <c r="H3753" s="582">
        <v>5</v>
      </c>
      <c r="I3753" s="582">
        <v>4</v>
      </c>
      <c r="J3753" s="582">
        <v>40</v>
      </c>
      <c r="K3753" s="590" t="s">
        <v>236</v>
      </c>
      <c r="L3753" s="595">
        <f t="shared" si="541"/>
        <v>2952834</v>
      </c>
      <c r="M3753" s="745">
        <v>2882500</v>
      </c>
      <c r="N3753" s="802"/>
      <c r="O3753" s="736">
        <v>8648</v>
      </c>
      <c r="P3753" s="802"/>
      <c r="Q3753" s="586">
        <v>61686</v>
      </c>
      <c r="R3753" s="803">
        <f>M3753/G3753</f>
        <v>2500</v>
      </c>
      <c r="S3753" s="856"/>
      <c r="T3753" s="601"/>
      <c r="U3753" s="1059"/>
      <c r="V3753" s="601"/>
      <c r="W3753" s="601"/>
      <c r="X3753" s="601"/>
      <c r="Y3753" s="601"/>
      <c r="Z3753" s="601"/>
    </row>
    <row r="3754" spans="1:26 16383:16383" s="28" customFormat="1" hidden="1">
      <c r="A3754" s="1361" t="s">
        <v>117</v>
      </c>
      <c r="B3754" s="1361"/>
      <c r="C3754" s="582" t="s">
        <v>28</v>
      </c>
      <c r="D3754" s="646">
        <f>SUM(D3717:D3753)</f>
        <v>236829.43999999997</v>
      </c>
      <c r="E3754" s="646">
        <f>SUM(E3717:E3753)</f>
        <v>236893.5</v>
      </c>
      <c r="F3754" s="646" t="s">
        <v>28</v>
      </c>
      <c r="G3754" s="646">
        <f>SUM(G3717:G3753)</f>
        <v>37566.9</v>
      </c>
      <c r="H3754" s="582" t="s">
        <v>28</v>
      </c>
      <c r="I3754" s="582" t="s">
        <v>28</v>
      </c>
      <c r="J3754" s="582">
        <f>SUM(J3717:J3753)</f>
        <v>2065</v>
      </c>
      <c r="K3754" s="772" t="s">
        <v>28</v>
      </c>
      <c r="L3754" s="584">
        <f t="shared" ref="L3754:Q3754" si="542">SUM(L3717:L3753)</f>
        <v>89408817</v>
      </c>
      <c r="M3754" s="585">
        <f t="shared" si="542"/>
        <v>86838802</v>
      </c>
      <c r="N3754" s="586">
        <f t="shared" si="542"/>
        <v>737079</v>
      </c>
      <c r="O3754" s="587">
        <f t="shared" si="542"/>
        <v>78841</v>
      </c>
      <c r="P3754" s="586">
        <f t="shared" si="542"/>
        <v>0</v>
      </c>
      <c r="Q3754" s="586">
        <f t="shared" si="542"/>
        <v>1754095</v>
      </c>
      <c r="R3754" s="582" t="s">
        <v>28</v>
      </c>
      <c r="S3754" s="645">
        <f>L3754-M3754-N3754-O3754-P3754-Q3754</f>
        <v>0</v>
      </c>
      <c r="T3754" s="645"/>
      <c r="U3754" s="1059"/>
      <c r="V3754" s="592"/>
      <c r="W3754" s="592"/>
      <c r="X3754" s="592"/>
      <c r="Y3754" s="592"/>
      <c r="Z3754" s="592"/>
    </row>
    <row r="3755" spans="1:26 16383:16383" s="28" customFormat="1" hidden="1">
      <c r="A3755" s="1347" t="s">
        <v>82</v>
      </c>
      <c r="B3755" s="1347"/>
      <c r="C3755" s="1347"/>
      <c r="D3755" s="1347"/>
      <c r="E3755" s="1347"/>
      <c r="F3755" s="1347"/>
      <c r="G3755" s="1347"/>
      <c r="H3755" s="1347"/>
      <c r="I3755" s="1347"/>
      <c r="J3755" s="1347"/>
      <c r="K3755" s="1347"/>
      <c r="L3755" s="1347"/>
      <c r="M3755" s="1347"/>
      <c r="N3755" s="1347"/>
      <c r="O3755" s="1347"/>
      <c r="P3755" s="1347"/>
      <c r="Q3755" s="1347"/>
      <c r="R3755" s="590"/>
      <c r="S3755" s="592"/>
      <c r="T3755" s="645"/>
      <c r="U3755" s="1059"/>
      <c r="V3755" s="592"/>
      <c r="W3755" s="592"/>
      <c r="X3755" s="592"/>
      <c r="Y3755" s="592"/>
      <c r="Z3755" s="592"/>
    </row>
    <row r="3756" spans="1:26 16383:16383" s="99" customFormat="1" ht="37.5" hidden="1">
      <c r="A3756" s="735">
        <v>1</v>
      </c>
      <c r="B3756" s="865" t="s">
        <v>3908</v>
      </c>
      <c r="C3756" s="814" t="s">
        <v>221</v>
      </c>
      <c r="D3756" s="854">
        <f>E3756*2.8</f>
        <v>1935.36</v>
      </c>
      <c r="E3756" s="854">
        <f>((20*I3756+12)*2)*H3756*2.7</f>
        <v>691.2</v>
      </c>
      <c r="F3756" s="789" t="s">
        <v>222</v>
      </c>
      <c r="G3756" s="854">
        <f t="shared" ref="G3756:G3761" si="543">(20*I3756)*12*1.3</f>
        <v>312</v>
      </c>
      <c r="H3756" s="643">
        <v>4</v>
      </c>
      <c r="I3756" s="643">
        <v>1</v>
      </c>
      <c r="J3756" s="744">
        <v>16</v>
      </c>
      <c r="K3756" s="792" t="s">
        <v>33</v>
      </c>
      <c r="L3756" s="740">
        <f t="shared" ref="L3756:L3770" si="544">M3756+N3756+O3756+P3756+Q3756</f>
        <v>904076.02</v>
      </c>
      <c r="M3756" s="741">
        <v>873600</v>
      </c>
      <c r="N3756" s="753">
        <v>24510</v>
      </c>
      <c r="O3756" s="743"/>
      <c r="P3756" s="742"/>
      <c r="Q3756" s="586">
        <v>5966.02</v>
      </c>
      <c r="R3756" s="744">
        <f t="shared" ref="R3756:R3763" si="545">M3756/G3756</f>
        <v>2800</v>
      </c>
      <c r="S3756" s="575">
        <f t="shared" ref="S3756:S3770" si="546">L3756-M3756-N3756-O3756-P3756-Q3756</f>
        <v>1.8189894035458565E-11</v>
      </c>
      <c r="T3756" s="791"/>
      <c r="U3756" s="791"/>
      <c r="V3756" s="589"/>
      <c r="W3756" s="791"/>
      <c r="X3756" s="791"/>
      <c r="Y3756" s="791"/>
      <c r="Z3756" s="791"/>
    </row>
    <row r="3757" spans="1:26 16383:16383" s="99" customFormat="1" ht="37.5" hidden="1">
      <c r="A3757" s="735">
        <f t="shared" ref="A3757:A3770" si="547">A3756+1</f>
        <v>2</v>
      </c>
      <c r="B3757" s="865" t="s">
        <v>3909</v>
      </c>
      <c r="C3757" s="814" t="s">
        <v>221</v>
      </c>
      <c r="D3757" s="854">
        <f>E3757*2.8</f>
        <v>2419.1999999999998</v>
      </c>
      <c r="E3757" s="854">
        <f>((20*I3757+12)*2)*H3757*2.7</f>
        <v>864</v>
      </c>
      <c r="F3757" s="789" t="s">
        <v>222</v>
      </c>
      <c r="G3757" s="854">
        <f t="shared" si="543"/>
        <v>312</v>
      </c>
      <c r="H3757" s="643">
        <v>5</v>
      </c>
      <c r="I3757" s="643">
        <v>1</v>
      </c>
      <c r="J3757" s="744">
        <v>20</v>
      </c>
      <c r="K3757" s="792" t="s">
        <v>33</v>
      </c>
      <c r="L3757" s="740">
        <f t="shared" si="544"/>
        <v>905904.52</v>
      </c>
      <c r="M3757" s="741">
        <v>873600</v>
      </c>
      <c r="N3757" s="753">
        <v>24846</v>
      </c>
      <c r="O3757" s="743"/>
      <c r="P3757" s="742"/>
      <c r="Q3757" s="586">
        <v>7458.52</v>
      </c>
      <c r="R3757" s="744">
        <f t="shared" si="545"/>
        <v>2800</v>
      </c>
      <c r="S3757" s="575">
        <f t="shared" si="546"/>
        <v>1.8189894035458565E-11</v>
      </c>
      <c r="T3757" s="791"/>
      <c r="U3757" s="791"/>
      <c r="V3757" s="589"/>
      <c r="W3757" s="791"/>
      <c r="X3757" s="791"/>
      <c r="Y3757" s="791"/>
      <c r="Z3757" s="791"/>
    </row>
    <row r="3758" spans="1:26 16383:16383" s="99" customFormat="1" ht="37.5" hidden="1">
      <c r="A3758" s="735">
        <f t="shared" si="547"/>
        <v>3</v>
      </c>
      <c r="B3758" s="785" t="s">
        <v>2045</v>
      </c>
      <c r="C3758" s="814" t="s">
        <v>221</v>
      </c>
      <c r="D3758" s="854">
        <f>E3758*2.8</f>
        <v>2177.2799999999997</v>
      </c>
      <c r="E3758" s="854">
        <f>((20*I3758+12)*2)*H3758*2.7</f>
        <v>777.6</v>
      </c>
      <c r="F3758" s="789" t="s">
        <v>222</v>
      </c>
      <c r="G3758" s="854">
        <f t="shared" si="543"/>
        <v>936</v>
      </c>
      <c r="H3758" s="643">
        <v>2</v>
      </c>
      <c r="I3758" s="643">
        <v>3</v>
      </c>
      <c r="J3758" s="744">
        <v>12</v>
      </c>
      <c r="K3758" s="792" t="s">
        <v>33</v>
      </c>
      <c r="L3758" s="740">
        <f t="shared" si="544"/>
        <v>2194908.69</v>
      </c>
      <c r="M3758" s="741">
        <v>2155449</v>
      </c>
      <c r="N3758" s="753">
        <v>28851</v>
      </c>
      <c r="O3758" s="743"/>
      <c r="P3758" s="742"/>
      <c r="Q3758" s="586">
        <v>10608.69</v>
      </c>
      <c r="R3758" s="744">
        <f t="shared" si="545"/>
        <v>2302.8301282051284</v>
      </c>
      <c r="S3758" s="575">
        <f t="shared" si="546"/>
        <v>-5.6388671509921551E-11</v>
      </c>
      <c r="T3758" s="791"/>
      <c r="U3758" s="791"/>
      <c r="V3758" s="589"/>
      <c r="W3758" s="791"/>
      <c r="X3758" s="791"/>
      <c r="Y3758" s="791"/>
      <c r="Z3758" s="791"/>
    </row>
    <row r="3759" spans="1:26 16383:16383" s="99" customFormat="1" hidden="1">
      <c r="A3759" s="735">
        <f t="shared" si="547"/>
        <v>4</v>
      </c>
      <c r="B3759" s="785" t="s">
        <v>2046</v>
      </c>
      <c r="C3759" s="814" t="s">
        <v>221</v>
      </c>
      <c r="D3759" s="854">
        <f>E3759*2.8</f>
        <v>1607.1999999999998</v>
      </c>
      <c r="E3759" s="854">
        <v>574</v>
      </c>
      <c r="F3759" s="789" t="s">
        <v>222</v>
      </c>
      <c r="G3759" s="854">
        <f t="shared" si="543"/>
        <v>624</v>
      </c>
      <c r="H3759" s="643">
        <v>2</v>
      </c>
      <c r="I3759" s="643">
        <v>2</v>
      </c>
      <c r="J3759" s="643">
        <v>16</v>
      </c>
      <c r="K3759" s="855" t="s">
        <v>33</v>
      </c>
      <c r="L3759" s="740">
        <f t="shared" si="544"/>
        <v>1533161.65</v>
      </c>
      <c r="M3759" s="741">
        <v>1497600</v>
      </c>
      <c r="N3759" s="753">
        <v>27731</v>
      </c>
      <c r="O3759" s="743"/>
      <c r="P3759" s="742"/>
      <c r="Q3759" s="586">
        <v>7830.65</v>
      </c>
      <c r="R3759" s="744">
        <f t="shared" si="545"/>
        <v>2400</v>
      </c>
      <c r="S3759" s="575">
        <f t="shared" si="546"/>
        <v>-9.276845958083868E-11</v>
      </c>
      <c r="T3759" s="791"/>
      <c r="U3759" s="791"/>
      <c r="V3759" s="589"/>
      <c r="W3759" s="791"/>
      <c r="X3759" s="791"/>
      <c r="Y3759" s="791"/>
      <c r="Z3759" s="791"/>
    </row>
    <row r="3760" spans="1:26 16383:16383" s="99" customFormat="1" ht="37.5" hidden="1">
      <c r="A3760" s="735">
        <f t="shared" si="547"/>
        <v>5</v>
      </c>
      <c r="B3760" s="785" t="s">
        <v>2047</v>
      </c>
      <c r="C3760" s="814" t="s">
        <v>221</v>
      </c>
      <c r="D3760" s="854">
        <v>3705</v>
      </c>
      <c r="E3760" s="854">
        <f>((20*I3760+12)*2)*H3760*2.7</f>
        <v>777.6</v>
      </c>
      <c r="F3760" s="789" t="s">
        <v>222</v>
      </c>
      <c r="G3760" s="854">
        <f t="shared" si="543"/>
        <v>936</v>
      </c>
      <c r="H3760" s="643">
        <v>2</v>
      </c>
      <c r="I3760" s="643">
        <v>3</v>
      </c>
      <c r="J3760" s="643">
        <v>22</v>
      </c>
      <c r="K3760" s="792" t="s">
        <v>33</v>
      </c>
      <c r="L3760" s="740">
        <f t="shared" si="544"/>
        <v>2295564.29</v>
      </c>
      <c r="M3760" s="741">
        <v>2246400</v>
      </c>
      <c r="N3760" s="753">
        <v>31113</v>
      </c>
      <c r="O3760" s="743"/>
      <c r="P3760" s="742"/>
      <c r="Q3760" s="586">
        <v>18051.29</v>
      </c>
      <c r="R3760" s="744">
        <f t="shared" si="545"/>
        <v>2400</v>
      </c>
      <c r="S3760" s="575">
        <f t="shared" si="546"/>
        <v>3.637978807091713E-11</v>
      </c>
      <c r="T3760" s="793"/>
      <c r="U3760" s="791"/>
      <c r="V3760" s="589"/>
      <c r="W3760" s="791"/>
      <c r="X3760" s="791"/>
      <c r="Y3760" s="791"/>
      <c r="Z3760" s="791"/>
    </row>
    <row r="3761" spans="1:26" s="99" customFormat="1" ht="37.5" hidden="1">
      <c r="A3761" s="735">
        <f t="shared" si="547"/>
        <v>6</v>
      </c>
      <c r="B3761" s="785" t="s">
        <v>2048</v>
      </c>
      <c r="C3761" s="814" t="s">
        <v>221</v>
      </c>
      <c r="D3761" s="854">
        <v>3316.95</v>
      </c>
      <c r="E3761" s="854">
        <f>((20*I3761+12)*2)*H3761*2.7</f>
        <v>561.6</v>
      </c>
      <c r="F3761" s="789" t="s">
        <v>222</v>
      </c>
      <c r="G3761" s="854">
        <f t="shared" si="543"/>
        <v>624</v>
      </c>
      <c r="H3761" s="643">
        <v>2</v>
      </c>
      <c r="I3761" s="643">
        <v>2</v>
      </c>
      <c r="J3761" s="643">
        <v>16</v>
      </c>
      <c r="K3761" s="792" t="s">
        <v>33</v>
      </c>
      <c r="L3761" s="740">
        <f t="shared" si="544"/>
        <v>1546280</v>
      </c>
      <c r="M3761" s="741">
        <v>1497600</v>
      </c>
      <c r="N3761" s="753">
        <v>30570</v>
      </c>
      <c r="O3761" s="743"/>
      <c r="P3761" s="742"/>
      <c r="Q3761" s="586">
        <v>18110</v>
      </c>
      <c r="R3761" s="744">
        <f t="shared" si="545"/>
        <v>2400</v>
      </c>
      <c r="S3761" s="575">
        <f t="shared" si="546"/>
        <v>0</v>
      </c>
      <c r="T3761" s="793"/>
      <c r="U3761" s="791"/>
      <c r="V3761" s="589"/>
      <c r="W3761" s="791"/>
      <c r="X3761" s="791"/>
      <c r="Y3761" s="791"/>
      <c r="Z3761" s="791"/>
    </row>
    <row r="3762" spans="1:26" s="99" customFormat="1" hidden="1">
      <c r="A3762" s="735">
        <f t="shared" si="547"/>
        <v>7</v>
      </c>
      <c r="B3762" s="592" t="s">
        <v>2049</v>
      </c>
      <c r="C3762" s="744" t="s">
        <v>221</v>
      </c>
      <c r="D3762" s="646">
        <v>3664</v>
      </c>
      <c r="E3762" s="646">
        <v>658</v>
      </c>
      <c r="F3762" s="789" t="s">
        <v>222</v>
      </c>
      <c r="G3762" s="646">
        <v>700.8</v>
      </c>
      <c r="H3762" s="582">
        <v>2</v>
      </c>
      <c r="I3762" s="582">
        <v>1</v>
      </c>
      <c r="J3762" s="582">
        <v>37</v>
      </c>
      <c r="K3762" s="792" t="s">
        <v>33</v>
      </c>
      <c r="L3762" s="584">
        <f t="shared" si="544"/>
        <v>1800865.29</v>
      </c>
      <c r="M3762" s="866">
        <v>1752000</v>
      </c>
      <c r="N3762" s="675">
        <v>31013</v>
      </c>
      <c r="O3762" s="598"/>
      <c r="P3762" s="597"/>
      <c r="Q3762" s="586">
        <v>17852.29</v>
      </c>
      <c r="R3762" s="744">
        <f t="shared" si="545"/>
        <v>2500</v>
      </c>
      <c r="S3762" s="575">
        <f t="shared" si="546"/>
        <v>3.637978807091713E-11</v>
      </c>
      <c r="T3762" s="738"/>
      <c r="U3762" s="758"/>
      <c r="V3762" s="589"/>
      <c r="W3762" s="791"/>
      <c r="X3762" s="791"/>
      <c r="Y3762" s="791"/>
      <c r="Z3762" s="791"/>
    </row>
    <row r="3763" spans="1:26" s="99" customFormat="1" hidden="1">
      <c r="A3763" s="735">
        <f t="shared" si="547"/>
        <v>8</v>
      </c>
      <c r="B3763" s="785" t="s">
        <v>2050</v>
      </c>
      <c r="C3763" s="814" t="s">
        <v>217</v>
      </c>
      <c r="D3763" s="854">
        <v>2834</v>
      </c>
      <c r="E3763" s="854">
        <v>603.4</v>
      </c>
      <c r="F3763" s="789" t="s">
        <v>222</v>
      </c>
      <c r="G3763" s="854">
        <v>618</v>
      </c>
      <c r="H3763" s="643">
        <v>2</v>
      </c>
      <c r="I3763" s="643">
        <v>2</v>
      </c>
      <c r="J3763" s="643">
        <v>16</v>
      </c>
      <c r="K3763" s="792" t="s">
        <v>33</v>
      </c>
      <c r="L3763" s="740">
        <f t="shared" si="544"/>
        <v>1588179.62</v>
      </c>
      <c r="M3763" s="741">
        <v>1545000</v>
      </c>
      <c r="N3763" s="753">
        <v>29372</v>
      </c>
      <c r="O3763" s="743"/>
      <c r="P3763" s="742"/>
      <c r="Q3763" s="586">
        <v>13807.62</v>
      </c>
      <c r="R3763" s="744">
        <f t="shared" si="545"/>
        <v>2500</v>
      </c>
      <c r="S3763" s="575">
        <f t="shared" si="546"/>
        <v>1.1095835361629725E-10</v>
      </c>
      <c r="T3763" s="793"/>
      <c r="U3763" s="791"/>
      <c r="V3763" s="589"/>
      <c r="W3763" s="791"/>
      <c r="X3763" s="791"/>
      <c r="Y3763" s="791"/>
      <c r="Z3763" s="791"/>
    </row>
    <row r="3764" spans="1:26" s="100" customFormat="1" hidden="1">
      <c r="A3764" s="735">
        <f t="shared" si="547"/>
        <v>9</v>
      </c>
      <c r="B3764" s="785" t="s">
        <v>2051</v>
      </c>
      <c r="C3764" s="814" t="s">
        <v>221</v>
      </c>
      <c r="D3764" s="854">
        <v>2264</v>
      </c>
      <c r="E3764" s="854">
        <v>418</v>
      </c>
      <c r="F3764" s="789" t="s">
        <v>222</v>
      </c>
      <c r="G3764" s="854">
        <v>426</v>
      </c>
      <c r="H3764" s="643">
        <v>2</v>
      </c>
      <c r="I3764" s="643">
        <v>1</v>
      </c>
      <c r="J3764" s="643">
        <v>8</v>
      </c>
      <c r="K3764" s="855" t="s">
        <v>38</v>
      </c>
      <c r="L3764" s="740">
        <f t="shared" si="544"/>
        <v>778945.8</v>
      </c>
      <c r="M3764" s="741">
        <v>752400</v>
      </c>
      <c r="N3764" s="742"/>
      <c r="O3764" s="1054">
        <v>12180</v>
      </c>
      <c r="P3764" s="742"/>
      <c r="Q3764" s="586">
        <v>14365.8</v>
      </c>
      <c r="R3764" s="599">
        <f>M3764/E3764</f>
        <v>1800</v>
      </c>
      <c r="S3764" s="575">
        <f t="shared" si="546"/>
        <v>4.7293724492192268E-11</v>
      </c>
      <c r="T3764" s="793"/>
      <c r="U3764" s="871"/>
      <c r="V3764" s="589"/>
      <c r="W3764" s="871"/>
      <c r="X3764" s="871"/>
      <c r="Y3764" s="871"/>
      <c r="Z3764" s="871"/>
    </row>
    <row r="3765" spans="1:26" s="100" customFormat="1" ht="37.5" hidden="1">
      <c r="A3765" s="735">
        <f t="shared" si="547"/>
        <v>10</v>
      </c>
      <c r="B3765" s="785" t="s">
        <v>2052</v>
      </c>
      <c r="C3765" s="814" t="s">
        <v>221</v>
      </c>
      <c r="D3765" s="619">
        <v>2090</v>
      </c>
      <c r="E3765" s="854">
        <v>840</v>
      </c>
      <c r="F3765" s="854" t="s">
        <v>230</v>
      </c>
      <c r="G3765" s="854">
        <f>(20*I3765)*12*1.3</f>
        <v>624</v>
      </c>
      <c r="H3765" s="643">
        <v>2</v>
      </c>
      <c r="I3765" s="643">
        <v>2</v>
      </c>
      <c r="J3765" s="643">
        <v>12</v>
      </c>
      <c r="K3765" s="855" t="s">
        <v>38</v>
      </c>
      <c r="L3765" s="740">
        <f t="shared" si="544"/>
        <v>1537460.36</v>
      </c>
      <c r="M3765" s="741">
        <v>1512000</v>
      </c>
      <c r="N3765" s="742"/>
      <c r="O3765" s="1054">
        <v>12199</v>
      </c>
      <c r="P3765" s="742"/>
      <c r="Q3765" s="586">
        <v>13261.36</v>
      </c>
      <c r="R3765" s="599">
        <f>M3765/E3765</f>
        <v>1800</v>
      </c>
      <c r="S3765" s="575">
        <f t="shared" si="546"/>
        <v>1.0186340659856796E-10</v>
      </c>
      <c r="T3765" s="793"/>
      <c r="U3765" s="871"/>
      <c r="V3765" s="589"/>
      <c r="W3765" s="871"/>
      <c r="X3765" s="871"/>
      <c r="Y3765" s="871"/>
      <c r="Z3765" s="871"/>
    </row>
    <row r="3766" spans="1:26" s="100" customFormat="1" ht="37.5" hidden="1">
      <c r="A3766" s="735">
        <f t="shared" si="547"/>
        <v>11</v>
      </c>
      <c r="B3766" s="785" t="s">
        <v>2053</v>
      </c>
      <c r="C3766" s="814" t="s">
        <v>217</v>
      </c>
      <c r="D3766" s="619">
        <v>3553</v>
      </c>
      <c r="E3766" s="854">
        <v>950</v>
      </c>
      <c r="F3766" s="789" t="s">
        <v>222</v>
      </c>
      <c r="G3766" s="854">
        <v>700</v>
      </c>
      <c r="H3766" s="643">
        <v>2</v>
      </c>
      <c r="I3766" s="643">
        <v>2</v>
      </c>
      <c r="J3766" s="643">
        <v>16</v>
      </c>
      <c r="K3766" s="792" t="s">
        <v>33</v>
      </c>
      <c r="L3766" s="740">
        <f t="shared" si="544"/>
        <v>1728052.01</v>
      </c>
      <c r="M3766" s="741">
        <v>1680000</v>
      </c>
      <c r="N3766" s="753">
        <v>30741</v>
      </c>
      <c r="O3766" s="743"/>
      <c r="P3766" s="742"/>
      <c r="Q3766" s="586">
        <v>17311.009999999998</v>
      </c>
      <c r="R3766" s="744">
        <f>M3766/G3766</f>
        <v>2400</v>
      </c>
      <c r="S3766" s="575">
        <f t="shared" si="546"/>
        <v>0</v>
      </c>
      <c r="T3766" s="793"/>
      <c r="U3766" s="871"/>
      <c r="V3766" s="589"/>
      <c r="W3766" s="871"/>
      <c r="X3766" s="871"/>
      <c r="Y3766" s="871"/>
      <c r="Z3766" s="871"/>
    </row>
    <row r="3767" spans="1:26" s="99" customFormat="1" ht="37.5" hidden="1">
      <c r="A3767" s="735">
        <f t="shared" si="547"/>
        <v>12</v>
      </c>
      <c r="B3767" s="785" t="s">
        <v>2054</v>
      </c>
      <c r="C3767" s="814" t="s">
        <v>221</v>
      </c>
      <c r="D3767" s="854">
        <v>1285.1999999999998</v>
      </c>
      <c r="E3767" s="868">
        <v>459</v>
      </c>
      <c r="F3767" s="789" t="s">
        <v>222</v>
      </c>
      <c r="G3767" s="868">
        <v>437</v>
      </c>
      <c r="H3767" s="643">
        <v>2</v>
      </c>
      <c r="I3767" s="643">
        <v>1</v>
      </c>
      <c r="J3767" s="869">
        <v>8</v>
      </c>
      <c r="K3767" s="855" t="s">
        <v>38</v>
      </c>
      <c r="L3767" s="740">
        <f t="shared" si="544"/>
        <v>846436.02</v>
      </c>
      <c r="M3767" s="741">
        <v>826200</v>
      </c>
      <c r="N3767" s="742"/>
      <c r="O3767" s="1054">
        <v>12081</v>
      </c>
      <c r="P3767" s="742"/>
      <c r="Q3767" s="586">
        <v>8155.02</v>
      </c>
      <c r="R3767" s="599">
        <f>M3767/E3767</f>
        <v>1800</v>
      </c>
      <c r="S3767" s="575">
        <f t="shared" si="546"/>
        <v>1.8189894035458565E-11</v>
      </c>
      <c r="T3767" s="793"/>
      <c r="U3767" s="791"/>
      <c r="V3767" s="589"/>
      <c r="W3767" s="791"/>
      <c r="X3767" s="791"/>
      <c r="Y3767" s="791"/>
      <c r="Z3767" s="791"/>
    </row>
    <row r="3768" spans="1:26" s="100" customFormat="1" ht="37.5" hidden="1">
      <c r="A3768" s="735">
        <f t="shared" si="547"/>
        <v>13</v>
      </c>
      <c r="B3768" s="785" t="s">
        <v>2055</v>
      </c>
      <c r="C3768" s="814" t="s">
        <v>221</v>
      </c>
      <c r="D3768" s="854">
        <v>1285.1999999999998</v>
      </c>
      <c r="E3768" s="854">
        <v>459</v>
      </c>
      <c r="F3768" s="789" t="s">
        <v>222</v>
      </c>
      <c r="G3768" s="854">
        <v>435</v>
      </c>
      <c r="H3768" s="643">
        <v>2</v>
      </c>
      <c r="I3768" s="643">
        <v>1</v>
      </c>
      <c r="J3768" s="643">
        <v>8</v>
      </c>
      <c r="K3768" s="792" t="s">
        <v>33</v>
      </c>
      <c r="L3768" s="740">
        <f t="shared" si="544"/>
        <v>1077491.54</v>
      </c>
      <c r="M3768" s="741">
        <v>1044000</v>
      </c>
      <c r="N3768" s="753">
        <v>27230</v>
      </c>
      <c r="O3768" s="743"/>
      <c r="P3768" s="742"/>
      <c r="Q3768" s="586">
        <v>6261.54</v>
      </c>
      <c r="R3768" s="744">
        <f>M3768/G3768</f>
        <v>2400</v>
      </c>
      <c r="S3768" s="575">
        <f t="shared" si="546"/>
        <v>3.7289282772690058E-11</v>
      </c>
      <c r="T3768" s="793"/>
      <c r="U3768" s="871"/>
      <c r="V3768" s="589"/>
      <c r="W3768" s="871"/>
      <c r="X3768" s="871"/>
      <c r="Y3768" s="871"/>
      <c r="Z3768" s="871"/>
    </row>
    <row r="3769" spans="1:26" s="100" customFormat="1" ht="37.5" hidden="1">
      <c r="A3769" s="735">
        <f t="shared" si="547"/>
        <v>14</v>
      </c>
      <c r="B3769" s="785" t="s">
        <v>2056</v>
      </c>
      <c r="C3769" s="814" t="s">
        <v>221</v>
      </c>
      <c r="D3769" s="854">
        <v>1285.1999999999998</v>
      </c>
      <c r="E3769" s="854">
        <v>459</v>
      </c>
      <c r="F3769" s="854" t="s">
        <v>230</v>
      </c>
      <c r="G3769" s="854">
        <v>437</v>
      </c>
      <c r="H3769" s="643">
        <v>2</v>
      </c>
      <c r="I3769" s="643">
        <v>2</v>
      </c>
      <c r="J3769" s="643">
        <v>12</v>
      </c>
      <c r="K3769" s="855" t="s">
        <v>38</v>
      </c>
      <c r="L3769" s="740">
        <f t="shared" si="544"/>
        <v>846436.02</v>
      </c>
      <c r="M3769" s="741">
        <v>826200</v>
      </c>
      <c r="N3769" s="742"/>
      <c r="O3769" s="1054">
        <v>12081</v>
      </c>
      <c r="P3769" s="742"/>
      <c r="Q3769" s="586">
        <v>8155.02</v>
      </c>
      <c r="R3769" s="599">
        <f>M3769/E3769</f>
        <v>1800</v>
      </c>
      <c r="S3769" s="575">
        <f t="shared" si="546"/>
        <v>1.8189894035458565E-11</v>
      </c>
      <c r="T3769" s="793"/>
      <c r="U3769" s="871"/>
      <c r="V3769" s="589"/>
      <c r="W3769" s="871"/>
      <c r="X3769" s="871"/>
      <c r="Y3769" s="871"/>
      <c r="Z3769" s="871"/>
    </row>
    <row r="3770" spans="1:26" s="100" customFormat="1" ht="37.5" hidden="1">
      <c r="A3770" s="735">
        <f t="shared" si="547"/>
        <v>15</v>
      </c>
      <c r="B3770" s="785" t="s">
        <v>3795</v>
      </c>
      <c r="C3770" s="814" t="s">
        <v>221</v>
      </c>
      <c r="D3770" s="854">
        <v>2573</v>
      </c>
      <c r="E3770" s="854">
        <v>345.6</v>
      </c>
      <c r="F3770" s="854" t="s">
        <v>222</v>
      </c>
      <c r="G3770" s="854">
        <v>577.20000000000005</v>
      </c>
      <c r="H3770" s="643">
        <v>2</v>
      </c>
      <c r="I3770" s="643">
        <v>1</v>
      </c>
      <c r="J3770" s="643">
        <v>45</v>
      </c>
      <c r="K3770" s="855" t="s">
        <v>238</v>
      </c>
      <c r="L3770" s="740">
        <f t="shared" si="544"/>
        <v>1381878.04</v>
      </c>
      <c r="M3770" s="741">
        <v>1350000</v>
      </c>
      <c r="N3770" s="675">
        <v>24921</v>
      </c>
      <c r="O3770" s="598"/>
      <c r="P3770" s="597"/>
      <c r="Q3770" s="586">
        <v>6957.04</v>
      </c>
      <c r="R3770" s="744">
        <v>30000</v>
      </c>
      <c r="S3770" s="575">
        <f t="shared" si="546"/>
        <v>3.7289282772690058E-11</v>
      </c>
      <c r="T3770" s="793"/>
      <c r="U3770" s="871"/>
      <c r="V3770" s="589"/>
      <c r="W3770" s="871"/>
      <c r="X3770" s="871"/>
      <c r="Y3770" s="871"/>
      <c r="Z3770" s="871"/>
    </row>
    <row r="3771" spans="1:26" s="28" customFormat="1" hidden="1">
      <c r="A3771" s="1349" t="s">
        <v>134</v>
      </c>
      <c r="B3771" s="1349"/>
      <c r="C3771" s="593" t="s">
        <v>28</v>
      </c>
      <c r="D3771" s="646">
        <f>SUM(D3756:D3770)</f>
        <v>35994.589999999997</v>
      </c>
      <c r="E3771" s="646">
        <f>SUM(E3756:E3770)</f>
        <v>9438</v>
      </c>
      <c r="F3771" s="646" t="s">
        <v>28</v>
      </c>
      <c r="G3771" s="646">
        <f>SUM(G3756:G3770)</f>
        <v>8699</v>
      </c>
      <c r="H3771" s="582" t="s">
        <v>28</v>
      </c>
      <c r="I3771" s="582" t="s">
        <v>28</v>
      </c>
      <c r="J3771" s="582">
        <f>SUM(J3756:J3770)</f>
        <v>264</v>
      </c>
      <c r="K3771" s="590" t="s">
        <v>28</v>
      </c>
      <c r="L3771" s="584">
        <f>SUM(L3756:L3770)</f>
        <v>20965639.870000001</v>
      </c>
      <c r="M3771" s="585">
        <f>SUM(M3756:M3770)</f>
        <v>20432049</v>
      </c>
      <c r="N3771" s="586">
        <f>SUM(N3756:N3770)</f>
        <v>310898</v>
      </c>
      <c r="O3771" s="587">
        <f>SUM(O3756:O3770)</f>
        <v>48541</v>
      </c>
      <c r="P3771" s="586"/>
      <c r="Q3771" s="586">
        <f>SUM(Q3756:Q3770)</f>
        <v>174151.87000000002</v>
      </c>
      <c r="R3771" s="582" t="s">
        <v>28</v>
      </c>
      <c r="S3771" s="592"/>
      <c r="T3771" s="645"/>
      <c r="U3771" s="1059"/>
      <c r="V3771" s="592"/>
      <c r="W3771" s="592"/>
      <c r="X3771" s="592"/>
      <c r="Y3771" s="592"/>
      <c r="Z3771" s="592"/>
    </row>
    <row r="3772" spans="1:26" s="28" customFormat="1" hidden="1">
      <c r="A3772" s="1347" t="s">
        <v>84</v>
      </c>
      <c r="B3772" s="1347"/>
      <c r="C3772" s="1347"/>
      <c r="D3772" s="1347"/>
      <c r="E3772" s="1347"/>
      <c r="F3772" s="1347"/>
      <c r="G3772" s="1347"/>
      <c r="H3772" s="1347"/>
      <c r="I3772" s="1347"/>
      <c r="J3772" s="1347"/>
      <c r="K3772" s="1347"/>
      <c r="L3772" s="1347"/>
      <c r="M3772" s="1347"/>
      <c r="N3772" s="1347"/>
      <c r="O3772" s="1347"/>
      <c r="P3772" s="1347"/>
      <c r="Q3772" s="1347"/>
      <c r="R3772" s="590"/>
      <c r="S3772" s="592"/>
      <c r="T3772" s="645"/>
      <c r="U3772" s="1059"/>
      <c r="V3772" s="592"/>
      <c r="W3772" s="592"/>
      <c r="X3772" s="592"/>
      <c r="Y3772" s="592"/>
      <c r="Z3772" s="592"/>
    </row>
    <row r="3773" spans="1:26" s="28" customFormat="1" hidden="1">
      <c r="A3773" s="667">
        <v>1</v>
      </c>
      <c r="B3773" s="592" t="s">
        <v>3011</v>
      </c>
      <c r="C3773" s="744" t="s">
        <v>221</v>
      </c>
      <c r="D3773" s="646">
        <v>5625</v>
      </c>
      <c r="E3773" s="646">
        <v>1179.32</v>
      </c>
      <c r="F3773" s="646" t="s">
        <v>228</v>
      </c>
      <c r="G3773" s="646">
        <v>1118</v>
      </c>
      <c r="H3773" s="582">
        <v>2</v>
      </c>
      <c r="I3773" s="582">
        <v>4</v>
      </c>
      <c r="J3773" s="582">
        <v>24</v>
      </c>
      <c r="K3773" s="590" t="s">
        <v>246</v>
      </c>
      <c r="L3773" s="740">
        <f>M3773+N3773+O3773+P3773+Q3773</f>
        <v>2174571</v>
      </c>
      <c r="M3773" s="741">
        <f>E3773*1800</f>
        <v>2122776</v>
      </c>
      <c r="N3773" s="742"/>
      <c r="O3773" s="736">
        <f>ROUND(M3773*0.3%,0)</f>
        <v>6368</v>
      </c>
      <c r="P3773" s="742"/>
      <c r="Q3773" s="586">
        <f>ROUND(M3773*2.14%,0)</f>
        <v>45427</v>
      </c>
      <c r="R3773" s="599">
        <f>M3773/E3773</f>
        <v>1800</v>
      </c>
      <c r="S3773" s="592"/>
      <c r="T3773" s="645"/>
      <c r="U3773" s="1059"/>
      <c r="V3773" s="592"/>
      <c r="W3773" s="592"/>
      <c r="X3773" s="592"/>
      <c r="Y3773" s="592"/>
      <c r="Z3773" s="592"/>
    </row>
    <row r="3774" spans="1:26" s="28" customFormat="1" hidden="1">
      <c r="A3774" s="590">
        <f>A3773+1</f>
        <v>2</v>
      </c>
      <c r="B3774" s="592" t="s">
        <v>3013</v>
      </c>
      <c r="C3774" s="814" t="s">
        <v>217</v>
      </c>
      <c r="D3774" s="646">
        <f>E3774*2.95</f>
        <v>1622.5</v>
      </c>
      <c r="E3774" s="646">
        <v>550</v>
      </c>
      <c r="F3774" s="646" t="s">
        <v>228</v>
      </c>
      <c r="G3774" s="646">
        <v>594</v>
      </c>
      <c r="H3774" s="599">
        <v>2</v>
      </c>
      <c r="I3774" s="599">
        <v>1</v>
      </c>
      <c r="J3774" s="582">
        <v>18</v>
      </c>
      <c r="K3774" s="590" t="s">
        <v>245</v>
      </c>
      <c r="L3774" s="584">
        <f>M3774+N3774+O3774+P3774+Q3774</f>
        <v>368784</v>
      </c>
      <c r="M3774" s="596">
        <f>J3774*20000</f>
        <v>360000</v>
      </c>
      <c r="N3774" s="597"/>
      <c r="O3774" s="736">
        <f>ROUND(M3774*0.3%,0)</f>
        <v>1080</v>
      </c>
      <c r="P3774" s="597"/>
      <c r="Q3774" s="586">
        <f>ROUND(M3774*2.14%,0)</f>
        <v>7704</v>
      </c>
      <c r="R3774" s="582">
        <f>M3774/J3774</f>
        <v>20000</v>
      </c>
      <c r="S3774" s="592"/>
      <c r="T3774" s="645"/>
      <c r="U3774" s="1059"/>
      <c r="V3774" s="592"/>
      <c r="W3774" s="592"/>
      <c r="X3774" s="592"/>
      <c r="Y3774" s="592"/>
      <c r="Z3774" s="592"/>
    </row>
    <row r="3775" spans="1:26" s="28" customFormat="1" hidden="1">
      <c r="A3775" s="590">
        <f>A3774+1</f>
        <v>3</v>
      </c>
      <c r="B3775" s="592" t="s">
        <v>3015</v>
      </c>
      <c r="C3775" s="744" t="s">
        <v>221</v>
      </c>
      <c r="D3775" s="646">
        <f>E3775*2.95</f>
        <v>855.5</v>
      </c>
      <c r="E3775" s="646">
        <v>290</v>
      </c>
      <c r="F3775" s="646" t="s">
        <v>228</v>
      </c>
      <c r="G3775" s="646">
        <v>544</v>
      </c>
      <c r="H3775" s="582">
        <v>2</v>
      </c>
      <c r="I3775" s="582">
        <v>1</v>
      </c>
      <c r="J3775" s="582">
        <v>15</v>
      </c>
      <c r="K3775" s="1067" t="s">
        <v>224</v>
      </c>
      <c r="L3775" s="740">
        <f>M3775+N3775+O3775+P3775+Q3775</f>
        <v>363462</v>
      </c>
      <c r="M3775" s="741">
        <f>J3775*22000</f>
        <v>330000</v>
      </c>
      <c r="N3775" s="742">
        <f>M3775*0.08</f>
        <v>26400</v>
      </c>
      <c r="O3775" s="743"/>
      <c r="P3775" s="742"/>
      <c r="Q3775" s="586">
        <f>ROUND(M3775*2.14%,0)</f>
        <v>7062</v>
      </c>
      <c r="R3775" s="744">
        <f>M3775/J3775</f>
        <v>22000</v>
      </c>
      <c r="S3775" s="592"/>
      <c r="T3775" s="645"/>
      <c r="U3775" s="1059"/>
      <c r="V3775" s="592"/>
      <c r="W3775" s="592"/>
      <c r="X3775" s="592"/>
      <c r="Y3775" s="592"/>
      <c r="Z3775" s="592"/>
    </row>
    <row r="3776" spans="1:26" s="28" customFormat="1" hidden="1">
      <c r="A3776" s="590">
        <f>A3775+1</f>
        <v>4</v>
      </c>
      <c r="B3776" s="592" t="s">
        <v>3676</v>
      </c>
      <c r="C3776" s="744" t="s">
        <v>221</v>
      </c>
      <c r="D3776" s="646">
        <v>3072.4800000000005</v>
      </c>
      <c r="E3776" s="646">
        <v>592.80000000000007</v>
      </c>
      <c r="F3776" s="646" t="s">
        <v>228</v>
      </c>
      <c r="G3776" s="646">
        <v>665.70400000000006</v>
      </c>
      <c r="H3776" s="582">
        <v>2</v>
      </c>
      <c r="I3776" s="582">
        <v>2</v>
      </c>
      <c r="J3776" s="582">
        <v>16</v>
      </c>
      <c r="K3776" s="1067" t="s">
        <v>224</v>
      </c>
      <c r="L3776" s="740">
        <f>M3776+N3776+O3776+P3776+Q3776</f>
        <v>380653</v>
      </c>
      <c r="M3776" s="741">
        <v>352000</v>
      </c>
      <c r="N3776" s="742">
        <v>21120</v>
      </c>
      <c r="O3776" s="743"/>
      <c r="P3776" s="742"/>
      <c r="Q3776" s="586">
        <v>7533</v>
      </c>
      <c r="R3776" s="744">
        <f>M3776/J3776</f>
        <v>22000</v>
      </c>
      <c r="S3776" s="592"/>
      <c r="T3776" s="645"/>
      <c r="U3776" s="1059"/>
      <c r="V3776" s="592"/>
      <c r="W3776" s="592"/>
      <c r="X3776" s="592"/>
      <c r="Y3776" s="592"/>
      <c r="Z3776" s="592"/>
    </row>
    <row r="3777" spans="1:26" s="28" customFormat="1" hidden="1">
      <c r="A3777" s="590">
        <f>A3776+1</f>
        <v>5</v>
      </c>
      <c r="B3777" s="592" t="s">
        <v>3677</v>
      </c>
      <c r="C3777" s="744" t="s">
        <v>221</v>
      </c>
      <c r="D3777" s="646">
        <v>4147.2</v>
      </c>
      <c r="E3777" s="646">
        <v>856.80000000000007</v>
      </c>
      <c r="F3777" s="646" t="s">
        <v>228</v>
      </c>
      <c r="G3777" s="646">
        <v>784</v>
      </c>
      <c r="H3777" s="582">
        <v>3</v>
      </c>
      <c r="I3777" s="582">
        <v>3</v>
      </c>
      <c r="J3777" s="582">
        <v>36</v>
      </c>
      <c r="K3777" s="1067" t="s">
        <v>224</v>
      </c>
      <c r="L3777" s="740">
        <f>M3777+N3777+O3777+P3777+Q3777</f>
        <v>836669</v>
      </c>
      <c r="M3777" s="741">
        <v>792000</v>
      </c>
      <c r="N3777" s="742">
        <v>27720.000000000004</v>
      </c>
      <c r="O3777" s="743"/>
      <c r="P3777" s="742"/>
      <c r="Q3777" s="586">
        <v>16949</v>
      </c>
      <c r="R3777" s="744">
        <f>M3777/J3777</f>
        <v>22000</v>
      </c>
      <c r="S3777" s="592"/>
      <c r="T3777" s="645"/>
      <c r="U3777" s="1059"/>
      <c r="V3777" s="592"/>
      <c r="W3777" s="592"/>
      <c r="X3777" s="592"/>
      <c r="Y3777" s="592"/>
      <c r="Z3777" s="592"/>
    </row>
    <row r="3778" spans="1:26" s="28" customFormat="1" hidden="1">
      <c r="A3778" s="1349" t="s">
        <v>135</v>
      </c>
      <c r="B3778" s="1349"/>
      <c r="C3778" s="593" t="s">
        <v>28</v>
      </c>
      <c r="D3778" s="646">
        <f>SUM(D3773:D3777)</f>
        <v>15322.68</v>
      </c>
      <c r="E3778" s="646">
        <f>SUM(E3773:E3777)</f>
        <v>3468.92</v>
      </c>
      <c r="F3778" s="646" t="s">
        <v>28</v>
      </c>
      <c r="G3778" s="646">
        <f>SUM(G3773:G3777)</f>
        <v>3705.7040000000002</v>
      </c>
      <c r="H3778" s="582" t="s">
        <v>28</v>
      </c>
      <c r="I3778" s="582" t="s">
        <v>28</v>
      </c>
      <c r="J3778" s="582">
        <f>SUM(J3773:J3777)</f>
        <v>109</v>
      </c>
      <c r="K3778" s="590" t="s">
        <v>28</v>
      </c>
      <c r="L3778" s="584">
        <f>SUM(L3773:L3777)</f>
        <v>4124139</v>
      </c>
      <c r="M3778" s="585">
        <f>SUM(M3773:M3777)</f>
        <v>3956776</v>
      </c>
      <c r="N3778" s="586">
        <f>SUM(N3773:N3777)</f>
        <v>75240</v>
      </c>
      <c r="O3778" s="587">
        <f>SUM(O3773:O3777)</f>
        <v>7448</v>
      </c>
      <c r="P3778" s="586"/>
      <c r="Q3778" s="586">
        <f>SUM(Q3773:Q3777)</f>
        <v>84675</v>
      </c>
      <c r="R3778" s="582" t="s">
        <v>28</v>
      </c>
      <c r="S3778" s="592"/>
      <c r="T3778" s="645"/>
      <c r="U3778" s="1059"/>
      <c r="V3778" s="592"/>
      <c r="W3778" s="592"/>
      <c r="X3778" s="592"/>
      <c r="Y3778" s="592"/>
      <c r="Z3778" s="592"/>
    </row>
    <row r="3779" spans="1:26" s="28" customFormat="1" hidden="1">
      <c r="A3779" s="1347" t="s">
        <v>85</v>
      </c>
      <c r="B3779" s="1347"/>
      <c r="C3779" s="1347"/>
      <c r="D3779" s="1347"/>
      <c r="E3779" s="1347"/>
      <c r="F3779" s="1347"/>
      <c r="G3779" s="1347"/>
      <c r="H3779" s="1347"/>
      <c r="I3779" s="1347"/>
      <c r="J3779" s="1347"/>
      <c r="K3779" s="1347"/>
      <c r="L3779" s="1347"/>
      <c r="M3779" s="1347"/>
      <c r="N3779" s="1347"/>
      <c r="O3779" s="1347"/>
      <c r="P3779" s="1347"/>
      <c r="Q3779" s="1347"/>
      <c r="R3779" s="590"/>
      <c r="S3779" s="592"/>
      <c r="T3779" s="645"/>
      <c r="U3779" s="1059"/>
      <c r="V3779" s="592"/>
      <c r="W3779" s="592"/>
      <c r="X3779" s="592"/>
      <c r="Y3779" s="592"/>
      <c r="Z3779" s="592"/>
    </row>
    <row r="3780" spans="1:26" s="530" customFormat="1" hidden="1">
      <c r="A3780" s="792">
        <v>1</v>
      </c>
      <c r="B3780" s="788" t="s">
        <v>3016</v>
      </c>
      <c r="C3780" s="744" t="s">
        <v>221</v>
      </c>
      <c r="D3780" s="789">
        <v>3704</v>
      </c>
      <c r="E3780" s="789">
        <v>273.3</v>
      </c>
      <c r="F3780" s="789" t="s">
        <v>227</v>
      </c>
      <c r="G3780" s="789">
        <v>793.5</v>
      </c>
      <c r="H3780" s="744">
        <v>2</v>
      </c>
      <c r="I3780" s="744">
        <v>2</v>
      </c>
      <c r="J3780" s="744">
        <v>16</v>
      </c>
      <c r="K3780" s="792" t="s">
        <v>261</v>
      </c>
      <c r="L3780" s="740">
        <f t="shared" ref="L3780:L3788" si="548">M3780+N3780+O3780+P3780+Q3780</f>
        <v>3273664</v>
      </c>
      <c r="M3780" s="741">
        <v>3174000</v>
      </c>
      <c r="N3780" s="742">
        <v>31740</v>
      </c>
      <c r="O3780" s="743"/>
      <c r="P3780" s="742"/>
      <c r="Q3780" s="586">
        <v>67924</v>
      </c>
      <c r="R3780" s="582">
        <f t="shared" ref="R3780:R3788" si="549">M3780/G3780</f>
        <v>4000</v>
      </c>
      <c r="S3780" s="788"/>
      <c r="T3780" s="788"/>
      <c r="U3780" s="1059"/>
      <c r="V3780" s="788"/>
      <c r="W3780" s="788"/>
      <c r="X3780" s="788"/>
      <c r="Y3780" s="788"/>
      <c r="Z3780" s="788"/>
    </row>
    <row r="3781" spans="1:26" s="530" customFormat="1" hidden="1">
      <c r="A3781" s="792">
        <f t="shared" ref="A3781:A3788" si="550">A3780+1</f>
        <v>2</v>
      </c>
      <c r="B3781" s="788" t="s">
        <v>3017</v>
      </c>
      <c r="C3781" s="744" t="s">
        <v>221</v>
      </c>
      <c r="D3781" s="789">
        <v>6149</v>
      </c>
      <c r="E3781" s="789">
        <v>1258</v>
      </c>
      <c r="F3781" s="789" t="s">
        <v>222</v>
      </c>
      <c r="G3781" s="789">
        <v>932</v>
      </c>
      <c r="H3781" s="744">
        <v>3</v>
      </c>
      <c r="I3781" s="744">
        <v>3</v>
      </c>
      <c r="J3781" s="744">
        <v>27</v>
      </c>
      <c r="K3781" s="792" t="s">
        <v>33</v>
      </c>
      <c r="L3781" s="740">
        <f t="shared" si="548"/>
        <v>2414812</v>
      </c>
      <c r="M3781" s="741">
        <v>2330000</v>
      </c>
      <c r="N3781" s="742">
        <v>34950</v>
      </c>
      <c r="O3781" s="743"/>
      <c r="P3781" s="742"/>
      <c r="Q3781" s="586">
        <v>49862</v>
      </c>
      <c r="R3781" s="744">
        <f t="shared" si="549"/>
        <v>2500</v>
      </c>
      <c r="S3781" s="788"/>
      <c r="T3781" s="788"/>
      <c r="U3781" s="1059"/>
      <c r="V3781" s="788"/>
      <c r="W3781" s="788"/>
      <c r="X3781" s="788"/>
      <c r="Y3781" s="788"/>
      <c r="Z3781" s="788"/>
    </row>
    <row r="3782" spans="1:26" s="530" customFormat="1" hidden="1">
      <c r="A3782" s="792">
        <f t="shared" si="550"/>
        <v>3</v>
      </c>
      <c r="B3782" s="788" t="s">
        <v>3018</v>
      </c>
      <c r="C3782" s="744" t="s">
        <v>221</v>
      </c>
      <c r="D3782" s="789">
        <v>1638</v>
      </c>
      <c r="E3782" s="789">
        <v>530</v>
      </c>
      <c r="F3782" s="789" t="s">
        <v>222</v>
      </c>
      <c r="G3782" s="789">
        <v>651</v>
      </c>
      <c r="H3782" s="744">
        <v>2</v>
      </c>
      <c r="I3782" s="744">
        <v>2</v>
      </c>
      <c r="J3782" s="744">
        <v>8</v>
      </c>
      <c r="K3782" s="792" t="s">
        <v>33</v>
      </c>
      <c r="L3782" s="740">
        <f t="shared" si="548"/>
        <v>1686742</v>
      </c>
      <c r="M3782" s="741">
        <v>1627500</v>
      </c>
      <c r="N3782" s="742">
        <v>24413</v>
      </c>
      <c r="O3782" s="743"/>
      <c r="P3782" s="742"/>
      <c r="Q3782" s="586">
        <v>34829</v>
      </c>
      <c r="R3782" s="744">
        <f t="shared" si="549"/>
        <v>2500</v>
      </c>
      <c r="S3782" s="788"/>
      <c r="T3782" s="788"/>
      <c r="U3782" s="1059"/>
      <c r="V3782" s="788"/>
      <c r="W3782" s="788"/>
      <c r="X3782" s="788"/>
      <c r="Y3782" s="788"/>
      <c r="Z3782" s="788"/>
    </row>
    <row r="3783" spans="1:26" s="530" customFormat="1" hidden="1">
      <c r="A3783" s="792">
        <f t="shared" si="550"/>
        <v>4</v>
      </c>
      <c r="B3783" s="788" t="s">
        <v>3019</v>
      </c>
      <c r="C3783" s="744" t="s">
        <v>221</v>
      </c>
      <c r="D3783" s="789">
        <v>2160</v>
      </c>
      <c r="E3783" s="789">
        <v>612</v>
      </c>
      <c r="F3783" s="789" t="s">
        <v>222</v>
      </c>
      <c r="G3783" s="789">
        <v>437</v>
      </c>
      <c r="H3783" s="744">
        <v>2</v>
      </c>
      <c r="I3783" s="744">
        <v>2</v>
      </c>
      <c r="J3783" s="744">
        <v>12</v>
      </c>
      <c r="K3783" s="792" t="s">
        <v>33</v>
      </c>
      <c r="L3783" s="740">
        <f t="shared" si="548"/>
        <v>1137730</v>
      </c>
      <c r="M3783" s="741">
        <v>1092500</v>
      </c>
      <c r="N3783" s="742">
        <v>21850</v>
      </c>
      <c r="O3783" s="743"/>
      <c r="P3783" s="742"/>
      <c r="Q3783" s="586">
        <v>23380</v>
      </c>
      <c r="R3783" s="744">
        <f t="shared" si="549"/>
        <v>2500</v>
      </c>
      <c r="S3783" s="788"/>
      <c r="T3783" s="788"/>
      <c r="U3783" s="1059"/>
      <c r="V3783" s="788"/>
      <c r="W3783" s="788"/>
      <c r="X3783" s="788"/>
      <c r="Y3783" s="788"/>
      <c r="Z3783" s="788"/>
    </row>
    <row r="3784" spans="1:26" s="530" customFormat="1" hidden="1">
      <c r="A3784" s="792">
        <f t="shared" si="550"/>
        <v>5</v>
      </c>
      <c r="B3784" s="788" t="s">
        <v>3020</v>
      </c>
      <c r="C3784" s="744" t="s">
        <v>221</v>
      </c>
      <c r="D3784" s="789">
        <v>2050</v>
      </c>
      <c r="E3784" s="789">
        <v>564</v>
      </c>
      <c r="F3784" s="789" t="s">
        <v>222</v>
      </c>
      <c r="G3784" s="789">
        <v>649</v>
      </c>
      <c r="H3784" s="744">
        <v>2</v>
      </c>
      <c r="I3784" s="744">
        <v>2</v>
      </c>
      <c r="J3784" s="744">
        <v>12</v>
      </c>
      <c r="K3784" s="792" t="s">
        <v>33</v>
      </c>
      <c r="L3784" s="740">
        <f t="shared" si="548"/>
        <v>1622085</v>
      </c>
      <c r="M3784" s="741">
        <v>1557600</v>
      </c>
      <c r="N3784" s="742">
        <v>31152</v>
      </c>
      <c r="O3784" s="743"/>
      <c r="P3784" s="742"/>
      <c r="Q3784" s="586">
        <v>33333</v>
      </c>
      <c r="R3784" s="744">
        <f t="shared" si="549"/>
        <v>2400</v>
      </c>
      <c r="S3784" s="788"/>
      <c r="T3784" s="788"/>
      <c r="U3784" s="1059"/>
      <c r="V3784" s="788"/>
      <c r="W3784" s="788"/>
      <c r="X3784" s="788"/>
      <c r="Y3784" s="788"/>
      <c r="Z3784" s="788"/>
    </row>
    <row r="3785" spans="1:26" s="530" customFormat="1" hidden="1">
      <c r="A3785" s="792">
        <f t="shared" si="550"/>
        <v>6</v>
      </c>
      <c r="B3785" s="788" t="s">
        <v>3021</v>
      </c>
      <c r="C3785" s="744" t="s">
        <v>221</v>
      </c>
      <c r="D3785" s="789">
        <v>2770</v>
      </c>
      <c r="E3785" s="789">
        <v>237.6</v>
      </c>
      <c r="F3785" s="789" t="s">
        <v>222</v>
      </c>
      <c r="G3785" s="789">
        <v>685.2</v>
      </c>
      <c r="H3785" s="744">
        <v>2</v>
      </c>
      <c r="I3785" s="744">
        <v>2</v>
      </c>
      <c r="J3785" s="744">
        <v>16</v>
      </c>
      <c r="K3785" s="792" t="s">
        <v>33</v>
      </c>
      <c r="L3785" s="740">
        <f t="shared" si="548"/>
        <v>1704339</v>
      </c>
      <c r="M3785" s="741">
        <v>1644480</v>
      </c>
      <c r="N3785" s="742">
        <v>24667</v>
      </c>
      <c r="O3785" s="743"/>
      <c r="P3785" s="742"/>
      <c r="Q3785" s="586">
        <v>35192</v>
      </c>
      <c r="R3785" s="744">
        <f t="shared" si="549"/>
        <v>2400</v>
      </c>
      <c r="S3785" s="788"/>
      <c r="T3785" s="788"/>
      <c r="U3785" s="1059"/>
      <c r="V3785" s="788"/>
      <c r="W3785" s="788"/>
      <c r="X3785" s="788"/>
      <c r="Y3785" s="788"/>
      <c r="Z3785" s="788"/>
    </row>
    <row r="3786" spans="1:26" s="530" customFormat="1" ht="37.5" hidden="1">
      <c r="A3786" s="792">
        <f t="shared" si="550"/>
        <v>7</v>
      </c>
      <c r="B3786" s="788" t="s">
        <v>3023</v>
      </c>
      <c r="C3786" s="744" t="s">
        <v>217</v>
      </c>
      <c r="D3786" s="789">
        <v>13137</v>
      </c>
      <c r="E3786" s="789">
        <v>17556.3</v>
      </c>
      <c r="F3786" s="789" t="s">
        <v>227</v>
      </c>
      <c r="G3786" s="789">
        <v>946</v>
      </c>
      <c r="H3786" s="744">
        <v>5</v>
      </c>
      <c r="I3786" s="744">
        <v>5</v>
      </c>
      <c r="J3786" s="744">
        <v>75</v>
      </c>
      <c r="K3786" s="792" t="s">
        <v>276</v>
      </c>
      <c r="L3786" s="740">
        <f t="shared" si="548"/>
        <v>2131982</v>
      </c>
      <c r="M3786" s="741">
        <v>2081200</v>
      </c>
      <c r="N3786" s="597"/>
      <c r="O3786" s="736">
        <v>6244</v>
      </c>
      <c r="P3786" s="742"/>
      <c r="Q3786" s="586">
        <v>44538</v>
      </c>
      <c r="R3786" s="744">
        <f t="shared" si="549"/>
        <v>2200</v>
      </c>
      <c r="S3786" s="788"/>
      <c r="T3786" s="788"/>
      <c r="U3786" s="1059"/>
      <c r="V3786" s="788"/>
      <c r="W3786" s="788"/>
      <c r="X3786" s="788"/>
      <c r="Y3786" s="788"/>
      <c r="Z3786" s="788"/>
    </row>
    <row r="3787" spans="1:26" s="530" customFormat="1" hidden="1">
      <c r="A3787" s="792">
        <f t="shared" si="550"/>
        <v>8</v>
      </c>
      <c r="B3787" s="788" t="s">
        <v>3024</v>
      </c>
      <c r="C3787" s="744" t="s">
        <v>217</v>
      </c>
      <c r="D3787" s="789">
        <v>1728</v>
      </c>
      <c r="E3787" s="789">
        <v>576</v>
      </c>
      <c r="F3787" s="789" t="s">
        <v>222</v>
      </c>
      <c r="G3787" s="789">
        <v>726</v>
      </c>
      <c r="H3787" s="744">
        <v>2</v>
      </c>
      <c r="I3787" s="744">
        <v>2</v>
      </c>
      <c r="J3787" s="744">
        <v>16</v>
      </c>
      <c r="K3787" s="792" t="s">
        <v>33</v>
      </c>
      <c r="L3787" s="740">
        <f t="shared" si="548"/>
        <v>1890141</v>
      </c>
      <c r="M3787" s="741">
        <v>1815000</v>
      </c>
      <c r="N3787" s="742">
        <v>36300</v>
      </c>
      <c r="O3787" s="743"/>
      <c r="P3787" s="742"/>
      <c r="Q3787" s="586">
        <v>38841</v>
      </c>
      <c r="R3787" s="744">
        <f t="shared" si="549"/>
        <v>2500</v>
      </c>
      <c r="S3787" s="788"/>
      <c r="T3787" s="788"/>
      <c r="U3787" s="1059"/>
      <c r="V3787" s="788"/>
      <c r="W3787" s="788"/>
      <c r="X3787" s="788"/>
      <c r="Y3787" s="788"/>
      <c r="Z3787" s="788"/>
    </row>
    <row r="3788" spans="1:26" s="530" customFormat="1" hidden="1">
      <c r="A3788" s="792">
        <f t="shared" si="550"/>
        <v>9</v>
      </c>
      <c r="B3788" s="788" t="s">
        <v>3642</v>
      </c>
      <c r="C3788" s="744" t="s">
        <v>221</v>
      </c>
      <c r="D3788" s="789">
        <v>3605</v>
      </c>
      <c r="E3788" s="789">
        <v>710</v>
      </c>
      <c r="F3788" s="789" t="s">
        <v>222</v>
      </c>
      <c r="G3788" s="789">
        <v>800</v>
      </c>
      <c r="H3788" s="744">
        <v>2</v>
      </c>
      <c r="I3788" s="744">
        <v>3</v>
      </c>
      <c r="J3788" s="744">
        <v>22</v>
      </c>
      <c r="K3788" s="792" t="s">
        <v>33</v>
      </c>
      <c r="L3788" s="740">
        <f t="shared" si="548"/>
        <v>2072800</v>
      </c>
      <c r="M3788" s="741">
        <v>2000000</v>
      </c>
      <c r="N3788" s="742">
        <v>30000</v>
      </c>
      <c r="O3788" s="743"/>
      <c r="P3788" s="742"/>
      <c r="Q3788" s="586">
        <v>42800</v>
      </c>
      <c r="R3788" s="744">
        <f t="shared" si="549"/>
        <v>2500</v>
      </c>
      <c r="S3788" s="788"/>
      <c r="T3788" s="788"/>
      <c r="U3788" s="1059"/>
      <c r="V3788" s="788"/>
      <c r="W3788" s="788"/>
      <c r="X3788" s="788"/>
      <c r="Y3788" s="788"/>
      <c r="Z3788" s="788"/>
    </row>
    <row r="3789" spans="1:26" s="28" customFormat="1" hidden="1">
      <c r="A3789" s="1349" t="s">
        <v>86</v>
      </c>
      <c r="B3789" s="1349"/>
      <c r="C3789" s="593" t="s">
        <v>28</v>
      </c>
      <c r="D3789" s="646">
        <f>SUM(D3780:D3788)</f>
        <v>36941</v>
      </c>
      <c r="E3789" s="646">
        <f>SUM(E3780:E3788)</f>
        <v>22317.200000000001</v>
      </c>
      <c r="F3789" s="646" t="s">
        <v>28</v>
      </c>
      <c r="G3789" s="646">
        <f>SUM(G3780:G3788)</f>
        <v>6619.7</v>
      </c>
      <c r="H3789" s="582" t="s">
        <v>28</v>
      </c>
      <c r="I3789" s="582" t="s">
        <v>28</v>
      </c>
      <c r="J3789" s="582">
        <f>SUM(J3780:J3788)</f>
        <v>204</v>
      </c>
      <c r="K3789" s="590" t="s">
        <v>28</v>
      </c>
      <c r="L3789" s="584">
        <f>SUM(L3780:L3788)</f>
        <v>17934295</v>
      </c>
      <c r="M3789" s="585">
        <f>SUM(M3780:M3788)</f>
        <v>17322280</v>
      </c>
      <c r="N3789" s="586">
        <f>SUM(N3780:N3788)</f>
        <v>235072</v>
      </c>
      <c r="O3789" s="587">
        <f>SUM(O3780:O3788)</f>
        <v>6244</v>
      </c>
      <c r="P3789" s="586"/>
      <c r="Q3789" s="586">
        <f>SUM(Q3780:Q3788)</f>
        <v>370699</v>
      </c>
      <c r="R3789" s="582" t="s">
        <v>28</v>
      </c>
      <c r="S3789" s="592"/>
      <c r="T3789" s="645"/>
      <c r="U3789" s="1059"/>
      <c r="V3789" s="592"/>
      <c r="W3789" s="592"/>
      <c r="X3789" s="592"/>
      <c r="Y3789" s="592"/>
      <c r="Z3789" s="592"/>
    </row>
    <row r="3790" spans="1:26" s="28" customFormat="1" hidden="1">
      <c r="A3790" s="1347" t="s">
        <v>87</v>
      </c>
      <c r="B3790" s="1347"/>
      <c r="C3790" s="1347"/>
      <c r="D3790" s="1347"/>
      <c r="E3790" s="1347"/>
      <c r="F3790" s="1347"/>
      <c r="G3790" s="1347"/>
      <c r="H3790" s="1347"/>
      <c r="I3790" s="1347"/>
      <c r="J3790" s="1347"/>
      <c r="K3790" s="1347"/>
      <c r="L3790" s="1347"/>
      <c r="M3790" s="1347"/>
      <c r="N3790" s="1347"/>
      <c r="O3790" s="1347"/>
      <c r="P3790" s="1347"/>
      <c r="Q3790" s="1347"/>
      <c r="R3790" s="590"/>
      <c r="S3790" s="592"/>
      <c r="T3790" s="645"/>
      <c r="U3790" s="1059"/>
      <c r="V3790" s="592"/>
      <c r="W3790" s="592"/>
      <c r="X3790" s="592"/>
      <c r="Y3790" s="592"/>
      <c r="Z3790" s="592"/>
    </row>
    <row r="3791" spans="1:26" s="90" customFormat="1" ht="37.5" hidden="1">
      <c r="A3791" s="697">
        <v>1</v>
      </c>
      <c r="B3791" s="873" t="s">
        <v>3025</v>
      </c>
      <c r="C3791" s="874" t="s">
        <v>221</v>
      </c>
      <c r="D3791" s="849">
        <v>233.28</v>
      </c>
      <c r="E3791" s="849">
        <v>2963</v>
      </c>
      <c r="F3791" s="849" t="s">
        <v>222</v>
      </c>
      <c r="G3791" s="849">
        <v>694</v>
      </c>
      <c r="H3791" s="852">
        <v>2</v>
      </c>
      <c r="I3791" s="852">
        <v>2</v>
      </c>
      <c r="J3791" s="852">
        <v>16</v>
      </c>
      <c r="K3791" s="590" t="s">
        <v>30</v>
      </c>
      <c r="L3791" s="584">
        <f>M3791+N3791+O3791+P3791+Q3791</f>
        <v>409760</v>
      </c>
      <c r="M3791" s="596">
        <f>J3791*25000</f>
        <v>400000</v>
      </c>
      <c r="N3791" s="597"/>
      <c r="O3791" s="736">
        <f>ROUND(M3791*0.3%,0)</f>
        <v>1200</v>
      </c>
      <c r="P3791" s="597"/>
      <c r="Q3791" s="586">
        <f>ROUND(M3791*2.14%,0)</f>
        <v>8560</v>
      </c>
      <c r="R3791" s="582">
        <f>M3791/J3791</f>
        <v>25000</v>
      </c>
      <c r="S3791" s="748"/>
      <c r="T3791" s="748"/>
      <c r="U3791" s="1059"/>
      <c r="V3791" s="748"/>
      <c r="W3791" s="748"/>
      <c r="X3791" s="748"/>
      <c r="Y3791" s="748"/>
      <c r="Z3791" s="748"/>
    </row>
    <row r="3792" spans="1:26" s="90" customFormat="1" ht="37.5" hidden="1">
      <c r="A3792" s="697">
        <v>2</v>
      </c>
      <c r="B3792" s="873" t="s">
        <v>3026</v>
      </c>
      <c r="C3792" s="874" t="s">
        <v>221</v>
      </c>
      <c r="D3792" s="849">
        <v>308.57</v>
      </c>
      <c r="E3792" s="849">
        <v>2959</v>
      </c>
      <c r="F3792" s="849" t="s">
        <v>222</v>
      </c>
      <c r="G3792" s="849">
        <v>686</v>
      </c>
      <c r="H3792" s="852">
        <v>2</v>
      </c>
      <c r="I3792" s="852">
        <v>2</v>
      </c>
      <c r="J3792" s="852">
        <v>16</v>
      </c>
      <c r="K3792" s="590" t="s">
        <v>237</v>
      </c>
      <c r="L3792" s="584">
        <f>M3792+N3792+O3792+P3792+Q3792</f>
        <v>409760</v>
      </c>
      <c r="M3792" s="596">
        <f>J3792*25000</f>
        <v>400000</v>
      </c>
      <c r="N3792" s="597"/>
      <c r="O3792" s="736">
        <f>ROUND(M3792*0.3%,0)</f>
        <v>1200</v>
      </c>
      <c r="P3792" s="597"/>
      <c r="Q3792" s="586">
        <f>ROUND(M3792*2.14%,0)</f>
        <v>8560</v>
      </c>
      <c r="R3792" s="582">
        <f>M3792/J3792</f>
        <v>25000</v>
      </c>
      <c r="S3792" s="748"/>
      <c r="T3792" s="748"/>
      <c r="U3792" s="1059"/>
      <c r="V3792" s="748"/>
      <c r="W3792" s="748"/>
      <c r="X3792" s="748"/>
      <c r="Y3792" s="748"/>
      <c r="Z3792" s="748"/>
    </row>
    <row r="3793" spans="1:26" s="90" customFormat="1" ht="37.5" hidden="1">
      <c r="A3793" s="697">
        <v>3</v>
      </c>
      <c r="B3793" s="873" t="s">
        <v>3027</v>
      </c>
      <c r="C3793" s="874" t="s">
        <v>221</v>
      </c>
      <c r="D3793" s="849">
        <v>2682</v>
      </c>
      <c r="E3793" s="849">
        <v>538.79999999999995</v>
      </c>
      <c r="F3793" s="849" t="s">
        <v>222</v>
      </c>
      <c r="G3793" s="849">
        <v>697</v>
      </c>
      <c r="H3793" s="852">
        <v>2</v>
      </c>
      <c r="I3793" s="852">
        <v>2</v>
      </c>
      <c r="J3793" s="852">
        <v>8</v>
      </c>
      <c r="K3793" s="590" t="s">
        <v>237</v>
      </c>
      <c r="L3793" s="584">
        <f>M3793+N3793+O3793+P3793+Q3793</f>
        <v>204880</v>
      </c>
      <c r="M3793" s="596">
        <f>J3793*25000</f>
        <v>200000</v>
      </c>
      <c r="N3793" s="597"/>
      <c r="O3793" s="736">
        <f>ROUND(M3793*0.3%,0)</f>
        <v>600</v>
      </c>
      <c r="P3793" s="597"/>
      <c r="Q3793" s="586">
        <f>ROUND(M3793*2.14%,0)</f>
        <v>4280</v>
      </c>
      <c r="R3793" s="582">
        <f>M3793/J3793</f>
        <v>25000</v>
      </c>
      <c r="S3793" s="748"/>
      <c r="T3793" s="748"/>
      <c r="U3793" s="1059"/>
      <c r="V3793" s="748"/>
      <c r="W3793" s="748"/>
      <c r="X3793" s="748"/>
      <c r="Y3793" s="748"/>
      <c r="Z3793" s="748"/>
    </row>
    <row r="3794" spans="1:26" s="28" customFormat="1" hidden="1">
      <c r="A3794" s="1349" t="s">
        <v>88</v>
      </c>
      <c r="B3794" s="1349"/>
      <c r="C3794" s="593" t="s">
        <v>28</v>
      </c>
      <c r="D3794" s="646">
        <f>SUM(D3791:D3793)</f>
        <v>3223.85</v>
      </c>
      <c r="E3794" s="646">
        <f>SUM(E3791:E3793)</f>
        <v>6460.8</v>
      </c>
      <c r="F3794" s="646" t="s">
        <v>28</v>
      </c>
      <c r="G3794" s="646">
        <f>SUM(G3791:G3793)</f>
        <v>2077</v>
      </c>
      <c r="H3794" s="582" t="s">
        <v>28</v>
      </c>
      <c r="I3794" s="582" t="s">
        <v>28</v>
      </c>
      <c r="J3794" s="582">
        <f>SUM(J3791:J3793)</f>
        <v>40</v>
      </c>
      <c r="K3794" s="590" t="s">
        <v>28</v>
      </c>
      <c r="L3794" s="584">
        <f>SUM(L3791:L3793)</f>
        <v>1024400</v>
      </c>
      <c r="M3794" s="585">
        <f>SUM(M3791:M3793)</f>
        <v>1000000</v>
      </c>
      <c r="N3794" s="586"/>
      <c r="O3794" s="587">
        <f>SUM(O3791:O3793)</f>
        <v>3000</v>
      </c>
      <c r="P3794" s="586"/>
      <c r="Q3794" s="586">
        <f>SUM(Q3791:Q3793)</f>
        <v>21400</v>
      </c>
      <c r="R3794" s="582" t="s">
        <v>28</v>
      </c>
      <c r="S3794" s="592"/>
      <c r="T3794" s="645"/>
      <c r="U3794" s="1059"/>
      <c r="V3794" s="592"/>
      <c r="W3794" s="592"/>
      <c r="X3794" s="592"/>
      <c r="Y3794" s="592"/>
      <c r="Z3794" s="592"/>
    </row>
    <row r="3795" spans="1:26" s="28" customFormat="1" hidden="1">
      <c r="A3795" s="1347" t="s">
        <v>89</v>
      </c>
      <c r="B3795" s="1347"/>
      <c r="C3795" s="1347"/>
      <c r="D3795" s="1347"/>
      <c r="E3795" s="1347"/>
      <c r="F3795" s="1347"/>
      <c r="G3795" s="1347"/>
      <c r="H3795" s="1347"/>
      <c r="I3795" s="1347"/>
      <c r="J3795" s="1347"/>
      <c r="K3795" s="1347"/>
      <c r="L3795" s="1347"/>
      <c r="M3795" s="1347"/>
      <c r="N3795" s="1347"/>
      <c r="O3795" s="1347"/>
      <c r="P3795" s="1347"/>
      <c r="Q3795" s="1347"/>
      <c r="R3795" s="590"/>
      <c r="S3795" s="592"/>
      <c r="T3795" s="645"/>
      <c r="U3795" s="1059"/>
      <c r="V3795" s="592"/>
      <c r="W3795" s="592"/>
      <c r="X3795" s="592"/>
      <c r="Y3795" s="592"/>
      <c r="Z3795" s="592"/>
    </row>
    <row r="3796" spans="1:26" s="90" customFormat="1" ht="37.5" hidden="1">
      <c r="A3796" s="812">
        <v>1</v>
      </c>
      <c r="B3796" s="875" t="s">
        <v>3028</v>
      </c>
      <c r="C3796" s="814" t="s">
        <v>217</v>
      </c>
      <c r="D3796" s="815">
        <v>13249</v>
      </c>
      <c r="E3796" s="815">
        <v>2295.1</v>
      </c>
      <c r="F3796" s="819" t="s">
        <v>233</v>
      </c>
      <c r="G3796" s="815">
        <v>845</v>
      </c>
      <c r="H3796" s="864">
        <v>5</v>
      </c>
      <c r="I3796" s="864">
        <v>4</v>
      </c>
      <c r="J3796" s="864">
        <v>60</v>
      </c>
      <c r="K3796" s="812" t="s">
        <v>237</v>
      </c>
      <c r="L3796" s="746">
        <f t="shared" ref="L3796:L3802" si="551">M3796+N3796+O3796+P3796+Q3796</f>
        <v>1352208</v>
      </c>
      <c r="M3796" s="745">
        <v>1320000</v>
      </c>
      <c r="N3796" s="586"/>
      <c r="O3796" s="736">
        <v>3960</v>
      </c>
      <c r="P3796" s="747"/>
      <c r="Q3796" s="586">
        <v>28248</v>
      </c>
      <c r="R3796" s="864">
        <f>M3796/J3796</f>
        <v>22000</v>
      </c>
      <c r="S3796" s="748"/>
      <c r="T3796" s="748"/>
      <c r="U3796" s="1059"/>
      <c r="V3796" s="748"/>
      <c r="W3796" s="748"/>
      <c r="X3796" s="748"/>
      <c r="Y3796" s="748"/>
      <c r="Z3796" s="748"/>
    </row>
    <row r="3797" spans="1:26" s="90" customFormat="1" hidden="1">
      <c r="A3797" s="812">
        <f t="shared" ref="A3797:A3802" si="552">A3796+1</f>
        <v>2</v>
      </c>
      <c r="B3797" s="875" t="s">
        <v>3029</v>
      </c>
      <c r="C3797" s="814" t="s">
        <v>221</v>
      </c>
      <c r="D3797" s="815">
        <v>35458</v>
      </c>
      <c r="E3797" s="815">
        <v>6320.2</v>
      </c>
      <c r="F3797" s="815" t="s">
        <v>222</v>
      </c>
      <c r="G3797" s="815">
        <v>2925</v>
      </c>
      <c r="H3797" s="864">
        <v>5</v>
      </c>
      <c r="I3797" s="864">
        <v>11</v>
      </c>
      <c r="J3797" s="864">
        <v>174</v>
      </c>
      <c r="K3797" s="812" t="s">
        <v>238</v>
      </c>
      <c r="L3797" s="746">
        <f t="shared" si="551"/>
        <v>4127645</v>
      </c>
      <c r="M3797" s="876">
        <v>4001983</v>
      </c>
      <c r="N3797" s="747">
        <v>40020</v>
      </c>
      <c r="O3797" s="809"/>
      <c r="P3797" s="747"/>
      <c r="Q3797" s="586">
        <v>85642</v>
      </c>
      <c r="R3797" s="864">
        <f>M3797/J3797</f>
        <v>22999.902298850575</v>
      </c>
      <c r="S3797" s="748"/>
      <c r="T3797" s="748"/>
      <c r="U3797" s="1059"/>
      <c r="V3797" s="748"/>
      <c r="W3797" s="748"/>
      <c r="X3797" s="748"/>
      <c r="Y3797" s="748"/>
      <c r="Z3797" s="748"/>
    </row>
    <row r="3798" spans="1:26" s="90" customFormat="1" ht="56.25" hidden="1">
      <c r="A3798" s="812">
        <f t="shared" si="552"/>
        <v>3</v>
      </c>
      <c r="B3798" s="875" t="s">
        <v>3030</v>
      </c>
      <c r="C3798" s="814" t="s">
        <v>221</v>
      </c>
      <c r="D3798" s="815">
        <v>13146</v>
      </c>
      <c r="E3798" s="815">
        <v>1660</v>
      </c>
      <c r="F3798" s="815" t="s">
        <v>222</v>
      </c>
      <c r="G3798" s="815">
        <v>1127</v>
      </c>
      <c r="H3798" s="864">
        <v>5</v>
      </c>
      <c r="I3798" s="864">
        <v>4</v>
      </c>
      <c r="J3798" s="864">
        <v>70</v>
      </c>
      <c r="K3798" s="812" t="s">
        <v>263</v>
      </c>
      <c r="L3798" s="746">
        <f t="shared" si="551"/>
        <v>3060907</v>
      </c>
      <c r="M3798" s="745">
        <v>2988000</v>
      </c>
      <c r="N3798" s="747"/>
      <c r="O3798" s="736">
        <v>8964</v>
      </c>
      <c r="P3798" s="747"/>
      <c r="Q3798" s="586">
        <v>63943</v>
      </c>
      <c r="R3798" s="599">
        <f>M3798/E3798</f>
        <v>1800</v>
      </c>
      <c r="S3798" s="748"/>
      <c r="T3798" s="748"/>
      <c r="U3798" s="1059"/>
      <c r="V3798" s="748"/>
      <c r="W3798" s="748"/>
      <c r="X3798" s="748"/>
      <c r="Y3798" s="748"/>
      <c r="Z3798" s="748"/>
    </row>
    <row r="3799" spans="1:26" s="90" customFormat="1" ht="37.5" hidden="1">
      <c r="A3799" s="812">
        <f t="shared" si="552"/>
        <v>4</v>
      </c>
      <c r="B3799" s="875" t="s">
        <v>3031</v>
      </c>
      <c r="C3799" s="814" t="s">
        <v>221</v>
      </c>
      <c r="D3799" s="815">
        <v>5877</v>
      </c>
      <c r="E3799" s="815">
        <v>1295.5</v>
      </c>
      <c r="F3799" s="815" t="s">
        <v>222</v>
      </c>
      <c r="G3799" s="815">
        <v>1205</v>
      </c>
      <c r="H3799" s="864">
        <v>2</v>
      </c>
      <c r="I3799" s="864">
        <v>3</v>
      </c>
      <c r="J3799" s="864">
        <v>24</v>
      </c>
      <c r="K3799" s="812" t="s">
        <v>262</v>
      </c>
      <c r="L3799" s="746">
        <f t="shared" si="551"/>
        <v>2734241</v>
      </c>
      <c r="M3799" s="741">
        <v>2651000</v>
      </c>
      <c r="N3799" s="586">
        <v>26510</v>
      </c>
      <c r="O3799" s="587"/>
      <c r="P3799" s="586"/>
      <c r="Q3799" s="586">
        <v>56731</v>
      </c>
      <c r="R3799" s="599">
        <f>M3799/G3799</f>
        <v>2200</v>
      </c>
      <c r="S3799" s="748"/>
      <c r="T3799" s="748"/>
      <c r="U3799" s="1059"/>
      <c r="V3799" s="748"/>
      <c r="W3799" s="748"/>
      <c r="X3799" s="748"/>
      <c r="Y3799" s="748"/>
      <c r="Z3799" s="748"/>
    </row>
    <row r="3800" spans="1:26" s="90" customFormat="1" ht="37.5" hidden="1">
      <c r="A3800" s="812">
        <f t="shared" si="552"/>
        <v>5</v>
      </c>
      <c r="B3800" s="875" t="s">
        <v>3032</v>
      </c>
      <c r="C3800" s="744" t="s">
        <v>221</v>
      </c>
      <c r="D3800" s="815">
        <v>5344</v>
      </c>
      <c r="E3800" s="815">
        <v>1286</v>
      </c>
      <c r="F3800" s="815" t="s">
        <v>222</v>
      </c>
      <c r="G3800" s="815">
        <v>1100</v>
      </c>
      <c r="H3800" s="864">
        <v>2</v>
      </c>
      <c r="I3800" s="864">
        <v>3</v>
      </c>
      <c r="J3800" s="864">
        <v>22</v>
      </c>
      <c r="K3800" s="812" t="s">
        <v>262</v>
      </c>
      <c r="L3800" s="746">
        <f t="shared" si="551"/>
        <v>2495988</v>
      </c>
      <c r="M3800" s="741">
        <v>2420000</v>
      </c>
      <c r="N3800" s="586">
        <v>24200</v>
      </c>
      <c r="O3800" s="587"/>
      <c r="P3800" s="586"/>
      <c r="Q3800" s="586">
        <v>51788</v>
      </c>
      <c r="R3800" s="599">
        <f>M3800/G3800</f>
        <v>2200</v>
      </c>
      <c r="S3800" s="748"/>
      <c r="T3800" s="748"/>
      <c r="U3800" s="1059"/>
      <c r="V3800" s="748"/>
      <c r="W3800" s="748"/>
      <c r="X3800" s="748"/>
      <c r="Y3800" s="748"/>
      <c r="Z3800" s="748"/>
    </row>
    <row r="3801" spans="1:26" s="90" customFormat="1" ht="37.5" hidden="1">
      <c r="A3801" s="812">
        <f t="shared" si="552"/>
        <v>6</v>
      </c>
      <c r="B3801" s="875" t="s">
        <v>3033</v>
      </c>
      <c r="C3801" s="814" t="s">
        <v>221</v>
      </c>
      <c r="D3801" s="815">
        <v>6217</v>
      </c>
      <c r="E3801" s="815">
        <v>1408.1</v>
      </c>
      <c r="F3801" s="815" t="s">
        <v>222</v>
      </c>
      <c r="G3801" s="815">
        <v>1190</v>
      </c>
      <c r="H3801" s="864">
        <v>2</v>
      </c>
      <c r="I3801" s="864">
        <v>3</v>
      </c>
      <c r="J3801" s="864">
        <v>24</v>
      </c>
      <c r="K3801" s="812" t="s">
        <v>262</v>
      </c>
      <c r="L3801" s="746">
        <f t="shared" si="551"/>
        <v>2822942</v>
      </c>
      <c r="M3801" s="741">
        <v>2737000</v>
      </c>
      <c r="N3801" s="586">
        <v>27370</v>
      </c>
      <c r="O3801" s="587"/>
      <c r="P3801" s="586"/>
      <c r="Q3801" s="586">
        <v>58572</v>
      </c>
      <c r="R3801" s="599">
        <f>M3801/G3801</f>
        <v>2300</v>
      </c>
      <c r="S3801" s="748"/>
      <c r="T3801" s="748"/>
      <c r="U3801" s="1059"/>
      <c r="V3801" s="748"/>
      <c r="W3801" s="748"/>
      <c r="X3801" s="748"/>
      <c r="Y3801" s="748"/>
      <c r="Z3801" s="748"/>
    </row>
    <row r="3802" spans="1:26" s="90" customFormat="1" ht="37.5" hidden="1">
      <c r="A3802" s="812">
        <f t="shared" si="552"/>
        <v>7</v>
      </c>
      <c r="B3802" s="875" t="s">
        <v>3034</v>
      </c>
      <c r="C3802" s="744" t="s">
        <v>221</v>
      </c>
      <c r="D3802" s="815">
        <v>6212</v>
      </c>
      <c r="E3802" s="815">
        <v>1396.1</v>
      </c>
      <c r="F3802" s="815" t="s">
        <v>222</v>
      </c>
      <c r="G3802" s="815">
        <v>1200</v>
      </c>
      <c r="H3802" s="864">
        <v>2</v>
      </c>
      <c r="I3802" s="864">
        <v>3</v>
      </c>
      <c r="J3802" s="864">
        <v>24</v>
      </c>
      <c r="K3802" s="812" t="s">
        <v>262</v>
      </c>
      <c r="L3802" s="746">
        <f t="shared" si="551"/>
        <v>2735954</v>
      </c>
      <c r="M3802" s="741">
        <v>2652660</v>
      </c>
      <c r="N3802" s="586">
        <v>26527</v>
      </c>
      <c r="O3802" s="587"/>
      <c r="P3802" s="586"/>
      <c r="Q3802" s="586">
        <v>56767</v>
      </c>
      <c r="R3802" s="599">
        <f>M3802/G3802</f>
        <v>2210.5500000000002</v>
      </c>
      <c r="S3802" s="748"/>
      <c r="T3802" s="748"/>
      <c r="U3802" s="1059"/>
      <c r="V3802" s="748"/>
      <c r="W3802" s="748"/>
      <c r="X3802" s="748"/>
      <c r="Y3802" s="748"/>
      <c r="Z3802" s="748"/>
    </row>
    <row r="3803" spans="1:26" s="28" customFormat="1" hidden="1">
      <c r="A3803" s="1349" t="s">
        <v>136</v>
      </c>
      <c r="B3803" s="1349"/>
      <c r="C3803" s="593" t="s">
        <v>28</v>
      </c>
      <c r="D3803" s="646">
        <f>SUM(D3796:D3802)</f>
        <v>85503</v>
      </c>
      <c r="E3803" s="646">
        <f>SUM(E3796:E3802)</f>
        <v>15661</v>
      </c>
      <c r="F3803" s="646" t="s">
        <v>28</v>
      </c>
      <c r="G3803" s="646">
        <f>SUM(G3796:G3802)</f>
        <v>9592</v>
      </c>
      <c r="H3803" s="582" t="s">
        <v>28</v>
      </c>
      <c r="I3803" s="582" t="s">
        <v>28</v>
      </c>
      <c r="J3803" s="582">
        <f>SUM(J3796:J3802)</f>
        <v>398</v>
      </c>
      <c r="K3803" s="606" t="s">
        <v>28</v>
      </c>
      <c r="L3803" s="584">
        <f>SUM(L3796:L3802)</f>
        <v>19329885</v>
      </c>
      <c r="M3803" s="585">
        <f>SUM(M3796:M3802)</f>
        <v>18770643</v>
      </c>
      <c r="N3803" s="586">
        <f>SUM(N3796:N3802)</f>
        <v>144627</v>
      </c>
      <c r="O3803" s="587">
        <f>SUM(O3796:O3802)</f>
        <v>12924</v>
      </c>
      <c r="P3803" s="586"/>
      <c r="Q3803" s="586">
        <f>SUM(Q3796:Q3802)</f>
        <v>401691</v>
      </c>
      <c r="R3803" s="582" t="s">
        <v>28</v>
      </c>
      <c r="S3803" s="592"/>
      <c r="T3803" s="645"/>
      <c r="U3803" s="1059"/>
      <c r="V3803" s="592"/>
      <c r="W3803" s="592"/>
      <c r="X3803" s="592"/>
      <c r="Y3803" s="592"/>
      <c r="Z3803" s="592"/>
    </row>
    <row r="3804" spans="1:26" s="28" customFormat="1" hidden="1">
      <c r="A3804" s="1368" t="s">
        <v>160</v>
      </c>
      <c r="B3804" s="1368"/>
      <c r="C3804" s="1368"/>
      <c r="D3804" s="1368"/>
      <c r="E3804" s="1368"/>
      <c r="F3804" s="1368"/>
      <c r="G3804" s="1368"/>
      <c r="H3804" s="1368"/>
      <c r="I3804" s="1368"/>
      <c r="J3804" s="1368"/>
      <c r="K3804" s="1368"/>
      <c r="L3804" s="1368"/>
      <c r="M3804" s="1368"/>
      <c r="N3804" s="1368"/>
      <c r="O3804" s="1368"/>
      <c r="P3804" s="1368"/>
      <c r="Q3804" s="1368"/>
      <c r="R3804" s="556"/>
      <c r="S3804" s="564"/>
      <c r="T3804" s="577"/>
      <c r="U3804" s="591"/>
      <c r="V3804" s="592"/>
      <c r="W3804" s="592"/>
      <c r="X3804" s="592"/>
      <c r="Y3804" s="592"/>
      <c r="Z3804" s="592"/>
    </row>
    <row r="3805" spans="1:26" s="28" customFormat="1" hidden="1">
      <c r="A3805" s="1362" t="s">
        <v>161</v>
      </c>
      <c r="B3805" s="1362"/>
      <c r="C3805" s="582" t="s">
        <v>28</v>
      </c>
      <c r="D3805" s="586">
        <f>D3831+D3895+D3917+D4035+D4046+D4050+D4053+D4057+D4063+D4094+D4097+D4103+D4106+D4109+D4139+D4144+D4148+D4154+D4177+D4182+D4195+D4224+D4228+D4233</f>
        <v>4880765.7710295394</v>
      </c>
      <c r="E3805" s="586">
        <f ca="1">E3831+E3895+E3917+E4035+E4046+E4050+E4053+E4057+E4063+E4094+E4097+E4103+E4106+E4109+E4139+E4144+E4148+E4154+E4177+E4182+E4195+E4224+E4228+E4233</f>
        <v>4180361.2017241386</v>
      </c>
      <c r="F3805" s="561" t="s">
        <v>28</v>
      </c>
      <c r="G3805" s="586">
        <f>G3831+G3895+G3917+G4035+G4046+G4050+G4053+G4057+G4063+G4094+G4097+G4103+G4106+G4109+G4139+G4144+G4148+G4154+G4177+G4182+G4195+G4224+G4228+G4233</f>
        <v>365509.15376000002</v>
      </c>
      <c r="H3805" s="561" t="s">
        <v>28</v>
      </c>
      <c r="I3805" s="561" t="s">
        <v>28</v>
      </c>
      <c r="J3805" s="582">
        <f>J3831+J3895+J3917+J4035+J4046+J4050+J4053+J4057+J4063+J4094+J4097+J4103+J4106+J4109+J4139+J4144+J4148+J4154+J4177+J4182+J4195+J4224+J4228+J4233</f>
        <v>26487</v>
      </c>
      <c r="K3805" s="590" t="s">
        <v>28</v>
      </c>
      <c r="L3805" s="584">
        <f>L3831+L3895+L3917+L4035+L4046+L4050+L4053+L4057+L4063+L4094+L4097+L4103+L4106+L4109+L4139+L4144+L4148+L4154+L4177+L4182+L4195+L4224+L4228+L4233</f>
        <v>1127989499.71</v>
      </c>
      <c r="M3805" s="585">
        <f>M3831+M3895+M3917+M4035+M4046+M4050+M4053+M4057+M4063+M4094+M4097+M4103+M4106+M4109+M4139+M4144+M4148+M4154+M4177+M4182+M4195+M4224+M4228+M4233</f>
        <v>1098630636</v>
      </c>
      <c r="N3805" s="586">
        <f>N3831+N3895+N3917+N4035+N4046+N4050+N4053+N4057+N4063+N4094+N4097+N4103+N4106+N4109+N4139+N4144+N4148+N4154+N4177+N4182+N4195+N4224+N4228+N4233</f>
        <v>13271423</v>
      </c>
      <c r="O3805" s="587">
        <f>O3831+O3895+O3917+O4035+O4046+O4050+O4053+O4057+O4063+O4094+O4097+O4103+O4106+O4109+O4139+O4144+O4148+O4154+O4177+O4182+O4195+O4224+O4228+O4233</f>
        <v>1232251.8</v>
      </c>
      <c r="P3805" s="586"/>
      <c r="Q3805" s="586">
        <f>Q3831+Q3895+Q3917+Q4035+Q4046+Q4050+Q4053+Q4057+Q4063+Q4094+Q4097+Q4103+Q4106+Q4109+Q4139+Q4144+Q4148+Q4154+Q4177+Q4182+Q4195+Q4224+Q4228+Q4233</f>
        <v>14855188.91</v>
      </c>
      <c r="R3805" s="582" t="s">
        <v>28</v>
      </c>
      <c r="S3805" s="564">
        <f t="shared" ref="S3805:S3831" si="553">L3805-M3805-N3805-O3805-P3805-Q3805</f>
        <v>3.7252902984619141E-8</v>
      </c>
      <c r="T3805" s="577" t="e">
        <f>'1.перечень МКД'!#REF!</f>
        <v>#REF!</v>
      </c>
      <c r="U3805" s="589" t="e">
        <f>L3805-T3805</f>
        <v>#REF!</v>
      </c>
      <c r="V3805" s="592"/>
      <c r="W3805" s="592"/>
      <c r="X3805" s="592"/>
      <c r="Y3805" s="592"/>
      <c r="Z3805" s="592"/>
    </row>
    <row r="3806" spans="1:26" s="28" customFormat="1" hidden="1">
      <c r="A3806" s="1347" t="s">
        <v>163</v>
      </c>
      <c r="B3806" s="1347"/>
      <c r="C3806" s="1347"/>
      <c r="D3806" s="1347"/>
      <c r="E3806" s="1347"/>
      <c r="F3806" s="1347"/>
      <c r="G3806" s="1347"/>
      <c r="H3806" s="1347"/>
      <c r="I3806" s="1347"/>
      <c r="J3806" s="1347"/>
      <c r="K3806" s="1347"/>
      <c r="L3806" s="1347"/>
      <c r="M3806" s="1347"/>
      <c r="N3806" s="1347"/>
      <c r="O3806" s="1347"/>
      <c r="P3806" s="1347"/>
      <c r="Q3806" s="1347"/>
      <c r="R3806" s="590"/>
      <c r="S3806" s="564">
        <f t="shared" si="553"/>
        <v>0</v>
      </c>
      <c r="T3806" s="577"/>
      <c r="U3806" s="591"/>
      <c r="V3806" s="592"/>
      <c r="W3806" s="592"/>
      <c r="X3806" s="592"/>
      <c r="Y3806" s="592"/>
      <c r="Z3806" s="592"/>
    </row>
    <row r="3807" spans="1:26" s="28" customFormat="1" hidden="1">
      <c r="A3807" s="591">
        <v>1</v>
      </c>
      <c r="B3807" s="827" t="s">
        <v>3036</v>
      </c>
      <c r="C3807" s="593" t="s">
        <v>282</v>
      </c>
      <c r="D3807" s="878">
        <v>3102</v>
      </c>
      <c r="E3807" s="878">
        <v>709</v>
      </c>
      <c r="F3807" s="878" t="s">
        <v>230</v>
      </c>
      <c r="G3807" s="878">
        <v>635</v>
      </c>
      <c r="H3807" s="879">
        <v>2</v>
      </c>
      <c r="I3807" s="593">
        <v>2</v>
      </c>
      <c r="J3807" s="880">
        <v>16</v>
      </c>
      <c r="K3807" s="881" t="s">
        <v>33</v>
      </c>
      <c r="L3807" s="584">
        <f t="shared" ref="L3807:L3830" si="554">SUM(M3807:Q3807)</f>
        <v>1844049</v>
      </c>
      <c r="M3807" s="882">
        <v>1778000</v>
      </c>
      <c r="N3807" s="883">
        <v>28000</v>
      </c>
      <c r="O3807" s="884"/>
      <c r="P3807" s="883"/>
      <c r="Q3807" s="883">
        <f t="shared" ref="Q3807:Q3816" si="555">ROUND(M3807*2.14%,0)</f>
        <v>38049</v>
      </c>
      <c r="R3807" s="599">
        <f>M3807/G3807</f>
        <v>2800</v>
      </c>
      <c r="S3807" s="564">
        <f t="shared" si="553"/>
        <v>0</v>
      </c>
      <c r="T3807" s="577"/>
      <c r="U3807" s="589"/>
      <c r="V3807" s="592"/>
      <c r="W3807" s="592"/>
      <c r="X3807" s="592"/>
      <c r="Y3807" s="592"/>
      <c r="Z3807" s="592"/>
    </row>
    <row r="3808" spans="1:26" s="28" customFormat="1" hidden="1">
      <c r="A3808" s="591">
        <f t="shared" ref="A3808:A3830" si="556">A3807+1</f>
        <v>2</v>
      </c>
      <c r="B3808" s="827" t="s">
        <v>3037</v>
      </c>
      <c r="C3808" s="593" t="s">
        <v>282</v>
      </c>
      <c r="D3808" s="878">
        <v>25060</v>
      </c>
      <c r="E3808" s="878">
        <v>4587</v>
      </c>
      <c r="F3808" s="878" t="s">
        <v>222</v>
      </c>
      <c r="G3808" s="878">
        <v>2080</v>
      </c>
      <c r="H3808" s="879">
        <v>5</v>
      </c>
      <c r="I3808" s="593">
        <v>8</v>
      </c>
      <c r="J3808" s="880">
        <v>129</v>
      </c>
      <c r="K3808" s="881" t="s">
        <v>224</v>
      </c>
      <c r="L3808" s="584">
        <f t="shared" si="554"/>
        <v>2938733</v>
      </c>
      <c r="M3808" s="882">
        <f>J3808*22000</f>
        <v>2838000</v>
      </c>
      <c r="N3808" s="883">
        <v>40000</v>
      </c>
      <c r="O3808" s="884"/>
      <c r="P3808" s="883"/>
      <c r="Q3808" s="883">
        <f t="shared" si="555"/>
        <v>60733</v>
      </c>
      <c r="R3808" s="599">
        <f>M3808/J3808</f>
        <v>22000</v>
      </c>
      <c r="S3808" s="564">
        <f t="shared" si="553"/>
        <v>0</v>
      </c>
      <c r="T3808" s="577"/>
      <c r="U3808" s="589"/>
      <c r="V3808" s="592"/>
      <c r="W3808" s="592"/>
      <c r="X3808" s="592"/>
      <c r="Y3808" s="592"/>
      <c r="Z3808" s="592"/>
    </row>
    <row r="3809" spans="1:26" s="28" customFormat="1" hidden="1">
      <c r="A3809" s="591">
        <f t="shared" si="556"/>
        <v>3</v>
      </c>
      <c r="B3809" s="827" t="s">
        <v>3038</v>
      </c>
      <c r="C3809" s="593" t="s">
        <v>282</v>
      </c>
      <c r="D3809" s="878">
        <v>11944</v>
      </c>
      <c r="E3809" s="878">
        <v>2268</v>
      </c>
      <c r="F3809" s="878" t="s">
        <v>233</v>
      </c>
      <c r="G3809" s="878">
        <v>1100</v>
      </c>
      <c r="H3809" s="879">
        <v>5</v>
      </c>
      <c r="I3809" s="593">
        <v>4</v>
      </c>
      <c r="J3809" s="880">
        <v>60</v>
      </c>
      <c r="K3809" s="881" t="s">
        <v>33</v>
      </c>
      <c r="L3809" s="584">
        <f t="shared" si="554"/>
        <v>2253680</v>
      </c>
      <c r="M3809" s="882">
        <f>G3809*2000</f>
        <v>2200000</v>
      </c>
      <c r="N3809" s="883"/>
      <c r="O3809" s="884">
        <f>ROUND(M3809*0.3%,0)</f>
        <v>6600</v>
      </c>
      <c r="P3809" s="883"/>
      <c r="Q3809" s="883">
        <f t="shared" si="555"/>
        <v>47080</v>
      </c>
      <c r="R3809" s="599">
        <f>M3809/G3809</f>
        <v>2000</v>
      </c>
      <c r="S3809" s="564">
        <f t="shared" si="553"/>
        <v>0</v>
      </c>
      <c r="T3809" s="577"/>
      <c r="U3809" s="589"/>
      <c r="V3809" s="592"/>
      <c r="W3809" s="592"/>
      <c r="X3809" s="592"/>
      <c r="Y3809" s="592"/>
      <c r="Z3809" s="592"/>
    </row>
    <row r="3810" spans="1:26" s="28" customFormat="1" hidden="1">
      <c r="A3810" s="591">
        <f t="shared" si="556"/>
        <v>4</v>
      </c>
      <c r="B3810" s="827" t="s">
        <v>3039</v>
      </c>
      <c r="C3810" s="593" t="s">
        <v>282</v>
      </c>
      <c r="D3810" s="878">
        <v>21597</v>
      </c>
      <c r="E3810" s="878">
        <v>4111</v>
      </c>
      <c r="F3810" s="878" t="s">
        <v>233</v>
      </c>
      <c r="G3810" s="878">
        <v>982</v>
      </c>
      <c r="H3810" s="879">
        <v>5</v>
      </c>
      <c r="I3810" s="593">
        <v>2</v>
      </c>
      <c r="J3810" s="880">
        <v>140</v>
      </c>
      <c r="K3810" s="881" t="s">
        <v>33</v>
      </c>
      <c r="L3810" s="584">
        <f t="shared" si="554"/>
        <v>2011922</v>
      </c>
      <c r="M3810" s="882">
        <f>G3810*2000</f>
        <v>1964000</v>
      </c>
      <c r="N3810" s="883"/>
      <c r="O3810" s="884">
        <f>ROUND(M3810*0.3%,0)</f>
        <v>5892</v>
      </c>
      <c r="P3810" s="883"/>
      <c r="Q3810" s="883">
        <f t="shared" si="555"/>
        <v>42030</v>
      </c>
      <c r="R3810" s="599">
        <f>M3810/G3810</f>
        <v>2000</v>
      </c>
      <c r="S3810" s="564">
        <f t="shared" si="553"/>
        <v>0</v>
      </c>
      <c r="T3810" s="577"/>
      <c r="U3810" s="589"/>
      <c r="V3810" s="592"/>
      <c r="W3810" s="592"/>
      <c r="X3810" s="592"/>
      <c r="Y3810" s="592"/>
      <c r="Z3810" s="592"/>
    </row>
    <row r="3811" spans="1:26" s="28" customFormat="1" hidden="1">
      <c r="A3811" s="591">
        <f t="shared" si="556"/>
        <v>5</v>
      </c>
      <c r="B3811" s="827" t="s">
        <v>3040</v>
      </c>
      <c r="C3811" s="593" t="s">
        <v>282</v>
      </c>
      <c r="D3811" s="878">
        <v>11928</v>
      </c>
      <c r="E3811" s="878">
        <v>2105</v>
      </c>
      <c r="F3811" s="878" t="s">
        <v>233</v>
      </c>
      <c r="G3811" s="878">
        <v>894</v>
      </c>
      <c r="H3811" s="879">
        <v>5</v>
      </c>
      <c r="I3811" s="593">
        <v>4</v>
      </c>
      <c r="J3811" s="880">
        <v>60</v>
      </c>
      <c r="K3811" s="881" t="s">
        <v>224</v>
      </c>
      <c r="L3811" s="584">
        <f t="shared" si="554"/>
        <v>1383248</v>
      </c>
      <c r="M3811" s="882">
        <f>J3811*22000</f>
        <v>1320000</v>
      </c>
      <c r="N3811" s="883">
        <v>35000</v>
      </c>
      <c r="O3811" s="884"/>
      <c r="P3811" s="883"/>
      <c r="Q3811" s="883">
        <f t="shared" si="555"/>
        <v>28248</v>
      </c>
      <c r="R3811" s="599">
        <f>M3811/J3811</f>
        <v>22000</v>
      </c>
      <c r="S3811" s="564">
        <f t="shared" si="553"/>
        <v>0</v>
      </c>
      <c r="T3811" s="577"/>
      <c r="U3811" s="589"/>
      <c r="V3811" s="592"/>
      <c r="W3811" s="592"/>
      <c r="X3811" s="592"/>
      <c r="Y3811" s="592"/>
      <c r="Z3811" s="592"/>
    </row>
    <row r="3812" spans="1:26" s="28" customFormat="1" hidden="1">
      <c r="A3812" s="591">
        <f t="shared" si="556"/>
        <v>6</v>
      </c>
      <c r="B3812" s="827" t="s">
        <v>3041</v>
      </c>
      <c r="C3812" s="593" t="s">
        <v>282</v>
      </c>
      <c r="D3812" s="878">
        <v>19474</v>
      </c>
      <c r="E3812" s="878">
        <v>3553</v>
      </c>
      <c r="F3812" s="878" t="s">
        <v>230</v>
      </c>
      <c r="G3812" s="878">
        <v>1747</v>
      </c>
      <c r="H3812" s="879">
        <v>5</v>
      </c>
      <c r="I3812" s="593">
        <v>6</v>
      </c>
      <c r="J3812" s="880">
        <v>96</v>
      </c>
      <c r="K3812" s="881" t="s">
        <v>33</v>
      </c>
      <c r="L3812" s="584">
        <f t="shared" si="554"/>
        <v>4498965</v>
      </c>
      <c r="M3812" s="882">
        <f>G3812*2500</f>
        <v>4367500</v>
      </c>
      <c r="N3812" s="883">
        <v>38000</v>
      </c>
      <c r="O3812" s="884"/>
      <c r="P3812" s="883"/>
      <c r="Q3812" s="883">
        <f t="shared" si="555"/>
        <v>93465</v>
      </c>
      <c r="R3812" s="599">
        <f>M3812/G3812</f>
        <v>2500</v>
      </c>
      <c r="S3812" s="564">
        <f t="shared" si="553"/>
        <v>0</v>
      </c>
      <c r="T3812" s="577"/>
      <c r="U3812" s="589"/>
      <c r="V3812" s="592"/>
      <c r="W3812" s="592"/>
      <c r="X3812" s="592"/>
      <c r="Y3812" s="592"/>
      <c r="Z3812" s="592"/>
    </row>
    <row r="3813" spans="1:26" s="28" customFormat="1" hidden="1">
      <c r="A3813" s="591">
        <f t="shared" si="556"/>
        <v>7</v>
      </c>
      <c r="B3813" s="827" t="s">
        <v>3042</v>
      </c>
      <c r="C3813" s="593" t="s">
        <v>282</v>
      </c>
      <c r="D3813" s="878">
        <v>20973</v>
      </c>
      <c r="E3813" s="878">
        <v>3272</v>
      </c>
      <c r="F3813" s="878" t="s">
        <v>222</v>
      </c>
      <c r="G3813" s="878">
        <v>1556</v>
      </c>
      <c r="H3813" s="879">
        <v>5</v>
      </c>
      <c r="I3813" s="593">
        <v>6</v>
      </c>
      <c r="J3813" s="880">
        <v>100</v>
      </c>
      <c r="K3813" s="881" t="s">
        <v>224</v>
      </c>
      <c r="L3813" s="584">
        <f t="shared" si="554"/>
        <v>2287080</v>
      </c>
      <c r="M3813" s="882">
        <f>J3813*22000</f>
        <v>2200000</v>
      </c>
      <c r="N3813" s="883">
        <v>40000</v>
      </c>
      <c r="O3813" s="884"/>
      <c r="P3813" s="883"/>
      <c r="Q3813" s="883">
        <f t="shared" si="555"/>
        <v>47080</v>
      </c>
      <c r="R3813" s="599">
        <f>M3813/J3813</f>
        <v>22000</v>
      </c>
      <c r="S3813" s="564">
        <f t="shared" si="553"/>
        <v>0</v>
      </c>
      <c r="T3813" s="577"/>
      <c r="U3813" s="589"/>
      <c r="V3813" s="592"/>
      <c r="W3813" s="592"/>
      <c r="X3813" s="592"/>
      <c r="Y3813" s="592"/>
      <c r="Z3813" s="592"/>
    </row>
    <row r="3814" spans="1:26" s="28" customFormat="1" hidden="1">
      <c r="A3814" s="591">
        <f t="shared" si="556"/>
        <v>8</v>
      </c>
      <c r="B3814" s="827" t="s">
        <v>3043</v>
      </c>
      <c r="C3814" s="593" t="s">
        <v>282</v>
      </c>
      <c r="D3814" s="878">
        <v>18223</v>
      </c>
      <c r="E3814" s="878">
        <v>3492</v>
      </c>
      <c r="F3814" s="878" t="s">
        <v>233</v>
      </c>
      <c r="G3814" s="878">
        <v>1604</v>
      </c>
      <c r="H3814" s="879">
        <v>5</v>
      </c>
      <c r="I3814" s="593">
        <v>6</v>
      </c>
      <c r="J3814" s="880">
        <v>80</v>
      </c>
      <c r="K3814" s="881" t="s">
        <v>224</v>
      </c>
      <c r="L3814" s="584">
        <f t="shared" si="554"/>
        <v>1837664</v>
      </c>
      <c r="M3814" s="882">
        <f>J3814*22000</f>
        <v>1760000</v>
      </c>
      <c r="N3814" s="883">
        <v>40000</v>
      </c>
      <c r="O3814" s="884"/>
      <c r="P3814" s="883"/>
      <c r="Q3814" s="883">
        <f t="shared" si="555"/>
        <v>37664</v>
      </c>
      <c r="R3814" s="599">
        <f>M3814/J3814</f>
        <v>22000</v>
      </c>
      <c r="S3814" s="564">
        <f t="shared" si="553"/>
        <v>0</v>
      </c>
      <c r="T3814" s="577"/>
      <c r="U3814" s="589"/>
      <c r="V3814" s="592"/>
      <c r="W3814" s="592"/>
      <c r="X3814" s="592"/>
      <c r="Y3814" s="592"/>
      <c r="Z3814" s="592"/>
    </row>
    <row r="3815" spans="1:26" s="28" customFormat="1" hidden="1">
      <c r="A3815" s="591">
        <f t="shared" si="556"/>
        <v>9</v>
      </c>
      <c r="B3815" s="827" t="s">
        <v>3044</v>
      </c>
      <c r="C3815" s="593" t="s">
        <v>282</v>
      </c>
      <c r="D3815" s="878">
        <v>18348</v>
      </c>
      <c r="E3815" s="878">
        <v>3383</v>
      </c>
      <c r="F3815" s="878" t="s">
        <v>233</v>
      </c>
      <c r="G3815" s="878">
        <v>1626</v>
      </c>
      <c r="H3815" s="879">
        <v>5</v>
      </c>
      <c r="I3815" s="593">
        <v>6</v>
      </c>
      <c r="J3815" s="880">
        <v>80</v>
      </c>
      <c r="K3815" s="881" t="s">
        <v>224</v>
      </c>
      <c r="L3815" s="584">
        <f t="shared" si="554"/>
        <v>1837664</v>
      </c>
      <c r="M3815" s="882">
        <f>J3815*22000</f>
        <v>1760000</v>
      </c>
      <c r="N3815" s="883">
        <v>40000</v>
      </c>
      <c r="O3815" s="884"/>
      <c r="P3815" s="883"/>
      <c r="Q3815" s="883">
        <f t="shared" si="555"/>
        <v>37664</v>
      </c>
      <c r="R3815" s="599">
        <f>M3815/J3815</f>
        <v>22000</v>
      </c>
      <c r="S3815" s="564">
        <f t="shared" si="553"/>
        <v>0</v>
      </c>
      <c r="T3815" s="577"/>
      <c r="U3815" s="589"/>
      <c r="V3815" s="592"/>
      <c r="W3815" s="592"/>
      <c r="X3815" s="592"/>
      <c r="Y3815" s="592"/>
      <c r="Z3815" s="592"/>
    </row>
    <row r="3816" spans="1:26" s="28" customFormat="1" hidden="1">
      <c r="A3816" s="591">
        <f t="shared" si="556"/>
        <v>10</v>
      </c>
      <c r="B3816" s="827" t="s">
        <v>3045</v>
      </c>
      <c r="C3816" s="593" t="s">
        <v>282</v>
      </c>
      <c r="D3816" s="878">
        <v>27376</v>
      </c>
      <c r="E3816" s="878">
        <v>3604</v>
      </c>
      <c r="F3816" s="878" t="s">
        <v>233</v>
      </c>
      <c r="G3816" s="878">
        <v>1300</v>
      </c>
      <c r="H3816" s="879">
        <v>5</v>
      </c>
      <c r="I3816" s="593">
        <v>7</v>
      </c>
      <c r="J3816" s="880">
        <v>102</v>
      </c>
      <c r="K3816" s="881" t="s">
        <v>33</v>
      </c>
      <c r="L3816" s="584">
        <f t="shared" si="554"/>
        <v>2663440</v>
      </c>
      <c r="M3816" s="882">
        <f>G3816*2000</f>
        <v>2600000</v>
      </c>
      <c r="N3816" s="883"/>
      <c r="O3816" s="884">
        <f>ROUND(M3816*0.3%,0)</f>
        <v>7800</v>
      </c>
      <c r="P3816" s="883"/>
      <c r="Q3816" s="883">
        <f t="shared" si="555"/>
        <v>55640</v>
      </c>
      <c r="R3816" s="599">
        <f>M3816/G3816</f>
        <v>2000</v>
      </c>
      <c r="S3816" s="564">
        <f t="shared" si="553"/>
        <v>0</v>
      </c>
      <c r="T3816" s="577"/>
      <c r="U3816" s="589"/>
      <c r="V3816" s="592"/>
      <c r="W3816" s="592"/>
      <c r="X3816" s="592"/>
      <c r="Y3816" s="592"/>
      <c r="Z3816" s="592"/>
    </row>
    <row r="3817" spans="1:26" s="28" customFormat="1" ht="37.5" hidden="1">
      <c r="A3817" s="591">
        <f t="shared" si="556"/>
        <v>11</v>
      </c>
      <c r="B3817" s="827" t="s">
        <v>3046</v>
      </c>
      <c r="C3817" s="593" t="s">
        <v>282</v>
      </c>
      <c r="D3817" s="878">
        <v>21226</v>
      </c>
      <c r="E3817" s="878">
        <v>2377</v>
      </c>
      <c r="F3817" s="878" t="s">
        <v>233</v>
      </c>
      <c r="G3817" s="878">
        <v>750</v>
      </c>
      <c r="H3817" s="879">
        <v>9</v>
      </c>
      <c r="I3817" s="593">
        <v>2</v>
      </c>
      <c r="J3817" s="880">
        <v>72</v>
      </c>
      <c r="K3817" s="881" t="s">
        <v>219</v>
      </c>
      <c r="L3817" s="584">
        <f t="shared" si="554"/>
        <v>4106250</v>
      </c>
      <c r="M3817" s="882">
        <v>4000000</v>
      </c>
      <c r="N3817" s="883">
        <v>106250</v>
      </c>
      <c r="O3817" s="884"/>
      <c r="P3817" s="883"/>
      <c r="Q3817" s="883"/>
      <c r="R3817" s="599">
        <f>M3817/I3817</f>
        <v>2000000</v>
      </c>
      <c r="S3817" s="564">
        <f t="shared" si="553"/>
        <v>0</v>
      </c>
      <c r="T3817" s="577"/>
      <c r="U3817" s="589"/>
      <c r="V3817" s="589"/>
      <c r="W3817" s="592"/>
      <c r="X3817" s="592"/>
      <c r="Y3817" s="592"/>
      <c r="Z3817" s="592"/>
    </row>
    <row r="3818" spans="1:26" s="28" customFormat="1" hidden="1">
      <c r="A3818" s="591">
        <f t="shared" si="556"/>
        <v>12</v>
      </c>
      <c r="B3818" s="827" t="s">
        <v>3047</v>
      </c>
      <c r="C3818" s="593" t="s">
        <v>282</v>
      </c>
      <c r="D3818" s="878">
        <v>44657</v>
      </c>
      <c r="E3818" s="878">
        <v>9533</v>
      </c>
      <c r="F3818" s="878" t="s">
        <v>233</v>
      </c>
      <c r="G3818" s="878">
        <v>3991</v>
      </c>
      <c r="H3818" s="879">
        <v>5</v>
      </c>
      <c r="I3818" s="593">
        <v>14</v>
      </c>
      <c r="J3818" s="880">
        <v>165</v>
      </c>
      <c r="K3818" s="881" t="s">
        <v>33</v>
      </c>
      <c r="L3818" s="584">
        <f t="shared" si="554"/>
        <v>7816172</v>
      </c>
      <c r="M3818" s="882">
        <v>7630000</v>
      </c>
      <c r="N3818" s="883"/>
      <c r="O3818" s="884">
        <f t="shared" ref="O3818:O3824" si="557">ROUND(M3818*0.3%,0)</f>
        <v>22890</v>
      </c>
      <c r="P3818" s="883"/>
      <c r="Q3818" s="883">
        <f t="shared" ref="Q3818:Q3829" si="558">ROUND(M3818*2.14%,0)</f>
        <v>163282</v>
      </c>
      <c r="R3818" s="599">
        <f>M3818/G3818</f>
        <v>1911.8015534953645</v>
      </c>
      <c r="S3818" s="564">
        <f t="shared" si="553"/>
        <v>0</v>
      </c>
      <c r="T3818" s="577"/>
      <c r="U3818" s="589"/>
      <c r="V3818" s="592"/>
      <c r="W3818" s="592"/>
      <c r="X3818" s="592"/>
      <c r="Y3818" s="592"/>
      <c r="Z3818" s="592"/>
    </row>
    <row r="3819" spans="1:26" s="28" customFormat="1" hidden="1">
      <c r="A3819" s="591">
        <f t="shared" si="556"/>
        <v>13</v>
      </c>
      <c r="B3819" s="827" t="s">
        <v>3048</v>
      </c>
      <c r="C3819" s="593" t="s">
        <v>282</v>
      </c>
      <c r="D3819" s="878">
        <v>10700</v>
      </c>
      <c r="E3819" s="878">
        <v>1940</v>
      </c>
      <c r="F3819" s="878" t="s">
        <v>233</v>
      </c>
      <c r="G3819" s="878">
        <v>470.8</v>
      </c>
      <c r="H3819" s="879">
        <v>5</v>
      </c>
      <c r="I3819" s="593">
        <v>3</v>
      </c>
      <c r="J3819" s="880">
        <v>45</v>
      </c>
      <c r="K3819" s="881" t="s">
        <v>38</v>
      </c>
      <c r="L3819" s="584">
        <f t="shared" si="554"/>
        <v>1394960</v>
      </c>
      <c r="M3819" s="882">
        <v>1361734</v>
      </c>
      <c r="N3819" s="883"/>
      <c r="O3819" s="884">
        <f t="shared" si="557"/>
        <v>4085</v>
      </c>
      <c r="P3819" s="883"/>
      <c r="Q3819" s="883">
        <f t="shared" si="558"/>
        <v>29141</v>
      </c>
      <c r="R3819" s="599">
        <f>M3819/E3819</f>
        <v>701.9247422680412</v>
      </c>
      <c r="S3819" s="564">
        <f t="shared" si="553"/>
        <v>0</v>
      </c>
      <c r="T3819" s="577"/>
      <c r="U3819" s="589"/>
      <c r="V3819" s="592"/>
      <c r="W3819" s="592"/>
      <c r="X3819" s="592"/>
      <c r="Y3819" s="592"/>
      <c r="Z3819" s="592"/>
    </row>
    <row r="3820" spans="1:26" s="28" customFormat="1" hidden="1">
      <c r="A3820" s="591">
        <f t="shared" si="556"/>
        <v>14</v>
      </c>
      <c r="B3820" s="827" t="s">
        <v>3049</v>
      </c>
      <c r="C3820" s="593" t="s">
        <v>282</v>
      </c>
      <c r="D3820" s="878">
        <v>23694</v>
      </c>
      <c r="E3820" s="878">
        <v>3937</v>
      </c>
      <c r="F3820" s="878" t="s">
        <v>222</v>
      </c>
      <c r="G3820" s="878">
        <v>1752</v>
      </c>
      <c r="H3820" s="879">
        <v>5</v>
      </c>
      <c r="I3820" s="593">
        <v>6</v>
      </c>
      <c r="J3820" s="880">
        <v>96</v>
      </c>
      <c r="K3820" s="881" t="s">
        <v>38</v>
      </c>
      <c r="L3820" s="584">
        <f t="shared" si="554"/>
        <v>1473111</v>
      </c>
      <c r="M3820" s="882">
        <v>1438023</v>
      </c>
      <c r="N3820" s="883"/>
      <c r="O3820" s="884">
        <f t="shared" si="557"/>
        <v>4314</v>
      </c>
      <c r="P3820" s="883"/>
      <c r="Q3820" s="883">
        <f t="shared" si="558"/>
        <v>30774</v>
      </c>
      <c r="R3820" s="599">
        <f>M3820/E3820</f>
        <v>365.25857251714501</v>
      </c>
      <c r="S3820" s="564">
        <f t="shared" si="553"/>
        <v>0</v>
      </c>
      <c r="T3820" s="577"/>
      <c r="U3820" s="589"/>
      <c r="V3820" s="592"/>
      <c r="W3820" s="592"/>
      <c r="X3820" s="592"/>
      <c r="Y3820" s="592"/>
      <c r="Z3820" s="592"/>
    </row>
    <row r="3821" spans="1:26" s="28" customFormat="1" hidden="1">
      <c r="A3821" s="591">
        <f t="shared" si="556"/>
        <v>15</v>
      </c>
      <c r="B3821" s="827" t="s">
        <v>3050</v>
      </c>
      <c r="C3821" s="593" t="s">
        <v>282</v>
      </c>
      <c r="D3821" s="878">
        <v>12487</v>
      </c>
      <c r="E3821" s="878">
        <v>2520.3000000000002</v>
      </c>
      <c r="F3821" s="878" t="s">
        <v>222</v>
      </c>
      <c r="G3821" s="878">
        <v>1169</v>
      </c>
      <c r="H3821" s="879">
        <v>5</v>
      </c>
      <c r="I3821" s="593">
        <v>4</v>
      </c>
      <c r="J3821" s="880">
        <v>78</v>
      </c>
      <c r="K3821" s="881" t="s">
        <v>38</v>
      </c>
      <c r="L3821" s="584">
        <f t="shared" si="554"/>
        <v>1529954</v>
      </c>
      <c r="M3821" s="882">
        <v>1493512</v>
      </c>
      <c r="N3821" s="883"/>
      <c r="O3821" s="884">
        <f t="shared" si="557"/>
        <v>4481</v>
      </c>
      <c r="P3821" s="883"/>
      <c r="Q3821" s="883">
        <f t="shared" si="558"/>
        <v>31961</v>
      </c>
      <c r="R3821" s="599">
        <f>M3821/E3821</f>
        <v>592.59294528429155</v>
      </c>
      <c r="S3821" s="564">
        <f t="shared" si="553"/>
        <v>0</v>
      </c>
      <c r="T3821" s="577"/>
      <c r="U3821" s="589"/>
      <c r="V3821" s="592"/>
      <c r="W3821" s="592"/>
      <c r="X3821" s="592"/>
      <c r="Y3821" s="592"/>
      <c r="Z3821" s="592"/>
    </row>
    <row r="3822" spans="1:26" s="28" customFormat="1" hidden="1">
      <c r="A3822" s="591">
        <f t="shared" si="556"/>
        <v>16</v>
      </c>
      <c r="B3822" s="827" t="s">
        <v>2092</v>
      </c>
      <c r="C3822" s="593" t="s">
        <v>282</v>
      </c>
      <c r="D3822" s="878">
        <v>15030</v>
      </c>
      <c r="E3822" s="878">
        <v>6292</v>
      </c>
      <c r="F3822" s="878" t="s">
        <v>233</v>
      </c>
      <c r="G3822" s="878">
        <v>437</v>
      </c>
      <c r="H3822" s="879">
        <v>9</v>
      </c>
      <c r="I3822" s="593">
        <v>1</v>
      </c>
      <c r="J3822" s="880">
        <v>58</v>
      </c>
      <c r="K3822" s="881" t="s">
        <v>33</v>
      </c>
      <c r="L3822" s="584">
        <f t="shared" si="554"/>
        <v>895326</v>
      </c>
      <c r="M3822" s="882">
        <f>G3822*2000</f>
        <v>874000</v>
      </c>
      <c r="N3822" s="883"/>
      <c r="O3822" s="884">
        <f t="shared" si="557"/>
        <v>2622</v>
      </c>
      <c r="P3822" s="883"/>
      <c r="Q3822" s="883">
        <f t="shared" si="558"/>
        <v>18704</v>
      </c>
      <c r="R3822" s="599">
        <f>M3822/G3822</f>
        <v>2000</v>
      </c>
      <c r="S3822" s="564">
        <f t="shared" si="553"/>
        <v>0</v>
      </c>
      <c r="T3822" s="577"/>
      <c r="U3822" s="589"/>
      <c r="V3822" s="592"/>
      <c r="W3822" s="592"/>
      <c r="X3822" s="592"/>
      <c r="Y3822" s="592"/>
      <c r="Z3822" s="592"/>
    </row>
    <row r="3823" spans="1:26" s="28" customFormat="1" hidden="1">
      <c r="A3823" s="591">
        <f t="shared" si="556"/>
        <v>17</v>
      </c>
      <c r="B3823" s="827" t="s">
        <v>3051</v>
      </c>
      <c r="C3823" s="593" t="s">
        <v>282</v>
      </c>
      <c r="D3823" s="878">
        <v>40409</v>
      </c>
      <c r="E3823" s="878">
        <v>9002</v>
      </c>
      <c r="F3823" s="878" t="s">
        <v>233</v>
      </c>
      <c r="G3823" s="878">
        <v>3008</v>
      </c>
      <c r="H3823" s="879">
        <v>5</v>
      </c>
      <c r="I3823" s="593">
        <v>13</v>
      </c>
      <c r="J3823" s="880">
        <v>185</v>
      </c>
      <c r="K3823" s="881" t="s">
        <v>33</v>
      </c>
      <c r="L3823" s="584">
        <f t="shared" si="554"/>
        <v>6162790</v>
      </c>
      <c r="M3823" s="882">
        <f>G3823*2000</f>
        <v>6016000</v>
      </c>
      <c r="N3823" s="883"/>
      <c r="O3823" s="884">
        <f t="shared" si="557"/>
        <v>18048</v>
      </c>
      <c r="P3823" s="883"/>
      <c r="Q3823" s="883">
        <f t="shared" si="558"/>
        <v>128742</v>
      </c>
      <c r="R3823" s="599">
        <f>M3823/G3823</f>
        <v>2000</v>
      </c>
      <c r="S3823" s="564">
        <f t="shared" si="553"/>
        <v>0</v>
      </c>
      <c r="T3823" s="577"/>
      <c r="U3823" s="589"/>
      <c r="V3823" s="592"/>
      <c r="W3823" s="592"/>
      <c r="X3823" s="592"/>
      <c r="Y3823" s="592"/>
      <c r="Z3823" s="592"/>
    </row>
    <row r="3824" spans="1:26" s="28" customFormat="1" ht="37.5" hidden="1">
      <c r="A3824" s="591">
        <f t="shared" si="556"/>
        <v>18</v>
      </c>
      <c r="B3824" s="827" t="s">
        <v>3052</v>
      </c>
      <c r="C3824" s="593" t="s">
        <v>282</v>
      </c>
      <c r="D3824" s="878">
        <v>17945</v>
      </c>
      <c r="E3824" s="878">
        <v>5573</v>
      </c>
      <c r="F3824" s="878" t="s">
        <v>233</v>
      </c>
      <c r="G3824" s="878">
        <v>1088</v>
      </c>
      <c r="H3824" s="879">
        <v>5</v>
      </c>
      <c r="I3824" s="593">
        <v>1</v>
      </c>
      <c r="J3824" s="880">
        <v>140</v>
      </c>
      <c r="K3824" s="881" t="s">
        <v>30</v>
      </c>
      <c r="L3824" s="584">
        <f t="shared" si="554"/>
        <v>2868320</v>
      </c>
      <c r="M3824" s="882">
        <f>J3824*20000</f>
        <v>2800000</v>
      </c>
      <c r="N3824" s="883"/>
      <c r="O3824" s="884">
        <f t="shared" si="557"/>
        <v>8400</v>
      </c>
      <c r="P3824" s="883"/>
      <c r="Q3824" s="883">
        <f t="shared" si="558"/>
        <v>59920</v>
      </c>
      <c r="R3824" s="599">
        <f>M3824/J3824</f>
        <v>20000</v>
      </c>
      <c r="S3824" s="564">
        <f t="shared" si="553"/>
        <v>0</v>
      </c>
      <c r="T3824" s="577"/>
      <c r="U3824" s="589"/>
      <c r="V3824" s="592"/>
      <c r="W3824" s="592"/>
      <c r="X3824" s="592"/>
      <c r="Y3824" s="592"/>
      <c r="Z3824" s="592"/>
    </row>
    <row r="3825" spans="1:26" s="28" customFormat="1" hidden="1">
      <c r="A3825" s="591">
        <f t="shared" si="556"/>
        <v>19</v>
      </c>
      <c r="B3825" s="827" t="s">
        <v>3054</v>
      </c>
      <c r="C3825" s="593" t="s">
        <v>282</v>
      </c>
      <c r="D3825" s="878">
        <v>17046</v>
      </c>
      <c r="E3825" s="878">
        <v>3227</v>
      </c>
      <c r="F3825" s="878" t="s">
        <v>230</v>
      </c>
      <c r="G3825" s="878">
        <v>1544</v>
      </c>
      <c r="H3825" s="879">
        <v>5</v>
      </c>
      <c r="I3825" s="593">
        <v>6</v>
      </c>
      <c r="J3825" s="880">
        <v>92</v>
      </c>
      <c r="K3825" s="881" t="s">
        <v>33</v>
      </c>
      <c r="L3825" s="584">
        <f t="shared" si="554"/>
        <v>4453716</v>
      </c>
      <c r="M3825" s="882">
        <v>4323200</v>
      </c>
      <c r="N3825" s="883">
        <v>38000</v>
      </c>
      <c r="O3825" s="884"/>
      <c r="P3825" s="883"/>
      <c r="Q3825" s="883">
        <f t="shared" si="558"/>
        <v>92516</v>
      </c>
      <c r="R3825" s="599">
        <f>M3825/G3825</f>
        <v>2800</v>
      </c>
      <c r="S3825" s="564">
        <f t="shared" si="553"/>
        <v>0</v>
      </c>
      <c r="T3825" s="577"/>
      <c r="U3825" s="589"/>
      <c r="V3825" s="592"/>
      <c r="W3825" s="592"/>
      <c r="X3825" s="592"/>
      <c r="Y3825" s="592"/>
      <c r="Z3825" s="592"/>
    </row>
    <row r="3826" spans="1:26" s="28" customFormat="1" hidden="1">
      <c r="A3826" s="591">
        <f t="shared" si="556"/>
        <v>20</v>
      </c>
      <c r="B3826" s="827" t="s">
        <v>3055</v>
      </c>
      <c r="C3826" s="593" t="s">
        <v>282</v>
      </c>
      <c r="D3826" s="878">
        <v>23268</v>
      </c>
      <c r="E3826" s="878">
        <v>4978</v>
      </c>
      <c r="F3826" s="878" t="s">
        <v>230</v>
      </c>
      <c r="G3826" s="878">
        <v>1586</v>
      </c>
      <c r="H3826" s="879">
        <v>5</v>
      </c>
      <c r="I3826" s="593">
        <v>6</v>
      </c>
      <c r="J3826" s="880">
        <v>84</v>
      </c>
      <c r="K3826" s="881" t="s">
        <v>33</v>
      </c>
      <c r="L3826" s="584">
        <f t="shared" si="554"/>
        <v>4573833</v>
      </c>
      <c r="M3826" s="882">
        <v>4440800</v>
      </c>
      <c r="N3826" s="883">
        <v>38000</v>
      </c>
      <c r="O3826" s="884"/>
      <c r="P3826" s="883"/>
      <c r="Q3826" s="883">
        <f t="shared" si="558"/>
        <v>95033</v>
      </c>
      <c r="R3826" s="599">
        <f>M3826/G3826</f>
        <v>2800</v>
      </c>
      <c r="S3826" s="564">
        <f t="shared" si="553"/>
        <v>0</v>
      </c>
      <c r="T3826" s="577"/>
      <c r="U3826" s="589"/>
      <c r="V3826" s="592"/>
      <c r="W3826" s="592"/>
      <c r="X3826" s="592"/>
      <c r="Y3826" s="592"/>
      <c r="Z3826" s="592"/>
    </row>
    <row r="3827" spans="1:26" s="28" customFormat="1" hidden="1">
      <c r="A3827" s="591">
        <f t="shared" si="556"/>
        <v>21</v>
      </c>
      <c r="B3827" s="827" t="s">
        <v>3056</v>
      </c>
      <c r="C3827" s="593" t="s">
        <v>282</v>
      </c>
      <c r="D3827" s="878">
        <v>21127</v>
      </c>
      <c r="E3827" s="878">
        <v>2881</v>
      </c>
      <c r="F3827" s="878" t="s">
        <v>233</v>
      </c>
      <c r="G3827" s="878">
        <v>1544</v>
      </c>
      <c r="H3827" s="879">
        <v>5</v>
      </c>
      <c r="I3827" s="593">
        <v>7</v>
      </c>
      <c r="J3827" s="880">
        <v>105</v>
      </c>
      <c r="K3827" s="881" t="s">
        <v>33</v>
      </c>
      <c r="L3827" s="584">
        <f t="shared" si="554"/>
        <v>3034045</v>
      </c>
      <c r="M3827" s="882">
        <v>2961778</v>
      </c>
      <c r="N3827" s="883"/>
      <c r="O3827" s="884">
        <f>ROUND(M3827*0.3%,0)</f>
        <v>8885</v>
      </c>
      <c r="P3827" s="883"/>
      <c r="Q3827" s="883">
        <f t="shared" si="558"/>
        <v>63382</v>
      </c>
      <c r="R3827" s="599">
        <f>M3827/G3827</f>
        <v>1918.25</v>
      </c>
      <c r="S3827" s="564">
        <f t="shared" si="553"/>
        <v>0</v>
      </c>
      <c r="T3827" s="577"/>
      <c r="U3827" s="589"/>
      <c r="V3827" s="592"/>
      <c r="W3827" s="592"/>
      <c r="X3827" s="592"/>
      <c r="Y3827" s="592"/>
      <c r="Z3827" s="592"/>
    </row>
    <row r="3828" spans="1:26" s="28" customFormat="1" hidden="1">
      <c r="A3828" s="591">
        <f t="shared" si="556"/>
        <v>22</v>
      </c>
      <c r="B3828" s="848" t="s">
        <v>3536</v>
      </c>
      <c r="C3828" s="922" t="s">
        <v>221</v>
      </c>
      <c r="D3828" s="922">
        <v>12795</v>
      </c>
      <c r="E3828" s="938">
        <v>1647</v>
      </c>
      <c r="F3828" s="700" t="s">
        <v>230</v>
      </c>
      <c r="G3828" s="939">
        <v>823</v>
      </c>
      <c r="H3828" s="928">
        <v>5</v>
      </c>
      <c r="I3828" s="928">
        <v>2</v>
      </c>
      <c r="J3828" s="643">
        <v>32</v>
      </c>
      <c r="K3828" s="930" t="s">
        <v>33</v>
      </c>
      <c r="L3828" s="584">
        <f t="shared" si="554"/>
        <v>1879347</v>
      </c>
      <c r="M3828" s="931">
        <f>G3828*2200</f>
        <v>1810600</v>
      </c>
      <c r="N3828" s="932">
        <v>30000</v>
      </c>
      <c r="O3828" s="736"/>
      <c r="P3828" s="932"/>
      <c r="Q3828" s="586">
        <f t="shared" si="558"/>
        <v>38747</v>
      </c>
      <c r="R3828" s="582">
        <f>M3828/G3828</f>
        <v>2200</v>
      </c>
      <c r="S3828" s="564">
        <f t="shared" si="553"/>
        <v>0</v>
      </c>
      <c r="T3828" s="592"/>
      <c r="U3828" s="589"/>
      <c r="V3828" s="592"/>
      <c r="W3828" s="592"/>
      <c r="X3828" s="592"/>
      <c r="Y3828" s="592"/>
      <c r="Z3828" s="592"/>
    </row>
    <row r="3829" spans="1:26" s="28" customFormat="1" hidden="1">
      <c r="A3829" s="591">
        <f t="shared" si="556"/>
        <v>23</v>
      </c>
      <c r="B3829" s="848" t="s">
        <v>3537</v>
      </c>
      <c r="C3829" s="922" t="s">
        <v>221</v>
      </c>
      <c r="D3829" s="922">
        <v>12277</v>
      </c>
      <c r="E3829" s="938">
        <v>2570</v>
      </c>
      <c r="F3829" s="700" t="s">
        <v>233</v>
      </c>
      <c r="G3829" s="939">
        <v>1110</v>
      </c>
      <c r="H3829" s="928">
        <v>5</v>
      </c>
      <c r="I3829" s="928">
        <v>4</v>
      </c>
      <c r="J3829" s="643">
        <v>60</v>
      </c>
      <c r="K3829" s="930" t="s">
        <v>33</v>
      </c>
      <c r="L3829" s="584">
        <f t="shared" si="554"/>
        <v>2501585</v>
      </c>
      <c r="M3829" s="931">
        <f>G3829*2200</f>
        <v>2442000</v>
      </c>
      <c r="N3829" s="932"/>
      <c r="O3829" s="736">
        <f>ROUND(M3829*0.3%,0)</f>
        <v>7326</v>
      </c>
      <c r="P3829" s="932"/>
      <c r="Q3829" s="586">
        <f t="shared" si="558"/>
        <v>52259</v>
      </c>
      <c r="R3829" s="582">
        <f>M3829/G3829</f>
        <v>2200</v>
      </c>
      <c r="S3829" s="564">
        <f t="shared" si="553"/>
        <v>0</v>
      </c>
      <c r="T3829" s="592"/>
      <c r="U3829" s="589"/>
      <c r="V3829" s="592"/>
      <c r="W3829" s="592"/>
      <c r="X3829" s="592"/>
      <c r="Y3829" s="592"/>
      <c r="Z3829" s="592"/>
    </row>
    <row r="3830" spans="1:26" s="89" customFormat="1" ht="37.5" hidden="1">
      <c r="A3830" s="591">
        <f t="shared" si="556"/>
        <v>24</v>
      </c>
      <c r="B3830" s="827" t="s">
        <v>1151</v>
      </c>
      <c r="C3830" s="593" t="s">
        <v>217</v>
      </c>
      <c r="D3830" s="878">
        <v>16781</v>
      </c>
      <c r="E3830" s="878">
        <v>3888</v>
      </c>
      <c r="F3830" s="878" t="s">
        <v>233</v>
      </c>
      <c r="G3830" s="878">
        <v>637</v>
      </c>
      <c r="H3830" s="879">
        <v>9</v>
      </c>
      <c r="I3830" s="593">
        <v>2</v>
      </c>
      <c r="J3830" s="880">
        <v>72</v>
      </c>
      <c r="K3830" s="881" t="s">
        <v>219</v>
      </c>
      <c r="L3830" s="584">
        <f t="shared" si="554"/>
        <v>4106250</v>
      </c>
      <c r="M3830" s="882">
        <v>4000000</v>
      </c>
      <c r="N3830" s="883">
        <v>106250</v>
      </c>
      <c r="O3830" s="884"/>
      <c r="P3830" s="883"/>
      <c r="Q3830" s="883"/>
      <c r="R3830" s="599">
        <f>M3830/I3830</f>
        <v>2000000</v>
      </c>
      <c r="S3830" s="575">
        <f t="shared" si="553"/>
        <v>0</v>
      </c>
      <c r="T3830" s="597"/>
      <c r="U3830" s="738"/>
      <c r="V3830" s="589"/>
      <c r="W3830" s="592"/>
      <c r="X3830" s="592"/>
      <c r="Y3830" s="592"/>
      <c r="Z3830" s="592"/>
    </row>
    <row r="3831" spans="1:26" s="28" customFormat="1" hidden="1">
      <c r="A3831" s="1349" t="s">
        <v>142</v>
      </c>
      <c r="B3831" s="1349"/>
      <c r="C3831" s="593" t="s">
        <v>28</v>
      </c>
      <c r="D3831" s="586">
        <f>SUM(D3807:D3830)</f>
        <v>467467</v>
      </c>
      <c r="E3831" s="586">
        <f>SUM(E3807:E3830)</f>
        <v>91449.3</v>
      </c>
      <c r="F3831" s="593" t="s">
        <v>28</v>
      </c>
      <c r="G3831" s="586">
        <f>SUM(G3807:G3830)</f>
        <v>33433.800000000003</v>
      </c>
      <c r="H3831" s="593" t="s">
        <v>28</v>
      </c>
      <c r="I3831" s="593" t="s">
        <v>28</v>
      </c>
      <c r="J3831" s="582">
        <f>SUM(J3807:J3830)</f>
        <v>2147</v>
      </c>
      <c r="K3831" s="590" t="s">
        <v>28</v>
      </c>
      <c r="L3831" s="584">
        <f t="shared" ref="L3831:Q3831" si="559">SUM(L3807:L3830)</f>
        <v>70352104</v>
      </c>
      <c r="M3831" s="585">
        <f t="shared" si="559"/>
        <v>68379147</v>
      </c>
      <c r="N3831" s="586">
        <f t="shared" si="559"/>
        <v>579500</v>
      </c>
      <c r="O3831" s="587">
        <f t="shared" si="559"/>
        <v>101343</v>
      </c>
      <c r="P3831" s="586">
        <f t="shared" si="559"/>
        <v>0</v>
      </c>
      <c r="Q3831" s="586">
        <f t="shared" si="559"/>
        <v>1292114</v>
      </c>
      <c r="R3831" s="582" t="s">
        <v>28</v>
      </c>
      <c r="S3831" s="564">
        <f t="shared" si="553"/>
        <v>0</v>
      </c>
      <c r="T3831" s="577" t="e">
        <f>'1.перечень МКД'!#REF!</f>
        <v>#REF!</v>
      </c>
      <c r="U3831" s="589" t="e">
        <f>L3831-T3831</f>
        <v>#REF!</v>
      </c>
      <c r="V3831" s="592"/>
      <c r="W3831" s="592"/>
      <c r="X3831" s="592"/>
      <c r="Y3831" s="592"/>
      <c r="Z3831" s="592"/>
    </row>
    <row r="3832" spans="1:26" s="28" customFormat="1" hidden="1">
      <c r="A3832" s="1347" t="s">
        <v>164</v>
      </c>
      <c r="B3832" s="1347"/>
      <c r="C3832" s="1347"/>
      <c r="D3832" s="1347"/>
      <c r="E3832" s="1347"/>
      <c r="F3832" s="1347"/>
      <c r="G3832" s="1347"/>
      <c r="H3832" s="1347"/>
      <c r="I3832" s="1347"/>
      <c r="J3832" s="1347"/>
      <c r="K3832" s="1347"/>
      <c r="L3832" s="1347"/>
      <c r="M3832" s="1347"/>
      <c r="N3832" s="1347"/>
      <c r="O3832" s="1347"/>
      <c r="P3832" s="1347"/>
      <c r="Q3832" s="1347"/>
      <c r="R3832" s="590"/>
      <c r="S3832" s="592"/>
      <c r="T3832" s="592"/>
      <c r="U3832" s="591"/>
      <c r="V3832" s="592"/>
      <c r="W3832" s="592"/>
      <c r="X3832" s="592"/>
      <c r="Y3832" s="592"/>
      <c r="Z3832" s="592"/>
    </row>
    <row r="3833" spans="1:26" s="28" customFormat="1" hidden="1">
      <c r="A3833" s="580">
        <v>1</v>
      </c>
      <c r="B3833" s="827" t="s">
        <v>3057</v>
      </c>
      <c r="C3833" s="593" t="s">
        <v>221</v>
      </c>
      <c r="D3833" s="878">
        <v>15076</v>
      </c>
      <c r="E3833" s="888">
        <v>1388.6</v>
      </c>
      <c r="F3833" s="878" t="s">
        <v>228</v>
      </c>
      <c r="G3833" s="878">
        <v>739.3</v>
      </c>
      <c r="H3833" s="879">
        <v>6</v>
      </c>
      <c r="I3833" s="593">
        <v>2</v>
      </c>
      <c r="J3833" s="878">
        <v>24</v>
      </c>
      <c r="K3833" s="881" t="s">
        <v>33</v>
      </c>
      <c r="L3833" s="746">
        <f>M3833+N3833+O3833+P3833+Q3833</f>
        <v>2144339</v>
      </c>
      <c r="M3833" s="882">
        <v>2070039.9999999998</v>
      </c>
      <c r="N3833" s="883">
        <v>30000</v>
      </c>
      <c r="O3833" s="884"/>
      <c r="P3833" s="883"/>
      <c r="Q3833" s="597">
        <v>44299</v>
      </c>
      <c r="R3833" s="599">
        <f>M3833/G3833</f>
        <v>2800</v>
      </c>
      <c r="S3833" s="564">
        <f>L3833-M3833-N3833-O3833-P3833-Q3833</f>
        <v>2.3283064365386963E-10</v>
      </c>
      <c r="T3833" s="885"/>
      <c r="U3833" s="591"/>
      <c r="V3833" s="592"/>
      <c r="W3833" s="645"/>
      <c r="X3833" s="645"/>
      <c r="Y3833" s="592"/>
      <c r="Z3833" s="592"/>
    </row>
    <row r="3834" spans="1:26" s="28" customFormat="1" hidden="1">
      <c r="A3834" s="580">
        <f>A3833+1</f>
        <v>2</v>
      </c>
      <c r="B3834" s="827" t="s">
        <v>3058</v>
      </c>
      <c r="C3834" s="593" t="s">
        <v>221</v>
      </c>
      <c r="D3834" s="878">
        <v>10138</v>
      </c>
      <c r="E3834" s="878">
        <v>1341</v>
      </c>
      <c r="F3834" s="878" t="s">
        <v>227</v>
      </c>
      <c r="G3834" s="878">
        <v>839</v>
      </c>
      <c r="H3834" s="879">
        <v>5</v>
      </c>
      <c r="I3834" s="593">
        <v>3</v>
      </c>
      <c r="J3834" s="880">
        <v>60</v>
      </c>
      <c r="K3834" s="881" t="s">
        <v>33</v>
      </c>
      <c r="L3834" s="584">
        <f t="shared" ref="L3834:L3852" si="560">SUM(M3834:Q3834)</f>
        <v>1890837</v>
      </c>
      <c r="M3834" s="882">
        <f>G3834*2200</f>
        <v>1845800</v>
      </c>
      <c r="N3834" s="883"/>
      <c r="O3834" s="884">
        <f>ROUND(M3834*0.3%,0)</f>
        <v>5537</v>
      </c>
      <c r="P3834" s="883"/>
      <c r="Q3834" s="883">
        <f t="shared" ref="Q3834:Q3847" si="561">ROUND(M3834*2.14%,0)</f>
        <v>39500</v>
      </c>
      <c r="R3834" s="599">
        <f>M3834/G3834</f>
        <v>2200</v>
      </c>
      <c r="S3834" s="1104"/>
      <c r="T3834" s="597"/>
      <c r="U3834" s="738"/>
      <c r="V3834" s="592"/>
      <c r="W3834" s="592"/>
      <c r="X3834" s="592"/>
      <c r="Y3834" s="592"/>
      <c r="Z3834" s="592"/>
    </row>
    <row r="3835" spans="1:26" s="28" customFormat="1" hidden="1">
      <c r="A3835" s="591">
        <f t="shared" ref="A3835:A3885" si="562">A3834+1</f>
        <v>3</v>
      </c>
      <c r="B3835" s="827" t="s">
        <v>3059</v>
      </c>
      <c r="C3835" s="593" t="s">
        <v>221</v>
      </c>
      <c r="D3835" s="878">
        <v>12703</v>
      </c>
      <c r="E3835" s="878">
        <v>1380</v>
      </c>
      <c r="F3835" s="878" t="s">
        <v>227</v>
      </c>
      <c r="G3835" s="878">
        <v>1055</v>
      </c>
      <c r="H3835" s="879">
        <v>5</v>
      </c>
      <c r="I3835" s="593">
        <v>4</v>
      </c>
      <c r="J3835" s="880">
        <v>80</v>
      </c>
      <c r="K3835" s="881" t="s">
        <v>33</v>
      </c>
      <c r="L3835" s="584">
        <f t="shared" si="560"/>
        <v>2377632</v>
      </c>
      <c r="M3835" s="882">
        <f>G3835*2200</f>
        <v>2321000</v>
      </c>
      <c r="N3835" s="883"/>
      <c r="O3835" s="884">
        <f>ROUND(M3835*0.3%,0)</f>
        <v>6963</v>
      </c>
      <c r="P3835" s="883"/>
      <c r="Q3835" s="883">
        <f t="shared" si="561"/>
        <v>49669</v>
      </c>
      <c r="R3835" s="599">
        <f>M3835/G3835</f>
        <v>2200</v>
      </c>
      <c r="S3835" s="1104"/>
      <c r="T3835" s="597"/>
      <c r="U3835" s="738"/>
      <c r="V3835" s="592"/>
      <c r="W3835" s="592"/>
      <c r="X3835" s="592"/>
      <c r="Y3835" s="592"/>
      <c r="Z3835" s="592"/>
    </row>
    <row r="3836" spans="1:26" s="28" customFormat="1" hidden="1">
      <c r="A3836" s="591">
        <f t="shared" si="562"/>
        <v>4</v>
      </c>
      <c r="B3836" s="827" t="s">
        <v>3060</v>
      </c>
      <c r="C3836" s="593" t="s">
        <v>217</v>
      </c>
      <c r="D3836" s="878">
        <v>12182</v>
      </c>
      <c r="E3836" s="878">
        <v>2345</v>
      </c>
      <c r="F3836" s="878" t="s">
        <v>227</v>
      </c>
      <c r="G3836" s="878">
        <v>1067</v>
      </c>
      <c r="H3836" s="879">
        <v>5</v>
      </c>
      <c r="I3836" s="593">
        <v>4</v>
      </c>
      <c r="J3836" s="880">
        <v>78</v>
      </c>
      <c r="K3836" s="881" t="s">
        <v>38</v>
      </c>
      <c r="L3836" s="584">
        <f t="shared" si="560"/>
        <v>4804436</v>
      </c>
      <c r="M3836" s="882">
        <f>E3836*2000</f>
        <v>4690000</v>
      </c>
      <c r="N3836" s="883"/>
      <c r="O3836" s="884">
        <f>ROUND(M3836*0.3%,0)</f>
        <v>14070</v>
      </c>
      <c r="P3836" s="883"/>
      <c r="Q3836" s="883">
        <f t="shared" si="561"/>
        <v>100366</v>
      </c>
      <c r="R3836" s="599">
        <f>M3836/E3836</f>
        <v>2000</v>
      </c>
      <c r="S3836" s="1104"/>
      <c r="T3836" s="597"/>
      <c r="U3836" s="738"/>
      <c r="V3836" s="592"/>
      <c r="W3836" s="592"/>
      <c r="X3836" s="592"/>
      <c r="Y3836" s="592"/>
      <c r="Z3836" s="592"/>
    </row>
    <row r="3837" spans="1:26" s="28" customFormat="1" ht="37.5" hidden="1">
      <c r="A3837" s="591">
        <f t="shared" si="562"/>
        <v>5</v>
      </c>
      <c r="B3837" s="827" t="s">
        <v>3061</v>
      </c>
      <c r="C3837" s="593" t="s">
        <v>221</v>
      </c>
      <c r="D3837" s="878">
        <v>10022</v>
      </c>
      <c r="E3837" s="878">
        <v>2041</v>
      </c>
      <c r="F3837" s="878" t="s">
        <v>251</v>
      </c>
      <c r="G3837" s="878">
        <v>864</v>
      </c>
      <c r="H3837" s="879">
        <v>5</v>
      </c>
      <c r="I3837" s="593">
        <v>3</v>
      </c>
      <c r="J3837" s="880">
        <v>60</v>
      </c>
      <c r="K3837" s="881" t="s">
        <v>30</v>
      </c>
      <c r="L3837" s="584">
        <f t="shared" si="560"/>
        <v>1536600</v>
      </c>
      <c r="M3837" s="882">
        <f>J3837*25000</f>
        <v>1500000</v>
      </c>
      <c r="N3837" s="883"/>
      <c r="O3837" s="884">
        <f>ROUND(M3837*0.3%,0)</f>
        <v>4500</v>
      </c>
      <c r="P3837" s="883"/>
      <c r="Q3837" s="883">
        <f t="shared" si="561"/>
        <v>32100</v>
      </c>
      <c r="R3837" s="599">
        <f>M3837/J3837</f>
        <v>25000</v>
      </c>
      <c r="S3837" s="1104"/>
      <c r="T3837" s="597"/>
      <c r="U3837" s="738"/>
      <c r="V3837" s="592"/>
      <c r="W3837" s="592"/>
      <c r="X3837" s="592"/>
      <c r="Y3837" s="592"/>
      <c r="Z3837" s="592"/>
    </row>
    <row r="3838" spans="1:26" s="28" customFormat="1" hidden="1">
      <c r="A3838" s="591">
        <f t="shared" si="562"/>
        <v>6</v>
      </c>
      <c r="B3838" s="827" t="s">
        <v>3062</v>
      </c>
      <c r="C3838" s="593" t="s">
        <v>239</v>
      </c>
      <c r="D3838" s="878">
        <v>3381</v>
      </c>
      <c r="E3838" s="878">
        <v>733</v>
      </c>
      <c r="F3838" s="878" t="s">
        <v>251</v>
      </c>
      <c r="G3838" s="878">
        <v>656</v>
      </c>
      <c r="H3838" s="879">
        <v>2</v>
      </c>
      <c r="I3838" s="593">
        <v>2</v>
      </c>
      <c r="J3838" s="880">
        <v>12</v>
      </c>
      <c r="K3838" s="881" t="s">
        <v>33</v>
      </c>
      <c r="L3838" s="584">
        <f t="shared" si="560"/>
        <v>1911108</v>
      </c>
      <c r="M3838" s="882">
        <f>G3838*2800</f>
        <v>1836800</v>
      </c>
      <c r="N3838" s="883">
        <v>35000</v>
      </c>
      <c r="O3838" s="884"/>
      <c r="P3838" s="883"/>
      <c r="Q3838" s="883">
        <f t="shared" si="561"/>
        <v>39308</v>
      </c>
      <c r="R3838" s="599">
        <f t="shared" ref="R3838:R3847" si="563">M3838/G3838</f>
        <v>2800</v>
      </c>
      <c r="S3838" s="1104"/>
      <c r="T3838" s="597"/>
      <c r="U3838" s="738"/>
      <c r="V3838" s="592"/>
      <c r="W3838" s="592"/>
      <c r="X3838" s="592"/>
      <c r="Y3838" s="592"/>
      <c r="Z3838" s="592"/>
    </row>
    <row r="3839" spans="1:26" s="28" customFormat="1" hidden="1">
      <c r="A3839" s="591">
        <f t="shared" si="562"/>
        <v>7</v>
      </c>
      <c r="B3839" s="827" t="s">
        <v>3063</v>
      </c>
      <c r="C3839" s="593" t="s">
        <v>217</v>
      </c>
      <c r="D3839" s="878">
        <v>63736</v>
      </c>
      <c r="E3839" s="878">
        <v>12735</v>
      </c>
      <c r="F3839" s="878" t="s">
        <v>227</v>
      </c>
      <c r="G3839" s="878">
        <v>3011</v>
      </c>
      <c r="H3839" s="879">
        <v>9</v>
      </c>
      <c r="I3839" s="593">
        <v>8</v>
      </c>
      <c r="J3839" s="880">
        <v>301</v>
      </c>
      <c r="K3839" s="881" t="s">
        <v>33</v>
      </c>
      <c r="L3839" s="584">
        <f t="shared" si="560"/>
        <v>6785831</v>
      </c>
      <c r="M3839" s="882">
        <v>6624200</v>
      </c>
      <c r="N3839" s="883"/>
      <c r="O3839" s="884">
        <f>ROUND(M3839*0.3%,0)</f>
        <v>19873</v>
      </c>
      <c r="P3839" s="883"/>
      <c r="Q3839" s="883">
        <f t="shared" si="561"/>
        <v>141758</v>
      </c>
      <c r="R3839" s="599">
        <f t="shared" si="563"/>
        <v>2200</v>
      </c>
      <c r="S3839" s="1104"/>
      <c r="T3839" s="597"/>
      <c r="U3839" s="738"/>
      <c r="V3839" s="592"/>
      <c r="W3839" s="592"/>
      <c r="X3839" s="592"/>
      <c r="Y3839" s="592"/>
      <c r="Z3839" s="592"/>
    </row>
    <row r="3840" spans="1:26" s="28" customFormat="1" hidden="1">
      <c r="A3840" s="591">
        <f t="shared" si="562"/>
        <v>8</v>
      </c>
      <c r="B3840" s="827" t="s">
        <v>3064</v>
      </c>
      <c r="C3840" s="593" t="s">
        <v>239</v>
      </c>
      <c r="D3840" s="878">
        <v>4688</v>
      </c>
      <c r="E3840" s="878">
        <v>1052</v>
      </c>
      <c r="F3840" s="878" t="s">
        <v>251</v>
      </c>
      <c r="G3840" s="878">
        <v>914</v>
      </c>
      <c r="H3840" s="879">
        <v>2</v>
      </c>
      <c r="I3840" s="593">
        <v>3</v>
      </c>
      <c r="J3840" s="880">
        <v>18</v>
      </c>
      <c r="K3840" s="881" t="s">
        <v>33</v>
      </c>
      <c r="L3840" s="584">
        <f t="shared" si="560"/>
        <v>2648967</v>
      </c>
      <c r="M3840" s="882">
        <f t="shared" ref="M3840:M3846" si="564">G3840*2800</f>
        <v>2559200</v>
      </c>
      <c r="N3840" s="883">
        <v>35000</v>
      </c>
      <c r="O3840" s="884"/>
      <c r="P3840" s="883"/>
      <c r="Q3840" s="883">
        <f t="shared" si="561"/>
        <v>54767</v>
      </c>
      <c r="R3840" s="599">
        <f t="shared" si="563"/>
        <v>2800</v>
      </c>
      <c r="S3840" s="1104"/>
      <c r="T3840" s="597"/>
      <c r="U3840" s="738"/>
      <c r="V3840" s="592"/>
      <c r="W3840" s="592"/>
      <c r="X3840" s="592"/>
      <c r="Y3840" s="592"/>
      <c r="Z3840" s="592"/>
    </row>
    <row r="3841" spans="1:26" s="28" customFormat="1" hidden="1">
      <c r="A3841" s="591">
        <f t="shared" si="562"/>
        <v>9</v>
      </c>
      <c r="B3841" s="827" t="s">
        <v>3065</v>
      </c>
      <c r="C3841" s="593" t="s">
        <v>239</v>
      </c>
      <c r="D3841" s="878">
        <v>4996</v>
      </c>
      <c r="E3841" s="878">
        <v>1075</v>
      </c>
      <c r="F3841" s="878" t="s">
        <v>251</v>
      </c>
      <c r="G3841" s="878">
        <v>642</v>
      </c>
      <c r="H3841" s="879">
        <v>3</v>
      </c>
      <c r="I3841" s="593">
        <v>2</v>
      </c>
      <c r="J3841" s="880">
        <v>13</v>
      </c>
      <c r="K3841" s="881" t="s">
        <v>33</v>
      </c>
      <c r="L3841" s="584">
        <f t="shared" si="560"/>
        <v>1871069</v>
      </c>
      <c r="M3841" s="882">
        <f t="shared" si="564"/>
        <v>1797600</v>
      </c>
      <c r="N3841" s="883">
        <v>35000</v>
      </c>
      <c r="O3841" s="884"/>
      <c r="P3841" s="883"/>
      <c r="Q3841" s="883">
        <f t="shared" si="561"/>
        <v>38469</v>
      </c>
      <c r="R3841" s="599">
        <f t="shared" si="563"/>
        <v>2800</v>
      </c>
      <c r="S3841" s="1104"/>
      <c r="T3841" s="597"/>
      <c r="U3841" s="738"/>
      <c r="V3841" s="592"/>
      <c r="W3841" s="592"/>
      <c r="X3841" s="592"/>
      <c r="Y3841" s="592"/>
      <c r="Z3841" s="592"/>
    </row>
    <row r="3842" spans="1:26" s="28" customFormat="1" hidden="1">
      <c r="A3842" s="591">
        <f t="shared" si="562"/>
        <v>10</v>
      </c>
      <c r="B3842" s="827" t="s">
        <v>3066</v>
      </c>
      <c r="C3842" s="593" t="s">
        <v>239</v>
      </c>
      <c r="D3842" s="878">
        <v>3430</v>
      </c>
      <c r="E3842" s="878">
        <v>741</v>
      </c>
      <c r="F3842" s="878" t="s">
        <v>251</v>
      </c>
      <c r="G3842" s="878">
        <v>656</v>
      </c>
      <c r="H3842" s="879">
        <v>2</v>
      </c>
      <c r="I3842" s="593">
        <v>2</v>
      </c>
      <c r="J3842" s="880">
        <v>12</v>
      </c>
      <c r="K3842" s="881" t="s">
        <v>33</v>
      </c>
      <c r="L3842" s="584">
        <f t="shared" si="560"/>
        <v>1911108</v>
      </c>
      <c r="M3842" s="882">
        <f t="shared" si="564"/>
        <v>1836800</v>
      </c>
      <c r="N3842" s="883">
        <v>35000</v>
      </c>
      <c r="O3842" s="884"/>
      <c r="P3842" s="883"/>
      <c r="Q3842" s="883">
        <f t="shared" si="561"/>
        <v>39308</v>
      </c>
      <c r="R3842" s="599">
        <f t="shared" si="563"/>
        <v>2800</v>
      </c>
      <c r="S3842" s="1104"/>
      <c r="T3842" s="597"/>
      <c r="U3842" s="738"/>
      <c r="V3842" s="592"/>
      <c r="W3842" s="592"/>
      <c r="X3842" s="592"/>
      <c r="Y3842" s="592"/>
      <c r="Z3842" s="592"/>
    </row>
    <row r="3843" spans="1:26" s="28" customFormat="1" hidden="1">
      <c r="A3843" s="591">
        <f t="shared" si="562"/>
        <v>11</v>
      </c>
      <c r="B3843" s="827" t="s">
        <v>3067</v>
      </c>
      <c r="C3843" s="593" t="s">
        <v>239</v>
      </c>
      <c r="D3843" s="878">
        <v>1903</v>
      </c>
      <c r="E3843" s="878">
        <v>444</v>
      </c>
      <c r="F3843" s="878" t="s">
        <v>251</v>
      </c>
      <c r="G3843" s="878">
        <v>388</v>
      </c>
      <c r="H3843" s="879">
        <v>2</v>
      </c>
      <c r="I3843" s="593">
        <v>1</v>
      </c>
      <c r="J3843" s="880">
        <v>8</v>
      </c>
      <c r="K3843" s="881" t="s">
        <v>33</v>
      </c>
      <c r="L3843" s="584">
        <f t="shared" si="560"/>
        <v>1144649</v>
      </c>
      <c r="M3843" s="882">
        <f t="shared" si="564"/>
        <v>1086400</v>
      </c>
      <c r="N3843" s="883">
        <v>35000</v>
      </c>
      <c r="O3843" s="884"/>
      <c r="P3843" s="883"/>
      <c r="Q3843" s="883">
        <f t="shared" si="561"/>
        <v>23249</v>
      </c>
      <c r="R3843" s="599">
        <f t="shared" si="563"/>
        <v>2800</v>
      </c>
      <c r="S3843" s="1104"/>
      <c r="T3843" s="597"/>
      <c r="U3843" s="738"/>
      <c r="V3843" s="592"/>
      <c r="W3843" s="592"/>
      <c r="X3843" s="592"/>
      <c r="Y3843" s="592"/>
      <c r="Z3843" s="592"/>
    </row>
    <row r="3844" spans="1:26" s="28" customFormat="1" hidden="1">
      <c r="A3844" s="591">
        <f t="shared" si="562"/>
        <v>12</v>
      </c>
      <c r="B3844" s="827" t="s">
        <v>3068</v>
      </c>
      <c r="C3844" s="593" t="s">
        <v>239</v>
      </c>
      <c r="D3844" s="878">
        <v>1942</v>
      </c>
      <c r="E3844" s="878">
        <v>459</v>
      </c>
      <c r="F3844" s="878" t="s">
        <v>251</v>
      </c>
      <c r="G3844" s="878">
        <v>390</v>
      </c>
      <c r="H3844" s="879">
        <v>2</v>
      </c>
      <c r="I3844" s="593">
        <v>1</v>
      </c>
      <c r="J3844" s="880">
        <v>8</v>
      </c>
      <c r="K3844" s="881" t="s">
        <v>33</v>
      </c>
      <c r="L3844" s="584">
        <f t="shared" si="560"/>
        <v>1150369</v>
      </c>
      <c r="M3844" s="882">
        <f t="shared" si="564"/>
        <v>1092000</v>
      </c>
      <c r="N3844" s="883">
        <v>35000</v>
      </c>
      <c r="O3844" s="884"/>
      <c r="P3844" s="883"/>
      <c r="Q3844" s="883">
        <f t="shared" si="561"/>
        <v>23369</v>
      </c>
      <c r="R3844" s="599">
        <f t="shared" si="563"/>
        <v>2800</v>
      </c>
      <c r="S3844" s="1104"/>
      <c r="T3844" s="597"/>
      <c r="U3844" s="738"/>
      <c r="V3844" s="592"/>
      <c r="W3844" s="592"/>
      <c r="X3844" s="592"/>
      <c r="Y3844" s="592"/>
      <c r="Z3844" s="592"/>
    </row>
    <row r="3845" spans="1:26" s="28" customFormat="1" hidden="1">
      <c r="A3845" s="591">
        <f t="shared" si="562"/>
        <v>13</v>
      </c>
      <c r="B3845" s="827" t="s">
        <v>2118</v>
      </c>
      <c r="C3845" s="593" t="s">
        <v>239</v>
      </c>
      <c r="D3845" s="878">
        <v>3308</v>
      </c>
      <c r="E3845" s="878">
        <v>736</v>
      </c>
      <c r="F3845" s="878" t="s">
        <v>251</v>
      </c>
      <c r="G3845" s="878">
        <v>656</v>
      </c>
      <c r="H3845" s="879">
        <v>2</v>
      </c>
      <c r="I3845" s="593">
        <v>2</v>
      </c>
      <c r="J3845" s="880">
        <v>12</v>
      </c>
      <c r="K3845" s="881" t="s">
        <v>33</v>
      </c>
      <c r="L3845" s="584">
        <f t="shared" si="560"/>
        <v>1911108</v>
      </c>
      <c r="M3845" s="882">
        <f t="shared" si="564"/>
        <v>1836800</v>
      </c>
      <c r="N3845" s="883">
        <v>35000</v>
      </c>
      <c r="O3845" s="884"/>
      <c r="P3845" s="883"/>
      <c r="Q3845" s="883">
        <f t="shared" si="561"/>
        <v>39308</v>
      </c>
      <c r="R3845" s="599">
        <f t="shared" si="563"/>
        <v>2800</v>
      </c>
      <c r="S3845" s="1104"/>
      <c r="T3845" s="597"/>
      <c r="U3845" s="738"/>
      <c r="V3845" s="592"/>
      <c r="W3845" s="592"/>
      <c r="X3845" s="592"/>
      <c r="Y3845" s="592"/>
      <c r="Z3845" s="592"/>
    </row>
    <row r="3846" spans="1:26" s="28" customFormat="1" hidden="1">
      <c r="A3846" s="591">
        <f t="shared" si="562"/>
        <v>14</v>
      </c>
      <c r="B3846" s="827" t="s">
        <v>3069</v>
      </c>
      <c r="C3846" s="593" t="s">
        <v>239</v>
      </c>
      <c r="D3846" s="878">
        <v>1928</v>
      </c>
      <c r="E3846" s="878">
        <v>416</v>
      </c>
      <c r="F3846" s="878" t="s">
        <v>251</v>
      </c>
      <c r="G3846" s="878">
        <v>374</v>
      </c>
      <c r="H3846" s="879">
        <v>2</v>
      </c>
      <c r="I3846" s="593">
        <v>1</v>
      </c>
      <c r="J3846" s="880">
        <v>8</v>
      </c>
      <c r="K3846" s="881" t="s">
        <v>33</v>
      </c>
      <c r="L3846" s="584">
        <f t="shared" si="560"/>
        <v>1104610</v>
      </c>
      <c r="M3846" s="882">
        <f t="shared" si="564"/>
        <v>1047200</v>
      </c>
      <c r="N3846" s="883">
        <v>35000</v>
      </c>
      <c r="O3846" s="884"/>
      <c r="P3846" s="883"/>
      <c r="Q3846" s="883">
        <f t="shared" si="561"/>
        <v>22410</v>
      </c>
      <c r="R3846" s="599">
        <f t="shared" si="563"/>
        <v>2800</v>
      </c>
      <c r="S3846" s="1104"/>
      <c r="T3846" s="597"/>
      <c r="U3846" s="738"/>
      <c r="V3846" s="592"/>
      <c r="W3846" s="592"/>
      <c r="X3846" s="592"/>
      <c r="Y3846" s="592"/>
      <c r="Z3846" s="592"/>
    </row>
    <row r="3847" spans="1:26" s="28" customFormat="1" hidden="1">
      <c r="A3847" s="591">
        <f t="shared" si="562"/>
        <v>15</v>
      </c>
      <c r="B3847" s="827" t="s">
        <v>3070</v>
      </c>
      <c r="C3847" s="593" t="s">
        <v>217</v>
      </c>
      <c r="D3847" s="878">
        <v>23690</v>
      </c>
      <c r="E3847" s="878">
        <v>2280</v>
      </c>
      <c r="F3847" s="878" t="s">
        <v>290</v>
      </c>
      <c r="G3847" s="878">
        <v>1132</v>
      </c>
      <c r="H3847" s="879">
        <v>9</v>
      </c>
      <c r="I3847" s="593">
        <v>3</v>
      </c>
      <c r="J3847" s="880">
        <v>122</v>
      </c>
      <c r="K3847" s="881" t="s">
        <v>33</v>
      </c>
      <c r="L3847" s="584">
        <f t="shared" si="560"/>
        <v>2551166</v>
      </c>
      <c r="M3847" s="882">
        <f>G3847*2200</f>
        <v>2490400</v>
      </c>
      <c r="N3847" s="883"/>
      <c r="O3847" s="884">
        <f>ROUND(M3847*0.3%,0)</f>
        <v>7471</v>
      </c>
      <c r="P3847" s="883"/>
      <c r="Q3847" s="883">
        <f t="shared" si="561"/>
        <v>53295</v>
      </c>
      <c r="R3847" s="599">
        <f t="shared" si="563"/>
        <v>2200</v>
      </c>
      <c r="S3847" s="1104"/>
      <c r="T3847" s="597"/>
      <c r="U3847" s="738"/>
      <c r="V3847" s="592"/>
      <c r="W3847" s="592"/>
      <c r="X3847" s="592"/>
      <c r="Y3847" s="592"/>
      <c r="Z3847" s="592"/>
    </row>
    <row r="3848" spans="1:26" s="28" customFormat="1" ht="37.5" hidden="1">
      <c r="A3848" s="591">
        <f t="shared" si="562"/>
        <v>16</v>
      </c>
      <c r="B3848" s="827" t="s">
        <v>3071</v>
      </c>
      <c r="C3848" s="593" t="s">
        <v>217</v>
      </c>
      <c r="D3848" s="878">
        <v>64469</v>
      </c>
      <c r="E3848" s="878">
        <v>5289</v>
      </c>
      <c r="F3848" s="878" t="s">
        <v>227</v>
      </c>
      <c r="G3848" s="878">
        <v>3034</v>
      </c>
      <c r="H3848" s="879">
        <v>9</v>
      </c>
      <c r="I3848" s="593">
        <v>8</v>
      </c>
      <c r="J3848" s="880">
        <v>309</v>
      </c>
      <c r="K3848" s="881" t="s">
        <v>219</v>
      </c>
      <c r="L3848" s="584">
        <f t="shared" si="560"/>
        <v>16233750</v>
      </c>
      <c r="M3848" s="882">
        <v>16000000</v>
      </c>
      <c r="N3848" s="883">
        <v>233750</v>
      </c>
      <c r="O3848" s="884"/>
      <c r="P3848" s="883"/>
      <c r="Q3848" s="883"/>
      <c r="R3848" s="599">
        <f>M3848/I3848</f>
        <v>2000000</v>
      </c>
      <c r="S3848" s="1104"/>
      <c r="T3848" s="597"/>
      <c r="U3848" s="738"/>
      <c r="V3848" s="589"/>
      <c r="W3848" s="592"/>
      <c r="X3848" s="592"/>
      <c r="Y3848" s="592"/>
      <c r="Z3848" s="592"/>
    </row>
    <row r="3849" spans="1:26" s="28" customFormat="1" hidden="1">
      <c r="A3849" s="591">
        <f t="shared" si="562"/>
        <v>17</v>
      </c>
      <c r="B3849" s="827" t="s">
        <v>3072</v>
      </c>
      <c r="C3849" s="593" t="s">
        <v>221</v>
      </c>
      <c r="D3849" s="878">
        <v>12578</v>
      </c>
      <c r="E3849" s="878">
        <v>2500</v>
      </c>
      <c r="F3849" s="878" t="s">
        <v>227</v>
      </c>
      <c r="G3849" s="878">
        <v>1055</v>
      </c>
      <c r="H3849" s="879">
        <v>5</v>
      </c>
      <c r="I3849" s="593">
        <v>4</v>
      </c>
      <c r="J3849" s="880">
        <v>80</v>
      </c>
      <c r="K3849" s="881" t="s">
        <v>33</v>
      </c>
      <c r="L3849" s="584">
        <f t="shared" si="560"/>
        <v>2377632</v>
      </c>
      <c r="M3849" s="882">
        <f>G3849*2200</f>
        <v>2321000</v>
      </c>
      <c r="N3849" s="883"/>
      <c r="O3849" s="884">
        <f>ROUND(M3849*0.3%,0)</f>
        <v>6963</v>
      </c>
      <c r="P3849" s="883"/>
      <c r="Q3849" s="883">
        <f t="shared" ref="Q3849:Q3868" si="565">ROUND(M3849*2.14%,0)</f>
        <v>49669</v>
      </c>
      <c r="R3849" s="599">
        <f t="shared" ref="R3849:R3863" si="566">M3849/G3849</f>
        <v>2200</v>
      </c>
      <c r="S3849" s="1104"/>
      <c r="T3849" s="597"/>
      <c r="U3849" s="738"/>
      <c r="V3849" s="592"/>
      <c r="W3849" s="592"/>
      <c r="X3849" s="592"/>
      <c r="Y3849" s="592"/>
      <c r="Z3849" s="592"/>
    </row>
    <row r="3850" spans="1:26" s="28" customFormat="1" hidden="1">
      <c r="A3850" s="591">
        <f t="shared" si="562"/>
        <v>18</v>
      </c>
      <c r="B3850" s="827" t="s">
        <v>3073</v>
      </c>
      <c r="C3850" s="593" t="s">
        <v>221</v>
      </c>
      <c r="D3850" s="878">
        <v>12722</v>
      </c>
      <c r="E3850" s="878">
        <v>1762</v>
      </c>
      <c r="F3850" s="878" t="s">
        <v>227</v>
      </c>
      <c r="G3850" s="878">
        <v>1075</v>
      </c>
      <c r="H3850" s="879">
        <v>5</v>
      </c>
      <c r="I3850" s="593">
        <v>4</v>
      </c>
      <c r="J3850" s="880">
        <v>80</v>
      </c>
      <c r="K3850" s="881" t="s">
        <v>33</v>
      </c>
      <c r="L3850" s="584">
        <f t="shared" si="560"/>
        <v>2422706</v>
      </c>
      <c r="M3850" s="882">
        <f>G3850*2200</f>
        <v>2365000</v>
      </c>
      <c r="N3850" s="883"/>
      <c r="O3850" s="884">
        <f>ROUND(M3850*0.3%,0)</f>
        <v>7095</v>
      </c>
      <c r="P3850" s="883"/>
      <c r="Q3850" s="883">
        <f t="shared" si="565"/>
        <v>50611</v>
      </c>
      <c r="R3850" s="599">
        <f t="shared" si="566"/>
        <v>2200</v>
      </c>
      <c r="S3850" s="1104"/>
      <c r="T3850" s="597"/>
      <c r="U3850" s="738"/>
      <c r="V3850" s="592"/>
      <c r="W3850" s="592"/>
      <c r="X3850" s="592"/>
      <c r="Y3850" s="592"/>
      <c r="Z3850" s="592"/>
    </row>
    <row r="3851" spans="1:26" s="28" customFormat="1" hidden="1">
      <c r="A3851" s="591">
        <f t="shared" si="562"/>
        <v>19</v>
      </c>
      <c r="B3851" s="827" t="s">
        <v>3074</v>
      </c>
      <c r="C3851" s="593" t="s">
        <v>221</v>
      </c>
      <c r="D3851" s="878">
        <v>9438</v>
      </c>
      <c r="E3851" s="878">
        <v>1341</v>
      </c>
      <c r="F3851" s="878" t="s">
        <v>227</v>
      </c>
      <c r="G3851" s="878">
        <v>811</v>
      </c>
      <c r="H3851" s="879">
        <v>5</v>
      </c>
      <c r="I3851" s="593">
        <v>3</v>
      </c>
      <c r="J3851" s="880">
        <v>59</v>
      </c>
      <c r="K3851" s="881" t="s">
        <v>33</v>
      </c>
      <c r="L3851" s="584">
        <f t="shared" si="560"/>
        <v>1827735</v>
      </c>
      <c r="M3851" s="882">
        <f>G3851*2200</f>
        <v>1784200</v>
      </c>
      <c r="N3851" s="883"/>
      <c r="O3851" s="884">
        <f>ROUND(M3851*0.3%,0)</f>
        <v>5353</v>
      </c>
      <c r="P3851" s="883"/>
      <c r="Q3851" s="883">
        <f t="shared" si="565"/>
        <v>38182</v>
      </c>
      <c r="R3851" s="599">
        <f t="shared" si="566"/>
        <v>2200</v>
      </c>
      <c r="S3851" s="1104"/>
      <c r="T3851" s="597"/>
      <c r="U3851" s="738"/>
      <c r="V3851" s="592"/>
      <c r="W3851" s="592"/>
      <c r="X3851" s="592"/>
      <c r="Y3851" s="592"/>
      <c r="Z3851" s="592"/>
    </row>
    <row r="3852" spans="1:26" s="28" customFormat="1" hidden="1">
      <c r="A3852" s="591">
        <f t="shared" si="562"/>
        <v>20</v>
      </c>
      <c r="B3852" s="827" t="s">
        <v>3075</v>
      </c>
      <c r="C3852" s="593" t="s">
        <v>239</v>
      </c>
      <c r="D3852" s="878">
        <v>2843</v>
      </c>
      <c r="E3852" s="878">
        <v>629</v>
      </c>
      <c r="F3852" s="878" t="s">
        <v>251</v>
      </c>
      <c r="G3852" s="878">
        <v>563</v>
      </c>
      <c r="H3852" s="879">
        <v>2</v>
      </c>
      <c r="I3852" s="593">
        <v>2</v>
      </c>
      <c r="J3852" s="880">
        <v>12</v>
      </c>
      <c r="K3852" s="881" t="s">
        <v>33</v>
      </c>
      <c r="L3852" s="584">
        <f t="shared" si="560"/>
        <v>1645135</v>
      </c>
      <c r="M3852" s="882">
        <f>G3852*2800</f>
        <v>1576400</v>
      </c>
      <c r="N3852" s="883">
        <v>35000</v>
      </c>
      <c r="O3852" s="884"/>
      <c r="P3852" s="883"/>
      <c r="Q3852" s="883">
        <f t="shared" si="565"/>
        <v>33735</v>
      </c>
      <c r="R3852" s="599">
        <f t="shared" si="566"/>
        <v>2800</v>
      </c>
      <c r="S3852" s="1104"/>
      <c r="T3852" s="597"/>
      <c r="U3852" s="738"/>
      <c r="V3852" s="592"/>
      <c r="W3852" s="592"/>
      <c r="X3852" s="592"/>
      <c r="Y3852" s="592"/>
      <c r="Z3852" s="592"/>
    </row>
    <row r="3853" spans="1:26" s="28" customFormat="1" hidden="1">
      <c r="A3853" s="591">
        <f t="shared" si="562"/>
        <v>21</v>
      </c>
      <c r="B3853" s="827" t="s">
        <v>3076</v>
      </c>
      <c r="C3853" s="593" t="s">
        <v>239</v>
      </c>
      <c r="D3853" s="878">
        <v>1925</v>
      </c>
      <c r="E3853" s="878">
        <v>442</v>
      </c>
      <c r="F3853" s="878" t="s">
        <v>251</v>
      </c>
      <c r="G3853" s="878">
        <v>391</v>
      </c>
      <c r="H3853" s="879">
        <v>2</v>
      </c>
      <c r="I3853" s="593">
        <v>1</v>
      </c>
      <c r="J3853" s="880">
        <v>8</v>
      </c>
      <c r="K3853" s="881" t="s">
        <v>33</v>
      </c>
      <c r="L3853" s="584">
        <f>M3853+N3853+O3853+P3853+Q3853</f>
        <v>1153229</v>
      </c>
      <c r="M3853" s="882">
        <f>G3853*2800</f>
        <v>1094800</v>
      </c>
      <c r="N3853" s="883">
        <v>35000</v>
      </c>
      <c r="O3853" s="884"/>
      <c r="P3853" s="883"/>
      <c r="Q3853" s="883">
        <f t="shared" si="565"/>
        <v>23429</v>
      </c>
      <c r="R3853" s="599">
        <f t="shared" si="566"/>
        <v>2800</v>
      </c>
      <c r="S3853" s="1104"/>
      <c r="T3853" s="597"/>
      <c r="U3853" s="738"/>
      <c r="V3853" s="592"/>
      <c r="W3853" s="592"/>
      <c r="X3853" s="592"/>
      <c r="Y3853" s="592"/>
      <c r="Z3853" s="592"/>
    </row>
    <row r="3854" spans="1:26" s="28" customFormat="1" hidden="1">
      <c r="A3854" s="591">
        <f t="shared" si="562"/>
        <v>22</v>
      </c>
      <c r="B3854" s="827" t="s">
        <v>3077</v>
      </c>
      <c r="C3854" s="593" t="s">
        <v>239</v>
      </c>
      <c r="D3854" s="878">
        <v>3256</v>
      </c>
      <c r="E3854" s="878">
        <v>680</v>
      </c>
      <c r="F3854" s="878" t="s">
        <v>251</v>
      </c>
      <c r="G3854" s="878">
        <v>657</v>
      </c>
      <c r="H3854" s="879">
        <v>2</v>
      </c>
      <c r="I3854" s="593">
        <v>2</v>
      </c>
      <c r="J3854" s="880">
        <v>12</v>
      </c>
      <c r="K3854" s="881" t="s">
        <v>33</v>
      </c>
      <c r="L3854" s="584">
        <f t="shared" ref="L3854:L3881" si="567">SUM(M3854:Q3854)</f>
        <v>1913967</v>
      </c>
      <c r="M3854" s="882">
        <f>G3854*2800</f>
        <v>1839600</v>
      </c>
      <c r="N3854" s="883">
        <v>35000</v>
      </c>
      <c r="O3854" s="884"/>
      <c r="P3854" s="883"/>
      <c r="Q3854" s="883">
        <f t="shared" si="565"/>
        <v>39367</v>
      </c>
      <c r="R3854" s="599">
        <f t="shared" si="566"/>
        <v>2800</v>
      </c>
      <c r="S3854" s="1104"/>
      <c r="T3854" s="597"/>
      <c r="U3854" s="738"/>
      <c r="V3854" s="592"/>
      <c r="W3854" s="592"/>
      <c r="X3854" s="592"/>
      <c r="Y3854" s="592"/>
      <c r="Z3854" s="592"/>
    </row>
    <row r="3855" spans="1:26" s="28" customFormat="1" hidden="1">
      <c r="A3855" s="591">
        <f t="shared" si="562"/>
        <v>23</v>
      </c>
      <c r="B3855" s="827" t="s">
        <v>3078</v>
      </c>
      <c r="C3855" s="593" t="s">
        <v>221</v>
      </c>
      <c r="D3855" s="878">
        <v>9765</v>
      </c>
      <c r="E3855" s="878">
        <v>2450</v>
      </c>
      <c r="F3855" s="878" t="s">
        <v>227</v>
      </c>
      <c r="G3855" s="878">
        <v>1050</v>
      </c>
      <c r="H3855" s="879">
        <v>5</v>
      </c>
      <c r="I3855" s="593">
        <v>4</v>
      </c>
      <c r="J3855" s="880">
        <v>64</v>
      </c>
      <c r="K3855" s="881" t="s">
        <v>33</v>
      </c>
      <c r="L3855" s="584">
        <f t="shared" si="567"/>
        <v>2366364</v>
      </c>
      <c r="M3855" s="882">
        <f t="shared" ref="M3855:M3863" si="568">G3855*2200</f>
        <v>2310000</v>
      </c>
      <c r="N3855" s="883"/>
      <c r="O3855" s="884">
        <f t="shared" ref="O3855:O3863" si="569">ROUND(M3855*0.3%,0)</f>
        <v>6930</v>
      </c>
      <c r="P3855" s="883"/>
      <c r="Q3855" s="883">
        <f t="shared" si="565"/>
        <v>49434</v>
      </c>
      <c r="R3855" s="599">
        <f t="shared" si="566"/>
        <v>2200</v>
      </c>
      <c r="S3855" s="1104"/>
      <c r="T3855" s="597"/>
      <c r="U3855" s="738"/>
      <c r="V3855" s="592"/>
      <c r="W3855" s="592"/>
      <c r="X3855" s="592"/>
      <c r="Y3855" s="592"/>
      <c r="Z3855" s="592"/>
    </row>
    <row r="3856" spans="1:26" s="28" customFormat="1" hidden="1">
      <c r="A3856" s="591">
        <f t="shared" si="562"/>
        <v>24</v>
      </c>
      <c r="B3856" s="827" t="s">
        <v>3079</v>
      </c>
      <c r="C3856" s="593" t="s">
        <v>221</v>
      </c>
      <c r="D3856" s="878">
        <v>9779</v>
      </c>
      <c r="E3856" s="878">
        <v>2450</v>
      </c>
      <c r="F3856" s="878" t="s">
        <v>227</v>
      </c>
      <c r="G3856" s="878">
        <v>1038</v>
      </c>
      <c r="H3856" s="879">
        <v>5</v>
      </c>
      <c r="I3856" s="593">
        <v>4</v>
      </c>
      <c r="J3856" s="880">
        <v>64</v>
      </c>
      <c r="K3856" s="881" t="s">
        <v>33</v>
      </c>
      <c r="L3856" s="584">
        <f t="shared" si="567"/>
        <v>2339320</v>
      </c>
      <c r="M3856" s="882">
        <f t="shared" si="568"/>
        <v>2283600</v>
      </c>
      <c r="N3856" s="883"/>
      <c r="O3856" s="884">
        <f t="shared" si="569"/>
        <v>6851</v>
      </c>
      <c r="P3856" s="883"/>
      <c r="Q3856" s="883">
        <f t="shared" si="565"/>
        <v>48869</v>
      </c>
      <c r="R3856" s="599">
        <f t="shared" si="566"/>
        <v>2200</v>
      </c>
      <c r="S3856" s="1104"/>
      <c r="T3856" s="597"/>
      <c r="U3856" s="738"/>
      <c r="V3856" s="592"/>
      <c r="W3856" s="592"/>
      <c r="X3856" s="592"/>
      <c r="Y3856" s="592"/>
      <c r="Z3856" s="592"/>
    </row>
    <row r="3857" spans="1:26" s="28" customFormat="1" hidden="1">
      <c r="A3857" s="591">
        <f t="shared" si="562"/>
        <v>25</v>
      </c>
      <c r="B3857" s="827" t="s">
        <v>3080</v>
      </c>
      <c r="C3857" s="593" t="s">
        <v>217</v>
      </c>
      <c r="D3857" s="878">
        <v>31350</v>
      </c>
      <c r="E3857" s="878">
        <v>10080</v>
      </c>
      <c r="F3857" s="878" t="s">
        <v>227</v>
      </c>
      <c r="G3857" s="878">
        <v>4493</v>
      </c>
      <c r="H3857" s="879">
        <v>5</v>
      </c>
      <c r="I3857" s="593">
        <v>18</v>
      </c>
      <c r="J3857" s="880">
        <v>270</v>
      </c>
      <c r="K3857" s="881" t="s">
        <v>33</v>
      </c>
      <c r="L3857" s="584">
        <f t="shared" si="567"/>
        <v>10125784</v>
      </c>
      <c r="M3857" s="882">
        <f t="shared" si="568"/>
        <v>9884600</v>
      </c>
      <c r="N3857" s="883"/>
      <c r="O3857" s="884">
        <f t="shared" si="569"/>
        <v>29654</v>
      </c>
      <c r="P3857" s="883"/>
      <c r="Q3857" s="883">
        <f t="shared" si="565"/>
        <v>211530</v>
      </c>
      <c r="R3857" s="599">
        <f t="shared" si="566"/>
        <v>2200</v>
      </c>
      <c r="S3857" s="1104"/>
      <c r="T3857" s="597"/>
      <c r="U3857" s="738"/>
      <c r="V3857" s="592"/>
      <c r="W3857" s="592"/>
      <c r="X3857" s="592"/>
      <c r="Y3857" s="592"/>
      <c r="Z3857" s="592"/>
    </row>
    <row r="3858" spans="1:26" s="28" customFormat="1" hidden="1">
      <c r="A3858" s="591">
        <f t="shared" si="562"/>
        <v>26</v>
      </c>
      <c r="B3858" s="827" t="s">
        <v>3081</v>
      </c>
      <c r="C3858" s="593" t="s">
        <v>217</v>
      </c>
      <c r="D3858" s="878">
        <v>40443</v>
      </c>
      <c r="E3858" s="878">
        <v>6260</v>
      </c>
      <c r="F3858" s="878" t="s">
        <v>227</v>
      </c>
      <c r="G3858" s="878">
        <v>3530</v>
      </c>
      <c r="H3858" s="879">
        <v>5</v>
      </c>
      <c r="I3858" s="593">
        <v>14</v>
      </c>
      <c r="J3858" s="880">
        <v>207</v>
      </c>
      <c r="K3858" s="881" t="s">
        <v>33</v>
      </c>
      <c r="L3858" s="584">
        <f t="shared" si="567"/>
        <v>7955490</v>
      </c>
      <c r="M3858" s="882">
        <f t="shared" si="568"/>
        <v>7766000</v>
      </c>
      <c r="N3858" s="883"/>
      <c r="O3858" s="884">
        <f t="shared" si="569"/>
        <v>23298</v>
      </c>
      <c r="P3858" s="883"/>
      <c r="Q3858" s="883">
        <f t="shared" si="565"/>
        <v>166192</v>
      </c>
      <c r="R3858" s="599">
        <f t="shared" si="566"/>
        <v>2200</v>
      </c>
      <c r="S3858" s="1104"/>
      <c r="T3858" s="597"/>
      <c r="U3858" s="738"/>
      <c r="V3858" s="592"/>
      <c r="W3858" s="592"/>
      <c r="X3858" s="592"/>
      <c r="Y3858" s="592"/>
      <c r="Z3858" s="592"/>
    </row>
    <row r="3859" spans="1:26" s="28" customFormat="1" hidden="1">
      <c r="A3859" s="591">
        <f t="shared" si="562"/>
        <v>27</v>
      </c>
      <c r="B3859" s="827" t="s">
        <v>3082</v>
      </c>
      <c r="C3859" s="593" t="s">
        <v>221</v>
      </c>
      <c r="D3859" s="878">
        <v>12534</v>
      </c>
      <c r="E3859" s="878">
        <v>2400</v>
      </c>
      <c r="F3859" s="878" t="s">
        <v>227</v>
      </c>
      <c r="G3859" s="878">
        <v>1055</v>
      </c>
      <c r="H3859" s="879">
        <v>5</v>
      </c>
      <c r="I3859" s="593">
        <v>4</v>
      </c>
      <c r="J3859" s="880">
        <v>79</v>
      </c>
      <c r="K3859" s="881" t="s">
        <v>33</v>
      </c>
      <c r="L3859" s="584">
        <f t="shared" si="567"/>
        <v>2377632</v>
      </c>
      <c r="M3859" s="882">
        <f t="shared" si="568"/>
        <v>2321000</v>
      </c>
      <c r="N3859" s="883"/>
      <c r="O3859" s="884">
        <f t="shared" si="569"/>
        <v>6963</v>
      </c>
      <c r="P3859" s="883"/>
      <c r="Q3859" s="883">
        <f t="shared" si="565"/>
        <v>49669</v>
      </c>
      <c r="R3859" s="599">
        <f t="shared" si="566"/>
        <v>2200</v>
      </c>
      <c r="S3859" s="1104"/>
      <c r="T3859" s="597"/>
      <c r="U3859" s="738"/>
      <c r="V3859" s="592"/>
      <c r="W3859" s="592"/>
      <c r="X3859" s="592"/>
      <c r="Y3859" s="592"/>
      <c r="Z3859" s="592"/>
    </row>
    <row r="3860" spans="1:26" s="28" customFormat="1" hidden="1">
      <c r="A3860" s="591">
        <f t="shared" si="562"/>
        <v>28</v>
      </c>
      <c r="B3860" s="827" t="s">
        <v>3083</v>
      </c>
      <c r="C3860" s="593" t="s">
        <v>217</v>
      </c>
      <c r="D3860" s="878">
        <v>12164</v>
      </c>
      <c r="E3860" s="878">
        <v>2328</v>
      </c>
      <c r="F3860" s="878" t="s">
        <v>227</v>
      </c>
      <c r="G3860" s="878">
        <v>1132</v>
      </c>
      <c r="H3860" s="879">
        <v>5</v>
      </c>
      <c r="I3860" s="593">
        <v>4</v>
      </c>
      <c r="J3860" s="880">
        <v>78</v>
      </c>
      <c r="K3860" s="881" t="s">
        <v>33</v>
      </c>
      <c r="L3860" s="584">
        <f t="shared" si="567"/>
        <v>2551166</v>
      </c>
      <c r="M3860" s="882">
        <f t="shared" si="568"/>
        <v>2490400</v>
      </c>
      <c r="N3860" s="883"/>
      <c r="O3860" s="884">
        <f t="shared" si="569"/>
        <v>7471</v>
      </c>
      <c r="P3860" s="883"/>
      <c r="Q3860" s="883">
        <f t="shared" si="565"/>
        <v>53295</v>
      </c>
      <c r="R3860" s="599">
        <f t="shared" si="566"/>
        <v>2200</v>
      </c>
      <c r="S3860" s="1104"/>
      <c r="T3860" s="597"/>
      <c r="U3860" s="738"/>
      <c r="V3860" s="592"/>
      <c r="W3860" s="592"/>
      <c r="X3860" s="592"/>
      <c r="Y3860" s="592"/>
      <c r="Z3860" s="592"/>
    </row>
    <row r="3861" spans="1:26" s="28" customFormat="1" hidden="1">
      <c r="A3861" s="591">
        <f t="shared" si="562"/>
        <v>29</v>
      </c>
      <c r="B3861" s="827" t="s">
        <v>3084</v>
      </c>
      <c r="C3861" s="593" t="s">
        <v>217</v>
      </c>
      <c r="D3861" s="878">
        <v>11957</v>
      </c>
      <c r="E3861" s="878">
        <v>2328</v>
      </c>
      <c r="F3861" s="878" t="s">
        <v>227</v>
      </c>
      <c r="G3861" s="878">
        <v>1052</v>
      </c>
      <c r="H3861" s="879">
        <v>5</v>
      </c>
      <c r="I3861" s="593">
        <v>4</v>
      </c>
      <c r="J3861" s="880">
        <v>79</v>
      </c>
      <c r="K3861" s="881" t="s">
        <v>33</v>
      </c>
      <c r="L3861" s="584">
        <f t="shared" si="567"/>
        <v>2370871</v>
      </c>
      <c r="M3861" s="882">
        <f t="shared" si="568"/>
        <v>2314400</v>
      </c>
      <c r="N3861" s="883"/>
      <c r="O3861" s="884">
        <f t="shared" si="569"/>
        <v>6943</v>
      </c>
      <c r="P3861" s="883"/>
      <c r="Q3861" s="883">
        <f t="shared" si="565"/>
        <v>49528</v>
      </c>
      <c r="R3861" s="599">
        <f t="shared" si="566"/>
        <v>2200</v>
      </c>
      <c r="S3861" s="1104"/>
      <c r="T3861" s="597"/>
      <c r="U3861" s="738"/>
      <c r="V3861" s="592"/>
      <c r="W3861" s="592"/>
      <c r="X3861" s="592"/>
      <c r="Y3861" s="592"/>
      <c r="Z3861" s="592"/>
    </row>
    <row r="3862" spans="1:26" s="28" customFormat="1" hidden="1">
      <c r="A3862" s="591">
        <f t="shared" si="562"/>
        <v>30</v>
      </c>
      <c r="B3862" s="827" t="s">
        <v>3085</v>
      </c>
      <c r="C3862" s="593" t="s">
        <v>217</v>
      </c>
      <c r="D3862" s="878">
        <v>12197</v>
      </c>
      <c r="E3862" s="878">
        <v>2490</v>
      </c>
      <c r="F3862" s="878" t="s">
        <v>227</v>
      </c>
      <c r="G3862" s="878">
        <v>1132</v>
      </c>
      <c r="H3862" s="879">
        <v>5</v>
      </c>
      <c r="I3862" s="593">
        <v>4</v>
      </c>
      <c r="J3862" s="880">
        <v>79</v>
      </c>
      <c r="K3862" s="881" t="s">
        <v>33</v>
      </c>
      <c r="L3862" s="584">
        <f t="shared" si="567"/>
        <v>2551166</v>
      </c>
      <c r="M3862" s="882">
        <f t="shared" si="568"/>
        <v>2490400</v>
      </c>
      <c r="N3862" s="883"/>
      <c r="O3862" s="884">
        <f t="shared" si="569"/>
        <v>7471</v>
      </c>
      <c r="P3862" s="883"/>
      <c r="Q3862" s="883">
        <f t="shared" si="565"/>
        <v>53295</v>
      </c>
      <c r="R3862" s="599">
        <f t="shared" si="566"/>
        <v>2200</v>
      </c>
      <c r="S3862" s="1104"/>
      <c r="T3862" s="597"/>
      <c r="U3862" s="738"/>
      <c r="V3862" s="592"/>
      <c r="W3862" s="592"/>
      <c r="X3862" s="592"/>
      <c r="Y3862" s="592"/>
      <c r="Z3862" s="592"/>
    </row>
    <row r="3863" spans="1:26" s="28" customFormat="1" hidden="1">
      <c r="A3863" s="591">
        <f t="shared" si="562"/>
        <v>31</v>
      </c>
      <c r="B3863" s="827" t="s">
        <v>3086</v>
      </c>
      <c r="C3863" s="593" t="s">
        <v>217</v>
      </c>
      <c r="D3863" s="878">
        <v>12225</v>
      </c>
      <c r="E3863" s="878">
        <v>2346</v>
      </c>
      <c r="F3863" s="878" t="s">
        <v>227</v>
      </c>
      <c r="G3863" s="878">
        <v>1060</v>
      </c>
      <c r="H3863" s="879">
        <v>5</v>
      </c>
      <c r="I3863" s="593">
        <v>4</v>
      </c>
      <c r="J3863" s="880">
        <v>79</v>
      </c>
      <c r="K3863" s="881" t="s">
        <v>33</v>
      </c>
      <c r="L3863" s="584">
        <f t="shared" si="567"/>
        <v>2388901</v>
      </c>
      <c r="M3863" s="882">
        <f t="shared" si="568"/>
        <v>2332000</v>
      </c>
      <c r="N3863" s="883"/>
      <c r="O3863" s="884">
        <f t="shared" si="569"/>
        <v>6996</v>
      </c>
      <c r="P3863" s="883"/>
      <c r="Q3863" s="883">
        <f t="shared" si="565"/>
        <v>49905</v>
      </c>
      <c r="R3863" s="599">
        <f t="shared" si="566"/>
        <v>2200</v>
      </c>
      <c r="S3863" s="1104"/>
      <c r="T3863" s="597"/>
      <c r="U3863" s="738"/>
      <c r="V3863" s="592"/>
      <c r="W3863" s="592"/>
      <c r="X3863" s="592"/>
      <c r="Y3863" s="592"/>
      <c r="Z3863" s="592"/>
    </row>
    <row r="3864" spans="1:26" s="28" customFormat="1" hidden="1">
      <c r="A3864" s="591">
        <f t="shared" si="562"/>
        <v>32</v>
      </c>
      <c r="B3864" s="827" t="s">
        <v>3087</v>
      </c>
      <c r="C3864" s="593" t="s">
        <v>217</v>
      </c>
      <c r="D3864" s="878">
        <v>12067</v>
      </c>
      <c r="E3864" s="878">
        <v>2330</v>
      </c>
      <c r="F3864" s="878" t="s">
        <v>227</v>
      </c>
      <c r="G3864" s="878">
        <v>1060</v>
      </c>
      <c r="H3864" s="879">
        <v>5</v>
      </c>
      <c r="I3864" s="593">
        <v>4</v>
      </c>
      <c r="J3864" s="880">
        <v>78</v>
      </c>
      <c r="K3864" s="881" t="s">
        <v>224</v>
      </c>
      <c r="L3864" s="584">
        <f t="shared" si="567"/>
        <v>1867392</v>
      </c>
      <c r="M3864" s="882">
        <f>J3864*23000</f>
        <v>1794000</v>
      </c>
      <c r="N3864" s="883">
        <v>35000</v>
      </c>
      <c r="O3864" s="884"/>
      <c r="P3864" s="883"/>
      <c r="Q3864" s="883">
        <f t="shared" si="565"/>
        <v>38392</v>
      </c>
      <c r="R3864" s="599">
        <f>M3864/J3864</f>
        <v>23000</v>
      </c>
      <c r="S3864" s="1104"/>
      <c r="T3864" s="597"/>
      <c r="U3864" s="738"/>
      <c r="V3864" s="592"/>
      <c r="W3864" s="592"/>
      <c r="X3864" s="592"/>
      <c r="Y3864" s="592"/>
      <c r="Z3864" s="592"/>
    </row>
    <row r="3865" spans="1:26" s="28" customFormat="1" hidden="1">
      <c r="A3865" s="591">
        <f t="shared" si="562"/>
        <v>33</v>
      </c>
      <c r="B3865" s="827" t="s">
        <v>3088</v>
      </c>
      <c r="C3865" s="593" t="s">
        <v>217</v>
      </c>
      <c r="D3865" s="878">
        <v>12107</v>
      </c>
      <c r="E3865" s="878">
        <v>2490</v>
      </c>
      <c r="F3865" s="878" t="s">
        <v>227</v>
      </c>
      <c r="G3865" s="878">
        <v>1136</v>
      </c>
      <c r="H3865" s="879">
        <v>5</v>
      </c>
      <c r="I3865" s="593">
        <v>4</v>
      </c>
      <c r="J3865" s="880">
        <v>80</v>
      </c>
      <c r="K3865" s="881" t="s">
        <v>33</v>
      </c>
      <c r="L3865" s="584">
        <f t="shared" si="567"/>
        <v>2560181</v>
      </c>
      <c r="M3865" s="882">
        <f>G3865*2200</f>
        <v>2499200</v>
      </c>
      <c r="N3865" s="883"/>
      <c r="O3865" s="884">
        <f>ROUND(M3865*0.3%,0)</f>
        <v>7498</v>
      </c>
      <c r="P3865" s="883"/>
      <c r="Q3865" s="883">
        <f t="shared" si="565"/>
        <v>53483</v>
      </c>
      <c r="R3865" s="599">
        <f>M3865/G3865</f>
        <v>2200</v>
      </c>
      <c r="S3865" s="1104"/>
      <c r="T3865" s="597"/>
      <c r="U3865" s="738"/>
      <c r="V3865" s="592"/>
      <c r="W3865" s="592"/>
      <c r="X3865" s="592"/>
      <c r="Y3865" s="592"/>
      <c r="Z3865" s="592"/>
    </row>
    <row r="3866" spans="1:26" s="28" customFormat="1" hidden="1">
      <c r="A3866" s="591">
        <f t="shared" si="562"/>
        <v>34</v>
      </c>
      <c r="B3866" s="827" t="s">
        <v>3089</v>
      </c>
      <c r="C3866" s="593" t="s">
        <v>217</v>
      </c>
      <c r="D3866" s="878">
        <v>12116</v>
      </c>
      <c r="E3866" s="878">
        <v>2490</v>
      </c>
      <c r="F3866" s="878" t="s">
        <v>227</v>
      </c>
      <c r="G3866" s="878">
        <v>1060</v>
      </c>
      <c r="H3866" s="879">
        <v>5</v>
      </c>
      <c r="I3866" s="593">
        <v>4</v>
      </c>
      <c r="J3866" s="880">
        <v>80</v>
      </c>
      <c r="K3866" s="881" t="s">
        <v>33</v>
      </c>
      <c r="L3866" s="584">
        <f t="shared" si="567"/>
        <v>2388901</v>
      </c>
      <c r="M3866" s="882">
        <f>G3866*2200</f>
        <v>2332000</v>
      </c>
      <c r="N3866" s="883"/>
      <c r="O3866" s="884">
        <f>ROUND(M3866*0.3%,0)</f>
        <v>6996</v>
      </c>
      <c r="P3866" s="883"/>
      <c r="Q3866" s="883">
        <f t="shared" si="565"/>
        <v>49905</v>
      </c>
      <c r="R3866" s="599">
        <f>M3866/G3866</f>
        <v>2200</v>
      </c>
      <c r="S3866" s="1104"/>
      <c r="T3866" s="597"/>
      <c r="U3866" s="738"/>
      <c r="V3866" s="592"/>
      <c r="W3866" s="592"/>
      <c r="X3866" s="592"/>
      <c r="Y3866" s="592"/>
      <c r="Z3866" s="592"/>
    </row>
    <row r="3867" spans="1:26" s="28" customFormat="1" hidden="1">
      <c r="A3867" s="591">
        <f t="shared" si="562"/>
        <v>35</v>
      </c>
      <c r="B3867" s="827" t="s">
        <v>3090</v>
      </c>
      <c r="C3867" s="593" t="s">
        <v>217</v>
      </c>
      <c r="D3867" s="878">
        <v>12118</v>
      </c>
      <c r="E3867" s="878">
        <v>2346</v>
      </c>
      <c r="F3867" s="878" t="s">
        <v>227</v>
      </c>
      <c r="G3867" s="878">
        <v>1065</v>
      </c>
      <c r="H3867" s="879">
        <v>5</v>
      </c>
      <c r="I3867" s="593">
        <v>4</v>
      </c>
      <c r="J3867" s="880">
        <v>80</v>
      </c>
      <c r="K3867" s="881" t="s">
        <v>33</v>
      </c>
      <c r="L3867" s="584">
        <f t="shared" si="567"/>
        <v>2400169</v>
      </c>
      <c r="M3867" s="882">
        <f>G3867*2200</f>
        <v>2343000</v>
      </c>
      <c r="N3867" s="883"/>
      <c r="O3867" s="884">
        <f>ROUND(M3867*0.3%,0)</f>
        <v>7029</v>
      </c>
      <c r="P3867" s="883"/>
      <c r="Q3867" s="883">
        <f t="shared" si="565"/>
        <v>50140</v>
      </c>
      <c r="R3867" s="599">
        <f>M3867/G3867</f>
        <v>2200</v>
      </c>
      <c r="S3867" s="1104"/>
      <c r="T3867" s="597"/>
      <c r="U3867" s="738"/>
      <c r="V3867" s="592"/>
      <c r="W3867" s="592"/>
      <c r="X3867" s="592"/>
      <c r="Y3867" s="592"/>
      <c r="Z3867" s="592"/>
    </row>
    <row r="3868" spans="1:26" s="28" customFormat="1" hidden="1">
      <c r="A3868" s="591">
        <f t="shared" si="562"/>
        <v>36</v>
      </c>
      <c r="B3868" s="827" t="s">
        <v>3091</v>
      </c>
      <c r="C3868" s="593" t="s">
        <v>221</v>
      </c>
      <c r="D3868" s="878">
        <v>29742</v>
      </c>
      <c r="E3868" s="878">
        <v>5050</v>
      </c>
      <c r="F3868" s="878" t="s">
        <v>227</v>
      </c>
      <c r="G3868" s="878">
        <v>1538</v>
      </c>
      <c r="H3868" s="879">
        <v>9</v>
      </c>
      <c r="I3868" s="593">
        <v>4</v>
      </c>
      <c r="J3868" s="880">
        <v>128</v>
      </c>
      <c r="K3868" s="881" t="s">
        <v>33</v>
      </c>
      <c r="L3868" s="584">
        <f t="shared" si="567"/>
        <v>3466160</v>
      </c>
      <c r="M3868" s="882">
        <f>G3868*2200</f>
        <v>3383600</v>
      </c>
      <c r="N3868" s="883"/>
      <c r="O3868" s="884">
        <f>ROUND(M3868*0.3%,0)</f>
        <v>10151</v>
      </c>
      <c r="P3868" s="883"/>
      <c r="Q3868" s="883">
        <f t="shared" si="565"/>
        <v>72409</v>
      </c>
      <c r="R3868" s="599">
        <f>M3868/G3868</f>
        <v>2200</v>
      </c>
      <c r="S3868" s="1104"/>
      <c r="T3868" s="597"/>
      <c r="U3868" s="738"/>
      <c r="V3868" s="592"/>
      <c r="W3868" s="592"/>
      <c r="X3868" s="592"/>
      <c r="Y3868" s="592"/>
      <c r="Z3868" s="592"/>
    </row>
    <row r="3869" spans="1:26" s="28" customFormat="1" ht="37.5" hidden="1">
      <c r="A3869" s="591">
        <f t="shared" si="562"/>
        <v>37</v>
      </c>
      <c r="B3869" s="827" t="s">
        <v>3092</v>
      </c>
      <c r="C3869" s="593" t="s">
        <v>217</v>
      </c>
      <c r="D3869" s="878">
        <v>22047</v>
      </c>
      <c r="E3869" s="878">
        <v>4191</v>
      </c>
      <c r="F3869" s="878" t="s">
        <v>227</v>
      </c>
      <c r="G3869" s="878">
        <v>1067</v>
      </c>
      <c r="H3869" s="879">
        <v>9</v>
      </c>
      <c r="I3869" s="593">
        <v>2</v>
      </c>
      <c r="J3869" s="880"/>
      <c r="K3869" s="881" t="s">
        <v>219</v>
      </c>
      <c r="L3869" s="584">
        <f t="shared" si="567"/>
        <v>4106250</v>
      </c>
      <c r="M3869" s="882">
        <v>4000000</v>
      </c>
      <c r="N3869" s="883">
        <v>106250</v>
      </c>
      <c r="O3869" s="884"/>
      <c r="P3869" s="883"/>
      <c r="Q3869" s="883"/>
      <c r="R3869" s="599">
        <f>M3869/I3869</f>
        <v>2000000</v>
      </c>
      <c r="S3869" s="1104"/>
      <c r="T3869" s="597"/>
      <c r="U3869" s="738"/>
      <c r="V3869" s="589"/>
      <c r="W3869" s="592"/>
      <c r="X3869" s="592"/>
      <c r="Y3869" s="592"/>
      <c r="Z3869" s="592"/>
    </row>
    <row r="3870" spans="1:26" s="28" customFormat="1" hidden="1">
      <c r="A3870" s="591">
        <f t="shared" si="562"/>
        <v>38</v>
      </c>
      <c r="B3870" s="827" t="s">
        <v>3093</v>
      </c>
      <c r="C3870" s="593" t="s">
        <v>217</v>
      </c>
      <c r="D3870" s="878">
        <v>23114</v>
      </c>
      <c r="E3870" s="878">
        <v>4680</v>
      </c>
      <c r="F3870" s="878" t="s">
        <v>227</v>
      </c>
      <c r="G3870" s="878">
        <v>2219</v>
      </c>
      <c r="H3870" s="879">
        <v>5</v>
      </c>
      <c r="I3870" s="593">
        <v>8</v>
      </c>
      <c r="J3870" s="880">
        <v>120</v>
      </c>
      <c r="K3870" s="881" t="s">
        <v>33</v>
      </c>
      <c r="L3870" s="584">
        <f t="shared" si="567"/>
        <v>5000916</v>
      </c>
      <c r="M3870" s="882">
        <f>G3870*2200</f>
        <v>4881800</v>
      </c>
      <c r="N3870" s="883"/>
      <c r="O3870" s="884">
        <f>ROUND(M3870*0.3%,0)</f>
        <v>14645</v>
      </c>
      <c r="P3870" s="883"/>
      <c r="Q3870" s="883">
        <f t="shared" ref="Q3870:Q3883" si="570">ROUND(M3870*2.14%,0)</f>
        <v>104471</v>
      </c>
      <c r="R3870" s="599">
        <f>M3870/G3870</f>
        <v>2200</v>
      </c>
      <c r="S3870" s="1104"/>
      <c r="T3870" s="597"/>
      <c r="U3870" s="738"/>
      <c r="V3870" s="592"/>
      <c r="W3870" s="592"/>
      <c r="X3870" s="592"/>
      <c r="Y3870" s="592"/>
      <c r="Z3870" s="592"/>
    </row>
    <row r="3871" spans="1:26" s="28" customFormat="1" hidden="1">
      <c r="A3871" s="591">
        <f t="shared" si="562"/>
        <v>39</v>
      </c>
      <c r="B3871" s="827" t="s">
        <v>3094</v>
      </c>
      <c r="C3871" s="593" t="s">
        <v>217</v>
      </c>
      <c r="D3871" s="878">
        <v>6877</v>
      </c>
      <c r="E3871" s="878">
        <v>1440</v>
      </c>
      <c r="F3871" s="878" t="s">
        <v>227</v>
      </c>
      <c r="G3871" s="878">
        <v>583</v>
      </c>
      <c r="H3871" s="879">
        <v>5</v>
      </c>
      <c r="I3871" s="593">
        <v>2</v>
      </c>
      <c r="J3871" s="880">
        <v>30</v>
      </c>
      <c r="K3871" s="881" t="s">
        <v>33</v>
      </c>
      <c r="L3871" s="584">
        <f t="shared" si="567"/>
        <v>1313896</v>
      </c>
      <c r="M3871" s="882">
        <f>G3871*2200</f>
        <v>1282600</v>
      </c>
      <c r="N3871" s="883"/>
      <c r="O3871" s="884">
        <f>ROUND(M3871*0.3%,0)</f>
        <v>3848</v>
      </c>
      <c r="P3871" s="883"/>
      <c r="Q3871" s="883">
        <f t="shared" si="570"/>
        <v>27448</v>
      </c>
      <c r="R3871" s="599">
        <f>M3871/G3871</f>
        <v>2200</v>
      </c>
      <c r="S3871" s="1104"/>
      <c r="T3871" s="597"/>
      <c r="U3871" s="738"/>
      <c r="V3871" s="592"/>
      <c r="W3871" s="592"/>
      <c r="X3871" s="592"/>
      <c r="Y3871" s="592"/>
      <c r="Z3871" s="592"/>
    </row>
    <row r="3872" spans="1:26" s="28" customFormat="1" hidden="1">
      <c r="A3872" s="591">
        <f t="shared" si="562"/>
        <v>40</v>
      </c>
      <c r="B3872" s="827" t="s">
        <v>3095</v>
      </c>
      <c r="C3872" s="593" t="s">
        <v>239</v>
      </c>
      <c r="D3872" s="878">
        <v>6446</v>
      </c>
      <c r="E3872" s="878">
        <v>1445</v>
      </c>
      <c r="F3872" s="878" t="s">
        <v>251</v>
      </c>
      <c r="G3872" s="878">
        <v>1240</v>
      </c>
      <c r="H3872" s="879">
        <v>2</v>
      </c>
      <c r="I3872" s="593">
        <v>3</v>
      </c>
      <c r="J3872" s="880">
        <v>18</v>
      </c>
      <c r="K3872" s="881" t="s">
        <v>33</v>
      </c>
      <c r="L3872" s="584">
        <f t="shared" si="567"/>
        <v>3581301</v>
      </c>
      <c r="M3872" s="882">
        <f>G3872*2800</f>
        <v>3472000</v>
      </c>
      <c r="N3872" s="883">
        <v>35000</v>
      </c>
      <c r="O3872" s="884"/>
      <c r="P3872" s="883"/>
      <c r="Q3872" s="883">
        <f t="shared" si="570"/>
        <v>74301</v>
      </c>
      <c r="R3872" s="599">
        <f>M3872/G3872</f>
        <v>2800</v>
      </c>
      <c r="S3872" s="1104"/>
      <c r="T3872" s="597"/>
      <c r="U3872" s="738"/>
      <c r="V3872" s="592"/>
      <c r="W3872" s="592"/>
      <c r="X3872" s="592"/>
      <c r="Y3872" s="592"/>
      <c r="Z3872" s="592"/>
    </row>
    <row r="3873" spans="1:26" s="28" customFormat="1" ht="37.5" hidden="1">
      <c r="A3873" s="591">
        <f t="shared" si="562"/>
        <v>41</v>
      </c>
      <c r="B3873" s="827" t="s">
        <v>3096</v>
      </c>
      <c r="C3873" s="593" t="s">
        <v>217</v>
      </c>
      <c r="D3873" s="878">
        <v>8065</v>
      </c>
      <c r="E3873" s="878">
        <v>2286</v>
      </c>
      <c r="F3873" s="878" t="s">
        <v>290</v>
      </c>
      <c r="G3873" s="878">
        <v>388.7</v>
      </c>
      <c r="H3873" s="879">
        <v>9</v>
      </c>
      <c r="I3873" s="593">
        <v>1</v>
      </c>
      <c r="J3873" s="880">
        <v>43</v>
      </c>
      <c r="K3873" s="881" t="s">
        <v>30</v>
      </c>
      <c r="L3873" s="584">
        <f t="shared" si="567"/>
        <v>1321476</v>
      </c>
      <c r="M3873" s="882">
        <f>J3873*30000</f>
        <v>1290000</v>
      </c>
      <c r="N3873" s="883"/>
      <c r="O3873" s="884">
        <f>ROUND(M3873*0.3%,0)</f>
        <v>3870</v>
      </c>
      <c r="P3873" s="883"/>
      <c r="Q3873" s="883">
        <f t="shared" si="570"/>
        <v>27606</v>
      </c>
      <c r="R3873" s="599">
        <f>M3873/J3873</f>
        <v>30000</v>
      </c>
      <c r="S3873" s="1104"/>
      <c r="T3873" s="597"/>
      <c r="U3873" s="738"/>
      <c r="V3873" s="592"/>
      <c r="W3873" s="592"/>
      <c r="X3873" s="592"/>
      <c r="Y3873" s="592"/>
      <c r="Z3873" s="592"/>
    </row>
    <row r="3874" spans="1:26" s="28" customFormat="1" ht="37.5" hidden="1">
      <c r="A3874" s="591">
        <f t="shared" si="562"/>
        <v>42</v>
      </c>
      <c r="B3874" s="827" t="s">
        <v>3097</v>
      </c>
      <c r="C3874" s="593" t="s">
        <v>217</v>
      </c>
      <c r="D3874" s="878">
        <v>7973</v>
      </c>
      <c r="E3874" s="878">
        <v>2400</v>
      </c>
      <c r="F3874" s="878" t="s">
        <v>290</v>
      </c>
      <c r="G3874" s="878">
        <v>384</v>
      </c>
      <c r="H3874" s="879">
        <v>9</v>
      </c>
      <c r="I3874" s="593">
        <v>1</v>
      </c>
      <c r="J3874" s="880">
        <v>43</v>
      </c>
      <c r="K3874" s="881" t="s">
        <v>30</v>
      </c>
      <c r="L3874" s="584">
        <f t="shared" si="567"/>
        <v>1321476</v>
      </c>
      <c r="M3874" s="882">
        <f>J3874*30000</f>
        <v>1290000</v>
      </c>
      <c r="N3874" s="883"/>
      <c r="O3874" s="884">
        <f>ROUND(M3874*0.3%,0)</f>
        <v>3870</v>
      </c>
      <c r="P3874" s="883"/>
      <c r="Q3874" s="883">
        <f t="shared" si="570"/>
        <v>27606</v>
      </c>
      <c r="R3874" s="599">
        <f>M3874/J3874</f>
        <v>30000</v>
      </c>
      <c r="S3874" s="1104"/>
      <c r="T3874" s="597"/>
      <c r="U3874" s="738"/>
      <c r="V3874" s="592"/>
      <c r="W3874" s="592"/>
      <c r="X3874" s="592"/>
      <c r="Y3874" s="592"/>
      <c r="Z3874" s="592"/>
    </row>
    <row r="3875" spans="1:26" s="28" customFormat="1" ht="37.5" hidden="1">
      <c r="A3875" s="591">
        <f t="shared" si="562"/>
        <v>43</v>
      </c>
      <c r="B3875" s="827" t="s">
        <v>3098</v>
      </c>
      <c r="C3875" s="593" t="s">
        <v>217</v>
      </c>
      <c r="D3875" s="878">
        <v>8033</v>
      </c>
      <c r="E3875" s="878">
        <v>2400</v>
      </c>
      <c r="F3875" s="878" t="s">
        <v>290</v>
      </c>
      <c r="G3875" s="878">
        <v>387</v>
      </c>
      <c r="H3875" s="879">
        <v>9</v>
      </c>
      <c r="I3875" s="593">
        <v>1</v>
      </c>
      <c r="J3875" s="880">
        <v>43</v>
      </c>
      <c r="K3875" s="881" t="s">
        <v>30</v>
      </c>
      <c r="L3875" s="584">
        <f t="shared" si="567"/>
        <v>1321476</v>
      </c>
      <c r="M3875" s="882">
        <f>J3875*30000</f>
        <v>1290000</v>
      </c>
      <c r="N3875" s="883"/>
      <c r="O3875" s="884">
        <f>ROUND(M3875*0.3%,0)</f>
        <v>3870</v>
      </c>
      <c r="P3875" s="883"/>
      <c r="Q3875" s="883">
        <f t="shared" si="570"/>
        <v>27606</v>
      </c>
      <c r="R3875" s="599">
        <f>M3875/J3875</f>
        <v>30000</v>
      </c>
      <c r="S3875" s="1104"/>
      <c r="T3875" s="597"/>
      <c r="U3875" s="738"/>
      <c r="V3875" s="592"/>
      <c r="W3875" s="592"/>
      <c r="X3875" s="592"/>
      <c r="Y3875" s="592"/>
      <c r="Z3875" s="592"/>
    </row>
    <row r="3876" spans="1:26" s="28" customFormat="1" hidden="1">
      <c r="A3876" s="591">
        <f t="shared" si="562"/>
        <v>44</v>
      </c>
      <c r="B3876" s="827" t="s">
        <v>3099</v>
      </c>
      <c r="C3876" s="593" t="s">
        <v>221</v>
      </c>
      <c r="D3876" s="878">
        <v>18060</v>
      </c>
      <c r="E3876" s="878">
        <v>4245</v>
      </c>
      <c r="F3876" s="878" t="s">
        <v>233</v>
      </c>
      <c r="G3876" s="878">
        <v>1505</v>
      </c>
      <c r="H3876" s="879">
        <v>5</v>
      </c>
      <c r="I3876" s="593">
        <v>6</v>
      </c>
      <c r="J3876" s="880">
        <v>90</v>
      </c>
      <c r="K3876" s="881" t="s">
        <v>33</v>
      </c>
      <c r="L3876" s="584">
        <f t="shared" si="567"/>
        <v>3391788</v>
      </c>
      <c r="M3876" s="882">
        <f>G3876*2200</f>
        <v>3311000</v>
      </c>
      <c r="N3876" s="883"/>
      <c r="O3876" s="884">
        <f>ROUND(M3876*0.3%,0)</f>
        <v>9933</v>
      </c>
      <c r="P3876" s="883"/>
      <c r="Q3876" s="883">
        <f t="shared" si="570"/>
        <v>70855</v>
      </c>
      <c r="R3876" s="599">
        <f>M3876/G3876</f>
        <v>2200</v>
      </c>
      <c r="S3876" s="1104"/>
      <c r="T3876" s="597"/>
      <c r="U3876" s="738"/>
      <c r="V3876" s="592"/>
      <c r="W3876" s="592"/>
      <c r="X3876" s="592"/>
      <c r="Y3876" s="592"/>
      <c r="Z3876" s="592"/>
    </row>
    <row r="3877" spans="1:26" s="28" customFormat="1" hidden="1">
      <c r="A3877" s="591">
        <f t="shared" si="562"/>
        <v>45</v>
      </c>
      <c r="B3877" s="827" t="s">
        <v>3100</v>
      </c>
      <c r="C3877" s="593" t="s">
        <v>221</v>
      </c>
      <c r="D3877" s="878">
        <v>12773</v>
      </c>
      <c r="E3877" s="878">
        <v>2400</v>
      </c>
      <c r="F3877" s="878" t="s">
        <v>227</v>
      </c>
      <c r="G3877" s="878">
        <v>1162.5</v>
      </c>
      <c r="H3877" s="879">
        <v>5</v>
      </c>
      <c r="I3877" s="593">
        <v>2</v>
      </c>
      <c r="J3877" s="880">
        <v>44</v>
      </c>
      <c r="K3877" s="881" t="s">
        <v>38</v>
      </c>
      <c r="L3877" s="584">
        <f t="shared" si="567"/>
        <v>4917120</v>
      </c>
      <c r="M3877" s="882">
        <f>E3877*2000</f>
        <v>4800000</v>
      </c>
      <c r="N3877" s="883"/>
      <c r="O3877" s="884">
        <f>ROUND(M3877*0.3%,0)</f>
        <v>14400</v>
      </c>
      <c r="P3877" s="883"/>
      <c r="Q3877" s="883">
        <f t="shared" si="570"/>
        <v>102720</v>
      </c>
      <c r="R3877" s="599">
        <f>M3877/E3877</f>
        <v>2000</v>
      </c>
      <c r="S3877" s="1104"/>
      <c r="T3877" s="597"/>
      <c r="U3877" s="738"/>
      <c r="V3877" s="592"/>
      <c r="W3877" s="592"/>
      <c r="X3877" s="592"/>
      <c r="Y3877" s="592"/>
      <c r="Z3877" s="592"/>
    </row>
    <row r="3878" spans="1:26" s="28" customFormat="1" hidden="1">
      <c r="A3878" s="591">
        <f t="shared" si="562"/>
        <v>46</v>
      </c>
      <c r="B3878" s="827" t="s">
        <v>3101</v>
      </c>
      <c r="C3878" s="593" t="s">
        <v>239</v>
      </c>
      <c r="D3878" s="878">
        <v>2118</v>
      </c>
      <c r="E3878" s="878">
        <v>448</v>
      </c>
      <c r="F3878" s="878" t="s">
        <v>251</v>
      </c>
      <c r="G3878" s="878">
        <v>404</v>
      </c>
      <c r="H3878" s="879">
        <v>2</v>
      </c>
      <c r="I3878" s="593">
        <v>2</v>
      </c>
      <c r="J3878" s="880">
        <v>8</v>
      </c>
      <c r="K3878" s="881" t="s">
        <v>33</v>
      </c>
      <c r="L3878" s="584">
        <f t="shared" si="567"/>
        <v>1190408</v>
      </c>
      <c r="M3878" s="882">
        <f>G3878*2800</f>
        <v>1131200</v>
      </c>
      <c r="N3878" s="883">
        <v>35000</v>
      </c>
      <c r="O3878" s="884"/>
      <c r="P3878" s="883"/>
      <c r="Q3878" s="883">
        <f t="shared" si="570"/>
        <v>24208</v>
      </c>
      <c r="R3878" s="599">
        <f>M3878/G3878</f>
        <v>2800</v>
      </c>
      <c r="S3878" s="1104"/>
      <c r="T3878" s="597"/>
      <c r="U3878" s="738"/>
      <c r="V3878" s="592"/>
      <c r="W3878" s="592"/>
      <c r="X3878" s="592"/>
      <c r="Y3878" s="592"/>
      <c r="Z3878" s="592"/>
    </row>
    <row r="3879" spans="1:26" s="28" customFormat="1" hidden="1">
      <c r="A3879" s="591">
        <f t="shared" si="562"/>
        <v>47</v>
      </c>
      <c r="B3879" s="827" t="s">
        <v>3102</v>
      </c>
      <c r="C3879" s="593" t="s">
        <v>239</v>
      </c>
      <c r="D3879" s="878">
        <v>2165</v>
      </c>
      <c r="E3879" s="878">
        <v>455</v>
      </c>
      <c r="F3879" s="878" t="s">
        <v>251</v>
      </c>
      <c r="G3879" s="878">
        <v>410</v>
      </c>
      <c r="H3879" s="879">
        <v>2</v>
      </c>
      <c r="I3879" s="593">
        <v>2</v>
      </c>
      <c r="J3879" s="880">
        <v>8</v>
      </c>
      <c r="K3879" s="881" t="s">
        <v>33</v>
      </c>
      <c r="L3879" s="584">
        <f t="shared" si="567"/>
        <v>1207567</v>
      </c>
      <c r="M3879" s="882">
        <f>G3879*2800</f>
        <v>1148000</v>
      </c>
      <c r="N3879" s="883">
        <v>35000</v>
      </c>
      <c r="O3879" s="884"/>
      <c r="P3879" s="883"/>
      <c r="Q3879" s="883">
        <f t="shared" si="570"/>
        <v>24567</v>
      </c>
      <c r="R3879" s="599">
        <f>M3879/G3879</f>
        <v>2800</v>
      </c>
      <c r="S3879" s="1104"/>
      <c r="T3879" s="597"/>
      <c r="U3879" s="738"/>
      <c r="V3879" s="592"/>
      <c r="W3879" s="592"/>
      <c r="X3879" s="592"/>
      <c r="Y3879" s="592"/>
      <c r="Z3879" s="592"/>
    </row>
    <row r="3880" spans="1:26" s="28" customFormat="1" ht="37.5" hidden="1">
      <c r="A3880" s="591">
        <f t="shared" si="562"/>
        <v>48</v>
      </c>
      <c r="B3880" s="827" t="s">
        <v>3103</v>
      </c>
      <c r="C3880" s="593" t="s">
        <v>221</v>
      </c>
      <c r="D3880" s="878">
        <v>5841</v>
      </c>
      <c r="E3880" s="878">
        <v>1017</v>
      </c>
      <c r="F3880" s="878" t="s">
        <v>290</v>
      </c>
      <c r="G3880" s="878">
        <v>532</v>
      </c>
      <c r="H3880" s="879">
        <v>4</v>
      </c>
      <c r="I3880" s="593">
        <v>2</v>
      </c>
      <c r="J3880" s="880">
        <v>32</v>
      </c>
      <c r="K3880" s="881" t="s">
        <v>30</v>
      </c>
      <c r="L3880" s="584">
        <f t="shared" si="567"/>
        <v>819520</v>
      </c>
      <c r="M3880" s="882">
        <f>J3880*25000</f>
        <v>800000</v>
      </c>
      <c r="N3880" s="883"/>
      <c r="O3880" s="884">
        <f>ROUND(M3880*0.3%,0)</f>
        <v>2400</v>
      </c>
      <c r="P3880" s="883"/>
      <c r="Q3880" s="883">
        <f t="shared" si="570"/>
        <v>17120</v>
      </c>
      <c r="R3880" s="599">
        <f>M3880/J3880</f>
        <v>25000</v>
      </c>
      <c r="S3880" s="1104"/>
      <c r="T3880" s="597"/>
      <c r="U3880" s="738"/>
      <c r="V3880" s="592"/>
      <c r="W3880" s="592"/>
      <c r="X3880" s="592"/>
      <c r="Y3880" s="592"/>
      <c r="Z3880" s="592"/>
    </row>
    <row r="3881" spans="1:26" s="28" customFormat="1" hidden="1">
      <c r="A3881" s="591">
        <f t="shared" si="562"/>
        <v>49</v>
      </c>
      <c r="B3881" s="827" t="s">
        <v>3104</v>
      </c>
      <c r="C3881" s="593" t="s">
        <v>221</v>
      </c>
      <c r="D3881" s="878">
        <v>20439</v>
      </c>
      <c r="E3881" s="878">
        <v>4873</v>
      </c>
      <c r="F3881" s="878" t="s">
        <v>233</v>
      </c>
      <c r="G3881" s="878">
        <v>1727</v>
      </c>
      <c r="H3881" s="879">
        <v>5</v>
      </c>
      <c r="I3881" s="593">
        <v>7</v>
      </c>
      <c r="J3881" s="880">
        <v>105</v>
      </c>
      <c r="K3881" s="881" t="s">
        <v>33</v>
      </c>
      <c r="L3881" s="584">
        <f t="shared" si="567"/>
        <v>3892105</v>
      </c>
      <c r="M3881" s="882">
        <v>3799400</v>
      </c>
      <c r="N3881" s="883"/>
      <c r="O3881" s="884">
        <f>ROUND(M3881*0.3%,0)</f>
        <v>11398</v>
      </c>
      <c r="P3881" s="883"/>
      <c r="Q3881" s="883">
        <f t="shared" si="570"/>
        <v>81307</v>
      </c>
      <c r="R3881" s="599">
        <f>M3881/G3881</f>
        <v>2200</v>
      </c>
      <c r="S3881" s="1104"/>
      <c r="T3881" s="597"/>
      <c r="U3881" s="738"/>
      <c r="V3881" s="592"/>
      <c r="W3881" s="592"/>
      <c r="X3881" s="592"/>
      <c r="Y3881" s="592"/>
      <c r="Z3881" s="592"/>
    </row>
    <row r="3882" spans="1:26" s="28" customFormat="1" ht="37.5" hidden="1">
      <c r="A3882" s="591">
        <f t="shared" si="562"/>
        <v>50</v>
      </c>
      <c r="B3882" s="827" t="s">
        <v>3105</v>
      </c>
      <c r="C3882" s="593" t="s">
        <v>221</v>
      </c>
      <c r="D3882" s="878">
        <v>5212</v>
      </c>
      <c r="E3882" s="878">
        <v>1095</v>
      </c>
      <c r="F3882" s="878" t="s">
        <v>251</v>
      </c>
      <c r="G3882" s="878">
        <v>558</v>
      </c>
      <c r="H3882" s="879">
        <v>4</v>
      </c>
      <c r="I3882" s="593">
        <v>2</v>
      </c>
      <c r="J3882" s="880">
        <v>30</v>
      </c>
      <c r="K3882" s="881" t="s">
        <v>30</v>
      </c>
      <c r="L3882" s="584">
        <f>M3882+N3882+O3882+P3882+Q3882</f>
        <v>768300</v>
      </c>
      <c r="M3882" s="882">
        <f>J3882*25000</f>
        <v>750000</v>
      </c>
      <c r="N3882" s="883"/>
      <c r="O3882" s="884">
        <f>ROUND(M3882*0.3%,0)</f>
        <v>2250</v>
      </c>
      <c r="P3882" s="883"/>
      <c r="Q3882" s="883">
        <f t="shared" si="570"/>
        <v>16050</v>
      </c>
      <c r="R3882" s="599">
        <f>M3882/J3882</f>
        <v>25000</v>
      </c>
      <c r="S3882" s="1104"/>
      <c r="T3882" s="597"/>
      <c r="U3882" s="738"/>
      <c r="V3882" s="592"/>
      <c r="W3882" s="592"/>
      <c r="X3882" s="592"/>
      <c r="Y3882" s="592"/>
      <c r="Z3882" s="592"/>
    </row>
    <row r="3883" spans="1:26" s="28" customFormat="1" hidden="1">
      <c r="A3883" s="591">
        <f t="shared" si="562"/>
        <v>51</v>
      </c>
      <c r="B3883" s="827" t="s">
        <v>3106</v>
      </c>
      <c r="C3883" s="593" t="s">
        <v>221</v>
      </c>
      <c r="D3883" s="878">
        <v>21765</v>
      </c>
      <c r="E3883" s="878">
        <v>280</v>
      </c>
      <c r="F3883" s="878" t="s">
        <v>251</v>
      </c>
      <c r="G3883" s="878">
        <v>1067</v>
      </c>
      <c r="H3883" s="879">
        <v>5</v>
      </c>
      <c r="I3883" s="593">
        <v>4</v>
      </c>
      <c r="J3883" s="880">
        <v>90</v>
      </c>
      <c r="K3883" s="881" t="s">
        <v>341</v>
      </c>
      <c r="L3883" s="584">
        <f t="shared" ref="L3883:L3894" si="571">SUM(M3883:Q3883)</f>
        <v>749980</v>
      </c>
      <c r="M3883" s="882">
        <f>E3883*2500</f>
        <v>700000</v>
      </c>
      <c r="N3883" s="883">
        <v>35000</v>
      </c>
      <c r="O3883" s="884"/>
      <c r="P3883" s="883"/>
      <c r="Q3883" s="883">
        <f t="shared" si="570"/>
        <v>14980</v>
      </c>
      <c r="R3883" s="599">
        <f>M3883/E3883</f>
        <v>2500</v>
      </c>
      <c r="S3883" s="1104"/>
      <c r="T3883" s="597"/>
      <c r="U3883" s="738"/>
      <c r="V3883" s="592"/>
      <c r="W3883" s="592"/>
      <c r="X3883" s="592"/>
      <c r="Y3883" s="592"/>
      <c r="Z3883" s="592"/>
    </row>
    <row r="3884" spans="1:26" s="82" customFormat="1" ht="37.5" hidden="1">
      <c r="A3884" s="591">
        <f t="shared" si="562"/>
        <v>52</v>
      </c>
      <c r="B3884" s="580" t="s">
        <v>4053</v>
      </c>
      <c r="C3884" s="714" t="s">
        <v>292</v>
      </c>
      <c r="D3884" s="580">
        <v>16576</v>
      </c>
      <c r="E3884" s="591">
        <v>12735</v>
      </c>
      <c r="F3884" s="580" t="s">
        <v>4013</v>
      </c>
      <c r="G3884" s="580">
        <v>2786</v>
      </c>
      <c r="H3884" s="582">
        <v>9</v>
      </c>
      <c r="I3884" s="582">
        <v>8</v>
      </c>
      <c r="J3884" s="582">
        <v>309</v>
      </c>
      <c r="K3884" s="881" t="s">
        <v>219</v>
      </c>
      <c r="L3884" s="584">
        <f t="shared" si="571"/>
        <v>16233750</v>
      </c>
      <c r="M3884" s="585">
        <f t="shared" ref="M3884:M3894" si="572">I3884*2000000</f>
        <v>16000000</v>
      </c>
      <c r="N3884" s="586">
        <v>233750</v>
      </c>
      <c r="O3884" s="1100"/>
      <c r="P3884" s="588"/>
      <c r="Q3884" s="588"/>
      <c r="R3884" s="599">
        <f t="shared" ref="R3884:R3894" si="573">M3884/I3884</f>
        <v>2000000</v>
      </c>
      <c r="S3884" s="588"/>
      <c r="T3884" s="591"/>
      <c r="U3884" s="591"/>
      <c r="V3884" s="591"/>
      <c r="W3884" s="591"/>
      <c r="X3884" s="591"/>
      <c r="Y3884" s="591"/>
      <c r="Z3884" s="591"/>
    </row>
    <row r="3885" spans="1:26" s="82" customFormat="1" ht="37.5" hidden="1">
      <c r="A3885" s="591">
        <f t="shared" si="562"/>
        <v>53</v>
      </c>
      <c r="B3885" s="1101" t="s">
        <v>4043</v>
      </c>
      <c r="C3885" s="591" t="s">
        <v>217</v>
      </c>
      <c r="D3885" s="1096">
        <v>22782</v>
      </c>
      <c r="E3885" s="1097">
        <v>4535.2</v>
      </c>
      <c r="F3885" s="1096" t="s">
        <v>227</v>
      </c>
      <c r="G3885" s="1096">
        <v>1225.5999999999999</v>
      </c>
      <c r="H3885" s="780">
        <v>9</v>
      </c>
      <c r="I3885" s="582">
        <v>3</v>
      </c>
      <c r="J3885" s="878">
        <v>127</v>
      </c>
      <c r="K3885" s="881" t="s">
        <v>219</v>
      </c>
      <c r="L3885" s="584">
        <f t="shared" si="571"/>
        <v>6127500</v>
      </c>
      <c r="M3885" s="585">
        <f t="shared" si="572"/>
        <v>6000000</v>
      </c>
      <c r="N3885" s="586">
        <v>127500</v>
      </c>
      <c r="O3885" s="1100"/>
      <c r="P3885" s="588"/>
      <c r="Q3885" s="588"/>
      <c r="R3885" s="599">
        <f t="shared" si="573"/>
        <v>2000000</v>
      </c>
      <c r="S3885" s="588"/>
      <c r="T3885" s="591"/>
      <c r="U3885" s="591"/>
      <c r="V3885" s="591"/>
      <c r="W3885" s="591"/>
      <c r="X3885" s="591"/>
      <c r="Y3885" s="591"/>
      <c r="Z3885" s="591"/>
    </row>
    <row r="3886" spans="1:26" s="82" customFormat="1" ht="37.5" hidden="1">
      <c r="A3886" s="591">
        <f t="shared" ref="A3886:A3894" si="574">A3885+1</f>
        <v>54</v>
      </c>
      <c r="B3886" s="580" t="s">
        <v>4044</v>
      </c>
      <c r="C3886" s="714" t="s">
        <v>217</v>
      </c>
      <c r="D3886" s="580">
        <v>47328</v>
      </c>
      <c r="E3886" s="591">
        <v>8582</v>
      </c>
      <c r="F3886" s="580" t="s">
        <v>4013</v>
      </c>
      <c r="G3886" s="580">
        <v>1520</v>
      </c>
      <c r="H3886" s="582">
        <v>9</v>
      </c>
      <c r="I3886" s="582">
        <v>6</v>
      </c>
      <c r="J3886" s="582">
        <v>214</v>
      </c>
      <c r="K3886" s="881" t="s">
        <v>219</v>
      </c>
      <c r="L3886" s="584">
        <f t="shared" si="571"/>
        <v>12191250</v>
      </c>
      <c r="M3886" s="585">
        <f t="shared" si="572"/>
        <v>12000000</v>
      </c>
      <c r="N3886" s="586">
        <v>191250</v>
      </c>
      <c r="O3886" s="1100"/>
      <c r="P3886" s="588"/>
      <c r="Q3886" s="588"/>
      <c r="R3886" s="599">
        <f t="shared" si="573"/>
        <v>2000000</v>
      </c>
      <c r="S3886" s="588"/>
      <c r="T3886" s="591"/>
      <c r="U3886" s="591"/>
      <c r="V3886" s="591"/>
      <c r="W3886" s="591"/>
      <c r="X3886" s="591"/>
      <c r="Y3886" s="591"/>
      <c r="Z3886" s="591"/>
    </row>
    <row r="3887" spans="1:26" s="82" customFormat="1" ht="37.5" hidden="1">
      <c r="A3887" s="591">
        <f t="shared" si="574"/>
        <v>55</v>
      </c>
      <c r="B3887" s="580" t="s">
        <v>4045</v>
      </c>
      <c r="C3887" s="714" t="s">
        <v>217</v>
      </c>
      <c r="D3887" s="580">
        <v>45793</v>
      </c>
      <c r="E3887" s="591">
        <v>8582</v>
      </c>
      <c r="F3887" s="580" t="s">
        <v>4013</v>
      </c>
      <c r="G3887" s="580">
        <v>1581</v>
      </c>
      <c r="H3887" s="582">
        <v>9</v>
      </c>
      <c r="I3887" s="582">
        <v>6</v>
      </c>
      <c r="J3887" s="582">
        <v>216</v>
      </c>
      <c r="K3887" s="881" t="s">
        <v>219</v>
      </c>
      <c r="L3887" s="584">
        <f t="shared" si="571"/>
        <v>12191250</v>
      </c>
      <c r="M3887" s="585">
        <f t="shared" si="572"/>
        <v>12000000</v>
      </c>
      <c r="N3887" s="586">
        <v>191250</v>
      </c>
      <c r="O3887" s="1100"/>
      <c r="P3887" s="588"/>
      <c r="Q3887" s="588"/>
      <c r="R3887" s="599">
        <f t="shared" si="573"/>
        <v>2000000</v>
      </c>
      <c r="S3887" s="588"/>
      <c r="T3887" s="591"/>
      <c r="U3887" s="591"/>
      <c r="V3887" s="591"/>
      <c r="W3887" s="591"/>
      <c r="X3887" s="591"/>
      <c r="Y3887" s="591"/>
      <c r="Z3887" s="591"/>
    </row>
    <row r="3888" spans="1:26" s="82" customFormat="1" ht="37.5" hidden="1">
      <c r="A3888" s="591">
        <f t="shared" si="574"/>
        <v>56</v>
      </c>
      <c r="B3888" s="580" t="s">
        <v>4046</v>
      </c>
      <c r="C3888" s="714" t="s">
        <v>217</v>
      </c>
      <c r="D3888" s="580">
        <v>25461</v>
      </c>
      <c r="E3888" s="591">
        <v>6141</v>
      </c>
      <c r="F3888" s="580" t="s">
        <v>4013</v>
      </c>
      <c r="G3888" s="580">
        <v>748</v>
      </c>
      <c r="H3888" s="582">
        <v>9</v>
      </c>
      <c r="I3888" s="582">
        <v>3</v>
      </c>
      <c r="J3888" s="582">
        <v>121</v>
      </c>
      <c r="K3888" s="881" t="s">
        <v>219</v>
      </c>
      <c r="L3888" s="584">
        <f t="shared" si="571"/>
        <v>6191250</v>
      </c>
      <c r="M3888" s="585">
        <f t="shared" si="572"/>
        <v>6000000</v>
      </c>
      <c r="N3888" s="586">
        <v>191250</v>
      </c>
      <c r="O3888" s="1100"/>
      <c r="P3888" s="588"/>
      <c r="Q3888" s="588"/>
      <c r="R3888" s="599">
        <f t="shared" si="573"/>
        <v>2000000</v>
      </c>
      <c r="S3888" s="588"/>
      <c r="T3888" s="591"/>
      <c r="U3888" s="591"/>
      <c r="V3888" s="591"/>
      <c r="W3888" s="591"/>
      <c r="X3888" s="591"/>
      <c r="Y3888" s="591"/>
      <c r="Z3888" s="591"/>
    </row>
    <row r="3889" spans="1:26" s="82" customFormat="1" ht="37.5" hidden="1">
      <c r="A3889" s="591">
        <f t="shared" si="574"/>
        <v>57</v>
      </c>
      <c r="B3889" s="580" t="s">
        <v>4047</v>
      </c>
      <c r="C3889" s="714" t="s">
        <v>217</v>
      </c>
      <c r="D3889" s="580">
        <v>31719</v>
      </c>
      <c r="E3889" s="591">
        <v>6856</v>
      </c>
      <c r="F3889" s="580" t="s">
        <v>4013</v>
      </c>
      <c r="G3889" s="580">
        <v>1400</v>
      </c>
      <c r="H3889" s="582">
        <v>9</v>
      </c>
      <c r="I3889" s="582">
        <v>4</v>
      </c>
      <c r="J3889" s="582">
        <v>159</v>
      </c>
      <c r="K3889" s="881" t="s">
        <v>219</v>
      </c>
      <c r="L3889" s="584">
        <f t="shared" si="571"/>
        <v>8191250</v>
      </c>
      <c r="M3889" s="585">
        <f t="shared" si="572"/>
        <v>8000000</v>
      </c>
      <c r="N3889" s="586">
        <v>191250</v>
      </c>
      <c r="O3889" s="1100"/>
      <c r="P3889" s="588"/>
      <c r="Q3889" s="588"/>
      <c r="R3889" s="599">
        <f t="shared" si="573"/>
        <v>2000000</v>
      </c>
      <c r="S3889" s="588"/>
      <c r="T3889" s="591"/>
      <c r="U3889" s="591"/>
      <c r="V3889" s="591"/>
      <c r="W3889" s="591"/>
      <c r="X3889" s="591"/>
      <c r="Y3889" s="591"/>
      <c r="Z3889" s="591"/>
    </row>
    <row r="3890" spans="1:26" s="82" customFormat="1" ht="37.5" hidden="1">
      <c r="A3890" s="591">
        <f t="shared" si="574"/>
        <v>58</v>
      </c>
      <c r="B3890" s="580" t="s">
        <v>4048</v>
      </c>
      <c r="C3890" s="714" t="s">
        <v>217</v>
      </c>
      <c r="D3890" s="580">
        <v>54339</v>
      </c>
      <c r="E3890" s="591">
        <v>4542</v>
      </c>
      <c r="F3890" s="580" t="s">
        <v>4013</v>
      </c>
      <c r="G3890" s="580">
        <v>1800</v>
      </c>
      <c r="H3890" s="582">
        <v>9</v>
      </c>
      <c r="I3890" s="582">
        <v>7</v>
      </c>
      <c r="J3890" s="582">
        <v>252</v>
      </c>
      <c r="K3890" s="881" t="s">
        <v>219</v>
      </c>
      <c r="L3890" s="584">
        <f t="shared" si="571"/>
        <v>14191250</v>
      </c>
      <c r="M3890" s="585">
        <f t="shared" si="572"/>
        <v>14000000</v>
      </c>
      <c r="N3890" s="586">
        <v>191250</v>
      </c>
      <c r="O3890" s="1100"/>
      <c r="P3890" s="588"/>
      <c r="Q3890" s="588"/>
      <c r="R3890" s="599">
        <f t="shared" si="573"/>
        <v>2000000</v>
      </c>
      <c r="S3890" s="588"/>
      <c r="T3890" s="591"/>
      <c r="U3890" s="591"/>
      <c r="V3890" s="591"/>
      <c r="W3890" s="591"/>
      <c r="X3890" s="591"/>
      <c r="Y3890" s="591"/>
      <c r="Z3890" s="591"/>
    </row>
    <row r="3891" spans="1:26" s="82" customFormat="1" ht="37.5" hidden="1">
      <c r="A3891" s="591">
        <f t="shared" si="574"/>
        <v>59</v>
      </c>
      <c r="B3891" s="580" t="s">
        <v>4049</v>
      </c>
      <c r="C3891" s="714" t="s">
        <v>217</v>
      </c>
      <c r="D3891" s="580">
        <v>48734</v>
      </c>
      <c r="E3891" s="591">
        <v>3893</v>
      </c>
      <c r="F3891" s="580" t="s">
        <v>4013</v>
      </c>
      <c r="G3891" s="580" t="s">
        <v>4050</v>
      </c>
      <c r="H3891" s="582">
        <v>9</v>
      </c>
      <c r="I3891" s="582">
        <v>6</v>
      </c>
      <c r="J3891" s="582">
        <v>215</v>
      </c>
      <c r="K3891" s="881" t="s">
        <v>219</v>
      </c>
      <c r="L3891" s="584">
        <f t="shared" si="571"/>
        <v>12191250</v>
      </c>
      <c r="M3891" s="585">
        <f t="shared" si="572"/>
        <v>12000000</v>
      </c>
      <c r="N3891" s="586">
        <v>191250</v>
      </c>
      <c r="O3891" s="1100"/>
      <c r="P3891" s="588"/>
      <c r="Q3891" s="588"/>
      <c r="R3891" s="599">
        <f t="shared" si="573"/>
        <v>2000000</v>
      </c>
      <c r="S3891" s="588"/>
      <c r="T3891" s="591"/>
      <c r="U3891" s="591"/>
      <c r="V3891" s="591"/>
      <c r="W3891" s="591"/>
      <c r="X3891" s="591"/>
      <c r="Y3891" s="591"/>
      <c r="Z3891" s="591"/>
    </row>
    <row r="3892" spans="1:26" s="82" customFormat="1" ht="37.5" hidden="1">
      <c r="A3892" s="591">
        <f t="shared" si="574"/>
        <v>60</v>
      </c>
      <c r="B3892" s="580" t="s">
        <v>4051</v>
      </c>
      <c r="C3892" s="714" t="s">
        <v>217</v>
      </c>
      <c r="D3892" s="580">
        <v>17044</v>
      </c>
      <c r="E3892" s="591">
        <v>3061</v>
      </c>
      <c r="F3892" s="580" t="s">
        <v>4013</v>
      </c>
      <c r="G3892" s="580">
        <v>540</v>
      </c>
      <c r="H3892" s="582">
        <v>9</v>
      </c>
      <c r="I3892" s="582">
        <v>2</v>
      </c>
      <c r="J3892" s="582">
        <v>87</v>
      </c>
      <c r="K3892" s="881" t="s">
        <v>219</v>
      </c>
      <c r="L3892" s="584">
        <f t="shared" si="571"/>
        <v>4106250</v>
      </c>
      <c r="M3892" s="585">
        <f t="shared" si="572"/>
        <v>4000000</v>
      </c>
      <c r="N3892" s="586">
        <v>106250</v>
      </c>
      <c r="O3892" s="1100"/>
      <c r="P3892" s="588"/>
      <c r="Q3892" s="588"/>
      <c r="R3892" s="599">
        <f t="shared" si="573"/>
        <v>2000000</v>
      </c>
      <c r="S3892" s="588"/>
      <c r="T3892" s="591"/>
      <c r="U3892" s="591"/>
      <c r="V3892" s="591"/>
      <c r="W3892" s="591"/>
      <c r="X3892" s="591"/>
      <c r="Y3892" s="591"/>
      <c r="Z3892" s="591"/>
    </row>
    <row r="3893" spans="1:26" s="82" customFormat="1" ht="37.5" hidden="1">
      <c r="A3893" s="591">
        <f t="shared" si="574"/>
        <v>61</v>
      </c>
      <c r="B3893" s="580" t="s">
        <v>2129</v>
      </c>
      <c r="C3893" s="714" t="s">
        <v>292</v>
      </c>
      <c r="D3893" s="580">
        <v>40866</v>
      </c>
      <c r="E3893" s="591">
        <v>5788</v>
      </c>
      <c r="F3893" s="580" t="s">
        <v>4013</v>
      </c>
      <c r="G3893" s="580">
        <v>950</v>
      </c>
      <c r="H3893" s="582">
        <v>9</v>
      </c>
      <c r="I3893" s="582">
        <v>4</v>
      </c>
      <c r="J3893" s="582">
        <v>128</v>
      </c>
      <c r="K3893" s="881" t="s">
        <v>219</v>
      </c>
      <c r="L3893" s="584">
        <f t="shared" si="571"/>
        <v>8148750</v>
      </c>
      <c r="M3893" s="585">
        <f t="shared" si="572"/>
        <v>8000000</v>
      </c>
      <c r="N3893" s="586">
        <v>148750</v>
      </c>
      <c r="O3893" s="1100"/>
      <c r="P3893" s="588"/>
      <c r="Q3893" s="588"/>
      <c r="R3893" s="599">
        <f t="shared" si="573"/>
        <v>2000000</v>
      </c>
      <c r="S3893" s="588"/>
      <c r="T3893" s="591"/>
      <c r="U3893" s="591"/>
      <c r="V3893" s="591"/>
      <c r="W3893" s="591"/>
      <c r="X3893" s="591"/>
      <c r="Y3893" s="591"/>
      <c r="Z3893" s="591"/>
    </row>
    <row r="3894" spans="1:26" s="82" customFormat="1" ht="37.5" hidden="1">
      <c r="A3894" s="591">
        <f t="shared" si="574"/>
        <v>62</v>
      </c>
      <c r="B3894" s="580" t="s">
        <v>4052</v>
      </c>
      <c r="C3894" s="714" t="s">
        <v>217</v>
      </c>
      <c r="D3894" s="580">
        <v>38753</v>
      </c>
      <c r="E3894" s="591">
        <v>3264</v>
      </c>
      <c r="F3894" s="580" t="s">
        <v>4013</v>
      </c>
      <c r="G3894" s="580">
        <v>1282</v>
      </c>
      <c r="H3894" s="582">
        <v>9</v>
      </c>
      <c r="I3894" s="582">
        <v>5</v>
      </c>
      <c r="J3894" s="582">
        <v>180</v>
      </c>
      <c r="K3894" s="881" t="s">
        <v>219</v>
      </c>
      <c r="L3894" s="584">
        <f t="shared" si="571"/>
        <v>10170000</v>
      </c>
      <c r="M3894" s="585">
        <f t="shared" si="572"/>
        <v>10000000</v>
      </c>
      <c r="N3894" s="586">
        <v>170000</v>
      </c>
      <c r="O3894" s="1100"/>
      <c r="P3894" s="588"/>
      <c r="Q3894" s="588"/>
      <c r="R3894" s="599">
        <f t="shared" si="573"/>
        <v>2000000</v>
      </c>
      <c r="S3894" s="588"/>
      <c r="T3894" s="591"/>
      <c r="U3894" s="591"/>
      <c r="V3894" s="591"/>
      <c r="W3894" s="591"/>
      <c r="X3894" s="591"/>
      <c r="Y3894" s="591"/>
      <c r="Z3894" s="591"/>
    </row>
    <row r="3895" spans="1:26" s="28" customFormat="1" hidden="1">
      <c r="A3895" s="1349" t="s">
        <v>143</v>
      </c>
      <c r="B3895" s="1349"/>
      <c r="C3895" s="586" t="s">
        <v>28</v>
      </c>
      <c r="D3895" s="586">
        <f>SUM(D3833:D3894)</f>
        <v>1071241</v>
      </c>
      <c r="E3895" s="586">
        <f>SUM(E3833:E3894)</f>
        <v>191281.80000000002</v>
      </c>
      <c r="F3895" s="586" t="s">
        <v>28</v>
      </c>
      <c r="G3895" s="586">
        <f>SUM(G3833:G3894)</f>
        <v>69837.100000000006</v>
      </c>
      <c r="H3895" s="586" t="s">
        <v>28</v>
      </c>
      <c r="I3895" s="586" t="s">
        <v>28</v>
      </c>
      <c r="J3895" s="586">
        <f>SUM(J3833:J3894)</f>
        <v>5533</v>
      </c>
      <c r="K3895" s="590" t="s">
        <v>28</v>
      </c>
      <c r="L3895" s="584">
        <f t="shared" ref="L3895:Q3895" si="575">SUM(L3833:L3894)</f>
        <v>255864809</v>
      </c>
      <c r="M3895" s="585">
        <f t="shared" si="575"/>
        <v>250105440</v>
      </c>
      <c r="N3895" s="586">
        <f t="shared" si="575"/>
        <v>2863750</v>
      </c>
      <c r="O3895" s="587">
        <f t="shared" si="575"/>
        <v>282560</v>
      </c>
      <c r="P3895" s="586">
        <f t="shared" si="575"/>
        <v>0</v>
      </c>
      <c r="Q3895" s="586">
        <f t="shared" si="575"/>
        <v>2613059</v>
      </c>
      <c r="R3895" s="582" t="s">
        <v>28</v>
      </c>
      <c r="S3895" s="564">
        <f>L3895-M3895-N3895-O3895-P3895-Q3895</f>
        <v>0</v>
      </c>
      <c r="T3895" s="577" t="e">
        <f>'1.перечень МКД'!#REF!</f>
        <v>#REF!</v>
      </c>
      <c r="U3895" s="589" t="e">
        <f>L3895-T3895</f>
        <v>#REF!</v>
      </c>
      <c r="V3895" s="592"/>
      <c r="W3895" s="592"/>
      <c r="X3895" s="592"/>
      <c r="Y3895" s="592"/>
      <c r="Z3895" s="592"/>
    </row>
    <row r="3896" spans="1:26" s="28" customFormat="1" hidden="1">
      <c r="A3896" s="1347" t="s">
        <v>165</v>
      </c>
      <c r="B3896" s="1347"/>
      <c r="C3896" s="1347"/>
      <c r="D3896" s="1347"/>
      <c r="E3896" s="1347"/>
      <c r="F3896" s="1347"/>
      <c r="G3896" s="1347"/>
      <c r="H3896" s="1347"/>
      <c r="I3896" s="1347"/>
      <c r="J3896" s="1347"/>
      <c r="K3896" s="1347"/>
      <c r="L3896" s="1347"/>
      <c r="M3896" s="1347"/>
      <c r="N3896" s="1347"/>
      <c r="O3896" s="1347"/>
      <c r="P3896" s="1347"/>
      <c r="Q3896" s="1347"/>
      <c r="R3896" s="590"/>
      <c r="S3896" s="592"/>
      <c r="T3896" s="592"/>
      <c r="U3896" s="591"/>
      <c r="V3896" s="592"/>
      <c r="W3896" s="592"/>
      <c r="X3896" s="592"/>
      <c r="Y3896" s="592"/>
      <c r="Z3896" s="592"/>
    </row>
    <row r="3897" spans="1:26" s="28" customFormat="1" hidden="1">
      <c r="A3897" s="591">
        <v>1</v>
      </c>
      <c r="B3897" s="592" t="s">
        <v>3107</v>
      </c>
      <c r="C3897" s="602" t="s">
        <v>221</v>
      </c>
      <c r="D3897" s="878"/>
      <c r="E3897" s="878">
        <v>1080</v>
      </c>
      <c r="F3897" s="878" t="s">
        <v>291</v>
      </c>
      <c r="G3897" s="878">
        <v>588</v>
      </c>
      <c r="H3897" s="900">
        <v>4</v>
      </c>
      <c r="I3897" s="900">
        <v>2</v>
      </c>
      <c r="J3897" s="880">
        <v>32</v>
      </c>
      <c r="K3897" s="881" t="s">
        <v>33</v>
      </c>
      <c r="L3897" s="584">
        <f t="shared" ref="L3897:L3911" si="576">SUM(M3897:Q3897)</f>
        <v>1716633</v>
      </c>
      <c r="M3897" s="882">
        <f t="shared" ref="M3897:M3904" si="577">G3897*2800</f>
        <v>1646400</v>
      </c>
      <c r="N3897" s="883">
        <v>35000</v>
      </c>
      <c r="O3897" s="884"/>
      <c r="P3897" s="883"/>
      <c r="Q3897" s="597">
        <f t="shared" ref="Q3897:Q3914" si="578">ROUND(M3897*2.14%,0)</f>
        <v>35233</v>
      </c>
      <c r="R3897" s="901">
        <f t="shared" ref="R3897:R3904" si="579">M3897/G3897</f>
        <v>2800</v>
      </c>
      <c r="S3897" s="1104"/>
      <c r="T3897" s="597"/>
      <c r="U3897" s="738"/>
      <c r="V3897" s="592"/>
      <c r="W3897" s="592"/>
      <c r="X3897" s="592"/>
      <c r="Y3897" s="592"/>
      <c r="Z3897" s="592"/>
    </row>
    <row r="3898" spans="1:26" s="28" customFormat="1" hidden="1">
      <c r="A3898" s="591">
        <f>A3897+1</f>
        <v>2</v>
      </c>
      <c r="B3898" s="592" t="s">
        <v>3108</v>
      </c>
      <c r="C3898" s="602" t="s">
        <v>221</v>
      </c>
      <c r="D3898" s="878"/>
      <c r="E3898" s="878">
        <v>1082</v>
      </c>
      <c r="F3898" s="878" t="s">
        <v>291</v>
      </c>
      <c r="G3898" s="878">
        <v>585</v>
      </c>
      <c r="H3898" s="900">
        <v>4</v>
      </c>
      <c r="I3898" s="900">
        <v>2</v>
      </c>
      <c r="J3898" s="880">
        <v>32</v>
      </c>
      <c r="K3898" s="881" t="s">
        <v>33</v>
      </c>
      <c r="L3898" s="584">
        <f t="shared" si="576"/>
        <v>1708053</v>
      </c>
      <c r="M3898" s="882">
        <f t="shared" si="577"/>
        <v>1638000</v>
      </c>
      <c r="N3898" s="883">
        <v>35000</v>
      </c>
      <c r="O3898" s="884"/>
      <c r="P3898" s="883"/>
      <c r="Q3898" s="597">
        <f t="shared" si="578"/>
        <v>35053</v>
      </c>
      <c r="R3898" s="901">
        <f t="shared" si="579"/>
        <v>2800</v>
      </c>
      <c r="S3898" s="1104"/>
      <c r="T3898" s="597"/>
      <c r="U3898" s="738"/>
      <c r="V3898" s="592"/>
      <c r="W3898" s="592"/>
      <c r="X3898" s="592"/>
      <c r="Y3898" s="592"/>
      <c r="Z3898" s="592"/>
    </row>
    <row r="3899" spans="1:26" s="28" customFormat="1" hidden="1">
      <c r="A3899" s="591">
        <f>A3898+1</f>
        <v>3</v>
      </c>
      <c r="B3899" s="592" t="s">
        <v>3110</v>
      </c>
      <c r="C3899" s="602" t="s">
        <v>295</v>
      </c>
      <c r="D3899" s="878"/>
      <c r="E3899" s="878">
        <v>1416</v>
      </c>
      <c r="F3899" s="878" t="s">
        <v>251</v>
      </c>
      <c r="G3899" s="878">
        <v>965</v>
      </c>
      <c r="H3899" s="900">
        <v>3</v>
      </c>
      <c r="I3899" s="900">
        <v>4</v>
      </c>
      <c r="J3899" s="880">
        <v>26</v>
      </c>
      <c r="K3899" s="881" t="s">
        <v>33</v>
      </c>
      <c r="L3899" s="584">
        <f t="shared" si="576"/>
        <v>2794823</v>
      </c>
      <c r="M3899" s="882">
        <f t="shared" si="577"/>
        <v>2702000</v>
      </c>
      <c r="N3899" s="883">
        <v>35000</v>
      </c>
      <c r="O3899" s="884"/>
      <c r="P3899" s="883"/>
      <c r="Q3899" s="597">
        <f t="shared" si="578"/>
        <v>57823</v>
      </c>
      <c r="R3899" s="901">
        <f t="shared" si="579"/>
        <v>2800</v>
      </c>
      <c r="S3899" s="1104"/>
      <c r="T3899" s="597"/>
      <c r="U3899" s="738"/>
      <c r="V3899" s="592"/>
      <c r="W3899" s="592"/>
      <c r="X3899" s="592"/>
      <c r="Y3899" s="592"/>
      <c r="Z3899" s="592"/>
    </row>
    <row r="3900" spans="1:26" s="28" customFormat="1" hidden="1">
      <c r="A3900" s="591">
        <f>A3899+1</f>
        <v>4</v>
      </c>
      <c r="B3900" s="592" t="s">
        <v>3111</v>
      </c>
      <c r="C3900" s="602" t="s">
        <v>295</v>
      </c>
      <c r="D3900" s="878"/>
      <c r="E3900" s="878">
        <v>3534.57</v>
      </c>
      <c r="F3900" s="878" t="s">
        <v>251</v>
      </c>
      <c r="G3900" s="878">
        <v>1680</v>
      </c>
      <c r="H3900" s="900">
        <v>5</v>
      </c>
      <c r="I3900" s="900">
        <v>6</v>
      </c>
      <c r="J3900" s="880">
        <v>80</v>
      </c>
      <c r="K3900" s="881" t="s">
        <v>33</v>
      </c>
      <c r="L3900" s="584">
        <f t="shared" si="576"/>
        <v>4839666</v>
      </c>
      <c r="M3900" s="882">
        <f t="shared" si="577"/>
        <v>4704000</v>
      </c>
      <c r="N3900" s="883">
        <v>35000</v>
      </c>
      <c r="O3900" s="884"/>
      <c r="P3900" s="883"/>
      <c r="Q3900" s="597">
        <f t="shared" si="578"/>
        <v>100666</v>
      </c>
      <c r="R3900" s="901">
        <f t="shared" si="579"/>
        <v>2800</v>
      </c>
      <c r="S3900" s="1104"/>
      <c r="T3900" s="597"/>
      <c r="U3900" s="738"/>
      <c r="V3900" s="592"/>
      <c r="W3900" s="592"/>
      <c r="X3900" s="592"/>
      <c r="Y3900" s="592"/>
      <c r="Z3900" s="592"/>
    </row>
    <row r="3901" spans="1:26" s="28" customFormat="1" hidden="1">
      <c r="A3901" s="591">
        <f t="shared" ref="A3901:A3912" si="580">A3900+1</f>
        <v>5</v>
      </c>
      <c r="B3901" s="592" t="s">
        <v>3112</v>
      </c>
      <c r="C3901" s="602" t="s">
        <v>295</v>
      </c>
      <c r="D3901" s="878"/>
      <c r="E3901" s="878">
        <v>855</v>
      </c>
      <c r="F3901" s="878" t="s">
        <v>251</v>
      </c>
      <c r="G3901" s="878">
        <v>855</v>
      </c>
      <c r="H3901" s="900">
        <v>2</v>
      </c>
      <c r="I3901" s="900">
        <v>3</v>
      </c>
      <c r="J3901" s="880">
        <v>16</v>
      </c>
      <c r="K3901" s="881" t="s">
        <v>33</v>
      </c>
      <c r="L3901" s="584">
        <f t="shared" si="576"/>
        <v>2480232</v>
      </c>
      <c r="M3901" s="882">
        <f t="shared" si="577"/>
        <v>2394000</v>
      </c>
      <c r="N3901" s="883">
        <v>35000</v>
      </c>
      <c r="O3901" s="884"/>
      <c r="P3901" s="883"/>
      <c r="Q3901" s="597">
        <f t="shared" si="578"/>
        <v>51232</v>
      </c>
      <c r="R3901" s="901">
        <f t="shared" si="579"/>
        <v>2800</v>
      </c>
      <c r="S3901" s="1104"/>
      <c r="T3901" s="597"/>
      <c r="U3901" s="738"/>
      <c r="V3901" s="592"/>
      <c r="W3901" s="592"/>
      <c r="X3901" s="592"/>
      <c r="Y3901" s="592"/>
      <c r="Z3901" s="592"/>
    </row>
    <row r="3902" spans="1:26" s="28" customFormat="1" hidden="1">
      <c r="A3902" s="591">
        <f t="shared" si="580"/>
        <v>6</v>
      </c>
      <c r="B3902" s="592" t="s">
        <v>3113</v>
      </c>
      <c r="C3902" s="602" t="s">
        <v>295</v>
      </c>
      <c r="D3902" s="878"/>
      <c r="E3902" s="878">
        <v>1050</v>
      </c>
      <c r="F3902" s="878" t="s">
        <v>251</v>
      </c>
      <c r="G3902" s="878">
        <v>584</v>
      </c>
      <c r="H3902" s="900">
        <v>4</v>
      </c>
      <c r="I3902" s="900">
        <v>2</v>
      </c>
      <c r="J3902" s="880">
        <v>32</v>
      </c>
      <c r="K3902" s="881" t="s">
        <v>33</v>
      </c>
      <c r="L3902" s="584">
        <f t="shared" si="576"/>
        <v>1705193</v>
      </c>
      <c r="M3902" s="882">
        <f t="shared" si="577"/>
        <v>1635200</v>
      </c>
      <c r="N3902" s="883">
        <v>35000</v>
      </c>
      <c r="O3902" s="884"/>
      <c r="P3902" s="883"/>
      <c r="Q3902" s="597">
        <f t="shared" si="578"/>
        <v>34993</v>
      </c>
      <c r="R3902" s="901">
        <f t="shared" si="579"/>
        <v>2800</v>
      </c>
      <c r="S3902" s="1104"/>
      <c r="T3902" s="597"/>
      <c r="U3902" s="738"/>
      <c r="V3902" s="592"/>
      <c r="W3902" s="592"/>
      <c r="X3902" s="592"/>
      <c r="Y3902" s="592"/>
      <c r="Z3902" s="592"/>
    </row>
    <row r="3903" spans="1:26" s="28" customFormat="1" hidden="1">
      <c r="A3903" s="591">
        <f t="shared" si="580"/>
        <v>7</v>
      </c>
      <c r="B3903" s="592" t="s">
        <v>3114</v>
      </c>
      <c r="C3903" s="602" t="s">
        <v>342</v>
      </c>
      <c r="D3903" s="878"/>
      <c r="E3903" s="878">
        <v>1290</v>
      </c>
      <c r="F3903" s="878" t="s">
        <v>291</v>
      </c>
      <c r="G3903" s="878">
        <v>947</v>
      </c>
      <c r="H3903" s="900">
        <v>5</v>
      </c>
      <c r="I3903" s="900">
        <v>4</v>
      </c>
      <c r="J3903" s="880">
        <v>71</v>
      </c>
      <c r="K3903" s="881" t="s">
        <v>33</v>
      </c>
      <c r="L3903" s="584">
        <f t="shared" si="576"/>
        <v>2743344</v>
      </c>
      <c r="M3903" s="882">
        <f t="shared" si="577"/>
        <v>2651600</v>
      </c>
      <c r="N3903" s="883">
        <v>35000</v>
      </c>
      <c r="O3903" s="884"/>
      <c r="P3903" s="883"/>
      <c r="Q3903" s="597">
        <f t="shared" si="578"/>
        <v>56744</v>
      </c>
      <c r="R3903" s="901">
        <f t="shared" si="579"/>
        <v>2800</v>
      </c>
      <c r="S3903" s="1104"/>
      <c r="T3903" s="597"/>
      <c r="U3903" s="738"/>
      <c r="V3903" s="592"/>
      <c r="W3903" s="592"/>
      <c r="X3903" s="592"/>
      <c r="Y3903" s="592"/>
      <c r="Z3903" s="592"/>
    </row>
    <row r="3904" spans="1:26" s="28" customFormat="1" hidden="1">
      <c r="A3904" s="591">
        <f t="shared" si="580"/>
        <v>8</v>
      </c>
      <c r="B3904" s="592" t="s">
        <v>3115</v>
      </c>
      <c r="C3904" s="602" t="s">
        <v>221</v>
      </c>
      <c r="D3904" s="878"/>
      <c r="E3904" s="878">
        <v>3263</v>
      </c>
      <c r="F3904" s="878" t="s">
        <v>291</v>
      </c>
      <c r="G3904" s="878">
        <v>1577</v>
      </c>
      <c r="H3904" s="900">
        <v>5</v>
      </c>
      <c r="I3904" s="900">
        <v>7</v>
      </c>
      <c r="J3904" s="880">
        <v>94</v>
      </c>
      <c r="K3904" s="881" t="s">
        <v>33</v>
      </c>
      <c r="L3904" s="584">
        <f t="shared" si="576"/>
        <v>4545094</v>
      </c>
      <c r="M3904" s="882">
        <f t="shared" si="577"/>
        <v>4415600</v>
      </c>
      <c r="N3904" s="883">
        <v>35000</v>
      </c>
      <c r="O3904" s="884"/>
      <c r="P3904" s="883"/>
      <c r="Q3904" s="597">
        <f t="shared" si="578"/>
        <v>94494</v>
      </c>
      <c r="R3904" s="901">
        <f t="shared" si="579"/>
        <v>2800</v>
      </c>
      <c r="S3904" s="1104"/>
      <c r="T3904" s="597"/>
      <c r="U3904" s="738"/>
      <c r="V3904" s="592"/>
      <c r="W3904" s="592"/>
      <c r="X3904" s="592"/>
      <c r="Y3904" s="592"/>
      <c r="Z3904" s="592"/>
    </row>
    <row r="3905" spans="1:26" s="28" customFormat="1" hidden="1">
      <c r="A3905" s="591">
        <f t="shared" si="580"/>
        <v>9</v>
      </c>
      <c r="B3905" s="592" t="s">
        <v>3116</v>
      </c>
      <c r="C3905" s="602" t="s">
        <v>342</v>
      </c>
      <c r="D3905" s="878"/>
      <c r="E3905" s="878">
        <v>763</v>
      </c>
      <c r="F3905" s="878" t="s">
        <v>291</v>
      </c>
      <c r="G3905" s="878">
        <v>915</v>
      </c>
      <c r="H3905" s="900">
        <v>2</v>
      </c>
      <c r="I3905" s="900">
        <v>1</v>
      </c>
      <c r="J3905" s="880">
        <v>34</v>
      </c>
      <c r="K3905" s="881" t="s">
        <v>238</v>
      </c>
      <c r="L3905" s="584">
        <f t="shared" si="576"/>
        <v>1071828</v>
      </c>
      <c r="M3905" s="882">
        <f>J3905*30000</f>
        <v>1020000</v>
      </c>
      <c r="N3905" s="883">
        <v>30000</v>
      </c>
      <c r="O3905" s="884"/>
      <c r="P3905" s="883"/>
      <c r="Q3905" s="597">
        <f t="shared" si="578"/>
        <v>21828</v>
      </c>
      <c r="R3905" s="901">
        <f>M3905/J3905</f>
        <v>30000</v>
      </c>
      <c r="S3905" s="1104"/>
      <c r="T3905" s="597"/>
      <c r="U3905" s="738"/>
      <c r="V3905" s="592"/>
      <c r="W3905" s="592"/>
      <c r="X3905" s="592"/>
      <c r="Y3905" s="592"/>
      <c r="Z3905" s="592"/>
    </row>
    <row r="3906" spans="1:26" s="28" customFormat="1" hidden="1">
      <c r="A3906" s="591">
        <f t="shared" si="580"/>
        <v>10</v>
      </c>
      <c r="B3906" s="592" t="s">
        <v>3117</v>
      </c>
      <c r="C3906" s="602" t="s">
        <v>314</v>
      </c>
      <c r="D3906" s="878"/>
      <c r="E3906" s="878">
        <v>3640</v>
      </c>
      <c r="F3906" s="878" t="s">
        <v>291</v>
      </c>
      <c r="G3906" s="878">
        <v>2403</v>
      </c>
      <c r="H3906" s="900">
        <v>5</v>
      </c>
      <c r="I3906" s="900">
        <v>8</v>
      </c>
      <c r="J3906" s="880">
        <v>121</v>
      </c>
      <c r="K3906" s="881" t="s">
        <v>268</v>
      </c>
      <c r="L3906" s="584">
        <f t="shared" si="576"/>
        <v>2850905</v>
      </c>
      <c r="M3906" s="882">
        <f>J3906*23000</f>
        <v>2783000</v>
      </c>
      <c r="N3906" s="883"/>
      <c r="O3906" s="884">
        <f>ROUND(M3906*0.3%,0)</f>
        <v>8349</v>
      </c>
      <c r="P3906" s="883"/>
      <c r="Q3906" s="597">
        <f t="shared" si="578"/>
        <v>59556</v>
      </c>
      <c r="R3906" s="901">
        <f>M3906/J3906</f>
        <v>23000</v>
      </c>
      <c r="S3906" s="1104"/>
      <c r="T3906" s="597"/>
      <c r="U3906" s="738"/>
      <c r="V3906" s="592"/>
      <c r="W3906" s="592"/>
      <c r="X3906" s="592"/>
      <c r="Y3906" s="592"/>
      <c r="Z3906" s="592"/>
    </row>
    <row r="3907" spans="1:26" s="28" customFormat="1" hidden="1">
      <c r="A3907" s="591">
        <f t="shared" si="580"/>
        <v>11</v>
      </c>
      <c r="B3907" s="592" t="s">
        <v>3118</v>
      </c>
      <c r="C3907" s="602" t="s">
        <v>314</v>
      </c>
      <c r="D3907" s="878"/>
      <c r="E3907" s="878">
        <v>1873</v>
      </c>
      <c r="F3907" s="878" t="s">
        <v>291</v>
      </c>
      <c r="G3907" s="878">
        <v>985</v>
      </c>
      <c r="H3907" s="900">
        <v>5</v>
      </c>
      <c r="I3907" s="900">
        <v>4</v>
      </c>
      <c r="J3907" s="880">
        <v>69</v>
      </c>
      <c r="K3907" s="881" t="s">
        <v>33</v>
      </c>
      <c r="L3907" s="584">
        <f t="shared" si="576"/>
        <v>2852021</v>
      </c>
      <c r="M3907" s="882">
        <f t="shared" ref="M3907:M3912" si="581">G3907*2800</f>
        <v>2758000</v>
      </c>
      <c r="N3907" s="883">
        <v>35000</v>
      </c>
      <c r="O3907" s="884"/>
      <c r="P3907" s="883"/>
      <c r="Q3907" s="597">
        <f t="shared" si="578"/>
        <v>59021</v>
      </c>
      <c r="R3907" s="901">
        <f t="shared" ref="R3907:R3912" si="582">M3907/G3907</f>
        <v>2800</v>
      </c>
      <c r="S3907" s="1104"/>
      <c r="T3907" s="597"/>
      <c r="U3907" s="738"/>
      <c r="V3907" s="592"/>
      <c r="W3907" s="592"/>
      <c r="X3907" s="592"/>
      <c r="Y3907" s="592"/>
      <c r="Z3907" s="592"/>
    </row>
    <row r="3908" spans="1:26" s="28" customFormat="1" hidden="1">
      <c r="A3908" s="591">
        <f t="shared" si="580"/>
        <v>12</v>
      </c>
      <c r="B3908" s="592" t="s">
        <v>3119</v>
      </c>
      <c r="C3908" s="602" t="s">
        <v>295</v>
      </c>
      <c r="D3908" s="878"/>
      <c r="E3908" s="878">
        <v>1705</v>
      </c>
      <c r="F3908" s="878" t="s">
        <v>291</v>
      </c>
      <c r="G3908" s="878">
        <v>809</v>
      </c>
      <c r="H3908" s="900">
        <v>5</v>
      </c>
      <c r="I3908" s="900">
        <v>3</v>
      </c>
      <c r="J3908" s="880">
        <v>43</v>
      </c>
      <c r="K3908" s="881" t="s">
        <v>33</v>
      </c>
      <c r="L3908" s="584">
        <f t="shared" si="576"/>
        <v>2348675</v>
      </c>
      <c r="M3908" s="882">
        <f t="shared" si="581"/>
        <v>2265200</v>
      </c>
      <c r="N3908" s="883">
        <v>35000</v>
      </c>
      <c r="O3908" s="884"/>
      <c r="P3908" s="883"/>
      <c r="Q3908" s="597">
        <f t="shared" si="578"/>
        <v>48475</v>
      </c>
      <c r="R3908" s="901">
        <f t="shared" si="582"/>
        <v>2800</v>
      </c>
      <c r="S3908" s="1104"/>
      <c r="T3908" s="597"/>
      <c r="U3908" s="738"/>
      <c r="V3908" s="592"/>
      <c r="W3908" s="592"/>
      <c r="X3908" s="592"/>
      <c r="Y3908" s="592"/>
      <c r="Z3908" s="592"/>
    </row>
    <row r="3909" spans="1:26" s="28" customFormat="1" hidden="1">
      <c r="A3909" s="591">
        <f t="shared" si="580"/>
        <v>13</v>
      </c>
      <c r="B3909" s="592" t="s">
        <v>3120</v>
      </c>
      <c r="C3909" s="602" t="s">
        <v>295</v>
      </c>
      <c r="D3909" s="878"/>
      <c r="E3909" s="878">
        <v>713</v>
      </c>
      <c r="F3909" s="878" t="s">
        <v>291</v>
      </c>
      <c r="G3909" s="878">
        <v>723</v>
      </c>
      <c r="H3909" s="900">
        <v>2</v>
      </c>
      <c r="I3909" s="900">
        <v>2</v>
      </c>
      <c r="J3909" s="880">
        <v>14</v>
      </c>
      <c r="K3909" s="881" t="s">
        <v>33</v>
      </c>
      <c r="L3909" s="584">
        <f t="shared" si="576"/>
        <v>2102722</v>
      </c>
      <c r="M3909" s="882">
        <f t="shared" si="581"/>
        <v>2024400</v>
      </c>
      <c r="N3909" s="883">
        <v>35000</v>
      </c>
      <c r="O3909" s="884"/>
      <c r="P3909" s="883"/>
      <c r="Q3909" s="597">
        <f t="shared" si="578"/>
        <v>43322</v>
      </c>
      <c r="R3909" s="901">
        <f t="shared" si="582"/>
        <v>2800</v>
      </c>
      <c r="S3909" s="1104"/>
      <c r="T3909" s="597"/>
      <c r="U3909" s="738"/>
      <c r="V3909" s="592"/>
      <c r="W3909" s="592"/>
      <c r="X3909" s="592"/>
      <c r="Y3909" s="592"/>
      <c r="Z3909" s="592"/>
    </row>
    <row r="3910" spans="1:26" s="28" customFormat="1" hidden="1">
      <c r="A3910" s="591">
        <f t="shared" si="580"/>
        <v>14</v>
      </c>
      <c r="B3910" s="592" t="s">
        <v>3121</v>
      </c>
      <c r="C3910" s="602" t="s">
        <v>295</v>
      </c>
      <c r="D3910" s="878"/>
      <c r="E3910" s="878">
        <v>713</v>
      </c>
      <c r="F3910" s="878" t="s">
        <v>291</v>
      </c>
      <c r="G3910" s="878">
        <v>723</v>
      </c>
      <c r="H3910" s="900">
        <v>2</v>
      </c>
      <c r="I3910" s="900">
        <v>2</v>
      </c>
      <c r="J3910" s="880">
        <v>13</v>
      </c>
      <c r="K3910" s="881" t="s">
        <v>33</v>
      </c>
      <c r="L3910" s="584">
        <f t="shared" si="576"/>
        <v>2102722</v>
      </c>
      <c r="M3910" s="882">
        <f t="shared" si="581"/>
        <v>2024400</v>
      </c>
      <c r="N3910" s="883">
        <v>35000</v>
      </c>
      <c r="O3910" s="884"/>
      <c r="P3910" s="883"/>
      <c r="Q3910" s="597">
        <f t="shared" si="578"/>
        <v>43322</v>
      </c>
      <c r="R3910" s="901">
        <f t="shared" si="582"/>
        <v>2800</v>
      </c>
      <c r="S3910" s="1104"/>
      <c r="T3910" s="597"/>
      <c r="U3910" s="738"/>
      <c r="V3910" s="592"/>
      <c r="W3910" s="592"/>
      <c r="X3910" s="592"/>
      <c r="Y3910" s="592"/>
      <c r="Z3910" s="592"/>
    </row>
    <row r="3911" spans="1:26" s="28" customFormat="1" hidden="1">
      <c r="A3911" s="591">
        <f t="shared" si="580"/>
        <v>15</v>
      </c>
      <c r="B3911" s="592" t="s">
        <v>3122</v>
      </c>
      <c r="C3911" s="602" t="s">
        <v>295</v>
      </c>
      <c r="D3911" s="878"/>
      <c r="E3911" s="878">
        <v>548.67999999999995</v>
      </c>
      <c r="F3911" s="878" t="s">
        <v>291</v>
      </c>
      <c r="G3911" s="878">
        <v>570</v>
      </c>
      <c r="H3911" s="900">
        <v>2</v>
      </c>
      <c r="I3911" s="900">
        <v>2</v>
      </c>
      <c r="J3911" s="880">
        <v>16</v>
      </c>
      <c r="K3911" s="881" t="s">
        <v>33</v>
      </c>
      <c r="L3911" s="584">
        <f t="shared" si="576"/>
        <v>1665154</v>
      </c>
      <c r="M3911" s="882">
        <f t="shared" si="581"/>
        <v>1596000</v>
      </c>
      <c r="N3911" s="883">
        <v>35000</v>
      </c>
      <c r="O3911" s="884"/>
      <c r="P3911" s="883"/>
      <c r="Q3911" s="597">
        <f t="shared" si="578"/>
        <v>34154</v>
      </c>
      <c r="R3911" s="901">
        <f t="shared" si="582"/>
        <v>2800</v>
      </c>
      <c r="S3911" s="1104"/>
      <c r="T3911" s="597"/>
      <c r="U3911" s="738"/>
      <c r="V3911" s="592"/>
      <c r="W3911" s="592"/>
      <c r="X3911" s="592"/>
      <c r="Y3911" s="592"/>
      <c r="Z3911" s="592"/>
    </row>
    <row r="3912" spans="1:26" s="28" customFormat="1" hidden="1">
      <c r="A3912" s="591">
        <f t="shared" si="580"/>
        <v>16</v>
      </c>
      <c r="B3912" s="592" t="s">
        <v>3123</v>
      </c>
      <c r="C3912" s="602" t="s">
        <v>293</v>
      </c>
      <c r="D3912" s="878"/>
      <c r="E3912" s="878">
        <v>553.29999999999995</v>
      </c>
      <c r="F3912" s="878" t="s">
        <v>251</v>
      </c>
      <c r="G3912" s="878">
        <v>779</v>
      </c>
      <c r="H3912" s="900">
        <v>2</v>
      </c>
      <c r="I3912" s="900">
        <v>2</v>
      </c>
      <c r="J3912" s="880">
        <v>12</v>
      </c>
      <c r="K3912" s="881" t="s">
        <v>33</v>
      </c>
      <c r="L3912" s="1348">
        <f>SUM(M3912:Q3912)+SUM(M3913:Q3913)</f>
        <v>3723672</v>
      </c>
      <c r="M3912" s="882">
        <f t="shared" si="581"/>
        <v>2181200</v>
      </c>
      <c r="N3912" s="883">
        <v>35000</v>
      </c>
      <c r="O3912" s="884"/>
      <c r="P3912" s="883"/>
      <c r="Q3912" s="597">
        <f t="shared" si="578"/>
        <v>46678</v>
      </c>
      <c r="R3912" s="901">
        <f t="shared" si="582"/>
        <v>2800</v>
      </c>
      <c r="S3912" s="1104"/>
      <c r="T3912" s="597"/>
      <c r="U3912" s="738"/>
      <c r="V3912" s="592"/>
      <c r="W3912" s="592"/>
      <c r="X3912" s="592"/>
      <c r="Y3912" s="592"/>
      <c r="Z3912" s="592"/>
    </row>
    <row r="3913" spans="1:26" s="28" customFormat="1" hidden="1">
      <c r="A3913" s="591"/>
      <c r="B3913" s="592"/>
      <c r="C3913" s="602"/>
      <c r="D3913" s="878"/>
      <c r="E3913" s="878"/>
      <c r="F3913" s="878"/>
      <c r="G3913" s="878"/>
      <c r="H3913" s="900"/>
      <c r="I3913" s="900"/>
      <c r="J3913" s="880"/>
      <c r="K3913" s="881" t="s">
        <v>38</v>
      </c>
      <c r="L3913" s="1348"/>
      <c r="M3913" s="882">
        <f>E3910*2000</f>
        <v>1426000</v>
      </c>
      <c r="N3913" s="883"/>
      <c r="O3913" s="884">
        <f>ROUND(M3913*0.3%,0)</f>
        <v>4278</v>
      </c>
      <c r="P3913" s="883"/>
      <c r="Q3913" s="597">
        <f t="shared" si="578"/>
        <v>30516</v>
      </c>
      <c r="R3913" s="599">
        <f>M3913/E3912</f>
        <v>2577.2636905837703</v>
      </c>
      <c r="S3913" s="1104"/>
      <c r="T3913" s="597"/>
      <c r="U3913" s="738"/>
      <c r="V3913" s="592"/>
      <c r="W3913" s="592"/>
      <c r="X3913" s="592"/>
      <c r="Y3913" s="592"/>
      <c r="Z3913" s="592"/>
    </row>
    <row r="3914" spans="1:26" s="28" customFormat="1" hidden="1">
      <c r="A3914" s="591">
        <v>17</v>
      </c>
      <c r="B3914" s="592" t="s">
        <v>3124</v>
      </c>
      <c r="C3914" s="602" t="s">
        <v>322</v>
      </c>
      <c r="D3914" s="878"/>
      <c r="E3914" s="878">
        <v>673</v>
      </c>
      <c r="F3914" s="878" t="s">
        <v>251</v>
      </c>
      <c r="G3914" s="878">
        <v>703</v>
      </c>
      <c r="H3914" s="900">
        <v>2</v>
      </c>
      <c r="I3914" s="900">
        <v>2</v>
      </c>
      <c r="J3914" s="880">
        <v>13</v>
      </c>
      <c r="K3914" s="881" t="s">
        <v>33</v>
      </c>
      <c r="L3914" s="584">
        <f>SUM(M3914:Q3914)</f>
        <v>2045524</v>
      </c>
      <c r="M3914" s="882">
        <f>G3914*2800</f>
        <v>1968400</v>
      </c>
      <c r="N3914" s="883">
        <v>35000</v>
      </c>
      <c r="O3914" s="884"/>
      <c r="P3914" s="883"/>
      <c r="Q3914" s="597">
        <f t="shared" si="578"/>
        <v>42124</v>
      </c>
      <c r="R3914" s="901">
        <f>M3914/G3914</f>
        <v>2800</v>
      </c>
      <c r="S3914" s="1104"/>
      <c r="T3914" s="597"/>
      <c r="U3914" s="738"/>
      <c r="V3914" s="592"/>
      <c r="W3914" s="592"/>
      <c r="X3914" s="592"/>
      <c r="Y3914" s="592"/>
      <c r="Z3914" s="592"/>
    </row>
    <row r="3915" spans="1:26" s="89" customFormat="1" ht="37.5" hidden="1">
      <c r="A3915" s="591">
        <f>A3914+1</f>
        <v>18</v>
      </c>
      <c r="B3915" s="592" t="s">
        <v>3976</v>
      </c>
      <c r="C3915" s="602" t="s">
        <v>295</v>
      </c>
      <c r="D3915" s="878">
        <v>1999</v>
      </c>
      <c r="E3915" s="878">
        <v>4777</v>
      </c>
      <c r="F3915" s="878" t="s">
        <v>233</v>
      </c>
      <c r="G3915" s="878">
        <v>1137</v>
      </c>
      <c r="H3915" s="900">
        <v>9</v>
      </c>
      <c r="I3915" s="900">
        <v>3</v>
      </c>
      <c r="J3915" s="880">
        <v>114</v>
      </c>
      <c r="K3915" s="881" t="s">
        <v>219</v>
      </c>
      <c r="L3915" s="585">
        <f>SUM(M3915:Q3915)</f>
        <v>6127500</v>
      </c>
      <c r="M3915" s="882">
        <v>6000000</v>
      </c>
      <c r="N3915" s="883">
        <v>127500</v>
      </c>
      <c r="O3915" s="884"/>
      <c r="P3915" s="883"/>
      <c r="Q3915" s="597"/>
      <c r="R3915" s="599">
        <f>M3915/I3915</f>
        <v>2000000</v>
      </c>
      <c r="S3915" s="1104"/>
      <c r="T3915" s="597"/>
      <c r="U3915" s="738"/>
      <c r="V3915" s="1226"/>
      <c r="W3915" s="592"/>
      <c r="X3915" s="592"/>
      <c r="Y3915" s="592"/>
      <c r="Z3915" s="592"/>
    </row>
    <row r="3916" spans="1:26" s="89" customFormat="1" ht="37.5" hidden="1">
      <c r="A3916" s="591">
        <f>A3915+1</f>
        <v>19</v>
      </c>
      <c r="B3916" s="592" t="s">
        <v>3977</v>
      </c>
      <c r="C3916" s="602" t="s">
        <v>295</v>
      </c>
      <c r="D3916" s="878">
        <v>1997</v>
      </c>
      <c r="E3916" s="878">
        <v>4986</v>
      </c>
      <c r="F3916" s="878" t="s">
        <v>233</v>
      </c>
      <c r="G3916" s="878">
        <v>1210</v>
      </c>
      <c r="H3916" s="900">
        <v>9</v>
      </c>
      <c r="I3916" s="900">
        <v>3</v>
      </c>
      <c r="J3916" s="880">
        <v>117</v>
      </c>
      <c r="K3916" s="881" t="s">
        <v>219</v>
      </c>
      <c r="L3916" s="585">
        <f>SUM(M3916:Q3916)</f>
        <v>6127500</v>
      </c>
      <c r="M3916" s="882">
        <v>6000000</v>
      </c>
      <c r="N3916" s="883">
        <v>127500</v>
      </c>
      <c r="O3916" s="884"/>
      <c r="P3916" s="883"/>
      <c r="Q3916" s="597"/>
      <c r="R3916" s="599">
        <f>M3916/I3916</f>
        <v>2000000</v>
      </c>
      <c r="S3916" s="1104"/>
      <c r="T3916" s="597"/>
      <c r="U3916" s="738"/>
      <c r="V3916" s="1226"/>
      <c r="W3916" s="592"/>
      <c r="X3916" s="592"/>
      <c r="Y3916" s="592"/>
      <c r="Z3916" s="592"/>
    </row>
    <row r="3917" spans="1:26" s="28" customFormat="1" hidden="1">
      <c r="A3917" s="1349" t="s">
        <v>144</v>
      </c>
      <c r="B3917" s="1349"/>
      <c r="C3917" s="593" t="s">
        <v>28</v>
      </c>
      <c r="D3917" s="586">
        <f>SUM(D3897:D3916)</f>
        <v>3996</v>
      </c>
      <c r="E3917" s="586">
        <f>SUM(E3897:E3916)</f>
        <v>34515.550000000003</v>
      </c>
      <c r="F3917" s="593" t="s">
        <v>28</v>
      </c>
      <c r="G3917" s="586">
        <f>SUM(G3897:G3916)</f>
        <v>18738</v>
      </c>
      <c r="H3917" s="593" t="s">
        <v>28</v>
      </c>
      <c r="I3917" s="593" t="s">
        <v>28</v>
      </c>
      <c r="J3917" s="582">
        <f>SUM(J3897:J3916)</f>
        <v>949</v>
      </c>
      <c r="K3917" s="590" t="s">
        <v>28</v>
      </c>
      <c r="L3917" s="584">
        <f t="shared" ref="L3917:Q3917" si="583">SUM(L3897:L3916)</f>
        <v>55551261</v>
      </c>
      <c r="M3917" s="585">
        <f t="shared" si="583"/>
        <v>53833400</v>
      </c>
      <c r="N3917" s="586">
        <f t="shared" si="583"/>
        <v>810000</v>
      </c>
      <c r="O3917" s="587">
        <f t="shared" si="583"/>
        <v>12627</v>
      </c>
      <c r="P3917" s="586">
        <f t="shared" si="583"/>
        <v>0</v>
      </c>
      <c r="Q3917" s="586">
        <f t="shared" si="583"/>
        <v>895234</v>
      </c>
      <c r="R3917" s="582" t="s">
        <v>28</v>
      </c>
      <c r="S3917" s="564">
        <f>L3917-M3917-N3917-O3917-P3917-Q3917</f>
        <v>0</v>
      </c>
      <c r="T3917" s="577" t="e">
        <f>'1.перечень МКД'!#REF!</f>
        <v>#REF!</v>
      </c>
      <c r="U3917" s="589" t="e">
        <f>L3917-T3917</f>
        <v>#REF!</v>
      </c>
      <c r="V3917" s="592"/>
      <c r="W3917" s="592"/>
      <c r="X3917" s="592"/>
      <c r="Y3917" s="592"/>
      <c r="Z3917" s="592"/>
    </row>
    <row r="3918" spans="1:26" s="28" customFormat="1" hidden="1">
      <c r="A3918" s="1347" t="s">
        <v>166</v>
      </c>
      <c r="B3918" s="1347"/>
      <c r="C3918" s="1347"/>
      <c r="D3918" s="1347"/>
      <c r="E3918" s="1347"/>
      <c r="F3918" s="1347"/>
      <c r="G3918" s="1347"/>
      <c r="H3918" s="1347"/>
      <c r="I3918" s="1347"/>
      <c r="J3918" s="1347"/>
      <c r="K3918" s="1347"/>
      <c r="L3918" s="1347"/>
      <c r="M3918" s="1347"/>
      <c r="N3918" s="1347"/>
      <c r="O3918" s="1347"/>
      <c r="P3918" s="1347"/>
      <c r="Q3918" s="1347"/>
      <c r="R3918" s="590"/>
      <c r="S3918" s="592"/>
      <c r="T3918" s="592"/>
      <c r="U3918" s="591"/>
      <c r="V3918" s="592"/>
      <c r="W3918" s="592"/>
      <c r="X3918" s="592"/>
      <c r="Y3918" s="592"/>
      <c r="Z3918" s="592"/>
    </row>
    <row r="3919" spans="1:26" s="36" customFormat="1" ht="37.5" hidden="1">
      <c r="A3919" s="591">
        <v>1</v>
      </c>
      <c r="B3919" s="592" t="s">
        <v>3125</v>
      </c>
      <c r="C3919" s="593" t="s">
        <v>298</v>
      </c>
      <c r="D3919" s="913">
        <f t="shared" ref="D3919:D3982" si="584">E3919/1.16/2*13</f>
        <v>10960.344827586207</v>
      </c>
      <c r="E3919" s="602">
        <v>1956</v>
      </c>
      <c r="F3919" s="602" t="s">
        <v>251</v>
      </c>
      <c r="G3919" s="602">
        <v>1327</v>
      </c>
      <c r="H3919" s="602">
        <v>5</v>
      </c>
      <c r="I3919" s="602">
        <v>4</v>
      </c>
      <c r="J3919" s="582">
        <v>76</v>
      </c>
      <c r="K3919" s="679" t="s">
        <v>33</v>
      </c>
      <c r="L3919" s="562">
        <f t="shared" ref="L3919:L3942" si="585">SUM(M3919:Q3919)</f>
        <v>3830114</v>
      </c>
      <c r="M3919" s="585">
        <f>G3919*2800</f>
        <v>3715600</v>
      </c>
      <c r="N3919" s="564">
        <v>35000</v>
      </c>
      <c r="O3919" s="565"/>
      <c r="P3919" s="564"/>
      <c r="Q3919" s="586">
        <f t="shared" ref="Q3919:Q3924" si="586">ROUND(M3919*2.14%,0)</f>
        <v>79514</v>
      </c>
      <c r="R3919" s="582">
        <f>M3919/G3919</f>
        <v>2800</v>
      </c>
      <c r="S3919" s="593"/>
      <c r="T3919" s="586"/>
      <c r="U3919" s="591"/>
      <c r="V3919" s="593"/>
      <c r="W3919" s="593"/>
      <c r="X3919" s="593"/>
      <c r="Y3919" s="593"/>
      <c r="Z3919" s="593"/>
    </row>
    <row r="3920" spans="1:26" s="36" customFormat="1" ht="37.5" hidden="1">
      <c r="A3920" s="591">
        <f>A3919+1</f>
        <v>2</v>
      </c>
      <c r="B3920" s="592" t="s">
        <v>3126</v>
      </c>
      <c r="C3920" s="593" t="s">
        <v>298</v>
      </c>
      <c r="D3920" s="913">
        <f t="shared" si="584"/>
        <v>21741.37931034483</v>
      </c>
      <c r="E3920" s="602">
        <v>3880</v>
      </c>
      <c r="F3920" s="593" t="s">
        <v>218</v>
      </c>
      <c r="G3920" s="602">
        <v>1800</v>
      </c>
      <c r="H3920" s="602">
        <v>5</v>
      </c>
      <c r="I3920" s="602">
        <v>7</v>
      </c>
      <c r="J3920" s="582">
        <v>105</v>
      </c>
      <c r="K3920" s="606" t="s">
        <v>33</v>
      </c>
      <c r="L3920" s="562">
        <f t="shared" si="585"/>
        <v>4420374</v>
      </c>
      <c r="M3920" s="585">
        <f>ROUND(G3920*2397.27,0)</f>
        <v>4315086</v>
      </c>
      <c r="N3920" s="586"/>
      <c r="O3920" s="587">
        <f>ROUND(M3920*0.3%,0)</f>
        <v>12945</v>
      </c>
      <c r="P3920" s="586"/>
      <c r="Q3920" s="586">
        <f t="shared" si="586"/>
        <v>92343</v>
      </c>
      <c r="R3920" s="582">
        <f>M3920/G3920</f>
        <v>2397.27</v>
      </c>
      <c r="S3920" s="593"/>
      <c r="T3920" s="586"/>
      <c r="U3920" s="591"/>
      <c r="V3920" s="593"/>
      <c r="W3920" s="593"/>
      <c r="X3920" s="593"/>
      <c r="Y3920" s="593"/>
      <c r="Z3920" s="593"/>
    </row>
    <row r="3921" spans="1:26" s="36" customFormat="1" ht="37.5" hidden="1">
      <c r="A3921" s="591">
        <f t="shared" ref="A3921:A3984" si="587">A3920+1</f>
        <v>3</v>
      </c>
      <c r="B3921" s="592" t="s">
        <v>3127</v>
      </c>
      <c r="C3921" s="593" t="s">
        <v>298</v>
      </c>
      <c r="D3921" s="913">
        <f t="shared" si="584"/>
        <v>18244.827586206899</v>
      </c>
      <c r="E3921" s="608">
        <v>3256</v>
      </c>
      <c r="F3921" s="593" t="s">
        <v>218</v>
      </c>
      <c r="G3921" s="608">
        <v>1463</v>
      </c>
      <c r="H3921" s="608">
        <v>5</v>
      </c>
      <c r="I3921" s="608">
        <v>6</v>
      </c>
      <c r="J3921" s="599">
        <v>119</v>
      </c>
      <c r="K3921" s="606" t="s">
        <v>33</v>
      </c>
      <c r="L3921" s="562">
        <f t="shared" si="585"/>
        <v>3592782</v>
      </c>
      <c r="M3921" s="585">
        <f>ROUND(G3921*2397.27,0)</f>
        <v>3507206</v>
      </c>
      <c r="N3921" s="586"/>
      <c r="O3921" s="587">
        <f>ROUND(M3921*0.3%,0)</f>
        <v>10522</v>
      </c>
      <c r="P3921" s="586"/>
      <c r="Q3921" s="586">
        <f t="shared" si="586"/>
        <v>75054</v>
      </c>
      <c r="R3921" s="582">
        <f>M3921/G3921</f>
        <v>2397.2699931647298</v>
      </c>
      <c r="S3921" s="593"/>
      <c r="T3921" s="586"/>
      <c r="U3921" s="591"/>
      <c r="V3921" s="593"/>
      <c r="W3921" s="593"/>
      <c r="X3921" s="593"/>
      <c r="Y3921" s="593"/>
      <c r="Z3921" s="593"/>
    </row>
    <row r="3922" spans="1:26" s="36" customFormat="1" ht="37.5" hidden="1">
      <c r="A3922" s="591">
        <f t="shared" si="587"/>
        <v>4</v>
      </c>
      <c r="B3922" s="592" t="s">
        <v>3128</v>
      </c>
      <c r="C3922" s="593" t="s">
        <v>298</v>
      </c>
      <c r="D3922" s="913">
        <f t="shared" si="584"/>
        <v>12843.103448275864</v>
      </c>
      <c r="E3922" s="608">
        <v>2292</v>
      </c>
      <c r="F3922" s="593" t="s">
        <v>218</v>
      </c>
      <c r="G3922" s="608">
        <v>938</v>
      </c>
      <c r="H3922" s="608">
        <v>5</v>
      </c>
      <c r="I3922" s="608">
        <v>4</v>
      </c>
      <c r="J3922" s="599">
        <v>79</v>
      </c>
      <c r="K3922" s="606" t="s">
        <v>33</v>
      </c>
      <c r="L3922" s="562">
        <f t="shared" si="585"/>
        <v>2303506</v>
      </c>
      <c r="M3922" s="585">
        <f>ROUND(G3922*2397.27,0)</f>
        <v>2248639</v>
      </c>
      <c r="N3922" s="586"/>
      <c r="O3922" s="587">
        <f>ROUND(M3922*0.3%,0)</f>
        <v>6746</v>
      </c>
      <c r="P3922" s="586"/>
      <c r="Q3922" s="586">
        <f t="shared" si="586"/>
        <v>48121</v>
      </c>
      <c r="R3922" s="582">
        <f>M3922/G3922</f>
        <v>2397.2697228144989</v>
      </c>
      <c r="S3922" s="593"/>
      <c r="T3922" s="586"/>
      <c r="U3922" s="591"/>
      <c r="V3922" s="593"/>
      <c r="W3922" s="593"/>
      <c r="X3922" s="593"/>
      <c r="Y3922" s="593"/>
      <c r="Z3922" s="593"/>
    </row>
    <row r="3923" spans="1:26" s="36" customFormat="1" ht="37.5" hidden="1">
      <c r="A3923" s="591">
        <f t="shared" si="587"/>
        <v>5</v>
      </c>
      <c r="B3923" s="592" t="s">
        <v>3129</v>
      </c>
      <c r="C3923" s="593" t="s">
        <v>298</v>
      </c>
      <c r="D3923" s="913">
        <f t="shared" si="584"/>
        <v>18384.913793103449</v>
      </c>
      <c r="E3923" s="608">
        <v>3281</v>
      </c>
      <c r="F3923" s="593" t="s">
        <v>218</v>
      </c>
      <c r="G3923" s="608">
        <v>1442</v>
      </c>
      <c r="H3923" s="608">
        <v>5</v>
      </c>
      <c r="I3923" s="608">
        <v>6</v>
      </c>
      <c r="J3923" s="599">
        <v>114</v>
      </c>
      <c r="K3923" s="606" t="s">
        <v>33</v>
      </c>
      <c r="L3923" s="562">
        <f t="shared" si="585"/>
        <v>3541211</v>
      </c>
      <c r="M3923" s="585">
        <f>ROUND(G3923*2397.27,0)</f>
        <v>3456863</v>
      </c>
      <c r="N3923" s="586"/>
      <c r="O3923" s="587">
        <f>ROUND(M3923*0.3%,0)</f>
        <v>10371</v>
      </c>
      <c r="P3923" s="586"/>
      <c r="Q3923" s="586">
        <f t="shared" si="586"/>
        <v>73977</v>
      </c>
      <c r="R3923" s="582">
        <f>M3923/G3923</f>
        <v>2397.2697642163662</v>
      </c>
      <c r="S3923" s="593"/>
      <c r="T3923" s="593"/>
      <c r="U3923" s="591"/>
      <c r="V3923" s="593"/>
      <c r="W3923" s="593"/>
      <c r="X3923" s="593"/>
      <c r="Y3923" s="593"/>
      <c r="Z3923" s="593"/>
    </row>
    <row r="3924" spans="1:26" s="36" customFormat="1" ht="37.5" hidden="1">
      <c r="A3924" s="591">
        <f t="shared" si="587"/>
        <v>6</v>
      </c>
      <c r="B3924" s="592" t="s">
        <v>3130</v>
      </c>
      <c r="C3924" s="593" t="s">
        <v>298</v>
      </c>
      <c r="D3924" s="913">
        <f t="shared" si="584"/>
        <v>17650.862068965518</v>
      </c>
      <c r="E3924" s="608">
        <v>3150</v>
      </c>
      <c r="F3924" s="593" t="s">
        <v>218</v>
      </c>
      <c r="G3924" s="608">
        <v>1250</v>
      </c>
      <c r="H3924" s="608">
        <v>5</v>
      </c>
      <c r="I3924" s="608">
        <v>6</v>
      </c>
      <c r="J3924" s="599">
        <v>100</v>
      </c>
      <c r="K3924" s="606" t="s">
        <v>238</v>
      </c>
      <c r="L3924" s="562">
        <f t="shared" si="585"/>
        <v>3410620</v>
      </c>
      <c r="M3924" s="585">
        <f>(J3924*30000)+300000</f>
        <v>3300000</v>
      </c>
      <c r="N3924" s="564">
        <v>40000</v>
      </c>
      <c r="O3924" s="565"/>
      <c r="P3924" s="564"/>
      <c r="Q3924" s="586">
        <f t="shared" si="586"/>
        <v>70620</v>
      </c>
      <c r="R3924" s="561">
        <f>M3924/J3924</f>
        <v>33000</v>
      </c>
      <c r="S3924" s="593"/>
      <c r="T3924" s="593"/>
      <c r="U3924" s="591"/>
      <c r="V3924" s="593"/>
      <c r="W3924" s="593"/>
      <c r="X3924" s="593"/>
      <c r="Y3924" s="593"/>
      <c r="Z3924" s="593"/>
    </row>
    <row r="3925" spans="1:26" s="36" customFormat="1" ht="37.5" hidden="1">
      <c r="A3925" s="591">
        <f t="shared" si="587"/>
        <v>7</v>
      </c>
      <c r="B3925" s="592" t="s">
        <v>3131</v>
      </c>
      <c r="C3925" s="593" t="s">
        <v>298</v>
      </c>
      <c r="D3925" s="913">
        <f t="shared" si="584"/>
        <v>40809.913793103457</v>
      </c>
      <c r="E3925" s="593">
        <v>7283</v>
      </c>
      <c r="F3925" s="593" t="s">
        <v>218</v>
      </c>
      <c r="G3925" s="593">
        <v>1350</v>
      </c>
      <c r="H3925" s="594">
        <v>9</v>
      </c>
      <c r="I3925" s="594">
        <v>3</v>
      </c>
      <c r="J3925" s="599">
        <v>121</v>
      </c>
      <c r="K3925" s="606" t="s">
        <v>219</v>
      </c>
      <c r="L3925" s="562">
        <f t="shared" si="585"/>
        <v>6127500</v>
      </c>
      <c r="M3925" s="596">
        <v>6000000</v>
      </c>
      <c r="N3925" s="564">
        <v>127500</v>
      </c>
      <c r="O3925" s="565"/>
      <c r="P3925" s="564"/>
      <c r="Q3925" s="586"/>
      <c r="R3925" s="582">
        <f>M3925/I3925</f>
        <v>2000000</v>
      </c>
      <c r="S3925" s="593"/>
      <c r="T3925" s="593"/>
      <c r="U3925" s="591"/>
      <c r="V3925" s="589"/>
      <c r="W3925" s="593"/>
      <c r="X3925" s="593"/>
      <c r="Y3925" s="593"/>
      <c r="Z3925" s="593"/>
    </row>
    <row r="3926" spans="1:26" s="36" customFormat="1" ht="37.5" hidden="1">
      <c r="A3926" s="591">
        <f t="shared" si="587"/>
        <v>8</v>
      </c>
      <c r="B3926" s="592" t="s">
        <v>3132</v>
      </c>
      <c r="C3926" s="593" t="s">
        <v>298</v>
      </c>
      <c r="D3926" s="913">
        <f t="shared" si="584"/>
        <v>40809.913793103457</v>
      </c>
      <c r="E3926" s="593">
        <v>7283</v>
      </c>
      <c r="F3926" s="593" t="s">
        <v>218</v>
      </c>
      <c r="G3926" s="593">
        <v>1350</v>
      </c>
      <c r="H3926" s="594">
        <v>9</v>
      </c>
      <c r="I3926" s="594">
        <v>3</v>
      </c>
      <c r="J3926" s="599">
        <v>123</v>
      </c>
      <c r="K3926" s="606" t="s">
        <v>219</v>
      </c>
      <c r="L3926" s="562">
        <f t="shared" si="585"/>
        <v>6127500</v>
      </c>
      <c r="M3926" s="596">
        <v>6000000</v>
      </c>
      <c r="N3926" s="564">
        <v>127500</v>
      </c>
      <c r="O3926" s="565"/>
      <c r="P3926" s="564"/>
      <c r="Q3926" s="586"/>
      <c r="R3926" s="582">
        <f>M3926/I3926</f>
        <v>2000000</v>
      </c>
      <c r="S3926" s="593"/>
      <c r="T3926" s="593"/>
      <c r="U3926" s="591"/>
      <c r="V3926" s="589"/>
      <c r="W3926" s="593"/>
      <c r="X3926" s="593"/>
      <c r="Y3926" s="593"/>
      <c r="Z3926" s="593"/>
    </row>
    <row r="3927" spans="1:26" s="36" customFormat="1" ht="37.5" hidden="1">
      <c r="A3927" s="591">
        <f t="shared" si="587"/>
        <v>9</v>
      </c>
      <c r="B3927" s="592" t="s">
        <v>3133</v>
      </c>
      <c r="C3927" s="593" t="s">
        <v>298</v>
      </c>
      <c r="D3927" s="913">
        <f t="shared" si="584"/>
        <v>40809.913793103457</v>
      </c>
      <c r="E3927" s="593">
        <v>7283</v>
      </c>
      <c r="F3927" s="593" t="s">
        <v>218</v>
      </c>
      <c r="G3927" s="593">
        <v>1343</v>
      </c>
      <c r="H3927" s="602">
        <v>9</v>
      </c>
      <c r="I3927" s="602">
        <v>3</v>
      </c>
      <c r="J3927" s="582">
        <v>123</v>
      </c>
      <c r="K3927" s="606" t="s">
        <v>219</v>
      </c>
      <c r="L3927" s="562">
        <f t="shared" si="585"/>
        <v>6127500</v>
      </c>
      <c r="M3927" s="596">
        <v>6000000</v>
      </c>
      <c r="N3927" s="564">
        <v>127500</v>
      </c>
      <c r="O3927" s="565"/>
      <c r="P3927" s="564"/>
      <c r="Q3927" s="586"/>
      <c r="R3927" s="582">
        <f>M3927/I3927</f>
        <v>2000000</v>
      </c>
      <c r="S3927" s="593"/>
      <c r="T3927" s="593"/>
      <c r="U3927" s="591"/>
      <c r="V3927" s="589"/>
      <c r="W3927" s="593"/>
      <c r="X3927" s="593"/>
      <c r="Y3927" s="593"/>
      <c r="Z3927" s="593"/>
    </row>
    <row r="3928" spans="1:26" s="36" customFormat="1" hidden="1">
      <c r="A3928" s="591">
        <f t="shared" si="587"/>
        <v>10</v>
      </c>
      <c r="B3928" s="592" t="s">
        <v>3134</v>
      </c>
      <c r="C3928" s="593" t="s">
        <v>217</v>
      </c>
      <c r="D3928" s="913">
        <f t="shared" si="584"/>
        <v>20844.827586206899</v>
      </c>
      <c r="E3928" s="608">
        <v>3720</v>
      </c>
      <c r="F3928" s="593" t="s">
        <v>218</v>
      </c>
      <c r="G3928" s="608">
        <v>638</v>
      </c>
      <c r="H3928" s="608">
        <v>9</v>
      </c>
      <c r="I3928" s="608">
        <v>2</v>
      </c>
      <c r="J3928" s="599">
        <v>72</v>
      </c>
      <c r="K3928" s="606" t="s">
        <v>33</v>
      </c>
      <c r="L3928" s="562">
        <f t="shared" si="585"/>
        <v>1566776</v>
      </c>
      <c r="M3928" s="585">
        <f t="shared" ref="M3928:M3934" si="588">ROUND(G3928*2397.27,0)</f>
        <v>1529458</v>
      </c>
      <c r="N3928" s="586"/>
      <c r="O3928" s="587">
        <f t="shared" ref="O3928:O3934" si="589">ROUND(M3928*0.3%,0)</f>
        <v>4588</v>
      </c>
      <c r="P3928" s="586"/>
      <c r="Q3928" s="586">
        <f t="shared" ref="Q3928:Q3934" si="590">ROUND(M3928*2.14%,0)</f>
        <v>32730</v>
      </c>
      <c r="R3928" s="582">
        <f t="shared" ref="R3928:R3934" si="591">M3928/G3928</f>
        <v>2397.2695924764889</v>
      </c>
      <c r="S3928" s="593"/>
      <c r="T3928" s="593"/>
      <c r="U3928" s="591"/>
      <c r="V3928" s="593"/>
      <c r="W3928" s="593"/>
      <c r="X3928" s="593"/>
      <c r="Y3928" s="593"/>
      <c r="Z3928" s="593"/>
    </row>
    <row r="3929" spans="1:26" s="36" customFormat="1" ht="37.5" hidden="1">
      <c r="A3929" s="591">
        <f t="shared" si="587"/>
        <v>11</v>
      </c>
      <c r="B3929" s="592" t="s">
        <v>3135</v>
      </c>
      <c r="C3929" s="593" t="s">
        <v>298</v>
      </c>
      <c r="D3929" s="913">
        <f t="shared" si="584"/>
        <v>34253.879310344826</v>
      </c>
      <c r="E3929" s="913">
        <v>6113</v>
      </c>
      <c r="F3929" s="561" t="s">
        <v>218</v>
      </c>
      <c r="G3929" s="913">
        <v>1129</v>
      </c>
      <c r="H3929" s="913">
        <v>9</v>
      </c>
      <c r="I3929" s="913">
        <v>4</v>
      </c>
      <c r="J3929" s="561">
        <v>177</v>
      </c>
      <c r="K3929" s="606" t="s">
        <v>33</v>
      </c>
      <c r="L3929" s="562">
        <f t="shared" si="585"/>
        <v>2772557</v>
      </c>
      <c r="M3929" s="585">
        <f t="shared" si="588"/>
        <v>2706518</v>
      </c>
      <c r="N3929" s="586"/>
      <c r="O3929" s="587">
        <f t="shared" si="589"/>
        <v>8120</v>
      </c>
      <c r="P3929" s="586"/>
      <c r="Q3929" s="586">
        <f t="shared" si="590"/>
        <v>57919</v>
      </c>
      <c r="R3929" s="582">
        <f t="shared" si="591"/>
        <v>2397.2701505757309</v>
      </c>
      <c r="S3929" s="593"/>
      <c r="T3929" s="593"/>
      <c r="U3929" s="591"/>
      <c r="V3929" s="593"/>
      <c r="W3929" s="593"/>
      <c r="X3929" s="593"/>
      <c r="Y3929" s="593"/>
      <c r="Z3929" s="593"/>
    </row>
    <row r="3930" spans="1:26" s="36" customFormat="1" hidden="1">
      <c r="A3930" s="591">
        <f t="shared" si="587"/>
        <v>12</v>
      </c>
      <c r="B3930" s="592" t="s">
        <v>3136</v>
      </c>
      <c r="C3930" s="593" t="s">
        <v>217</v>
      </c>
      <c r="D3930" s="913">
        <f t="shared" si="584"/>
        <v>27378.448275862072</v>
      </c>
      <c r="E3930" s="608">
        <v>4886</v>
      </c>
      <c r="F3930" s="593" t="s">
        <v>218</v>
      </c>
      <c r="G3930" s="608">
        <v>956</v>
      </c>
      <c r="H3930" s="608">
        <v>9</v>
      </c>
      <c r="I3930" s="608">
        <v>3</v>
      </c>
      <c r="J3930" s="599">
        <v>108</v>
      </c>
      <c r="K3930" s="606" t="s">
        <v>33</v>
      </c>
      <c r="L3930" s="562">
        <f t="shared" si="585"/>
        <v>2347709</v>
      </c>
      <c r="M3930" s="585">
        <f t="shared" si="588"/>
        <v>2291790</v>
      </c>
      <c r="N3930" s="586"/>
      <c r="O3930" s="587">
        <f t="shared" si="589"/>
        <v>6875</v>
      </c>
      <c r="P3930" s="586"/>
      <c r="Q3930" s="586">
        <f t="shared" si="590"/>
        <v>49044</v>
      </c>
      <c r="R3930" s="582">
        <f t="shared" si="591"/>
        <v>2397.2698744769873</v>
      </c>
      <c r="S3930" s="593"/>
      <c r="T3930" s="593"/>
      <c r="U3930" s="591"/>
      <c r="V3930" s="593"/>
      <c r="W3930" s="593"/>
      <c r="X3930" s="593"/>
      <c r="Y3930" s="593"/>
      <c r="Z3930" s="593"/>
    </row>
    <row r="3931" spans="1:26" s="36" customFormat="1" ht="37.5" hidden="1">
      <c r="A3931" s="591">
        <f t="shared" si="587"/>
        <v>13</v>
      </c>
      <c r="B3931" s="592" t="s">
        <v>3137</v>
      </c>
      <c r="C3931" s="593" t="s">
        <v>298</v>
      </c>
      <c r="D3931" s="913">
        <f t="shared" si="584"/>
        <v>13336.206896551725</v>
      </c>
      <c r="E3931" s="608">
        <v>2380</v>
      </c>
      <c r="F3931" s="593" t="s">
        <v>218</v>
      </c>
      <c r="G3931" s="608">
        <v>918</v>
      </c>
      <c r="H3931" s="608">
        <v>5</v>
      </c>
      <c r="I3931" s="608">
        <v>4</v>
      </c>
      <c r="J3931" s="599">
        <v>56</v>
      </c>
      <c r="K3931" s="606" t="s">
        <v>33</v>
      </c>
      <c r="L3931" s="562">
        <f t="shared" si="585"/>
        <v>2254391</v>
      </c>
      <c r="M3931" s="585">
        <f t="shared" si="588"/>
        <v>2200694</v>
      </c>
      <c r="N3931" s="586"/>
      <c r="O3931" s="587">
        <f t="shared" si="589"/>
        <v>6602</v>
      </c>
      <c r="P3931" s="586"/>
      <c r="Q3931" s="586">
        <f t="shared" si="590"/>
        <v>47095</v>
      </c>
      <c r="R3931" s="582">
        <f t="shared" si="591"/>
        <v>2397.2701525054467</v>
      </c>
      <c r="S3931" s="593"/>
      <c r="T3931" s="593"/>
      <c r="U3931" s="591"/>
      <c r="V3931" s="593"/>
      <c r="W3931" s="593"/>
      <c r="X3931" s="593"/>
      <c r="Y3931" s="593"/>
      <c r="Z3931" s="593"/>
    </row>
    <row r="3932" spans="1:26" s="36" customFormat="1" ht="37.5" hidden="1">
      <c r="A3932" s="591">
        <f t="shared" si="587"/>
        <v>14</v>
      </c>
      <c r="B3932" s="592" t="s">
        <v>3138</v>
      </c>
      <c r="C3932" s="593" t="s">
        <v>298</v>
      </c>
      <c r="D3932" s="913">
        <f t="shared" si="584"/>
        <v>13336.206896551725</v>
      </c>
      <c r="E3932" s="608">
        <v>2380</v>
      </c>
      <c r="F3932" s="593" t="s">
        <v>218</v>
      </c>
      <c r="G3932" s="608">
        <v>918</v>
      </c>
      <c r="H3932" s="608">
        <v>5</v>
      </c>
      <c r="I3932" s="608">
        <v>4</v>
      </c>
      <c r="J3932" s="599">
        <v>70</v>
      </c>
      <c r="K3932" s="606" t="s">
        <v>33</v>
      </c>
      <c r="L3932" s="562">
        <f t="shared" si="585"/>
        <v>2254391</v>
      </c>
      <c r="M3932" s="585">
        <f t="shared" si="588"/>
        <v>2200694</v>
      </c>
      <c r="N3932" s="586"/>
      <c r="O3932" s="587">
        <f t="shared" si="589"/>
        <v>6602</v>
      </c>
      <c r="P3932" s="586"/>
      <c r="Q3932" s="586">
        <f t="shared" si="590"/>
        <v>47095</v>
      </c>
      <c r="R3932" s="582">
        <f t="shared" si="591"/>
        <v>2397.2701525054467</v>
      </c>
      <c r="S3932" s="593"/>
      <c r="T3932" s="593"/>
      <c r="U3932" s="591"/>
      <c r="V3932" s="593"/>
      <c r="W3932" s="593"/>
      <c r="X3932" s="593"/>
      <c r="Y3932" s="593"/>
      <c r="Z3932" s="593"/>
    </row>
    <row r="3933" spans="1:26" s="36" customFormat="1" ht="37.5" hidden="1">
      <c r="A3933" s="591">
        <f t="shared" si="587"/>
        <v>15</v>
      </c>
      <c r="B3933" s="592" t="s">
        <v>3139</v>
      </c>
      <c r="C3933" s="593" t="s">
        <v>298</v>
      </c>
      <c r="D3933" s="913">
        <f t="shared" si="584"/>
        <v>12190.301724137933</v>
      </c>
      <c r="E3933" s="602">
        <v>2175.5</v>
      </c>
      <c r="F3933" s="593" t="s">
        <v>218</v>
      </c>
      <c r="G3933" s="602">
        <v>845</v>
      </c>
      <c r="H3933" s="602">
        <v>5</v>
      </c>
      <c r="I3933" s="602">
        <v>4</v>
      </c>
      <c r="J3933" s="582">
        <v>80</v>
      </c>
      <c r="K3933" s="679" t="s">
        <v>33</v>
      </c>
      <c r="L3933" s="562">
        <f t="shared" si="585"/>
        <v>2075120</v>
      </c>
      <c r="M3933" s="585">
        <f t="shared" si="588"/>
        <v>2025693</v>
      </c>
      <c r="N3933" s="586"/>
      <c r="O3933" s="587">
        <f t="shared" si="589"/>
        <v>6077</v>
      </c>
      <c r="P3933" s="586"/>
      <c r="Q3933" s="586">
        <f t="shared" si="590"/>
        <v>43350</v>
      </c>
      <c r="R3933" s="582">
        <f t="shared" si="591"/>
        <v>2397.269822485207</v>
      </c>
      <c r="S3933" s="593"/>
      <c r="T3933" s="593"/>
      <c r="U3933" s="591"/>
      <c r="V3933" s="593"/>
      <c r="W3933" s="593"/>
      <c r="X3933" s="593"/>
      <c r="Y3933" s="593"/>
      <c r="Z3933" s="593"/>
    </row>
    <row r="3934" spans="1:26" s="36" customFormat="1" ht="37.5" hidden="1">
      <c r="A3934" s="591">
        <f t="shared" si="587"/>
        <v>16</v>
      </c>
      <c r="B3934" s="592" t="s">
        <v>3140</v>
      </c>
      <c r="C3934" s="593" t="s">
        <v>298</v>
      </c>
      <c r="D3934" s="913">
        <f t="shared" si="584"/>
        <v>13459.48275862069</v>
      </c>
      <c r="E3934" s="602">
        <v>2402</v>
      </c>
      <c r="F3934" s="593" t="s">
        <v>218</v>
      </c>
      <c r="G3934" s="602">
        <v>994</v>
      </c>
      <c r="H3934" s="602">
        <v>5</v>
      </c>
      <c r="I3934" s="602">
        <v>4</v>
      </c>
      <c r="J3934" s="582">
        <v>70</v>
      </c>
      <c r="K3934" s="679" t="s">
        <v>33</v>
      </c>
      <c r="L3934" s="562">
        <f t="shared" si="585"/>
        <v>2441029</v>
      </c>
      <c r="M3934" s="585">
        <f t="shared" si="588"/>
        <v>2382886</v>
      </c>
      <c r="N3934" s="586"/>
      <c r="O3934" s="587">
        <f t="shared" si="589"/>
        <v>7149</v>
      </c>
      <c r="P3934" s="586"/>
      <c r="Q3934" s="586">
        <f t="shared" si="590"/>
        <v>50994</v>
      </c>
      <c r="R3934" s="582">
        <f t="shared" si="591"/>
        <v>2397.2696177062376</v>
      </c>
      <c r="S3934" s="593"/>
      <c r="T3934" s="593"/>
      <c r="U3934" s="591"/>
      <c r="V3934" s="593"/>
      <c r="W3934" s="593"/>
      <c r="X3934" s="593"/>
      <c r="Y3934" s="593"/>
      <c r="Z3934" s="593"/>
    </row>
    <row r="3935" spans="1:26" s="36" customFormat="1" ht="37.5" hidden="1">
      <c r="A3935" s="591">
        <f t="shared" si="587"/>
        <v>17</v>
      </c>
      <c r="B3935" s="592" t="s">
        <v>2171</v>
      </c>
      <c r="C3935" s="593" t="s">
        <v>298</v>
      </c>
      <c r="D3935" s="913">
        <f t="shared" si="584"/>
        <v>19595.258620689659</v>
      </c>
      <c r="E3935" s="593">
        <v>3497</v>
      </c>
      <c r="F3935" s="593" t="s">
        <v>218</v>
      </c>
      <c r="G3935" s="593">
        <v>500</v>
      </c>
      <c r="H3935" s="594">
        <v>9</v>
      </c>
      <c r="I3935" s="594">
        <v>1</v>
      </c>
      <c r="J3935" s="599">
        <v>71</v>
      </c>
      <c r="K3935" s="606" t="s">
        <v>219</v>
      </c>
      <c r="L3935" s="562">
        <f t="shared" si="585"/>
        <v>2085000</v>
      </c>
      <c r="M3935" s="596">
        <v>2000000</v>
      </c>
      <c r="N3935" s="564">
        <v>85000</v>
      </c>
      <c r="O3935" s="587"/>
      <c r="P3935" s="586"/>
      <c r="Q3935" s="586"/>
      <c r="R3935" s="582">
        <f>M3935/I3935</f>
        <v>2000000</v>
      </c>
      <c r="S3935" s="593"/>
      <c r="T3935" s="593"/>
      <c r="U3935" s="591" t="s">
        <v>3596</v>
      </c>
      <c r="V3935" s="589"/>
      <c r="W3935" s="593"/>
      <c r="X3935" s="593"/>
      <c r="Y3935" s="593"/>
      <c r="Z3935" s="593"/>
    </row>
    <row r="3936" spans="1:26" s="36" customFormat="1" ht="37.5" hidden="1">
      <c r="A3936" s="591">
        <f t="shared" si="587"/>
        <v>18</v>
      </c>
      <c r="B3936" s="592" t="s">
        <v>3141</v>
      </c>
      <c r="C3936" s="593" t="s">
        <v>298</v>
      </c>
      <c r="D3936" s="913">
        <f t="shared" si="584"/>
        <v>3989.9353448275865</v>
      </c>
      <c r="E3936" s="608">
        <v>712.05</v>
      </c>
      <c r="F3936" s="594" t="s">
        <v>251</v>
      </c>
      <c r="G3936" s="608">
        <v>741.2</v>
      </c>
      <c r="H3936" s="608">
        <v>2</v>
      </c>
      <c r="I3936" s="608">
        <v>2</v>
      </c>
      <c r="J3936" s="599">
        <v>12</v>
      </c>
      <c r="K3936" s="606" t="s">
        <v>33</v>
      </c>
      <c r="L3936" s="562">
        <f t="shared" si="585"/>
        <v>2149773</v>
      </c>
      <c r="M3936" s="585">
        <f>G3936*2800</f>
        <v>2075360.0000000002</v>
      </c>
      <c r="N3936" s="564">
        <v>30000</v>
      </c>
      <c r="O3936" s="565"/>
      <c r="P3936" s="564"/>
      <c r="Q3936" s="586">
        <f>ROUND(M3936*2.14%,0)</f>
        <v>44413</v>
      </c>
      <c r="R3936" s="582">
        <f>M3936/G3936</f>
        <v>2800</v>
      </c>
      <c r="S3936" s="593"/>
      <c r="T3936" s="593"/>
      <c r="U3936" s="591"/>
      <c r="V3936" s="593"/>
      <c r="W3936" s="593"/>
      <c r="X3936" s="593"/>
      <c r="Y3936" s="593"/>
      <c r="Z3936" s="593"/>
    </row>
    <row r="3937" spans="1:26" s="36" customFormat="1" ht="37.5" hidden="1">
      <c r="A3937" s="591">
        <f t="shared" si="587"/>
        <v>19</v>
      </c>
      <c r="B3937" s="592" t="s">
        <v>3142</v>
      </c>
      <c r="C3937" s="593" t="s">
        <v>298</v>
      </c>
      <c r="D3937" s="913">
        <f t="shared" si="584"/>
        <v>2571.9827586206898</v>
      </c>
      <c r="E3937" s="913">
        <v>459</v>
      </c>
      <c r="F3937" s="561" t="s">
        <v>343</v>
      </c>
      <c r="G3937" s="913">
        <v>890</v>
      </c>
      <c r="H3937" s="913">
        <v>5</v>
      </c>
      <c r="I3937" s="913">
        <v>2</v>
      </c>
      <c r="J3937" s="561">
        <v>89</v>
      </c>
      <c r="K3937" s="556" t="s">
        <v>226</v>
      </c>
      <c r="L3937" s="562">
        <f t="shared" si="585"/>
        <v>1253939</v>
      </c>
      <c r="M3937" s="596">
        <f>E3937*2600</f>
        <v>1193400</v>
      </c>
      <c r="N3937" s="564">
        <v>35000</v>
      </c>
      <c r="O3937" s="565"/>
      <c r="P3937" s="564"/>
      <c r="Q3937" s="586">
        <f>ROUND(M3937*2.14%,0)</f>
        <v>25539</v>
      </c>
      <c r="R3937" s="599">
        <f>M3937/E3937</f>
        <v>2600</v>
      </c>
      <c r="S3937" s="593"/>
      <c r="T3937" s="593"/>
      <c r="U3937" s="591"/>
      <c r="V3937" s="593"/>
      <c r="W3937" s="593"/>
      <c r="X3937" s="593"/>
      <c r="Y3937" s="593"/>
      <c r="Z3937" s="593"/>
    </row>
    <row r="3938" spans="1:26" s="36" customFormat="1" ht="37.5" hidden="1">
      <c r="A3938" s="591">
        <f t="shared" si="587"/>
        <v>20</v>
      </c>
      <c r="B3938" s="592" t="s">
        <v>3143</v>
      </c>
      <c r="C3938" s="617" t="s">
        <v>298</v>
      </c>
      <c r="D3938" s="602">
        <f t="shared" si="584"/>
        <v>13706.034482758621</v>
      </c>
      <c r="E3938" s="602">
        <v>2446</v>
      </c>
      <c r="F3938" s="617" t="s">
        <v>218</v>
      </c>
      <c r="G3938" s="602">
        <v>1508</v>
      </c>
      <c r="H3938" s="602">
        <v>5</v>
      </c>
      <c r="I3938" s="602">
        <v>7</v>
      </c>
      <c r="J3938" s="582">
        <v>102</v>
      </c>
      <c r="K3938" s="610" t="s">
        <v>33</v>
      </c>
      <c r="L3938" s="562">
        <f t="shared" si="585"/>
        <v>3703291</v>
      </c>
      <c r="M3938" s="585">
        <f>ROUND(G3938*2397.27,0)</f>
        <v>3615083</v>
      </c>
      <c r="N3938" s="586"/>
      <c r="O3938" s="587">
        <f>ROUND(M3938*0.3%,0)</f>
        <v>10845</v>
      </c>
      <c r="P3938" s="586"/>
      <c r="Q3938" s="586">
        <f>ROUND(M3938*2.14%,0)</f>
        <v>77363</v>
      </c>
      <c r="R3938" s="582">
        <f>M3938/G3938</f>
        <v>2397.2698938992044</v>
      </c>
      <c r="S3938" s="593"/>
      <c r="T3938" s="593"/>
      <c r="U3938" s="591"/>
      <c r="V3938" s="593"/>
      <c r="W3938" s="593"/>
      <c r="X3938" s="593"/>
      <c r="Y3938" s="593"/>
      <c r="Z3938" s="593"/>
    </row>
    <row r="3939" spans="1:26" s="36" customFormat="1" ht="37.5" hidden="1">
      <c r="A3939" s="591">
        <f t="shared" si="587"/>
        <v>21</v>
      </c>
      <c r="B3939" s="592" t="s">
        <v>3144</v>
      </c>
      <c r="C3939" s="593" t="s">
        <v>298</v>
      </c>
      <c r="D3939" s="913">
        <f t="shared" si="584"/>
        <v>16877.586206896551</v>
      </c>
      <c r="E3939" s="608">
        <v>3012</v>
      </c>
      <c r="F3939" s="593" t="s">
        <v>218</v>
      </c>
      <c r="G3939" s="608">
        <v>618</v>
      </c>
      <c r="H3939" s="608">
        <v>9</v>
      </c>
      <c r="I3939" s="608">
        <v>2</v>
      </c>
      <c r="J3939" s="599">
        <v>72</v>
      </c>
      <c r="K3939" s="590" t="s">
        <v>30</v>
      </c>
      <c r="L3939" s="562">
        <f t="shared" si="585"/>
        <v>2212704</v>
      </c>
      <c r="M3939" s="585">
        <f>J3939*30000</f>
        <v>2160000</v>
      </c>
      <c r="N3939" s="586"/>
      <c r="O3939" s="587">
        <f>ROUND(M3939*0.3%,0)</f>
        <v>6480</v>
      </c>
      <c r="P3939" s="586"/>
      <c r="Q3939" s="586">
        <f>ROUND(M3939*2.14%,0)</f>
        <v>46224</v>
      </c>
      <c r="R3939" s="582">
        <f>M3939/J3939</f>
        <v>30000</v>
      </c>
      <c r="S3939" s="593"/>
      <c r="T3939" s="593"/>
      <c r="U3939" s="591"/>
      <c r="V3939" s="593"/>
      <c r="W3939" s="593"/>
      <c r="X3939" s="593"/>
      <c r="Y3939" s="593"/>
      <c r="Z3939" s="593"/>
    </row>
    <row r="3940" spans="1:26" s="36" customFormat="1" ht="37.5" hidden="1">
      <c r="A3940" s="591">
        <f t="shared" si="587"/>
        <v>22</v>
      </c>
      <c r="B3940" s="592" t="s">
        <v>3145</v>
      </c>
      <c r="C3940" s="593" t="s">
        <v>298</v>
      </c>
      <c r="D3940" s="913">
        <f t="shared" si="584"/>
        <v>22189.655172413797</v>
      </c>
      <c r="E3940" s="593">
        <v>3960</v>
      </c>
      <c r="F3940" s="593" t="s">
        <v>218</v>
      </c>
      <c r="G3940" s="593">
        <v>650</v>
      </c>
      <c r="H3940" s="602">
        <v>9</v>
      </c>
      <c r="I3940" s="602">
        <v>2</v>
      </c>
      <c r="J3940" s="582">
        <v>113</v>
      </c>
      <c r="K3940" s="606" t="s">
        <v>219</v>
      </c>
      <c r="L3940" s="562">
        <f t="shared" si="585"/>
        <v>4106250</v>
      </c>
      <c r="M3940" s="596">
        <v>4000000</v>
      </c>
      <c r="N3940" s="564">
        <v>106250</v>
      </c>
      <c r="O3940" s="565"/>
      <c r="P3940" s="564"/>
      <c r="Q3940" s="586"/>
      <c r="R3940" s="582">
        <f>M3940/I3940</f>
        <v>2000000</v>
      </c>
      <c r="S3940" s="593"/>
      <c r="T3940" s="593"/>
      <c r="U3940" s="591"/>
      <c r="V3940" s="589"/>
      <c r="W3940" s="593"/>
      <c r="X3940" s="593"/>
      <c r="Y3940" s="593"/>
      <c r="Z3940" s="593"/>
    </row>
    <row r="3941" spans="1:26" s="36" customFormat="1" ht="37.5" hidden="1">
      <c r="A3941" s="591">
        <f t="shared" si="587"/>
        <v>23</v>
      </c>
      <c r="B3941" s="592" t="s">
        <v>2182</v>
      </c>
      <c r="C3941" s="593" t="s">
        <v>298</v>
      </c>
      <c r="D3941" s="913">
        <f t="shared" si="584"/>
        <v>19163.793103448275</v>
      </c>
      <c r="E3941" s="593">
        <v>3420</v>
      </c>
      <c r="F3941" s="593" t="s">
        <v>218</v>
      </c>
      <c r="G3941" s="593">
        <v>654</v>
      </c>
      <c r="H3941" s="594">
        <v>9</v>
      </c>
      <c r="I3941" s="602">
        <v>2</v>
      </c>
      <c r="J3941" s="582">
        <v>73</v>
      </c>
      <c r="K3941" s="606" t="s">
        <v>219</v>
      </c>
      <c r="L3941" s="562">
        <f t="shared" si="585"/>
        <v>4106250</v>
      </c>
      <c r="M3941" s="596">
        <v>4000000</v>
      </c>
      <c r="N3941" s="564">
        <v>106250</v>
      </c>
      <c r="O3941" s="565"/>
      <c r="P3941" s="564"/>
      <c r="Q3941" s="586"/>
      <c r="R3941" s="582">
        <f>M3941/I3941</f>
        <v>2000000</v>
      </c>
      <c r="S3941" s="593"/>
      <c r="T3941" s="593"/>
      <c r="U3941" s="591"/>
      <c r="V3941" s="589"/>
      <c r="W3941" s="593"/>
      <c r="X3941" s="593"/>
      <c r="Y3941" s="593"/>
      <c r="Z3941" s="593"/>
    </row>
    <row r="3942" spans="1:26" s="36" customFormat="1" ht="37.5" hidden="1">
      <c r="A3942" s="591">
        <f t="shared" si="587"/>
        <v>24</v>
      </c>
      <c r="B3942" s="592" t="s">
        <v>3146</v>
      </c>
      <c r="C3942" s="593" t="s">
        <v>298</v>
      </c>
      <c r="D3942" s="913">
        <f t="shared" si="584"/>
        <v>22357.758620689659</v>
      </c>
      <c r="E3942" s="593">
        <v>3990</v>
      </c>
      <c r="F3942" s="593" t="s">
        <v>218</v>
      </c>
      <c r="G3942" s="593">
        <v>743</v>
      </c>
      <c r="H3942" s="602">
        <v>9</v>
      </c>
      <c r="I3942" s="602">
        <v>2</v>
      </c>
      <c r="J3942" s="582">
        <v>112</v>
      </c>
      <c r="K3942" s="606" t="s">
        <v>219</v>
      </c>
      <c r="L3942" s="562">
        <f t="shared" si="585"/>
        <v>4106250</v>
      </c>
      <c r="M3942" s="596">
        <v>4000000</v>
      </c>
      <c r="N3942" s="564">
        <v>106250</v>
      </c>
      <c r="O3942" s="565"/>
      <c r="P3942" s="564"/>
      <c r="Q3942" s="586"/>
      <c r="R3942" s="582">
        <f>M3942/I3942</f>
        <v>2000000</v>
      </c>
      <c r="S3942" s="593"/>
      <c r="T3942" s="593"/>
      <c r="U3942" s="591"/>
      <c r="V3942" s="589"/>
      <c r="W3942" s="593"/>
      <c r="X3942" s="593"/>
      <c r="Y3942" s="593"/>
      <c r="Z3942" s="593"/>
    </row>
    <row r="3943" spans="1:26" s="36" customFormat="1" ht="37.5" hidden="1">
      <c r="A3943" s="591">
        <f t="shared" si="587"/>
        <v>25</v>
      </c>
      <c r="B3943" s="592" t="s">
        <v>3147</v>
      </c>
      <c r="C3943" s="593" t="s">
        <v>298</v>
      </c>
      <c r="D3943" s="913">
        <f t="shared" si="584"/>
        <v>19062.931034482761</v>
      </c>
      <c r="E3943" s="608">
        <v>3402</v>
      </c>
      <c r="F3943" s="593" t="s">
        <v>218</v>
      </c>
      <c r="G3943" s="608">
        <v>743</v>
      </c>
      <c r="H3943" s="608">
        <v>9</v>
      </c>
      <c r="I3943" s="608">
        <v>2</v>
      </c>
      <c r="J3943" s="599">
        <v>108</v>
      </c>
      <c r="K3943" s="590" t="s">
        <v>30</v>
      </c>
      <c r="L3943" s="1359">
        <f>M3943+N3943+O3943+Q3943+M3944+N3944+O3944+Q3944</f>
        <v>7425306</v>
      </c>
      <c r="M3943" s="585">
        <f>J3943*30000</f>
        <v>3240000</v>
      </c>
      <c r="N3943" s="586"/>
      <c r="O3943" s="587">
        <f>ROUND(M3943*0.3%,0)</f>
        <v>9720</v>
      </c>
      <c r="P3943" s="586"/>
      <c r="Q3943" s="586">
        <f>ROUND(M3943*2.14%,0)</f>
        <v>69336</v>
      </c>
      <c r="R3943" s="582">
        <f>M3943/J3943</f>
        <v>30000</v>
      </c>
      <c r="S3943" s="593"/>
      <c r="T3943" s="593"/>
      <c r="U3943" s="591"/>
      <c r="V3943" s="593"/>
      <c r="W3943" s="593"/>
      <c r="X3943" s="593"/>
      <c r="Y3943" s="593"/>
      <c r="Z3943" s="593"/>
    </row>
    <row r="3944" spans="1:26" s="107" customFormat="1" ht="37.5" hidden="1">
      <c r="A3944" s="591"/>
      <c r="B3944" s="592"/>
      <c r="C3944" s="593"/>
      <c r="D3944" s="913"/>
      <c r="E3944" s="608"/>
      <c r="F3944" s="593"/>
      <c r="G3944" s="608"/>
      <c r="H3944" s="608"/>
      <c r="I3944" s="608"/>
      <c r="J3944" s="599"/>
      <c r="K3944" s="590" t="s">
        <v>219</v>
      </c>
      <c r="L3944" s="1359"/>
      <c r="M3944" s="585">
        <v>4000000</v>
      </c>
      <c r="N3944" s="564">
        <v>106250</v>
      </c>
      <c r="O3944" s="587"/>
      <c r="P3944" s="586"/>
      <c r="Q3944" s="586"/>
      <c r="R3944" s="582">
        <f>M3944/I3943</f>
        <v>2000000</v>
      </c>
      <c r="S3944" s="593"/>
      <c r="T3944" s="593"/>
      <c r="U3944" s="591"/>
      <c r="V3944" s="593"/>
      <c r="W3944" s="593"/>
      <c r="X3944" s="593"/>
      <c r="Y3944" s="593"/>
      <c r="Z3944" s="593"/>
    </row>
    <row r="3945" spans="1:26" s="36" customFormat="1" ht="37.5" hidden="1">
      <c r="A3945" s="591">
        <f>A3943+1</f>
        <v>26</v>
      </c>
      <c r="B3945" s="592" t="s">
        <v>3148</v>
      </c>
      <c r="C3945" s="593" t="s">
        <v>298</v>
      </c>
      <c r="D3945" s="602">
        <f t="shared" si="584"/>
        <v>21853.448275862069</v>
      </c>
      <c r="E3945" s="593">
        <v>3900</v>
      </c>
      <c r="F3945" s="593" t="s">
        <v>218</v>
      </c>
      <c r="G3945" s="593">
        <v>547</v>
      </c>
      <c r="H3945" s="602">
        <v>9</v>
      </c>
      <c r="I3945" s="602">
        <v>1</v>
      </c>
      <c r="J3945" s="582">
        <v>133</v>
      </c>
      <c r="K3945" s="606" t="s">
        <v>219</v>
      </c>
      <c r="L3945" s="562">
        <f t="shared" ref="L3945:L3976" si="592">SUM(M3945:Q3945)</f>
        <v>2085000</v>
      </c>
      <c r="M3945" s="596">
        <v>2000000</v>
      </c>
      <c r="N3945" s="564">
        <v>85000</v>
      </c>
      <c r="O3945" s="587"/>
      <c r="P3945" s="586"/>
      <c r="Q3945" s="586"/>
      <c r="R3945" s="582">
        <f>M3945/I3945</f>
        <v>2000000</v>
      </c>
      <c r="S3945" s="593"/>
      <c r="T3945" s="593"/>
      <c r="U3945" s="591" t="s">
        <v>3596</v>
      </c>
      <c r="V3945" s="589"/>
      <c r="W3945" s="593"/>
      <c r="X3945" s="593"/>
      <c r="Y3945" s="593"/>
      <c r="Z3945" s="593"/>
    </row>
    <row r="3946" spans="1:26" s="36" customFormat="1" ht="37.5" hidden="1">
      <c r="A3946" s="591">
        <f t="shared" si="587"/>
        <v>27</v>
      </c>
      <c r="B3946" s="592" t="s">
        <v>3149</v>
      </c>
      <c r="C3946" s="593" t="s">
        <v>298</v>
      </c>
      <c r="D3946" s="913">
        <f t="shared" si="584"/>
        <v>19365.517241379312</v>
      </c>
      <c r="E3946" s="608">
        <v>3456</v>
      </c>
      <c r="F3946" s="593" t="s">
        <v>218</v>
      </c>
      <c r="G3946" s="608">
        <v>705</v>
      </c>
      <c r="H3946" s="608">
        <v>9</v>
      </c>
      <c r="I3946" s="608">
        <v>2</v>
      </c>
      <c r="J3946" s="599">
        <v>72</v>
      </c>
      <c r="K3946" s="606" t="s">
        <v>33</v>
      </c>
      <c r="L3946" s="562">
        <f t="shared" si="592"/>
        <v>1731313</v>
      </c>
      <c r="M3946" s="585">
        <f>ROUND(G3946*2397.27,0)</f>
        <v>1690075</v>
      </c>
      <c r="N3946" s="586"/>
      <c r="O3946" s="587">
        <f>ROUND(M3946*0.3%,0)</f>
        <v>5070</v>
      </c>
      <c r="P3946" s="586"/>
      <c r="Q3946" s="586">
        <f t="shared" ref="Q3946:Q3966" si="593">ROUND(M3946*2.14%,0)</f>
        <v>36168</v>
      </c>
      <c r="R3946" s="582">
        <f t="shared" ref="R3946:R3952" si="594">M3946/G3946</f>
        <v>2397.2695035460993</v>
      </c>
      <c r="S3946" s="593"/>
      <c r="T3946" s="593"/>
      <c r="U3946" s="591"/>
      <c r="V3946" s="593"/>
      <c r="W3946" s="593"/>
      <c r="X3946" s="593"/>
      <c r="Y3946" s="593"/>
      <c r="Z3946" s="593"/>
    </row>
    <row r="3947" spans="1:26" s="36" customFormat="1" ht="37.5" hidden="1">
      <c r="A3947" s="591">
        <f t="shared" si="587"/>
        <v>28</v>
      </c>
      <c r="B3947" s="592" t="s">
        <v>3150</v>
      </c>
      <c r="C3947" s="593" t="s">
        <v>298</v>
      </c>
      <c r="D3947" s="913">
        <f t="shared" si="584"/>
        <v>19320.689655172413</v>
      </c>
      <c r="E3947" s="608">
        <v>3448</v>
      </c>
      <c r="F3947" s="593" t="s">
        <v>218</v>
      </c>
      <c r="G3947" s="608">
        <v>703</v>
      </c>
      <c r="H3947" s="608">
        <v>9</v>
      </c>
      <c r="I3947" s="608">
        <v>2</v>
      </c>
      <c r="J3947" s="599">
        <v>108</v>
      </c>
      <c r="K3947" s="606" t="s">
        <v>33</v>
      </c>
      <c r="L3947" s="562">
        <f t="shared" si="592"/>
        <v>1726402</v>
      </c>
      <c r="M3947" s="585">
        <f>ROUND(G3947*2397.27,0)</f>
        <v>1685281</v>
      </c>
      <c r="N3947" s="586"/>
      <c r="O3947" s="587">
        <f>ROUND(M3947*0.3%,0)</f>
        <v>5056</v>
      </c>
      <c r="P3947" s="586"/>
      <c r="Q3947" s="586">
        <f t="shared" si="593"/>
        <v>36065</v>
      </c>
      <c r="R3947" s="582">
        <f t="shared" si="594"/>
        <v>2397.2702702702704</v>
      </c>
      <c r="S3947" s="593"/>
      <c r="T3947" s="593"/>
      <c r="U3947" s="591"/>
      <c r="V3947" s="593"/>
      <c r="W3947" s="593"/>
      <c r="X3947" s="593"/>
      <c r="Y3947" s="593"/>
      <c r="Z3947" s="593"/>
    </row>
    <row r="3948" spans="1:26" s="36" customFormat="1" ht="37.5" hidden="1">
      <c r="A3948" s="591">
        <f t="shared" si="587"/>
        <v>29</v>
      </c>
      <c r="B3948" s="592" t="s">
        <v>3151</v>
      </c>
      <c r="C3948" s="593" t="s">
        <v>298</v>
      </c>
      <c r="D3948" s="913">
        <f t="shared" si="584"/>
        <v>9632.3275862068986</v>
      </c>
      <c r="E3948" s="608">
        <v>1719</v>
      </c>
      <c r="F3948" s="594" t="s">
        <v>251</v>
      </c>
      <c r="G3948" s="608">
        <v>1325</v>
      </c>
      <c r="H3948" s="608">
        <v>5</v>
      </c>
      <c r="I3948" s="608">
        <v>4</v>
      </c>
      <c r="J3948" s="599">
        <v>80</v>
      </c>
      <c r="K3948" s="679" t="s">
        <v>33</v>
      </c>
      <c r="L3948" s="562">
        <f t="shared" si="592"/>
        <v>3824394</v>
      </c>
      <c r="M3948" s="585">
        <f>G3948*2800</f>
        <v>3710000</v>
      </c>
      <c r="N3948" s="564">
        <v>35000</v>
      </c>
      <c r="O3948" s="565"/>
      <c r="P3948" s="564"/>
      <c r="Q3948" s="586">
        <f t="shared" si="593"/>
        <v>79394</v>
      </c>
      <c r="R3948" s="582">
        <f t="shared" si="594"/>
        <v>2800</v>
      </c>
      <c r="S3948" s="593"/>
      <c r="T3948" s="593"/>
      <c r="U3948" s="591"/>
      <c r="V3948" s="593"/>
      <c r="W3948" s="593"/>
      <c r="X3948" s="593"/>
      <c r="Y3948" s="593"/>
      <c r="Z3948" s="593"/>
    </row>
    <row r="3949" spans="1:26" s="36" customFormat="1" ht="37.5" hidden="1">
      <c r="A3949" s="591">
        <f t="shared" si="587"/>
        <v>30</v>
      </c>
      <c r="B3949" s="592" t="s">
        <v>3152</v>
      </c>
      <c r="C3949" s="593" t="s">
        <v>298</v>
      </c>
      <c r="D3949" s="913">
        <f t="shared" si="584"/>
        <v>6314.7500000000009</v>
      </c>
      <c r="E3949" s="608">
        <v>1126.94</v>
      </c>
      <c r="F3949" s="594" t="s">
        <v>251</v>
      </c>
      <c r="G3949" s="608">
        <v>890</v>
      </c>
      <c r="H3949" s="608">
        <v>3</v>
      </c>
      <c r="I3949" s="608">
        <v>3</v>
      </c>
      <c r="J3949" s="1227">
        <v>36</v>
      </c>
      <c r="K3949" s="606" t="s">
        <v>33</v>
      </c>
      <c r="L3949" s="562">
        <f t="shared" si="592"/>
        <v>2575329</v>
      </c>
      <c r="M3949" s="585">
        <f>G3949*2800</f>
        <v>2492000</v>
      </c>
      <c r="N3949" s="564">
        <v>30000</v>
      </c>
      <c r="O3949" s="565"/>
      <c r="P3949" s="564"/>
      <c r="Q3949" s="586">
        <f t="shared" si="593"/>
        <v>53329</v>
      </c>
      <c r="R3949" s="582">
        <f t="shared" si="594"/>
        <v>2800</v>
      </c>
      <c r="S3949" s="593"/>
      <c r="T3949" s="593"/>
      <c r="U3949" s="591"/>
      <c r="V3949" s="593"/>
      <c r="W3949" s="593"/>
      <c r="X3949" s="593"/>
      <c r="Y3949" s="593"/>
      <c r="Z3949" s="593"/>
    </row>
    <row r="3950" spans="1:26" s="36" customFormat="1" ht="37.5" hidden="1">
      <c r="A3950" s="591">
        <f t="shared" si="587"/>
        <v>31</v>
      </c>
      <c r="B3950" s="592" t="s">
        <v>3153</v>
      </c>
      <c r="C3950" s="593" t="s">
        <v>298</v>
      </c>
      <c r="D3950" s="913">
        <f t="shared" si="584"/>
        <v>16237.112068965516</v>
      </c>
      <c r="E3950" s="602">
        <v>2897.7</v>
      </c>
      <c r="F3950" s="593" t="s">
        <v>218</v>
      </c>
      <c r="G3950" s="602">
        <v>1312</v>
      </c>
      <c r="H3950" s="602">
        <v>5</v>
      </c>
      <c r="I3950" s="602">
        <v>5</v>
      </c>
      <c r="J3950" s="582">
        <v>55</v>
      </c>
      <c r="K3950" s="606" t="s">
        <v>33</v>
      </c>
      <c r="L3950" s="562">
        <f t="shared" si="592"/>
        <v>3221962</v>
      </c>
      <c r="M3950" s="585">
        <f>ROUND(G3950*2397.27,0)</f>
        <v>3145218</v>
      </c>
      <c r="N3950" s="586"/>
      <c r="O3950" s="587">
        <f>ROUND(M3950*0.3%,0)</f>
        <v>9436</v>
      </c>
      <c r="P3950" s="586"/>
      <c r="Q3950" s="586">
        <f t="shared" si="593"/>
        <v>67308</v>
      </c>
      <c r="R3950" s="582">
        <f t="shared" si="594"/>
        <v>2397.2698170731705</v>
      </c>
      <c r="S3950" s="593"/>
      <c r="T3950" s="593"/>
      <c r="U3950" s="591"/>
      <c r="V3950" s="593"/>
      <c r="W3950" s="593"/>
      <c r="X3950" s="593"/>
      <c r="Y3950" s="593"/>
      <c r="Z3950" s="593"/>
    </row>
    <row r="3951" spans="1:26" s="36" customFormat="1" ht="37.5" hidden="1">
      <c r="A3951" s="591">
        <f t="shared" si="587"/>
        <v>32</v>
      </c>
      <c r="B3951" s="592" t="s">
        <v>3154</v>
      </c>
      <c r="C3951" s="593" t="s">
        <v>298</v>
      </c>
      <c r="D3951" s="913">
        <f t="shared" si="584"/>
        <v>9637.9310344827591</v>
      </c>
      <c r="E3951" s="608">
        <v>1720</v>
      </c>
      <c r="F3951" s="594" t="s">
        <v>251</v>
      </c>
      <c r="G3951" s="608">
        <v>1325</v>
      </c>
      <c r="H3951" s="608">
        <v>5</v>
      </c>
      <c r="I3951" s="608">
        <v>4</v>
      </c>
      <c r="J3951" s="599">
        <v>79</v>
      </c>
      <c r="K3951" s="679" t="s">
        <v>33</v>
      </c>
      <c r="L3951" s="562">
        <f t="shared" si="592"/>
        <v>3824394</v>
      </c>
      <c r="M3951" s="585">
        <f>G3951*2800</f>
        <v>3710000</v>
      </c>
      <c r="N3951" s="564">
        <v>35000</v>
      </c>
      <c r="O3951" s="565"/>
      <c r="P3951" s="564"/>
      <c r="Q3951" s="586">
        <f t="shared" si="593"/>
        <v>79394</v>
      </c>
      <c r="R3951" s="582">
        <f t="shared" si="594"/>
        <v>2800</v>
      </c>
      <c r="S3951" s="593"/>
      <c r="T3951" s="593"/>
      <c r="U3951" s="591"/>
      <c r="V3951" s="593"/>
      <c r="W3951" s="593"/>
      <c r="X3951" s="593"/>
      <c r="Y3951" s="593"/>
      <c r="Z3951" s="593"/>
    </row>
    <row r="3952" spans="1:26" s="36" customFormat="1" ht="37.5" hidden="1">
      <c r="A3952" s="591">
        <f t="shared" si="587"/>
        <v>33</v>
      </c>
      <c r="B3952" s="592" t="s">
        <v>3155</v>
      </c>
      <c r="C3952" s="593" t="s">
        <v>298</v>
      </c>
      <c r="D3952" s="913">
        <f t="shared" si="584"/>
        <v>17561.206896551728</v>
      </c>
      <c r="E3952" s="602">
        <v>3134</v>
      </c>
      <c r="F3952" s="593" t="s">
        <v>218</v>
      </c>
      <c r="G3952" s="602">
        <v>2100</v>
      </c>
      <c r="H3952" s="602">
        <v>5</v>
      </c>
      <c r="I3952" s="602">
        <v>8</v>
      </c>
      <c r="J3952" s="582">
        <v>160</v>
      </c>
      <c r="K3952" s="772" t="s">
        <v>33</v>
      </c>
      <c r="L3952" s="562">
        <f t="shared" si="592"/>
        <v>5157103</v>
      </c>
      <c r="M3952" s="585">
        <f>ROUND(G3952*2397.27,0)</f>
        <v>5034267</v>
      </c>
      <c r="N3952" s="586"/>
      <c r="O3952" s="587">
        <f t="shared" ref="O3952:O3960" si="595">ROUND(M3952*0.3%,0)</f>
        <v>15103</v>
      </c>
      <c r="P3952" s="586"/>
      <c r="Q3952" s="586">
        <f t="shared" si="593"/>
        <v>107733</v>
      </c>
      <c r="R3952" s="582">
        <f t="shared" si="594"/>
        <v>2397.27</v>
      </c>
      <c r="S3952" s="593"/>
      <c r="T3952" s="593"/>
      <c r="U3952" s="591"/>
      <c r="V3952" s="593"/>
      <c r="W3952" s="593"/>
      <c r="X3952" s="593"/>
      <c r="Y3952" s="593"/>
      <c r="Z3952" s="593"/>
    </row>
    <row r="3953" spans="1:26" s="36" customFormat="1" ht="37.5" hidden="1">
      <c r="A3953" s="591">
        <f t="shared" si="587"/>
        <v>34</v>
      </c>
      <c r="B3953" s="592" t="s">
        <v>3156</v>
      </c>
      <c r="C3953" s="593" t="s">
        <v>298</v>
      </c>
      <c r="D3953" s="913">
        <f t="shared" si="584"/>
        <v>5203.8103448275861</v>
      </c>
      <c r="E3953" s="602">
        <v>928.68</v>
      </c>
      <c r="F3953" s="602" t="s">
        <v>343</v>
      </c>
      <c r="G3953" s="602">
        <v>216.4</v>
      </c>
      <c r="H3953" s="602">
        <v>5</v>
      </c>
      <c r="I3953" s="602">
        <v>1</v>
      </c>
      <c r="J3953" s="582">
        <v>20</v>
      </c>
      <c r="K3953" s="606" t="s">
        <v>30</v>
      </c>
      <c r="L3953" s="562">
        <f t="shared" si="592"/>
        <v>614640</v>
      </c>
      <c r="M3953" s="585">
        <f>J3953*30000</f>
        <v>600000</v>
      </c>
      <c r="N3953" s="586"/>
      <c r="O3953" s="587">
        <f t="shared" si="595"/>
        <v>1800</v>
      </c>
      <c r="P3953" s="586"/>
      <c r="Q3953" s="586">
        <f t="shared" si="593"/>
        <v>12840</v>
      </c>
      <c r="R3953" s="582">
        <f>M3953/J3953</f>
        <v>30000</v>
      </c>
      <c r="S3953" s="593"/>
      <c r="T3953" s="593"/>
      <c r="U3953" s="591"/>
      <c r="V3953" s="593"/>
      <c r="W3953" s="593"/>
      <c r="X3953" s="593"/>
      <c r="Y3953" s="593"/>
      <c r="Z3953" s="593"/>
    </row>
    <row r="3954" spans="1:26" s="36" customFormat="1" ht="37.5" hidden="1">
      <c r="A3954" s="591">
        <f t="shared" si="587"/>
        <v>35</v>
      </c>
      <c r="B3954" s="592" t="s">
        <v>3157</v>
      </c>
      <c r="C3954" s="593" t="s">
        <v>298</v>
      </c>
      <c r="D3954" s="913">
        <f t="shared" si="584"/>
        <v>4674.620689655173</v>
      </c>
      <c r="E3954" s="602">
        <v>834.24</v>
      </c>
      <c r="F3954" s="602" t="s">
        <v>343</v>
      </c>
      <c r="G3954" s="602">
        <v>217.7</v>
      </c>
      <c r="H3954" s="602">
        <v>5.0999999999999996</v>
      </c>
      <c r="I3954" s="602">
        <v>1</v>
      </c>
      <c r="J3954" s="582">
        <v>20</v>
      </c>
      <c r="K3954" s="606" t="s">
        <v>30</v>
      </c>
      <c r="L3954" s="562">
        <f t="shared" si="592"/>
        <v>614640</v>
      </c>
      <c r="M3954" s="585">
        <f>J3954*30000</f>
        <v>600000</v>
      </c>
      <c r="N3954" s="586"/>
      <c r="O3954" s="587">
        <f t="shared" si="595"/>
        <v>1800</v>
      </c>
      <c r="P3954" s="586"/>
      <c r="Q3954" s="586">
        <f t="shared" si="593"/>
        <v>12840</v>
      </c>
      <c r="R3954" s="582">
        <f>M3954/J3954</f>
        <v>30000</v>
      </c>
      <c r="S3954" s="593"/>
      <c r="T3954" s="593"/>
      <c r="U3954" s="591"/>
      <c r="V3954" s="593"/>
      <c r="W3954" s="593"/>
      <c r="X3954" s="593"/>
      <c r="Y3954" s="593"/>
      <c r="Z3954" s="593"/>
    </row>
    <row r="3955" spans="1:26" s="36" customFormat="1" ht="37.5" hidden="1">
      <c r="A3955" s="591">
        <f t="shared" si="587"/>
        <v>36</v>
      </c>
      <c r="B3955" s="592" t="s">
        <v>3158</v>
      </c>
      <c r="C3955" s="593" t="s">
        <v>298</v>
      </c>
      <c r="D3955" s="913">
        <f t="shared" si="584"/>
        <v>4670.5862068965516</v>
      </c>
      <c r="E3955" s="602">
        <v>833.52</v>
      </c>
      <c r="F3955" s="602" t="s">
        <v>343</v>
      </c>
      <c r="G3955" s="602">
        <v>216.6</v>
      </c>
      <c r="H3955" s="602">
        <v>5</v>
      </c>
      <c r="I3955" s="602">
        <v>1</v>
      </c>
      <c r="J3955" s="582">
        <v>20</v>
      </c>
      <c r="K3955" s="606" t="s">
        <v>30</v>
      </c>
      <c r="L3955" s="562">
        <f t="shared" si="592"/>
        <v>614640</v>
      </c>
      <c r="M3955" s="585">
        <f>J3955*30000</f>
        <v>600000</v>
      </c>
      <c r="N3955" s="586"/>
      <c r="O3955" s="587">
        <f t="shared" si="595"/>
        <v>1800</v>
      </c>
      <c r="P3955" s="586"/>
      <c r="Q3955" s="586">
        <f t="shared" si="593"/>
        <v>12840</v>
      </c>
      <c r="R3955" s="582">
        <f>M3955/J3955</f>
        <v>30000</v>
      </c>
      <c r="S3955" s="593"/>
      <c r="T3955" s="593"/>
      <c r="U3955" s="591"/>
      <c r="V3955" s="593"/>
      <c r="W3955" s="593"/>
      <c r="X3955" s="593"/>
      <c r="Y3955" s="593"/>
      <c r="Z3955" s="593"/>
    </row>
    <row r="3956" spans="1:26" s="36" customFormat="1" ht="37.5" hidden="1">
      <c r="A3956" s="591">
        <f t="shared" si="587"/>
        <v>37</v>
      </c>
      <c r="B3956" s="592" t="s">
        <v>3159</v>
      </c>
      <c r="C3956" s="593" t="s">
        <v>298</v>
      </c>
      <c r="D3956" s="913">
        <f t="shared" si="584"/>
        <v>8419.741379310346</v>
      </c>
      <c r="E3956" s="602">
        <v>1502.6</v>
      </c>
      <c r="F3956" s="593" t="s">
        <v>218</v>
      </c>
      <c r="G3956" s="602">
        <v>953</v>
      </c>
      <c r="H3956" s="602">
        <v>5</v>
      </c>
      <c r="I3956" s="602">
        <v>4</v>
      </c>
      <c r="J3956" s="582">
        <v>80</v>
      </c>
      <c r="K3956" s="606" t="s">
        <v>33</v>
      </c>
      <c r="L3956" s="562">
        <f t="shared" si="592"/>
        <v>2340342</v>
      </c>
      <c r="M3956" s="585">
        <f>ROUND(G3956*2397.27,0)</f>
        <v>2284598</v>
      </c>
      <c r="N3956" s="586"/>
      <c r="O3956" s="587">
        <f t="shared" si="595"/>
        <v>6854</v>
      </c>
      <c r="P3956" s="586"/>
      <c r="Q3956" s="586">
        <f t="shared" si="593"/>
        <v>48890</v>
      </c>
      <c r="R3956" s="582">
        <f t="shared" ref="R3956:R3964" si="596">M3956/G3956</f>
        <v>2397.2696747114373</v>
      </c>
      <c r="S3956" s="593"/>
      <c r="T3956" s="593"/>
      <c r="U3956" s="591"/>
      <c r="V3956" s="593"/>
      <c r="W3956" s="593"/>
      <c r="X3956" s="593"/>
      <c r="Y3956" s="593"/>
      <c r="Z3956" s="593"/>
    </row>
    <row r="3957" spans="1:26" s="36" customFormat="1" ht="37.5" hidden="1">
      <c r="A3957" s="591">
        <f t="shared" si="587"/>
        <v>38</v>
      </c>
      <c r="B3957" s="592" t="s">
        <v>3160</v>
      </c>
      <c r="C3957" s="593" t="s">
        <v>298</v>
      </c>
      <c r="D3957" s="913">
        <f t="shared" si="584"/>
        <v>19382.327586206899</v>
      </c>
      <c r="E3957" s="608">
        <v>3459</v>
      </c>
      <c r="F3957" s="593" t="s">
        <v>218</v>
      </c>
      <c r="G3957" s="608">
        <v>1317.9</v>
      </c>
      <c r="H3957" s="608">
        <v>5</v>
      </c>
      <c r="I3957" s="608">
        <v>6</v>
      </c>
      <c r="J3957" s="582">
        <v>120</v>
      </c>
      <c r="K3957" s="679" t="s">
        <v>33</v>
      </c>
      <c r="L3957" s="562">
        <f t="shared" si="592"/>
        <v>3236450</v>
      </c>
      <c r="M3957" s="585">
        <f>ROUND(G3957*2397.27,0)</f>
        <v>3159362</v>
      </c>
      <c r="N3957" s="586"/>
      <c r="O3957" s="587">
        <f t="shared" si="595"/>
        <v>9478</v>
      </c>
      <c r="P3957" s="586"/>
      <c r="Q3957" s="586">
        <f t="shared" si="593"/>
        <v>67610</v>
      </c>
      <c r="R3957" s="582">
        <f t="shared" si="596"/>
        <v>2397.2698990818726</v>
      </c>
      <c r="S3957" s="593"/>
      <c r="T3957" s="593"/>
      <c r="U3957" s="591"/>
      <c r="V3957" s="593"/>
      <c r="W3957" s="593"/>
      <c r="X3957" s="593"/>
      <c r="Y3957" s="593"/>
      <c r="Z3957" s="593"/>
    </row>
    <row r="3958" spans="1:26" s="36" customFormat="1" ht="37.5" hidden="1">
      <c r="A3958" s="591">
        <f t="shared" si="587"/>
        <v>39</v>
      </c>
      <c r="B3958" s="592" t="s">
        <v>3161</v>
      </c>
      <c r="C3958" s="593" t="s">
        <v>298</v>
      </c>
      <c r="D3958" s="913">
        <f t="shared" si="584"/>
        <v>19382.327586206899</v>
      </c>
      <c r="E3958" s="608">
        <v>3459</v>
      </c>
      <c r="F3958" s="593" t="s">
        <v>218</v>
      </c>
      <c r="G3958" s="608">
        <v>1318.4</v>
      </c>
      <c r="H3958" s="608">
        <v>5</v>
      </c>
      <c r="I3958" s="608">
        <v>6</v>
      </c>
      <c r="J3958" s="582">
        <v>120</v>
      </c>
      <c r="K3958" s="667" t="s">
        <v>33</v>
      </c>
      <c r="L3958" s="562">
        <f t="shared" si="592"/>
        <v>3237679</v>
      </c>
      <c r="M3958" s="585">
        <f>ROUND(G3958*2397.27,0)</f>
        <v>3160561</v>
      </c>
      <c r="N3958" s="586"/>
      <c r="O3958" s="587">
        <f t="shared" si="595"/>
        <v>9482</v>
      </c>
      <c r="P3958" s="586"/>
      <c r="Q3958" s="586">
        <f t="shared" si="593"/>
        <v>67636</v>
      </c>
      <c r="R3958" s="582">
        <f t="shared" si="596"/>
        <v>2397.2701759708734</v>
      </c>
      <c r="S3958" s="593"/>
      <c r="T3958" s="593"/>
      <c r="U3958" s="591"/>
      <c r="V3958" s="593"/>
      <c r="W3958" s="593"/>
      <c r="X3958" s="593"/>
      <c r="Y3958" s="593"/>
      <c r="Z3958" s="593"/>
    </row>
    <row r="3959" spans="1:26" s="36" customFormat="1" ht="37.5" hidden="1">
      <c r="A3959" s="591">
        <f t="shared" si="587"/>
        <v>40</v>
      </c>
      <c r="B3959" s="592" t="s">
        <v>3162</v>
      </c>
      <c r="C3959" s="593" t="s">
        <v>298</v>
      </c>
      <c r="D3959" s="913">
        <f t="shared" si="584"/>
        <v>8375.5862068965525</v>
      </c>
      <c r="E3959" s="602">
        <v>1494.72</v>
      </c>
      <c r="F3959" s="593" t="s">
        <v>218</v>
      </c>
      <c r="G3959" s="602">
        <v>742.4</v>
      </c>
      <c r="H3959" s="602">
        <v>5</v>
      </c>
      <c r="I3959" s="602">
        <v>3</v>
      </c>
      <c r="J3959" s="582">
        <v>55</v>
      </c>
      <c r="K3959" s="606" t="s">
        <v>33</v>
      </c>
      <c r="L3959" s="562">
        <f t="shared" si="592"/>
        <v>1823158</v>
      </c>
      <c r="M3959" s="585">
        <f>ROUND(G3959*2397.27,0)</f>
        <v>1779733</v>
      </c>
      <c r="N3959" s="586"/>
      <c r="O3959" s="587">
        <f t="shared" si="595"/>
        <v>5339</v>
      </c>
      <c r="P3959" s="586"/>
      <c r="Q3959" s="586">
        <f t="shared" si="593"/>
        <v>38086</v>
      </c>
      <c r="R3959" s="582">
        <f t="shared" si="596"/>
        <v>2397.2696659482758</v>
      </c>
      <c r="S3959" s="593"/>
      <c r="T3959" s="593"/>
      <c r="U3959" s="591"/>
      <c r="V3959" s="593"/>
      <c r="W3959" s="593"/>
      <c r="X3959" s="593"/>
      <c r="Y3959" s="593"/>
      <c r="Z3959" s="593"/>
    </row>
    <row r="3960" spans="1:26" s="36" customFormat="1" ht="37.5" hidden="1">
      <c r="A3960" s="591">
        <f t="shared" si="587"/>
        <v>41</v>
      </c>
      <c r="B3960" s="592" t="s">
        <v>3163</v>
      </c>
      <c r="C3960" s="593" t="s">
        <v>298</v>
      </c>
      <c r="D3960" s="913">
        <f t="shared" si="584"/>
        <v>14838.827586206899</v>
      </c>
      <c r="E3960" s="602">
        <v>2648.16</v>
      </c>
      <c r="F3960" s="593" t="s">
        <v>218</v>
      </c>
      <c r="G3960" s="602">
        <v>1253</v>
      </c>
      <c r="H3960" s="602">
        <v>5</v>
      </c>
      <c r="I3960" s="602">
        <v>6</v>
      </c>
      <c r="J3960" s="582">
        <v>100</v>
      </c>
      <c r="K3960" s="606" t="s">
        <v>33</v>
      </c>
      <c r="L3960" s="562">
        <f t="shared" si="592"/>
        <v>3077071</v>
      </c>
      <c r="M3960" s="585">
        <f>ROUND(G3960*2397.27,0)</f>
        <v>3003779</v>
      </c>
      <c r="N3960" s="586"/>
      <c r="O3960" s="587">
        <f t="shared" si="595"/>
        <v>9011</v>
      </c>
      <c r="P3960" s="586"/>
      <c r="Q3960" s="586">
        <f t="shared" si="593"/>
        <v>64281</v>
      </c>
      <c r="R3960" s="582">
        <f t="shared" si="596"/>
        <v>2397.2697525937751</v>
      </c>
      <c r="S3960" s="593"/>
      <c r="T3960" s="593"/>
      <c r="U3960" s="591"/>
      <c r="V3960" s="593"/>
      <c r="W3960" s="593"/>
      <c r="X3960" s="593"/>
      <c r="Y3960" s="593"/>
      <c r="Z3960" s="593"/>
    </row>
    <row r="3961" spans="1:26" s="36" customFormat="1" ht="37.5" hidden="1">
      <c r="A3961" s="591">
        <f t="shared" si="587"/>
        <v>42</v>
      </c>
      <c r="B3961" s="592" t="s">
        <v>3164</v>
      </c>
      <c r="C3961" s="593" t="s">
        <v>298</v>
      </c>
      <c r="D3961" s="913">
        <f t="shared" si="584"/>
        <v>9985.3448275862065</v>
      </c>
      <c r="E3961" s="608">
        <v>1782</v>
      </c>
      <c r="F3961" s="594" t="s">
        <v>343</v>
      </c>
      <c r="G3961" s="608">
        <v>1782</v>
      </c>
      <c r="H3961" s="608">
        <v>3</v>
      </c>
      <c r="I3961" s="608">
        <v>4</v>
      </c>
      <c r="J3961" s="599">
        <v>30</v>
      </c>
      <c r="K3961" s="606" t="s">
        <v>33</v>
      </c>
      <c r="L3961" s="562">
        <f t="shared" si="592"/>
        <v>5131377</v>
      </c>
      <c r="M3961" s="585">
        <f>G3961*2800</f>
        <v>4989600</v>
      </c>
      <c r="N3961" s="564">
        <v>35000</v>
      </c>
      <c r="O3961" s="565"/>
      <c r="P3961" s="564"/>
      <c r="Q3961" s="586">
        <f t="shared" si="593"/>
        <v>106777</v>
      </c>
      <c r="R3961" s="582">
        <f t="shared" si="596"/>
        <v>2800</v>
      </c>
      <c r="S3961" s="593"/>
      <c r="T3961" s="593"/>
      <c r="U3961" s="591"/>
      <c r="V3961" s="593"/>
      <c r="W3961" s="593"/>
      <c r="X3961" s="593"/>
      <c r="Y3961" s="593"/>
      <c r="Z3961" s="593"/>
    </row>
    <row r="3962" spans="1:26" s="36" customFormat="1" ht="37.5" hidden="1">
      <c r="A3962" s="591">
        <f t="shared" si="587"/>
        <v>43</v>
      </c>
      <c r="B3962" s="592" t="s">
        <v>3165</v>
      </c>
      <c r="C3962" s="593" t="s">
        <v>298</v>
      </c>
      <c r="D3962" s="913">
        <f t="shared" si="584"/>
        <v>7133.1896551724149</v>
      </c>
      <c r="E3962" s="608">
        <v>1273</v>
      </c>
      <c r="F3962" s="594" t="s">
        <v>343</v>
      </c>
      <c r="G3962" s="608">
        <v>1273</v>
      </c>
      <c r="H3962" s="608">
        <v>3</v>
      </c>
      <c r="I3962" s="608">
        <v>3</v>
      </c>
      <c r="J3962" s="599">
        <v>24</v>
      </c>
      <c r="K3962" s="606" t="s">
        <v>33</v>
      </c>
      <c r="L3962" s="562">
        <f t="shared" si="592"/>
        <v>3670678</v>
      </c>
      <c r="M3962" s="585">
        <f>G3962*2800</f>
        <v>3564400</v>
      </c>
      <c r="N3962" s="564">
        <v>30000</v>
      </c>
      <c r="O3962" s="565"/>
      <c r="P3962" s="564"/>
      <c r="Q3962" s="586">
        <f t="shared" si="593"/>
        <v>76278</v>
      </c>
      <c r="R3962" s="582">
        <f t="shared" si="596"/>
        <v>2800</v>
      </c>
      <c r="S3962" s="593"/>
      <c r="T3962" s="593"/>
      <c r="U3962" s="591"/>
      <c r="V3962" s="593"/>
      <c r="W3962" s="593"/>
      <c r="X3962" s="593"/>
      <c r="Y3962" s="593"/>
      <c r="Z3962" s="593"/>
    </row>
    <row r="3963" spans="1:26" s="36" customFormat="1" ht="37.5" hidden="1">
      <c r="A3963" s="591">
        <f t="shared" si="587"/>
        <v>44</v>
      </c>
      <c r="B3963" s="592" t="s">
        <v>3166</v>
      </c>
      <c r="C3963" s="593" t="s">
        <v>298</v>
      </c>
      <c r="D3963" s="913">
        <f t="shared" si="584"/>
        <v>5244.8275862068967</v>
      </c>
      <c r="E3963" s="602">
        <v>936</v>
      </c>
      <c r="F3963" s="1228" t="s">
        <v>251</v>
      </c>
      <c r="G3963" s="608">
        <v>863</v>
      </c>
      <c r="H3963" s="602">
        <v>3</v>
      </c>
      <c r="I3963" s="608">
        <v>2</v>
      </c>
      <c r="J3963" s="599">
        <v>19</v>
      </c>
      <c r="K3963" s="606" t="s">
        <v>33</v>
      </c>
      <c r="L3963" s="562">
        <f t="shared" si="592"/>
        <v>2498111</v>
      </c>
      <c r="M3963" s="585">
        <f>G3963*2800</f>
        <v>2416400</v>
      </c>
      <c r="N3963" s="564">
        <v>30000</v>
      </c>
      <c r="O3963" s="565"/>
      <c r="P3963" s="564"/>
      <c r="Q3963" s="586">
        <f t="shared" si="593"/>
        <v>51711</v>
      </c>
      <c r="R3963" s="582">
        <f t="shared" si="596"/>
        <v>2800</v>
      </c>
      <c r="S3963" s="593"/>
      <c r="T3963" s="593"/>
      <c r="U3963" s="591"/>
      <c r="V3963" s="593"/>
      <c r="W3963" s="593"/>
      <c r="X3963" s="593"/>
      <c r="Y3963" s="593"/>
      <c r="Z3963" s="593"/>
    </row>
    <row r="3964" spans="1:26" s="36" customFormat="1" ht="37.5" hidden="1">
      <c r="A3964" s="591">
        <f t="shared" si="587"/>
        <v>45</v>
      </c>
      <c r="B3964" s="592" t="s">
        <v>3167</v>
      </c>
      <c r="C3964" s="593" t="s">
        <v>298</v>
      </c>
      <c r="D3964" s="913">
        <f t="shared" si="584"/>
        <v>14625</v>
      </c>
      <c r="E3964" s="608">
        <v>2610</v>
      </c>
      <c r="F3964" s="593" t="s">
        <v>218</v>
      </c>
      <c r="G3964" s="608">
        <v>962</v>
      </c>
      <c r="H3964" s="608">
        <v>5</v>
      </c>
      <c r="I3964" s="608">
        <v>4</v>
      </c>
      <c r="J3964" s="599">
        <v>70</v>
      </c>
      <c r="K3964" s="606" t="s">
        <v>33</v>
      </c>
      <c r="L3964" s="562">
        <f t="shared" si="592"/>
        <v>2362445</v>
      </c>
      <c r="M3964" s="585">
        <f>ROUND(G3964*2397.27,0)</f>
        <v>2306174</v>
      </c>
      <c r="N3964" s="586"/>
      <c r="O3964" s="587">
        <f>ROUND(M3964*0.3%,0)</f>
        <v>6919</v>
      </c>
      <c r="P3964" s="586"/>
      <c r="Q3964" s="586">
        <f t="shared" si="593"/>
        <v>49352</v>
      </c>
      <c r="R3964" s="582">
        <f t="shared" si="596"/>
        <v>2397.2702702702704</v>
      </c>
      <c r="S3964" s="593"/>
      <c r="T3964" s="593"/>
      <c r="U3964" s="591"/>
      <c r="V3964" s="593"/>
      <c r="W3964" s="593"/>
      <c r="X3964" s="593"/>
      <c r="Y3964" s="593"/>
      <c r="Z3964" s="593"/>
    </row>
    <row r="3965" spans="1:26" s="36" customFormat="1" ht="37.5" hidden="1">
      <c r="A3965" s="591">
        <f t="shared" si="587"/>
        <v>46</v>
      </c>
      <c r="B3965" s="592" t="s">
        <v>3168</v>
      </c>
      <c r="C3965" s="593" t="s">
        <v>298</v>
      </c>
      <c r="D3965" s="602">
        <f t="shared" si="584"/>
        <v>7413.3620689655181</v>
      </c>
      <c r="E3965" s="602">
        <v>1323</v>
      </c>
      <c r="F3965" s="593" t="s">
        <v>218</v>
      </c>
      <c r="G3965" s="602">
        <v>2992</v>
      </c>
      <c r="H3965" s="602">
        <v>9</v>
      </c>
      <c r="I3965" s="602">
        <v>7</v>
      </c>
      <c r="J3965" s="582">
        <v>379</v>
      </c>
      <c r="K3965" s="606" t="s">
        <v>226</v>
      </c>
      <c r="L3965" s="562">
        <f t="shared" si="592"/>
        <v>3423281</v>
      </c>
      <c r="M3965" s="563">
        <v>3307500</v>
      </c>
      <c r="N3965" s="586">
        <v>45000</v>
      </c>
      <c r="O3965" s="587"/>
      <c r="P3965" s="586"/>
      <c r="Q3965" s="586">
        <f t="shared" si="593"/>
        <v>70781</v>
      </c>
      <c r="R3965" s="599">
        <f>M3965/E3965</f>
        <v>2500</v>
      </c>
      <c r="S3965" s="593"/>
      <c r="T3965" s="593"/>
      <c r="U3965" s="591"/>
      <c r="V3965" s="593"/>
      <c r="W3965" s="593"/>
      <c r="X3965" s="593"/>
      <c r="Y3965" s="593"/>
      <c r="Z3965" s="593"/>
    </row>
    <row r="3966" spans="1:26" s="36" customFormat="1" ht="37.5" hidden="1">
      <c r="A3966" s="591">
        <f t="shared" si="587"/>
        <v>47</v>
      </c>
      <c r="B3966" s="592" t="s">
        <v>3169</v>
      </c>
      <c r="C3966" s="593" t="s">
        <v>298</v>
      </c>
      <c r="D3966" s="913">
        <f t="shared" si="584"/>
        <v>19567.241379310344</v>
      </c>
      <c r="E3966" s="602">
        <v>3492</v>
      </c>
      <c r="F3966" s="593" t="s">
        <v>218</v>
      </c>
      <c r="G3966" s="602">
        <v>1099</v>
      </c>
      <c r="H3966" s="608">
        <v>5</v>
      </c>
      <c r="I3966" s="602">
        <v>4</v>
      </c>
      <c r="J3966" s="582">
        <v>76</v>
      </c>
      <c r="K3966" s="556" t="s">
        <v>259</v>
      </c>
      <c r="L3966" s="562">
        <f t="shared" si="592"/>
        <v>9313495</v>
      </c>
      <c r="M3966" s="596">
        <f>E3966*2600</f>
        <v>9079200</v>
      </c>
      <c r="N3966" s="564">
        <v>40000</v>
      </c>
      <c r="O3966" s="565"/>
      <c r="P3966" s="564"/>
      <c r="Q3966" s="586">
        <f t="shared" si="593"/>
        <v>194295</v>
      </c>
      <c r="R3966" s="599">
        <f>M3966/E3966</f>
        <v>2600</v>
      </c>
      <c r="S3966" s="593"/>
      <c r="T3966" s="593"/>
      <c r="U3966" s="591"/>
      <c r="V3966" s="593"/>
      <c r="W3966" s="593"/>
      <c r="X3966" s="593"/>
      <c r="Y3966" s="593"/>
      <c r="Z3966" s="593"/>
    </row>
    <row r="3967" spans="1:26" s="36" customFormat="1" ht="37.5" hidden="1">
      <c r="A3967" s="591">
        <f t="shared" si="587"/>
        <v>48</v>
      </c>
      <c r="B3967" s="592" t="s">
        <v>3170</v>
      </c>
      <c r="C3967" s="593" t="s">
        <v>298</v>
      </c>
      <c r="D3967" s="913">
        <f>E3967/1.16/2*13</f>
        <v>40294.396551724138</v>
      </c>
      <c r="E3967" s="602">
        <v>7191</v>
      </c>
      <c r="F3967" s="593" t="s">
        <v>218</v>
      </c>
      <c r="G3967" s="602">
        <v>1654</v>
      </c>
      <c r="H3967" s="608">
        <v>9</v>
      </c>
      <c r="I3967" s="602">
        <v>4</v>
      </c>
      <c r="J3967" s="582">
        <v>143</v>
      </c>
      <c r="K3967" s="556" t="s">
        <v>30</v>
      </c>
      <c r="L3967" s="562">
        <f t="shared" si="592"/>
        <v>3955208</v>
      </c>
      <c r="M3967" s="596">
        <v>3861000</v>
      </c>
      <c r="N3967" s="564"/>
      <c r="O3967" s="587">
        <f>ROUND(M3967*0.3%,0)</f>
        <v>11583</v>
      </c>
      <c r="P3967" s="564"/>
      <c r="Q3967" s="586">
        <v>82625</v>
      </c>
      <c r="R3967" s="561">
        <f>M3967/J3967</f>
        <v>27000</v>
      </c>
      <c r="S3967" s="593"/>
      <c r="T3967" s="593"/>
      <c r="U3967" s="591"/>
      <c r="V3967" s="593"/>
      <c r="W3967" s="593"/>
      <c r="X3967" s="593"/>
      <c r="Y3967" s="593"/>
      <c r="Z3967" s="593"/>
    </row>
    <row r="3968" spans="1:26" s="36" customFormat="1" ht="37.5" hidden="1">
      <c r="A3968" s="591">
        <f t="shared" si="587"/>
        <v>49</v>
      </c>
      <c r="B3968" s="592" t="s">
        <v>3171</v>
      </c>
      <c r="C3968" s="593" t="s">
        <v>298</v>
      </c>
      <c r="D3968" s="913">
        <f t="shared" si="584"/>
        <v>7741.7241379310344</v>
      </c>
      <c r="E3968" s="602">
        <v>1381.6</v>
      </c>
      <c r="F3968" s="602" t="s">
        <v>251</v>
      </c>
      <c r="G3968" s="602">
        <v>686</v>
      </c>
      <c r="H3968" s="602">
        <v>3</v>
      </c>
      <c r="I3968" s="602">
        <v>2</v>
      </c>
      <c r="J3968" s="582">
        <v>45</v>
      </c>
      <c r="K3968" s="679" t="s">
        <v>33</v>
      </c>
      <c r="L3968" s="562">
        <f t="shared" si="592"/>
        <v>1991905</v>
      </c>
      <c r="M3968" s="585">
        <f>G3968*2800</f>
        <v>1920800</v>
      </c>
      <c r="N3968" s="564">
        <v>30000</v>
      </c>
      <c r="O3968" s="565"/>
      <c r="P3968" s="564"/>
      <c r="Q3968" s="586">
        <f>ROUND(M3968*2.14%,0)</f>
        <v>41105</v>
      </c>
      <c r="R3968" s="582">
        <f>M3968/G3968</f>
        <v>2800</v>
      </c>
      <c r="S3968" s="593"/>
      <c r="T3968" s="593"/>
      <c r="U3968" s="591"/>
      <c r="V3968" s="593"/>
      <c r="W3968" s="593"/>
      <c r="X3968" s="593"/>
      <c r="Y3968" s="593"/>
      <c r="Z3968" s="593"/>
    </row>
    <row r="3969" spans="1:26" s="36" customFormat="1" ht="37.5" hidden="1">
      <c r="A3969" s="591">
        <f t="shared" si="587"/>
        <v>50</v>
      </c>
      <c r="B3969" s="592" t="s">
        <v>3172</v>
      </c>
      <c r="C3969" s="593" t="s">
        <v>298</v>
      </c>
      <c r="D3969" s="913">
        <f t="shared" si="584"/>
        <v>15131.551724137935</v>
      </c>
      <c r="E3969" s="602">
        <v>2700.4</v>
      </c>
      <c r="F3969" s="602" t="s">
        <v>251</v>
      </c>
      <c r="G3969" s="602">
        <v>1154.5</v>
      </c>
      <c r="H3969" s="602">
        <v>5</v>
      </c>
      <c r="I3969" s="602">
        <v>4</v>
      </c>
      <c r="J3969" s="582">
        <v>64</v>
      </c>
      <c r="K3969" s="679" t="s">
        <v>33</v>
      </c>
      <c r="L3969" s="562">
        <f t="shared" si="592"/>
        <v>3336778</v>
      </c>
      <c r="M3969" s="585">
        <f>G3969*2800</f>
        <v>3232600</v>
      </c>
      <c r="N3969" s="564">
        <v>35000</v>
      </c>
      <c r="O3969" s="565"/>
      <c r="P3969" s="564"/>
      <c r="Q3969" s="586">
        <f>ROUND(M3969*2.14%,0)</f>
        <v>69178</v>
      </c>
      <c r="R3969" s="582">
        <f>M3969/G3969</f>
        <v>2800</v>
      </c>
      <c r="S3969" s="593"/>
      <c r="T3969" s="593"/>
      <c r="U3969" s="591"/>
      <c r="V3969" s="593"/>
      <c r="W3969" s="593"/>
      <c r="X3969" s="593"/>
      <c r="Y3969" s="593"/>
      <c r="Z3969" s="593"/>
    </row>
    <row r="3970" spans="1:26" s="36" customFormat="1" ht="37.5" hidden="1">
      <c r="A3970" s="591">
        <f t="shared" si="587"/>
        <v>51</v>
      </c>
      <c r="B3970" s="592" t="s">
        <v>3173</v>
      </c>
      <c r="C3970" s="593" t="s">
        <v>298</v>
      </c>
      <c r="D3970" s="913">
        <f t="shared" si="584"/>
        <v>11348.663793103449</v>
      </c>
      <c r="E3970" s="602">
        <v>2025.3</v>
      </c>
      <c r="F3970" s="593" t="s">
        <v>218</v>
      </c>
      <c r="G3970" s="602">
        <v>890</v>
      </c>
      <c r="H3970" s="602">
        <v>5</v>
      </c>
      <c r="I3970" s="602">
        <v>3</v>
      </c>
      <c r="J3970" s="582">
        <v>35</v>
      </c>
      <c r="K3970" s="606" t="s">
        <v>33</v>
      </c>
      <c r="L3970" s="562">
        <f t="shared" si="592"/>
        <v>2185629</v>
      </c>
      <c r="M3970" s="585">
        <f>ROUND(G3970*2397.27,0)</f>
        <v>2133570</v>
      </c>
      <c r="N3970" s="586"/>
      <c r="O3970" s="587">
        <f>ROUND(M3970*0.3%,0)</f>
        <v>6401</v>
      </c>
      <c r="P3970" s="586"/>
      <c r="Q3970" s="586">
        <f>ROUND(M3970*2.14%,0)</f>
        <v>45658</v>
      </c>
      <c r="R3970" s="582">
        <f>M3970/G3970</f>
        <v>2397.2696629213483</v>
      </c>
      <c r="S3970" s="593"/>
      <c r="T3970" s="593"/>
      <c r="U3970" s="591"/>
      <c r="V3970" s="593"/>
      <c r="W3970" s="593"/>
      <c r="X3970" s="593"/>
      <c r="Y3970" s="593"/>
      <c r="Z3970" s="593"/>
    </row>
    <row r="3971" spans="1:26" s="36" customFormat="1" ht="37.5" hidden="1">
      <c r="A3971" s="591">
        <f t="shared" si="587"/>
        <v>52</v>
      </c>
      <c r="B3971" s="592" t="s">
        <v>3174</v>
      </c>
      <c r="C3971" s="593" t="s">
        <v>298</v>
      </c>
      <c r="D3971" s="913">
        <f t="shared" si="584"/>
        <v>13336.206896551725</v>
      </c>
      <c r="E3971" s="608">
        <v>2380</v>
      </c>
      <c r="F3971" s="593" t="s">
        <v>218</v>
      </c>
      <c r="G3971" s="608">
        <v>928</v>
      </c>
      <c r="H3971" s="608">
        <v>5</v>
      </c>
      <c r="I3971" s="608">
        <v>4</v>
      </c>
      <c r="J3971" s="599">
        <v>70</v>
      </c>
      <c r="K3971" s="606" t="s">
        <v>33</v>
      </c>
      <c r="L3971" s="562">
        <f t="shared" si="592"/>
        <v>2278949</v>
      </c>
      <c r="M3971" s="585">
        <f>ROUND(G3971*2397.27,0)</f>
        <v>2224667</v>
      </c>
      <c r="N3971" s="586"/>
      <c r="O3971" s="587">
        <f>ROUND(M3971*0.3%,0)</f>
        <v>6674</v>
      </c>
      <c r="P3971" s="586"/>
      <c r="Q3971" s="586">
        <f>ROUND(M3971*2.14%,0)</f>
        <v>47608</v>
      </c>
      <c r="R3971" s="582">
        <f>M3971/G3971</f>
        <v>2397.2704741379312</v>
      </c>
      <c r="S3971" s="593"/>
      <c r="T3971" s="593"/>
      <c r="U3971" s="591"/>
      <c r="V3971" s="593"/>
      <c r="W3971" s="593"/>
      <c r="X3971" s="593"/>
      <c r="Y3971" s="593"/>
      <c r="Z3971" s="593"/>
    </row>
    <row r="3972" spans="1:26" s="36" customFormat="1" ht="37.5" hidden="1">
      <c r="A3972" s="591">
        <f t="shared" si="587"/>
        <v>53</v>
      </c>
      <c r="B3972" s="592" t="s">
        <v>3175</v>
      </c>
      <c r="C3972" s="593" t="s">
        <v>298</v>
      </c>
      <c r="D3972" s="913">
        <f t="shared" si="584"/>
        <v>13336.206896551725</v>
      </c>
      <c r="E3972" s="608">
        <v>2380</v>
      </c>
      <c r="F3972" s="593" t="s">
        <v>218</v>
      </c>
      <c r="G3972" s="608">
        <v>938</v>
      </c>
      <c r="H3972" s="608">
        <v>5</v>
      </c>
      <c r="I3972" s="608">
        <v>4</v>
      </c>
      <c r="J3972" s="599">
        <v>70</v>
      </c>
      <c r="K3972" s="606" t="s">
        <v>33</v>
      </c>
      <c r="L3972" s="562">
        <f t="shared" si="592"/>
        <v>2303506</v>
      </c>
      <c r="M3972" s="585">
        <f>ROUND(G3972*2397.27,0)</f>
        <v>2248639</v>
      </c>
      <c r="N3972" s="586"/>
      <c r="O3972" s="587">
        <f>ROUND(M3972*0.3%,0)</f>
        <v>6746</v>
      </c>
      <c r="P3972" s="586"/>
      <c r="Q3972" s="586">
        <f>ROUND(M3972*2.14%,0)</f>
        <v>48121</v>
      </c>
      <c r="R3972" s="582">
        <f>M3972/G3972</f>
        <v>2397.2697228144989</v>
      </c>
      <c r="S3972" s="593"/>
      <c r="T3972" s="593"/>
      <c r="U3972" s="591"/>
      <c r="V3972" s="593"/>
      <c r="W3972" s="593"/>
      <c r="X3972" s="593"/>
      <c r="Y3972" s="593"/>
      <c r="Z3972" s="593"/>
    </row>
    <row r="3973" spans="1:26" s="36" customFormat="1" ht="37.5" hidden="1">
      <c r="A3973" s="591">
        <f t="shared" si="587"/>
        <v>54</v>
      </c>
      <c r="B3973" s="592" t="s">
        <v>3176</v>
      </c>
      <c r="C3973" s="593" t="s">
        <v>298</v>
      </c>
      <c r="D3973" s="913">
        <f t="shared" si="584"/>
        <v>23416.810344827587</v>
      </c>
      <c r="E3973" s="593">
        <v>4179</v>
      </c>
      <c r="F3973" s="593" t="s">
        <v>218</v>
      </c>
      <c r="G3973" s="593">
        <v>902</v>
      </c>
      <c r="H3973" s="594">
        <v>9</v>
      </c>
      <c r="I3973" s="594">
        <v>3</v>
      </c>
      <c r="J3973" s="599">
        <v>106</v>
      </c>
      <c r="K3973" s="606" t="s">
        <v>219</v>
      </c>
      <c r="L3973" s="562">
        <f t="shared" si="592"/>
        <v>6127500</v>
      </c>
      <c r="M3973" s="596">
        <v>6000000</v>
      </c>
      <c r="N3973" s="564">
        <v>127500</v>
      </c>
      <c r="O3973" s="565"/>
      <c r="P3973" s="564"/>
      <c r="Q3973" s="586"/>
      <c r="R3973" s="582">
        <f>M3973/I3973</f>
        <v>2000000</v>
      </c>
      <c r="S3973" s="593"/>
      <c r="T3973" s="593"/>
      <c r="U3973" s="591"/>
      <c r="V3973" s="589"/>
      <c r="W3973" s="593"/>
      <c r="X3973" s="593"/>
      <c r="Y3973" s="593"/>
      <c r="Z3973" s="593"/>
    </row>
    <row r="3974" spans="1:26" s="36" customFormat="1" ht="37.5" hidden="1">
      <c r="A3974" s="580">
        <f t="shared" si="587"/>
        <v>55</v>
      </c>
      <c r="B3974" s="592" t="s">
        <v>3177</v>
      </c>
      <c r="C3974" s="593" t="s">
        <v>298</v>
      </c>
      <c r="D3974" s="602">
        <f t="shared" si="584"/>
        <v>43034.482758620688</v>
      </c>
      <c r="E3974" s="602">
        <v>7680</v>
      </c>
      <c r="F3974" s="593" t="s">
        <v>218</v>
      </c>
      <c r="G3974" s="602">
        <v>1790</v>
      </c>
      <c r="H3974" s="602">
        <v>9</v>
      </c>
      <c r="I3974" s="602">
        <v>4</v>
      </c>
      <c r="J3974" s="602">
        <v>196</v>
      </c>
      <c r="K3974" s="590" t="s">
        <v>33</v>
      </c>
      <c r="L3974" s="562">
        <f t="shared" si="592"/>
        <v>4393652</v>
      </c>
      <c r="M3974" s="585">
        <f>4296000-7000</f>
        <v>4289000</v>
      </c>
      <c r="N3974" s="586"/>
      <c r="O3974" s="587">
        <f>ROUND(M3974*0.3%,0)</f>
        <v>12867</v>
      </c>
      <c r="P3974" s="586"/>
      <c r="Q3974" s="586">
        <f t="shared" ref="Q3974:Q3984" si="597">ROUND(M3974*2.14%,0)</f>
        <v>91785</v>
      </c>
      <c r="R3974" s="582">
        <f>M3974/G3974</f>
        <v>2396.0893854748601</v>
      </c>
      <c r="S3974" s="593"/>
      <c r="T3974" s="593"/>
      <c r="U3974" s="591"/>
      <c r="V3974" s="593"/>
      <c r="W3974" s="593"/>
      <c r="X3974" s="593"/>
      <c r="Y3974" s="593"/>
      <c r="Z3974" s="593"/>
    </row>
    <row r="3975" spans="1:26" s="36" customFormat="1" ht="37.5" hidden="1">
      <c r="A3975" s="591">
        <f t="shared" si="587"/>
        <v>56</v>
      </c>
      <c r="B3975" s="592" t="s">
        <v>3178</v>
      </c>
      <c r="C3975" s="593" t="s">
        <v>298</v>
      </c>
      <c r="D3975" s="913">
        <f t="shared" si="584"/>
        <v>11044.396551724138</v>
      </c>
      <c r="E3975" s="608">
        <v>1971</v>
      </c>
      <c r="F3975" s="561" t="s">
        <v>251</v>
      </c>
      <c r="G3975" s="608">
        <v>927</v>
      </c>
      <c r="H3975" s="608">
        <v>4</v>
      </c>
      <c r="I3975" s="608">
        <v>3</v>
      </c>
      <c r="J3975" s="599">
        <v>48</v>
      </c>
      <c r="K3975" s="606" t="s">
        <v>33</v>
      </c>
      <c r="L3975" s="562">
        <f t="shared" si="592"/>
        <v>2681146</v>
      </c>
      <c r="M3975" s="585">
        <f>G3975*2800</f>
        <v>2595600</v>
      </c>
      <c r="N3975" s="564">
        <v>30000</v>
      </c>
      <c r="O3975" s="565"/>
      <c r="P3975" s="564"/>
      <c r="Q3975" s="586">
        <f t="shared" si="597"/>
        <v>55546</v>
      </c>
      <c r="R3975" s="582">
        <f>M3975/G3975</f>
        <v>2800</v>
      </c>
      <c r="S3975" s="593"/>
      <c r="T3975" s="593"/>
      <c r="U3975" s="591"/>
      <c r="V3975" s="593"/>
      <c r="W3975" s="593"/>
      <c r="X3975" s="593"/>
      <c r="Y3975" s="593"/>
      <c r="Z3975" s="593"/>
    </row>
    <row r="3976" spans="1:26" s="36" customFormat="1" ht="37.5" hidden="1">
      <c r="A3976" s="591">
        <f t="shared" si="587"/>
        <v>57</v>
      </c>
      <c r="B3976" s="592" t="s">
        <v>3179</v>
      </c>
      <c r="C3976" s="593" t="s">
        <v>298</v>
      </c>
      <c r="D3976" s="602">
        <f t="shared" si="584"/>
        <v>13767.672413793105</v>
      </c>
      <c r="E3976" s="602">
        <v>2457</v>
      </c>
      <c r="F3976" s="593" t="s">
        <v>218</v>
      </c>
      <c r="G3976" s="602">
        <v>1800</v>
      </c>
      <c r="H3976" s="602">
        <v>5</v>
      </c>
      <c r="I3976" s="602">
        <v>7</v>
      </c>
      <c r="J3976" s="582">
        <v>96</v>
      </c>
      <c r="K3976" s="679" t="s">
        <v>238</v>
      </c>
      <c r="L3976" s="562">
        <f t="shared" si="592"/>
        <v>2993889</v>
      </c>
      <c r="M3976" s="585">
        <f>J3976*27000+300000</f>
        <v>2892000</v>
      </c>
      <c r="N3976" s="564">
        <v>40000</v>
      </c>
      <c r="O3976" s="587"/>
      <c r="P3976" s="586"/>
      <c r="Q3976" s="586">
        <f t="shared" si="597"/>
        <v>61889</v>
      </c>
      <c r="R3976" s="561">
        <f>M3976/J3976</f>
        <v>30125</v>
      </c>
      <c r="S3976" s="593"/>
      <c r="T3976" s="593"/>
      <c r="U3976" s="591"/>
      <c r="V3976" s="593"/>
      <c r="W3976" s="593"/>
      <c r="X3976" s="593"/>
      <c r="Y3976" s="593"/>
      <c r="Z3976" s="593"/>
    </row>
    <row r="3977" spans="1:26" s="36" customFormat="1" ht="37.5" hidden="1">
      <c r="A3977" s="591">
        <f t="shared" si="587"/>
        <v>58</v>
      </c>
      <c r="B3977" s="592" t="s">
        <v>3180</v>
      </c>
      <c r="C3977" s="593" t="s">
        <v>298</v>
      </c>
      <c r="D3977" s="913">
        <f t="shared" si="584"/>
        <v>10424.094827586207</v>
      </c>
      <c r="E3977" s="602">
        <v>1860.3</v>
      </c>
      <c r="F3977" s="602" t="s">
        <v>251</v>
      </c>
      <c r="G3977" s="602">
        <v>820</v>
      </c>
      <c r="H3977" s="602">
        <v>2</v>
      </c>
      <c r="I3977" s="602">
        <v>2</v>
      </c>
      <c r="J3977" s="582">
        <v>14</v>
      </c>
      <c r="K3977" s="606" t="s">
        <v>30</v>
      </c>
      <c r="L3977" s="562">
        <f t="shared" ref="L3977:L3994" si="598">SUM(M3977:Q3977)</f>
        <v>286832</v>
      </c>
      <c r="M3977" s="585">
        <f>J3977*20000</f>
        <v>280000</v>
      </c>
      <c r="N3977" s="586"/>
      <c r="O3977" s="587">
        <f>ROUND(M3977*0.3%,0)</f>
        <v>840</v>
      </c>
      <c r="P3977" s="586"/>
      <c r="Q3977" s="586">
        <f t="shared" si="597"/>
        <v>5992</v>
      </c>
      <c r="R3977" s="582">
        <f>M3977/J3977</f>
        <v>20000</v>
      </c>
      <c r="S3977" s="593"/>
      <c r="T3977" s="593"/>
      <c r="U3977" s="591"/>
      <c r="V3977" s="593"/>
      <c r="W3977" s="593"/>
      <c r="X3977" s="593"/>
      <c r="Y3977" s="593"/>
      <c r="Z3977" s="593"/>
    </row>
    <row r="3978" spans="1:26" s="36" customFormat="1" ht="37.5" hidden="1">
      <c r="A3978" s="591">
        <f t="shared" si="587"/>
        <v>59</v>
      </c>
      <c r="B3978" s="592" t="s">
        <v>3181</v>
      </c>
      <c r="C3978" s="593" t="s">
        <v>298</v>
      </c>
      <c r="D3978" s="913">
        <f t="shared" si="584"/>
        <v>10419.051724137933</v>
      </c>
      <c r="E3978" s="602">
        <v>1859.4</v>
      </c>
      <c r="F3978" s="602" t="s">
        <v>251</v>
      </c>
      <c r="G3978" s="602">
        <v>820</v>
      </c>
      <c r="H3978" s="602">
        <v>2</v>
      </c>
      <c r="I3978" s="602">
        <v>2</v>
      </c>
      <c r="J3978" s="582">
        <v>14</v>
      </c>
      <c r="K3978" s="606" t="s">
        <v>33</v>
      </c>
      <c r="L3978" s="562">
        <f t="shared" si="598"/>
        <v>2375134</v>
      </c>
      <c r="M3978" s="585">
        <f>G3978*2800</f>
        <v>2296000</v>
      </c>
      <c r="N3978" s="564">
        <v>30000</v>
      </c>
      <c r="O3978" s="565"/>
      <c r="P3978" s="564"/>
      <c r="Q3978" s="586">
        <f t="shared" si="597"/>
        <v>49134</v>
      </c>
      <c r="R3978" s="582">
        <f>M3978/G3978</f>
        <v>2800</v>
      </c>
      <c r="S3978" s="593"/>
      <c r="T3978" s="593"/>
      <c r="U3978" s="591"/>
      <c r="V3978" s="593"/>
      <c r="W3978" s="593"/>
      <c r="X3978" s="593"/>
      <c r="Y3978" s="593"/>
      <c r="Z3978" s="593"/>
    </row>
    <row r="3979" spans="1:26" s="36" customFormat="1" ht="37.5" hidden="1">
      <c r="A3979" s="591">
        <f t="shared" si="587"/>
        <v>60</v>
      </c>
      <c r="B3979" s="592" t="s">
        <v>3182</v>
      </c>
      <c r="C3979" s="593" t="s">
        <v>298</v>
      </c>
      <c r="D3979" s="913">
        <f t="shared" si="584"/>
        <v>9922.1379310344837</v>
      </c>
      <c r="E3979" s="602">
        <v>1770.72</v>
      </c>
      <c r="F3979" s="593" t="s">
        <v>218</v>
      </c>
      <c r="G3979" s="602">
        <v>723</v>
      </c>
      <c r="H3979" s="602">
        <v>5</v>
      </c>
      <c r="I3979" s="602">
        <v>4</v>
      </c>
      <c r="J3979" s="582">
        <v>56</v>
      </c>
      <c r="K3979" s="606" t="s">
        <v>33</v>
      </c>
      <c r="L3979" s="562">
        <f t="shared" si="598"/>
        <v>1775517</v>
      </c>
      <c r="M3979" s="585">
        <f>ROUND(G3979*2397.27,0)</f>
        <v>1733226</v>
      </c>
      <c r="N3979" s="586"/>
      <c r="O3979" s="587">
        <f t="shared" ref="O3979:O3984" si="599">ROUND(M3979*0.3%,0)</f>
        <v>5200</v>
      </c>
      <c r="P3979" s="586"/>
      <c r="Q3979" s="586">
        <f t="shared" si="597"/>
        <v>37091</v>
      </c>
      <c r="R3979" s="582">
        <f>M3979/G3979</f>
        <v>2397.2697095435683</v>
      </c>
      <c r="S3979" s="593"/>
      <c r="T3979" s="593"/>
      <c r="U3979" s="591"/>
      <c r="V3979" s="593"/>
      <c r="W3979" s="593"/>
      <c r="X3979" s="593"/>
      <c r="Y3979" s="593"/>
      <c r="Z3979" s="593"/>
    </row>
    <row r="3980" spans="1:26" s="36" customFormat="1" ht="37.5" hidden="1">
      <c r="A3980" s="591">
        <f t="shared" si="587"/>
        <v>61</v>
      </c>
      <c r="B3980" s="592" t="s">
        <v>3183</v>
      </c>
      <c r="C3980" s="593" t="s">
        <v>298</v>
      </c>
      <c r="D3980" s="913">
        <f t="shared" si="584"/>
        <v>16877.586206896551</v>
      </c>
      <c r="E3980" s="608">
        <v>3012</v>
      </c>
      <c r="F3980" s="593" t="s">
        <v>218</v>
      </c>
      <c r="G3980" s="608">
        <v>594</v>
      </c>
      <c r="H3980" s="608">
        <v>9</v>
      </c>
      <c r="I3980" s="608">
        <v>2</v>
      </c>
      <c r="J3980" s="599">
        <v>72</v>
      </c>
      <c r="K3980" s="590" t="s">
        <v>30</v>
      </c>
      <c r="L3980" s="562">
        <f t="shared" si="598"/>
        <v>2212704</v>
      </c>
      <c r="M3980" s="585">
        <f>J3980*30000</f>
        <v>2160000</v>
      </c>
      <c r="N3980" s="586"/>
      <c r="O3980" s="587">
        <f t="shared" si="599"/>
        <v>6480</v>
      </c>
      <c r="P3980" s="586"/>
      <c r="Q3980" s="586">
        <f t="shared" si="597"/>
        <v>46224</v>
      </c>
      <c r="R3980" s="582">
        <f>M3980/J3980</f>
        <v>30000</v>
      </c>
      <c r="S3980" s="593"/>
      <c r="T3980" s="593"/>
      <c r="U3980" s="591"/>
      <c r="V3980" s="593"/>
      <c r="W3980" s="593"/>
      <c r="X3980" s="593"/>
      <c r="Y3980" s="593"/>
      <c r="Z3980" s="593"/>
    </row>
    <row r="3981" spans="1:26" s="36" customFormat="1" ht="37.5" hidden="1">
      <c r="A3981" s="591">
        <f t="shared" si="587"/>
        <v>62</v>
      </c>
      <c r="B3981" s="592" t="s">
        <v>3184</v>
      </c>
      <c r="C3981" s="593" t="s">
        <v>298</v>
      </c>
      <c r="D3981" s="913">
        <f t="shared" si="584"/>
        <v>8741.3793103448297</v>
      </c>
      <c r="E3981" s="602">
        <v>1560</v>
      </c>
      <c r="F3981" s="593" t="s">
        <v>218</v>
      </c>
      <c r="G3981" s="602">
        <v>804</v>
      </c>
      <c r="H3981" s="602">
        <v>4</v>
      </c>
      <c r="I3981" s="602">
        <v>4</v>
      </c>
      <c r="J3981" s="582">
        <v>64</v>
      </c>
      <c r="K3981" s="606" t="s">
        <v>30</v>
      </c>
      <c r="L3981" s="562">
        <f t="shared" si="598"/>
        <v>1311232</v>
      </c>
      <c r="M3981" s="585">
        <f>J3981*20000</f>
        <v>1280000</v>
      </c>
      <c r="N3981" s="586"/>
      <c r="O3981" s="587">
        <f t="shared" si="599"/>
        <v>3840</v>
      </c>
      <c r="P3981" s="586"/>
      <c r="Q3981" s="586">
        <f t="shared" si="597"/>
        <v>27392</v>
      </c>
      <c r="R3981" s="582">
        <f>M3981/J3981</f>
        <v>20000</v>
      </c>
      <c r="S3981" s="593"/>
      <c r="T3981" s="593"/>
      <c r="U3981" s="591"/>
      <c r="V3981" s="593"/>
      <c r="W3981" s="593"/>
      <c r="X3981" s="593"/>
      <c r="Y3981" s="593"/>
      <c r="Z3981" s="593"/>
    </row>
    <row r="3982" spans="1:26" s="36" customFormat="1" ht="37.5" hidden="1">
      <c r="A3982" s="591">
        <f t="shared" si="587"/>
        <v>63</v>
      </c>
      <c r="B3982" s="592" t="s">
        <v>3185</v>
      </c>
      <c r="C3982" s="593" t="s">
        <v>298</v>
      </c>
      <c r="D3982" s="913">
        <f t="shared" si="584"/>
        <v>13593.96551724138</v>
      </c>
      <c r="E3982" s="608">
        <v>2426</v>
      </c>
      <c r="F3982" s="593" t="s">
        <v>218</v>
      </c>
      <c r="G3982" s="608">
        <v>900</v>
      </c>
      <c r="H3982" s="608">
        <v>5</v>
      </c>
      <c r="I3982" s="608">
        <v>4</v>
      </c>
      <c r="J3982" s="599">
        <v>60</v>
      </c>
      <c r="K3982" s="606" t="s">
        <v>33</v>
      </c>
      <c r="L3982" s="562">
        <f t="shared" si="598"/>
        <v>2210187</v>
      </c>
      <c r="M3982" s="585">
        <f>ROUND(G3982*2397.27,0)</f>
        <v>2157543</v>
      </c>
      <c r="N3982" s="586"/>
      <c r="O3982" s="587">
        <f t="shared" si="599"/>
        <v>6473</v>
      </c>
      <c r="P3982" s="586"/>
      <c r="Q3982" s="586">
        <f t="shared" si="597"/>
        <v>46171</v>
      </c>
      <c r="R3982" s="582">
        <f>M3982/G3982</f>
        <v>2397.27</v>
      </c>
      <c r="S3982" s="593"/>
      <c r="T3982" s="593"/>
      <c r="U3982" s="591"/>
      <c r="V3982" s="593"/>
      <c r="W3982" s="593"/>
      <c r="X3982" s="593"/>
      <c r="Y3982" s="593"/>
      <c r="Z3982" s="593"/>
    </row>
    <row r="3983" spans="1:26" s="36" customFormat="1" ht="37.5" hidden="1">
      <c r="A3983" s="591">
        <f t="shared" si="587"/>
        <v>64</v>
      </c>
      <c r="B3983" s="592" t="s">
        <v>3186</v>
      </c>
      <c r="C3983" s="593" t="s">
        <v>298</v>
      </c>
      <c r="D3983" s="913">
        <f t="shared" ref="D3983:D4021" si="600">E3983/1.16/2*13</f>
        <v>6937.0689655172418</v>
      </c>
      <c r="E3983" s="608">
        <v>1238</v>
      </c>
      <c r="F3983" s="593" t="s">
        <v>218</v>
      </c>
      <c r="G3983" s="608">
        <v>936</v>
      </c>
      <c r="H3983" s="608">
        <v>5</v>
      </c>
      <c r="I3983" s="608">
        <v>5</v>
      </c>
      <c r="J3983" s="599">
        <v>75</v>
      </c>
      <c r="K3983" s="606" t="s">
        <v>33</v>
      </c>
      <c r="L3983" s="562">
        <f t="shared" si="598"/>
        <v>2298595</v>
      </c>
      <c r="M3983" s="585">
        <f>ROUND(G3983*2397.27,0)</f>
        <v>2243845</v>
      </c>
      <c r="N3983" s="586"/>
      <c r="O3983" s="587">
        <f t="shared" si="599"/>
        <v>6732</v>
      </c>
      <c r="P3983" s="586"/>
      <c r="Q3983" s="586">
        <f t="shared" si="597"/>
        <v>48018</v>
      </c>
      <c r="R3983" s="582">
        <f>M3983/G3983</f>
        <v>2397.2702991452993</v>
      </c>
      <c r="S3983" s="593"/>
      <c r="T3983" s="593"/>
      <c r="U3983" s="591"/>
      <c r="V3983" s="593"/>
      <c r="W3983" s="593"/>
      <c r="X3983" s="593"/>
      <c r="Y3983" s="593"/>
      <c r="Z3983" s="593"/>
    </row>
    <row r="3984" spans="1:26" s="36" customFormat="1" ht="37.5" hidden="1">
      <c r="A3984" s="591">
        <f t="shared" si="587"/>
        <v>65</v>
      </c>
      <c r="B3984" s="592" t="s">
        <v>3187</v>
      </c>
      <c r="C3984" s="593" t="s">
        <v>298</v>
      </c>
      <c r="D3984" s="913">
        <f t="shared" si="600"/>
        <v>24909.568965517239</v>
      </c>
      <c r="E3984" s="602">
        <v>4445.3999999999996</v>
      </c>
      <c r="F3984" s="593" t="s">
        <v>218</v>
      </c>
      <c r="G3984" s="602">
        <v>1880</v>
      </c>
      <c r="H3984" s="602">
        <v>5</v>
      </c>
      <c r="I3984" s="602">
        <v>8</v>
      </c>
      <c r="J3984" s="582">
        <v>134</v>
      </c>
      <c r="K3984" s="606" t="s">
        <v>33</v>
      </c>
      <c r="L3984" s="562">
        <f t="shared" si="598"/>
        <v>4616836</v>
      </c>
      <c r="M3984" s="585">
        <f>ROUND(G3984*2397.27,0)</f>
        <v>4506868</v>
      </c>
      <c r="N3984" s="586"/>
      <c r="O3984" s="587">
        <f t="shared" si="599"/>
        <v>13521</v>
      </c>
      <c r="P3984" s="586"/>
      <c r="Q3984" s="586">
        <f t="shared" si="597"/>
        <v>96447</v>
      </c>
      <c r="R3984" s="582">
        <f>M3984/G3984</f>
        <v>2397.2702127659572</v>
      </c>
      <c r="S3984" s="593"/>
      <c r="T3984" s="593"/>
      <c r="U3984" s="591"/>
      <c r="V3984" s="593"/>
      <c r="W3984" s="593"/>
      <c r="X3984" s="593"/>
      <c r="Y3984" s="593"/>
      <c r="Z3984" s="593"/>
    </row>
    <row r="3985" spans="1:26" s="222" customFormat="1" ht="37.5" hidden="1">
      <c r="A3985" s="591">
        <f t="shared" ref="A3985:A4022" si="601">A3984+1</f>
        <v>66</v>
      </c>
      <c r="B3985" s="592" t="s">
        <v>3975</v>
      </c>
      <c r="C3985" s="593" t="s">
        <v>217</v>
      </c>
      <c r="D3985" s="913">
        <v>51452.508960573468</v>
      </c>
      <c r="E3985" s="593">
        <v>8834</v>
      </c>
      <c r="F3985" s="593" t="s">
        <v>3662</v>
      </c>
      <c r="G3985" s="593">
        <v>1800</v>
      </c>
      <c r="H3985" s="602">
        <v>9</v>
      </c>
      <c r="I3985" s="594">
        <v>5</v>
      </c>
      <c r="J3985" s="599">
        <v>194</v>
      </c>
      <c r="K3985" s="606" t="s">
        <v>219</v>
      </c>
      <c r="L3985" s="562">
        <f t="shared" si="598"/>
        <v>10170000</v>
      </c>
      <c r="M3985" s="596">
        <v>10000000</v>
      </c>
      <c r="N3985" s="564">
        <v>170000</v>
      </c>
      <c r="O3985" s="565"/>
      <c r="P3985" s="564"/>
      <c r="Q3985" s="586"/>
      <c r="R3985" s="582">
        <f>M3985/I3985</f>
        <v>2000000</v>
      </c>
      <c r="S3985" s="593"/>
      <c r="T3985" s="593"/>
      <c r="U3985" s="591"/>
      <c r="V3985" s="589"/>
      <c r="W3985" s="593"/>
      <c r="X3985" s="593"/>
      <c r="Y3985" s="593"/>
      <c r="Z3985" s="593"/>
    </row>
    <row r="3986" spans="1:26" s="36" customFormat="1" ht="37.5" hidden="1">
      <c r="A3986" s="591">
        <f t="shared" si="601"/>
        <v>67</v>
      </c>
      <c r="B3986" s="592" t="s">
        <v>3189</v>
      </c>
      <c r="C3986" s="593" t="s">
        <v>298</v>
      </c>
      <c r="D3986" s="913">
        <f t="shared" si="600"/>
        <v>5834.870689655173</v>
      </c>
      <c r="E3986" s="602">
        <v>1041.3</v>
      </c>
      <c r="F3986" s="602" t="s">
        <v>251</v>
      </c>
      <c r="G3986" s="602">
        <v>700</v>
      </c>
      <c r="H3986" s="602">
        <v>5</v>
      </c>
      <c r="I3986" s="602">
        <v>1</v>
      </c>
      <c r="J3986" s="582">
        <v>20</v>
      </c>
      <c r="K3986" s="590" t="s">
        <v>224</v>
      </c>
      <c r="L3986" s="562">
        <f t="shared" si="598"/>
        <v>479416</v>
      </c>
      <c r="M3986" s="585">
        <f>J3986*22000</f>
        <v>440000</v>
      </c>
      <c r="N3986" s="564">
        <v>30000</v>
      </c>
      <c r="O3986" s="565"/>
      <c r="P3986" s="564"/>
      <c r="Q3986" s="586">
        <f t="shared" ref="Q3986:Q3992" si="602">ROUND(M3986*2.14%,0)</f>
        <v>9416</v>
      </c>
      <c r="R3986" s="561">
        <f>M3986/J3986</f>
        <v>22000</v>
      </c>
      <c r="S3986" s="593"/>
      <c r="T3986" s="593"/>
      <c r="U3986" s="591"/>
      <c r="V3986" s="593"/>
      <c r="W3986" s="593"/>
      <c r="X3986" s="593"/>
      <c r="Y3986" s="593"/>
      <c r="Z3986" s="593"/>
    </row>
    <row r="3987" spans="1:26" s="36" customFormat="1" ht="37.5" hidden="1">
      <c r="A3987" s="591">
        <f t="shared" si="601"/>
        <v>68</v>
      </c>
      <c r="B3987" s="592" t="s">
        <v>3190</v>
      </c>
      <c r="C3987" s="593" t="s">
        <v>298</v>
      </c>
      <c r="D3987" s="913">
        <f t="shared" si="600"/>
        <v>12367.370689655172</v>
      </c>
      <c r="E3987" s="602">
        <v>2207.1</v>
      </c>
      <c r="F3987" s="593" t="s">
        <v>218</v>
      </c>
      <c r="G3987" s="602">
        <v>600</v>
      </c>
      <c r="H3987" s="602">
        <v>5</v>
      </c>
      <c r="I3987" s="602">
        <v>1</v>
      </c>
      <c r="J3987" s="582">
        <v>69</v>
      </c>
      <c r="K3987" s="606" t="s">
        <v>33</v>
      </c>
      <c r="L3987" s="562">
        <f t="shared" si="598"/>
        <v>1473458</v>
      </c>
      <c r="M3987" s="585">
        <f>ROUND(G3987*2397.27,0)</f>
        <v>1438362</v>
      </c>
      <c r="N3987" s="586"/>
      <c r="O3987" s="587">
        <f>ROUND(M3987*0.3%,0)</f>
        <v>4315</v>
      </c>
      <c r="P3987" s="586"/>
      <c r="Q3987" s="586">
        <f t="shared" si="602"/>
        <v>30781</v>
      </c>
      <c r="R3987" s="582">
        <f>M3987/G3987</f>
        <v>2397.27</v>
      </c>
      <c r="S3987" s="593"/>
      <c r="T3987" s="593"/>
      <c r="U3987" s="591"/>
      <c r="V3987" s="593"/>
      <c r="W3987" s="593"/>
      <c r="X3987" s="593"/>
      <c r="Y3987" s="593"/>
      <c r="Z3987" s="593"/>
    </row>
    <row r="3988" spans="1:26" s="36" customFormat="1" ht="37.5" hidden="1">
      <c r="A3988" s="591">
        <f t="shared" si="601"/>
        <v>69</v>
      </c>
      <c r="B3988" s="592" t="s">
        <v>2228</v>
      </c>
      <c r="C3988" s="593" t="s">
        <v>298</v>
      </c>
      <c r="D3988" s="913">
        <f t="shared" si="600"/>
        <v>12871.120689655172</v>
      </c>
      <c r="E3988" s="608">
        <v>2297</v>
      </c>
      <c r="F3988" s="593" t="s">
        <v>218</v>
      </c>
      <c r="G3988" s="608">
        <v>500</v>
      </c>
      <c r="H3988" s="608">
        <v>9</v>
      </c>
      <c r="I3988" s="608">
        <v>1</v>
      </c>
      <c r="J3988" s="599">
        <v>71</v>
      </c>
      <c r="K3988" s="590" t="s">
        <v>30</v>
      </c>
      <c r="L3988" s="562">
        <f t="shared" si="598"/>
        <v>2181972</v>
      </c>
      <c r="M3988" s="585">
        <f>J3988*30000</f>
        <v>2130000</v>
      </c>
      <c r="N3988" s="586"/>
      <c r="O3988" s="587">
        <f>ROUND(M3988*0.3%,0)</f>
        <v>6390</v>
      </c>
      <c r="P3988" s="586"/>
      <c r="Q3988" s="586">
        <f t="shared" si="602"/>
        <v>45582</v>
      </c>
      <c r="R3988" s="582">
        <f>M3988/J3988</f>
        <v>30000</v>
      </c>
      <c r="S3988" s="593"/>
      <c r="T3988" s="593"/>
      <c r="U3988" s="591"/>
      <c r="V3988" s="593"/>
      <c r="W3988" s="593"/>
      <c r="X3988" s="593"/>
      <c r="Y3988" s="593"/>
      <c r="Z3988" s="593"/>
    </row>
    <row r="3989" spans="1:26" s="36" customFormat="1" ht="37.5" hidden="1">
      <c r="A3989" s="591">
        <f t="shared" si="601"/>
        <v>70</v>
      </c>
      <c r="B3989" s="592" t="s">
        <v>3191</v>
      </c>
      <c r="C3989" s="593" t="s">
        <v>298</v>
      </c>
      <c r="D3989" s="913">
        <f t="shared" si="600"/>
        <v>10956.310344827587</v>
      </c>
      <c r="E3989" s="602">
        <v>1955.28</v>
      </c>
      <c r="F3989" s="602" t="s">
        <v>251</v>
      </c>
      <c r="G3989" s="602">
        <v>1147.3</v>
      </c>
      <c r="H3989" s="602">
        <v>5</v>
      </c>
      <c r="I3989" s="602">
        <v>4</v>
      </c>
      <c r="J3989" s="582">
        <v>80</v>
      </c>
      <c r="K3989" s="679" t="s">
        <v>238</v>
      </c>
      <c r="L3989" s="562">
        <f t="shared" si="598"/>
        <v>2792780</v>
      </c>
      <c r="M3989" s="585">
        <f>(J3989*30000)+300000</f>
        <v>2700000</v>
      </c>
      <c r="N3989" s="564">
        <v>35000</v>
      </c>
      <c r="O3989" s="565"/>
      <c r="P3989" s="564"/>
      <c r="Q3989" s="586">
        <f t="shared" si="602"/>
        <v>57780</v>
      </c>
      <c r="R3989" s="561">
        <f>M3989/J3989</f>
        <v>33750</v>
      </c>
      <c r="S3989" s="593"/>
      <c r="T3989" s="593"/>
      <c r="U3989" s="591"/>
      <c r="V3989" s="593"/>
      <c r="W3989" s="593"/>
      <c r="X3989" s="593"/>
      <c r="Y3989" s="593"/>
      <c r="Z3989" s="593"/>
    </row>
    <row r="3990" spans="1:26" s="36" customFormat="1" ht="37.5" hidden="1">
      <c r="A3990" s="591">
        <f t="shared" si="601"/>
        <v>71</v>
      </c>
      <c r="B3990" s="592" t="s">
        <v>3192</v>
      </c>
      <c r="C3990" s="593" t="s">
        <v>298</v>
      </c>
      <c r="D3990" s="913">
        <f t="shared" si="600"/>
        <v>6415.6681034482763</v>
      </c>
      <c r="E3990" s="602">
        <v>1144.95</v>
      </c>
      <c r="F3990" s="602" t="s">
        <v>251</v>
      </c>
      <c r="G3990" s="602">
        <v>532.4</v>
      </c>
      <c r="H3990" s="602">
        <v>5</v>
      </c>
      <c r="I3990" s="602">
        <v>2</v>
      </c>
      <c r="J3990" s="582">
        <v>40</v>
      </c>
      <c r="K3990" s="679" t="s">
        <v>238</v>
      </c>
      <c r="L3990" s="562">
        <f t="shared" si="598"/>
        <v>1562100</v>
      </c>
      <c r="M3990" s="585">
        <f>(J3990*30000)+300000</f>
        <v>1500000</v>
      </c>
      <c r="N3990" s="564">
        <f>M3990*0.02</f>
        <v>30000</v>
      </c>
      <c r="O3990" s="565"/>
      <c r="P3990" s="564"/>
      <c r="Q3990" s="586">
        <f t="shared" si="602"/>
        <v>32100</v>
      </c>
      <c r="R3990" s="561">
        <f>M3990/J3990</f>
        <v>37500</v>
      </c>
      <c r="S3990" s="593"/>
      <c r="T3990" s="593"/>
      <c r="U3990" s="591"/>
      <c r="V3990" s="593"/>
      <c r="W3990" s="593"/>
      <c r="X3990" s="593"/>
      <c r="Y3990" s="593"/>
      <c r="Z3990" s="593"/>
    </row>
    <row r="3991" spans="1:26" s="36" customFormat="1" ht="37.5" hidden="1">
      <c r="A3991" s="591">
        <f t="shared" si="601"/>
        <v>72</v>
      </c>
      <c r="B3991" s="592" t="s">
        <v>3193</v>
      </c>
      <c r="C3991" s="593" t="s">
        <v>298</v>
      </c>
      <c r="D3991" s="913">
        <f t="shared" si="600"/>
        <v>19729.96551724138</v>
      </c>
      <c r="E3991" s="602">
        <v>3521.04</v>
      </c>
      <c r="F3991" s="593" t="s">
        <v>218</v>
      </c>
      <c r="G3991" s="602">
        <v>1476.4</v>
      </c>
      <c r="H3991" s="602">
        <v>5</v>
      </c>
      <c r="I3991" s="602">
        <v>9</v>
      </c>
      <c r="J3991" s="582">
        <v>125</v>
      </c>
      <c r="K3991" s="679" t="s">
        <v>238</v>
      </c>
      <c r="L3991" s="562">
        <f t="shared" si="598"/>
        <v>4181670</v>
      </c>
      <c r="M3991" s="585">
        <f>(J3991*30000)+300000</f>
        <v>4050000</v>
      </c>
      <c r="N3991" s="564">
        <v>45000</v>
      </c>
      <c r="O3991" s="565"/>
      <c r="P3991" s="564"/>
      <c r="Q3991" s="586">
        <f t="shared" si="602"/>
        <v>86670</v>
      </c>
      <c r="R3991" s="561">
        <f>M3991/J3991</f>
        <v>32400</v>
      </c>
      <c r="S3991" s="593"/>
      <c r="T3991" s="593"/>
      <c r="U3991" s="591"/>
      <c r="V3991" s="593"/>
      <c r="W3991" s="593"/>
      <c r="X3991" s="593"/>
      <c r="Y3991" s="593"/>
      <c r="Z3991" s="593"/>
    </row>
    <row r="3992" spans="1:26" s="36" customFormat="1" ht="37.5" hidden="1">
      <c r="A3992" s="591">
        <f t="shared" si="601"/>
        <v>73</v>
      </c>
      <c r="B3992" s="592" t="s">
        <v>3194</v>
      </c>
      <c r="C3992" s="593" t="s">
        <v>298</v>
      </c>
      <c r="D3992" s="913">
        <f t="shared" si="600"/>
        <v>27143.103448275862</v>
      </c>
      <c r="E3992" s="913">
        <v>4844</v>
      </c>
      <c r="F3992" s="561" t="s">
        <v>218</v>
      </c>
      <c r="G3992" s="913">
        <v>1746</v>
      </c>
      <c r="H3992" s="913">
        <v>6</v>
      </c>
      <c r="I3992" s="913">
        <v>4</v>
      </c>
      <c r="J3992" s="561">
        <v>56</v>
      </c>
      <c r="K3992" s="606" t="s">
        <v>33</v>
      </c>
      <c r="L3992" s="562">
        <f t="shared" si="598"/>
        <v>4287763</v>
      </c>
      <c r="M3992" s="585">
        <f>ROUND(G3992*2397.27,0)</f>
        <v>4185633</v>
      </c>
      <c r="N3992" s="586"/>
      <c r="O3992" s="587">
        <f>ROUND(M3992*0.3%,0)</f>
        <v>12557</v>
      </c>
      <c r="P3992" s="586"/>
      <c r="Q3992" s="586">
        <f t="shared" si="602"/>
        <v>89573</v>
      </c>
      <c r="R3992" s="582">
        <f>M3992/G3992</f>
        <v>2397.2697594501719</v>
      </c>
      <c r="S3992" s="593"/>
      <c r="T3992" s="593"/>
      <c r="U3992" s="591"/>
      <c r="V3992" s="593"/>
      <c r="W3992" s="593"/>
      <c r="X3992" s="593"/>
      <c r="Y3992" s="593"/>
      <c r="Z3992" s="593"/>
    </row>
    <row r="3993" spans="1:26" s="222" customFormat="1" ht="37.5" hidden="1">
      <c r="A3993" s="591">
        <f t="shared" si="601"/>
        <v>74</v>
      </c>
      <c r="B3993" s="592" t="s">
        <v>2200</v>
      </c>
      <c r="C3993" s="593" t="s">
        <v>298</v>
      </c>
      <c r="D3993" s="913">
        <v>17332.025862068967</v>
      </c>
      <c r="E3993" s="593">
        <v>3093.1</v>
      </c>
      <c r="F3993" s="593" t="s">
        <v>218</v>
      </c>
      <c r="G3993" s="593">
        <v>657.8</v>
      </c>
      <c r="H3993" s="602">
        <v>5</v>
      </c>
      <c r="I3993" s="602">
        <v>2</v>
      </c>
      <c r="J3993" s="582">
        <v>72</v>
      </c>
      <c r="K3993" s="606" t="s">
        <v>219</v>
      </c>
      <c r="L3993" s="562">
        <f t="shared" si="598"/>
        <v>4106250</v>
      </c>
      <c r="M3993" s="596">
        <v>4000000</v>
      </c>
      <c r="N3993" s="564">
        <v>106250</v>
      </c>
      <c r="O3993" s="565"/>
      <c r="P3993" s="564"/>
      <c r="Q3993" s="586"/>
      <c r="R3993" s="582">
        <f>M3993/I3993</f>
        <v>2000000</v>
      </c>
      <c r="S3993" s="593"/>
      <c r="T3993" s="593"/>
      <c r="U3993" s="591"/>
      <c r="V3993" s="589"/>
      <c r="W3993" s="593"/>
      <c r="X3993" s="593"/>
      <c r="Y3993" s="593"/>
      <c r="Z3993" s="593"/>
    </row>
    <row r="3994" spans="1:26" s="36" customFormat="1" ht="37.5" hidden="1">
      <c r="A3994" s="591">
        <f t="shared" si="601"/>
        <v>75</v>
      </c>
      <c r="B3994" s="592" t="s">
        <v>3195</v>
      </c>
      <c r="C3994" s="593" t="s">
        <v>298</v>
      </c>
      <c r="D3994" s="913">
        <f t="shared" si="600"/>
        <v>12775.862068965518</v>
      </c>
      <c r="E3994" s="593">
        <v>2280</v>
      </c>
      <c r="F3994" s="593" t="s">
        <v>218</v>
      </c>
      <c r="G3994" s="593">
        <v>300</v>
      </c>
      <c r="H3994" s="602">
        <v>9</v>
      </c>
      <c r="I3994" s="602">
        <v>1</v>
      </c>
      <c r="J3994" s="582">
        <v>32</v>
      </c>
      <c r="K3994" s="606" t="s">
        <v>219</v>
      </c>
      <c r="L3994" s="562">
        <f t="shared" si="598"/>
        <v>2085000</v>
      </c>
      <c r="M3994" s="596">
        <v>2000000</v>
      </c>
      <c r="N3994" s="564">
        <v>85000</v>
      </c>
      <c r="O3994" s="587"/>
      <c r="P3994" s="586"/>
      <c r="Q3994" s="586"/>
      <c r="R3994" s="582">
        <f>M3994/I3994</f>
        <v>2000000</v>
      </c>
      <c r="S3994" s="593"/>
      <c r="T3994" s="593"/>
      <c r="U3994" s="591" t="s">
        <v>3596</v>
      </c>
      <c r="V3994" s="589"/>
      <c r="W3994" s="593"/>
      <c r="X3994" s="593"/>
      <c r="Y3994" s="593"/>
      <c r="Z3994" s="593"/>
    </row>
    <row r="3995" spans="1:26" s="36" customFormat="1" ht="37.5" hidden="1">
      <c r="A3995" s="591">
        <f t="shared" si="601"/>
        <v>76</v>
      </c>
      <c r="B3995" s="592" t="s">
        <v>3196</v>
      </c>
      <c r="C3995" s="593" t="s">
        <v>298</v>
      </c>
      <c r="D3995" s="913">
        <f t="shared" si="600"/>
        <v>10506.46551724138</v>
      </c>
      <c r="E3995" s="608">
        <v>1875</v>
      </c>
      <c r="F3995" s="593" t="s">
        <v>218</v>
      </c>
      <c r="G3995" s="608">
        <v>432</v>
      </c>
      <c r="H3995" s="608">
        <v>9</v>
      </c>
      <c r="I3995" s="608">
        <v>1</v>
      </c>
      <c r="J3995" s="599">
        <v>32</v>
      </c>
      <c r="K3995" s="606" t="s">
        <v>33</v>
      </c>
      <c r="L3995" s="562">
        <f>M3995+N3995+O3995+P3995+Q3995+Q3996+P3996+O3996+N3996+M3996</f>
        <v>3145890</v>
      </c>
      <c r="M3995" s="585">
        <f>ROUND(G3995*2397.27,0)</f>
        <v>1035621</v>
      </c>
      <c r="N3995" s="586"/>
      <c r="O3995" s="587">
        <f>ROUND(M3995*0.3%,0)</f>
        <v>3107</v>
      </c>
      <c r="P3995" s="586"/>
      <c r="Q3995" s="586">
        <f>ROUND(M3995*2.14%,0)</f>
        <v>22162</v>
      </c>
      <c r="R3995" s="582">
        <f>M3995/G3995</f>
        <v>2397.2708333333335</v>
      </c>
      <c r="S3995" s="593"/>
      <c r="T3995" s="593"/>
      <c r="U3995" s="591"/>
      <c r="V3995" s="593"/>
      <c r="W3995" s="593"/>
      <c r="X3995" s="593"/>
      <c r="Y3995" s="593"/>
      <c r="Z3995" s="593"/>
    </row>
    <row r="3996" spans="1:26" s="36" customFormat="1" ht="37.5" hidden="1">
      <c r="A3996" s="591"/>
      <c r="B3996" s="592"/>
      <c r="C3996" s="593"/>
      <c r="D3996" s="913"/>
      <c r="E3996" s="608"/>
      <c r="F3996" s="593"/>
      <c r="G3996" s="608"/>
      <c r="H3996" s="608"/>
      <c r="I3996" s="608"/>
      <c r="J3996" s="599"/>
      <c r="K3996" s="606" t="s">
        <v>219</v>
      </c>
      <c r="L3996" s="562"/>
      <c r="M3996" s="585">
        <v>2000000</v>
      </c>
      <c r="N3996" s="586">
        <v>85000</v>
      </c>
      <c r="O3996" s="587"/>
      <c r="P3996" s="586"/>
      <c r="Q3996" s="586"/>
      <c r="R3996" s="582"/>
      <c r="S3996" s="593"/>
      <c r="T3996" s="593"/>
      <c r="U3996" s="591"/>
      <c r="V3996" s="593"/>
      <c r="W3996" s="593"/>
      <c r="X3996" s="593"/>
      <c r="Y3996" s="593"/>
      <c r="Z3996" s="593"/>
    </row>
    <row r="3997" spans="1:26" s="36" customFormat="1" hidden="1">
      <c r="A3997" s="591">
        <f>A3995+1</f>
        <v>77</v>
      </c>
      <c r="B3997" s="592" t="s">
        <v>3197</v>
      </c>
      <c r="C3997" s="593" t="s">
        <v>344</v>
      </c>
      <c r="D3997" s="913">
        <f t="shared" si="600"/>
        <v>4788.1465517241377</v>
      </c>
      <c r="E3997" s="608">
        <v>854.5</v>
      </c>
      <c r="F3997" s="593" t="s">
        <v>251</v>
      </c>
      <c r="G3997" s="608">
        <v>792.4</v>
      </c>
      <c r="H3997" s="608">
        <v>2</v>
      </c>
      <c r="I3997" s="608">
        <v>2</v>
      </c>
      <c r="J3997" s="582">
        <v>12</v>
      </c>
      <c r="K3997" s="679" t="s">
        <v>33</v>
      </c>
      <c r="L3997" s="562">
        <f t="shared" ref="L3997:L4013" si="603">SUM(M3997:Q3997)</f>
        <v>2296201</v>
      </c>
      <c r="M3997" s="585">
        <f>G3997*2800</f>
        <v>2218720</v>
      </c>
      <c r="N3997" s="564">
        <v>30000</v>
      </c>
      <c r="O3997" s="587"/>
      <c r="P3997" s="586"/>
      <c r="Q3997" s="586">
        <f t="shared" ref="Q3997:Q4002" si="604">ROUND(M3997*2.14%,0)</f>
        <v>47481</v>
      </c>
      <c r="R3997" s="582">
        <f>M3997/G3997</f>
        <v>2800</v>
      </c>
      <c r="S3997" s="593"/>
      <c r="T3997" s="593"/>
      <c r="U3997" s="591"/>
      <c r="V3997" s="593"/>
      <c r="W3997" s="593"/>
      <c r="X3997" s="593"/>
      <c r="Y3997" s="593"/>
      <c r="Z3997" s="593"/>
    </row>
    <row r="3998" spans="1:26" s="36" customFormat="1" ht="37.5" hidden="1">
      <c r="A3998" s="591">
        <f t="shared" si="601"/>
        <v>78</v>
      </c>
      <c r="B3998" s="592" t="s">
        <v>3198</v>
      </c>
      <c r="C3998" s="593" t="s">
        <v>298</v>
      </c>
      <c r="D3998" s="913">
        <f t="shared" si="600"/>
        <v>12889.051724137931</v>
      </c>
      <c r="E3998" s="602">
        <v>2300.1999999999998</v>
      </c>
      <c r="F3998" s="593" t="s">
        <v>218</v>
      </c>
      <c r="G3998" s="602">
        <v>1148</v>
      </c>
      <c r="H3998" s="602">
        <v>4</v>
      </c>
      <c r="I3998" s="602">
        <v>4</v>
      </c>
      <c r="J3998" s="582">
        <v>64</v>
      </c>
      <c r="K3998" s="679" t="s">
        <v>238</v>
      </c>
      <c r="L3998" s="562">
        <f t="shared" si="603"/>
        <v>2302508</v>
      </c>
      <c r="M3998" s="585">
        <f>(J3998*30000)+300000</f>
        <v>2220000</v>
      </c>
      <c r="N3998" s="564">
        <v>35000</v>
      </c>
      <c r="O3998" s="565"/>
      <c r="P3998" s="564"/>
      <c r="Q3998" s="586">
        <f t="shared" si="604"/>
        <v>47508</v>
      </c>
      <c r="R3998" s="561">
        <f>M3998/J3998</f>
        <v>34687.5</v>
      </c>
      <c r="S3998" s="593"/>
      <c r="T3998" s="593"/>
      <c r="U3998" s="591"/>
      <c r="V3998" s="593"/>
      <c r="W3998" s="593"/>
      <c r="X3998" s="593"/>
      <c r="Y3998" s="593"/>
      <c r="Z3998" s="593"/>
    </row>
    <row r="3999" spans="1:26" s="36" customFormat="1" ht="37.5" hidden="1">
      <c r="A3999" s="591">
        <f t="shared" si="601"/>
        <v>79</v>
      </c>
      <c r="B3999" s="592" t="s">
        <v>3199</v>
      </c>
      <c r="C3999" s="593" t="s">
        <v>298</v>
      </c>
      <c r="D3999" s="913">
        <f t="shared" si="600"/>
        <v>4027.1982758620697</v>
      </c>
      <c r="E3999" s="608">
        <v>718.7</v>
      </c>
      <c r="F3999" s="594" t="s">
        <v>251</v>
      </c>
      <c r="G3999" s="608">
        <v>741.2</v>
      </c>
      <c r="H3999" s="608">
        <v>2</v>
      </c>
      <c r="I3999" s="608">
        <v>2</v>
      </c>
      <c r="J3999" s="599">
        <v>13</v>
      </c>
      <c r="K3999" s="606" t="s">
        <v>33</v>
      </c>
      <c r="L3999" s="562">
        <f t="shared" si="603"/>
        <v>2149773</v>
      </c>
      <c r="M3999" s="585">
        <f>G3999*2800</f>
        <v>2075360.0000000002</v>
      </c>
      <c r="N3999" s="564">
        <v>30000</v>
      </c>
      <c r="O3999" s="565"/>
      <c r="P3999" s="564"/>
      <c r="Q3999" s="586">
        <f t="shared" si="604"/>
        <v>44413</v>
      </c>
      <c r="R3999" s="582">
        <f>M3999/G3999</f>
        <v>2800</v>
      </c>
      <c r="S3999" s="593"/>
      <c r="T3999" s="593"/>
      <c r="U3999" s="591"/>
      <c r="V3999" s="593"/>
      <c r="W3999" s="593"/>
      <c r="X3999" s="593"/>
      <c r="Y3999" s="593"/>
      <c r="Z3999" s="593"/>
    </row>
    <row r="4000" spans="1:26" s="36" customFormat="1" ht="37.5" hidden="1">
      <c r="A4000" s="591">
        <f t="shared" si="601"/>
        <v>80</v>
      </c>
      <c r="B4000" s="592" t="s">
        <v>3200</v>
      </c>
      <c r="C4000" s="593" t="s">
        <v>298</v>
      </c>
      <c r="D4000" s="913">
        <f t="shared" si="600"/>
        <v>17645.258620689659</v>
      </c>
      <c r="E4000" s="608">
        <v>3149</v>
      </c>
      <c r="F4000" s="593" t="s">
        <v>218</v>
      </c>
      <c r="G4000" s="608">
        <v>1268</v>
      </c>
      <c r="H4000" s="608">
        <v>5</v>
      </c>
      <c r="I4000" s="608">
        <v>6</v>
      </c>
      <c r="J4000" s="599">
        <v>100</v>
      </c>
      <c r="K4000" s="590" t="s">
        <v>30</v>
      </c>
      <c r="L4000" s="562">
        <f t="shared" si="603"/>
        <v>3073200</v>
      </c>
      <c r="M4000" s="585">
        <f>J4000*30000</f>
        <v>3000000</v>
      </c>
      <c r="N4000" s="586"/>
      <c r="O4000" s="587">
        <f>ROUND(M4000*0.3%,0)</f>
        <v>9000</v>
      </c>
      <c r="P4000" s="586"/>
      <c r="Q4000" s="586">
        <f t="shared" si="604"/>
        <v>64200</v>
      </c>
      <c r="R4000" s="582">
        <f>M4000/J4000</f>
        <v>30000</v>
      </c>
      <c r="S4000" s="593"/>
      <c r="T4000" s="593"/>
      <c r="U4000" s="591"/>
      <c r="V4000" s="593"/>
      <c r="W4000" s="593"/>
      <c r="X4000" s="593"/>
      <c r="Y4000" s="593"/>
      <c r="Z4000" s="593"/>
    </row>
    <row r="4001" spans="1:26" s="36" customFormat="1" ht="37.5" hidden="1">
      <c r="A4001" s="591">
        <f t="shared" si="601"/>
        <v>81</v>
      </c>
      <c r="B4001" s="592" t="s">
        <v>3201</v>
      </c>
      <c r="C4001" s="593" t="s">
        <v>298</v>
      </c>
      <c r="D4001" s="913">
        <f t="shared" si="600"/>
        <v>21259.482758620692</v>
      </c>
      <c r="E4001" s="602">
        <v>3794</v>
      </c>
      <c r="F4001" s="593" t="s">
        <v>218</v>
      </c>
      <c r="G4001" s="602">
        <v>1271</v>
      </c>
      <c r="H4001" s="602">
        <v>5</v>
      </c>
      <c r="I4001" s="602">
        <v>6</v>
      </c>
      <c r="J4001" s="582">
        <v>95</v>
      </c>
      <c r="K4001" s="679" t="s">
        <v>33</v>
      </c>
      <c r="L4001" s="562">
        <f t="shared" si="603"/>
        <v>3121275</v>
      </c>
      <c r="M4001" s="585">
        <f>ROUND(G4001*2397.27,0)</f>
        <v>3046930</v>
      </c>
      <c r="N4001" s="586"/>
      <c r="O4001" s="587">
        <f>ROUND(M4001*0.3%,0)</f>
        <v>9141</v>
      </c>
      <c r="P4001" s="586"/>
      <c r="Q4001" s="586">
        <f t="shared" si="604"/>
        <v>65204</v>
      </c>
      <c r="R4001" s="582">
        <f>M4001/G4001</f>
        <v>2397.2698662470498</v>
      </c>
      <c r="S4001" s="593"/>
      <c r="T4001" s="593"/>
      <c r="U4001" s="591"/>
      <c r="V4001" s="593"/>
      <c r="W4001" s="593"/>
      <c r="X4001" s="593"/>
      <c r="Y4001" s="593"/>
      <c r="Z4001" s="593"/>
    </row>
    <row r="4002" spans="1:26" s="36" customFormat="1" ht="37.5" hidden="1">
      <c r="A4002" s="591">
        <f t="shared" si="601"/>
        <v>82</v>
      </c>
      <c r="B4002" s="592" t="s">
        <v>3202</v>
      </c>
      <c r="C4002" s="593" t="s">
        <v>298</v>
      </c>
      <c r="D4002" s="913">
        <f t="shared" si="600"/>
        <v>14456.896551724138</v>
      </c>
      <c r="E4002" s="608">
        <v>2580</v>
      </c>
      <c r="F4002" s="593" t="s">
        <v>218</v>
      </c>
      <c r="G4002" s="608">
        <v>943.1</v>
      </c>
      <c r="H4002" s="608">
        <v>5</v>
      </c>
      <c r="I4002" s="608">
        <v>4</v>
      </c>
      <c r="J4002" s="599">
        <v>59</v>
      </c>
      <c r="K4002" s="667" t="s">
        <v>33</v>
      </c>
      <c r="L4002" s="562">
        <f t="shared" si="603"/>
        <v>2316031</v>
      </c>
      <c r="M4002" s="585">
        <f>ROUND(G4002*2397.27,0)</f>
        <v>2260865</v>
      </c>
      <c r="N4002" s="586"/>
      <c r="O4002" s="587">
        <f>ROUND(M4002*0.3%,0)</f>
        <v>6783</v>
      </c>
      <c r="P4002" s="586"/>
      <c r="Q4002" s="586">
        <f t="shared" si="604"/>
        <v>48383</v>
      </c>
      <c r="R4002" s="582">
        <f>M4002/G4002</f>
        <v>2397.2696426677976</v>
      </c>
      <c r="S4002" s="593"/>
      <c r="T4002" s="593"/>
      <c r="U4002" s="591"/>
      <c r="V4002" s="593"/>
      <c r="W4002" s="593"/>
      <c r="X4002" s="593"/>
      <c r="Y4002" s="593"/>
      <c r="Z4002" s="593"/>
    </row>
    <row r="4003" spans="1:26" s="36" customFormat="1" ht="37.5" hidden="1">
      <c r="A4003" s="580">
        <f t="shared" si="601"/>
        <v>83</v>
      </c>
      <c r="B4003" s="592" t="s">
        <v>3203</v>
      </c>
      <c r="C4003" s="593" t="s">
        <v>298</v>
      </c>
      <c r="D4003" s="913">
        <f t="shared" si="600"/>
        <v>5625.8620689655172</v>
      </c>
      <c r="E4003" s="602">
        <v>1004</v>
      </c>
      <c r="F4003" s="593" t="s">
        <v>218</v>
      </c>
      <c r="G4003" s="602">
        <v>612</v>
      </c>
      <c r="H4003" s="602">
        <v>3</v>
      </c>
      <c r="I4003" s="602">
        <v>2</v>
      </c>
      <c r="J4003" s="602">
        <v>24</v>
      </c>
      <c r="K4003" s="606" t="s">
        <v>226</v>
      </c>
      <c r="L4003" s="562">
        <f t="shared" si="603"/>
        <v>2696263</v>
      </c>
      <c r="M4003" s="596">
        <v>2610400</v>
      </c>
      <c r="N4003" s="564">
        <v>30000</v>
      </c>
      <c r="O4003" s="565"/>
      <c r="P4003" s="564"/>
      <c r="Q4003" s="586">
        <v>55863</v>
      </c>
      <c r="R4003" s="599">
        <f>M4003/E4003</f>
        <v>2600</v>
      </c>
      <c r="S4003" s="593"/>
      <c r="T4003" s="593"/>
      <c r="U4003" s="591"/>
      <c r="V4003" s="593"/>
      <c r="W4003" s="593"/>
      <c r="X4003" s="593"/>
      <c r="Y4003" s="593"/>
      <c r="Z4003" s="593"/>
    </row>
    <row r="4004" spans="1:26" s="36" customFormat="1" ht="37.5" hidden="1">
      <c r="A4004" s="591">
        <f t="shared" si="601"/>
        <v>84</v>
      </c>
      <c r="B4004" s="592" t="s">
        <v>3204</v>
      </c>
      <c r="C4004" s="593" t="s">
        <v>298</v>
      </c>
      <c r="D4004" s="913">
        <f t="shared" si="600"/>
        <v>14456.896551724138</v>
      </c>
      <c r="E4004" s="608">
        <v>2580</v>
      </c>
      <c r="F4004" s="593" t="s">
        <v>218</v>
      </c>
      <c r="G4004" s="608">
        <v>884.9</v>
      </c>
      <c r="H4004" s="608">
        <v>5</v>
      </c>
      <c r="I4004" s="608">
        <v>4</v>
      </c>
      <c r="J4004" s="582">
        <v>80</v>
      </c>
      <c r="K4004" s="679" t="s">
        <v>33</v>
      </c>
      <c r="L4004" s="562">
        <f t="shared" si="603"/>
        <v>2173105</v>
      </c>
      <c r="M4004" s="585">
        <f>ROUND(G4004*2397.27,0)</f>
        <v>2121344</v>
      </c>
      <c r="N4004" s="586"/>
      <c r="O4004" s="587">
        <f>ROUND(M4004*0.3%,0)</f>
        <v>6364</v>
      </c>
      <c r="P4004" s="586"/>
      <c r="Q4004" s="586">
        <f>ROUND(M4004*2.14%,0)</f>
        <v>45397</v>
      </c>
      <c r="R4004" s="582">
        <f>M4004/G4004</f>
        <v>2397.2697479941239</v>
      </c>
      <c r="S4004" s="593"/>
      <c r="T4004" s="593"/>
      <c r="U4004" s="591"/>
      <c r="V4004" s="593"/>
      <c r="W4004" s="593"/>
      <c r="X4004" s="593"/>
      <c r="Y4004" s="593"/>
      <c r="Z4004" s="593"/>
    </row>
    <row r="4005" spans="1:26" s="28" customFormat="1" ht="37.5" hidden="1">
      <c r="A4005" s="591">
        <f t="shared" si="601"/>
        <v>85</v>
      </c>
      <c r="B4005" s="592" t="s">
        <v>3205</v>
      </c>
      <c r="C4005" s="593" t="s">
        <v>298</v>
      </c>
      <c r="D4005" s="913">
        <f t="shared" si="600"/>
        <v>7794.3965517241377</v>
      </c>
      <c r="E4005" s="602">
        <v>1391</v>
      </c>
      <c r="F4005" s="593" t="s">
        <v>218</v>
      </c>
      <c r="G4005" s="602">
        <v>436.8</v>
      </c>
      <c r="H4005" s="602">
        <v>5</v>
      </c>
      <c r="I4005" s="602">
        <v>1</v>
      </c>
      <c r="J4005" s="582">
        <v>20</v>
      </c>
      <c r="K4005" s="606" t="s">
        <v>33</v>
      </c>
      <c r="L4005" s="562">
        <f t="shared" si="603"/>
        <v>1072678</v>
      </c>
      <c r="M4005" s="585">
        <f>ROUND(G4005*2397.27,0)</f>
        <v>1047128</v>
      </c>
      <c r="N4005" s="586"/>
      <c r="O4005" s="587">
        <f>ROUND(M4005*0.3%,0)</f>
        <v>3141</v>
      </c>
      <c r="P4005" s="586"/>
      <c r="Q4005" s="586">
        <f>ROUND(M4005*2.14%,0)</f>
        <v>22409</v>
      </c>
      <c r="R4005" s="582">
        <f>M4005/G4005</f>
        <v>2397.2710622710624</v>
      </c>
      <c r="S4005" s="592"/>
      <c r="T4005" s="592"/>
      <c r="U4005" s="591"/>
      <c r="V4005" s="592"/>
      <c r="W4005" s="592"/>
      <c r="X4005" s="592"/>
      <c r="Y4005" s="592"/>
      <c r="Z4005" s="592"/>
    </row>
    <row r="4006" spans="1:26" s="36" customFormat="1" ht="37.5" hidden="1">
      <c r="A4006" s="591">
        <f t="shared" si="601"/>
        <v>86</v>
      </c>
      <c r="B4006" s="592" t="s">
        <v>3206</v>
      </c>
      <c r="C4006" s="593" t="s">
        <v>298</v>
      </c>
      <c r="D4006" s="913">
        <f t="shared" si="600"/>
        <v>7788.7931034482763</v>
      </c>
      <c r="E4006" s="602">
        <v>1390</v>
      </c>
      <c r="F4006" s="593" t="s">
        <v>218</v>
      </c>
      <c r="G4006" s="602">
        <v>466.3</v>
      </c>
      <c r="H4006" s="602">
        <v>5</v>
      </c>
      <c r="I4006" s="602">
        <v>1</v>
      </c>
      <c r="J4006" s="582">
        <v>20</v>
      </c>
      <c r="K4006" s="606" t="s">
        <v>30</v>
      </c>
      <c r="L4006" s="562">
        <f t="shared" si="603"/>
        <v>614640</v>
      </c>
      <c r="M4006" s="585">
        <f>J4006*30000</f>
        <v>600000</v>
      </c>
      <c r="N4006" s="586"/>
      <c r="O4006" s="587">
        <f>ROUND(M4006*0.3%,0)</f>
        <v>1800</v>
      </c>
      <c r="P4006" s="586"/>
      <c r="Q4006" s="586">
        <f>ROUND(M4006*2.14%,0)</f>
        <v>12840</v>
      </c>
      <c r="R4006" s="582">
        <f>M4006/J4006</f>
        <v>30000</v>
      </c>
      <c r="S4006" s="593"/>
      <c r="T4006" s="593"/>
      <c r="U4006" s="591"/>
      <c r="V4006" s="593"/>
      <c r="W4006" s="593"/>
      <c r="X4006" s="593"/>
      <c r="Y4006" s="593"/>
      <c r="Z4006" s="593"/>
    </row>
    <row r="4007" spans="1:26" s="28" customFormat="1" ht="37.5" hidden="1">
      <c r="A4007" s="591">
        <f t="shared" si="601"/>
        <v>87</v>
      </c>
      <c r="B4007" s="592" t="s">
        <v>3207</v>
      </c>
      <c r="C4007" s="593" t="s">
        <v>298</v>
      </c>
      <c r="D4007" s="913">
        <f t="shared" si="600"/>
        <v>7318.1034482758623</v>
      </c>
      <c r="E4007" s="602">
        <v>1306</v>
      </c>
      <c r="F4007" s="593" t="s">
        <v>218</v>
      </c>
      <c r="G4007" s="602">
        <v>435</v>
      </c>
      <c r="H4007" s="602">
        <v>5</v>
      </c>
      <c r="I4007" s="602">
        <v>1</v>
      </c>
      <c r="J4007" s="582">
        <v>20</v>
      </c>
      <c r="K4007" s="606" t="s">
        <v>33</v>
      </c>
      <c r="L4007" s="562">
        <f t="shared" si="603"/>
        <v>1068256</v>
      </c>
      <c r="M4007" s="585">
        <f>ROUND(G4007*2397.27,0)</f>
        <v>1042812</v>
      </c>
      <c r="N4007" s="586"/>
      <c r="O4007" s="587">
        <f>ROUND(M4007*0.3%,0)</f>
        <v>3128</v>
      </c>
      <c r="P4007" s="586"/>
      <c r="Q4007" s="586">
        <f>ROUND(M4007*2.14%,0)</f>
        <v>22316</v>
      </c>
      <c r="R4007" s="582">
        <f>M4007/G4007</f>
        <v>2397.2689655172412</v>
      </c>
      <c r="S4007" s="592"/>
      <c r="T4007" s="592"/>
      <c r="U4007" s="591"/>
      <c r="V4007" s="592"/>
      <c r="W4007" s="592"/>
      <c r="X4007" s="592"/>
      <c r="Y4007" s="592"/>
      <c r="Z4007" s="592"/>
    </row>
    <row r="4008" spans="1:26" s="28" customFormat="1" ht="37.5" hidden="1">
      <c r="A4008" s="580">
        <f t="shared" si="601"/>
        <v>88</v>
      </c>
      <c r="B4008" s="1229" t="s">
        <v>3208</v>
      </c>
      <c r="C4008" s="593" t="s">
        <v>298</v>
      </c>
      <c r="D4008" s="895">
        <f t="shared" si="600"/>
        <v>7535.0689655172418</v>
      </c>
      <c r="E4008" s="602">
        <v>1344.72</v>
      </c>
      <c r="F4008" s="602" t="s">
        <v>251</v>
      </c>
      <c r="G4008" s="602">
        <v>534</v>
      </c>
      <c r="H4008" s="602">
        <v>3</v>
      </c>
      <c r="I4008" s="602">
        <v>2</v>
      </c>
      <c r="J4008" s="602">
        <v>54</v>
      </c>
      <c r="K4008" s="679" t="s">
        <v>33</v>
      </c>
      <c r="L4008" s="584">
        <f t="shared" si="603"/>
        <v>1557197</v>
      </c>
      <c r="M4008" s="585">
        <v>1495200</v>
      </c>
      <c r="N4008" s="893">
        <v>30000</v>
      </c>
      <c r="O4008" s="1230"/>
      <c r="P4008" s="893"/>
      <c r="Q4008" s="586">
        <v>31997</v>
      </c>
      <c r="R4008" s="582">
        <f>M4008/G4008</f>
        <v>2800</v>
      </c>
      <c r="S4008" s="592"/>
      <c r="T4008" s="592"/>
      <c r="U4008" s="591"/>
      <c r="V4008" s="592"/>
      <c r="W4008" s="592"/>
      <c r="X4008" s="592"/>
      <c r="Y4008" s="592"/>
      <c r="Z4008" s="592"/>
    </row>
    <row r="4009" spans="1:26" s="36" customFormat="1" ht="37.5" hidden="1">
      <c r="A4009" s="591">
        <f t="shared" si="601"/>
        <v>89</v>
      </c>
      <c r="B4009" s="592" t="s">
        <v>3209</v>
      </c>
      <c r="C4009" s="593" t="s">
        <v>298</v>
      </c>
      <c r="D4009" s="913">
        <f t="shared" si="600"/>
        <v>23024.568965517243</v>
      </c>
      <c r="E4009" s="593">
        <v>4109</v>
      </c>
      <c r="F4009" s="593" t="s">
        <v>218</v>
      </c>
      <c r="G4009" s="593">
        <v>650</v>
      </c>
      <c r="H4009" s="594">
        <v>9</v>
      </c>
      <c r="I4009" s="594">
        <v>2</v>
      </c>
      <c r="J4009" s="599">
        <v>64</v>
      </c>
      <c r="K4009" s="606" t="s">
        <v>219</v>
      </c>
      <c r="L4009" s="562">
        <f t="shared" si="603"/>
        <v>4106250</v>
      </c>
      <c r="M4009" s="596">
        <v>4000000</v>
      </c>
      <c r="N4009" s="564">
        <v>106250</v>
      </c>
      <c r="O4009" s="565"/>
      <c r="P4009" s="564"/>
      <c r="Q4009" s="586"/>
      <c r="R4009" s="582">
        <f>M4009/I4009</f>
        <v>2000000</v>
      </c>
      <c r="S4009" s="593"/>
      <c r="T4009" s="593"/>
      <c r="U4009" s="591"/>
      <c r="V4009" s="589"/>
      <c r="W4009" s="593"/>
      <c r="X4009" s="593"/>
      <c r="Y4009" s="593"/>
      <c r="Z4009" s="593"/>
    </row>
    <row r="4010" spans="1:26" s="36" customFormat="1" ht="37.5" hidden="1">
      <c r="A4010" s="591">
        <f t="shared" si="601"/>
        <v>90</v>
      </c>
      <c r="B4010" s="592" t="s">
        <v>3210</v>
      </c>
      <c r="C4010" s="593" t="s">
        <v>298</v>
      </c>
      <c r="D4010" s="602">
        <f t="shared" si="600"/>
        <v>41331.034482758623</v>
      </c>
      <c r="E4010" s="602">
        <v>7376</v>
      </c>
      <c r="F4010" s="593" t="s">
        <v>218</v>
      </c>
      <c r="G4010" s="602">
        <v>3300</v>
      </c>
      <c r="H4010" s="602">
        <v>5</v>
      </c>
      <c r="I4010" s="602">
        <v>14</v>
      </c>
      <c r="J4010" s="582">
        <v>190</v>
      </c>
      <c r="K4010" s="590" t="s">
        <v>33</v>
      </c>
      <c r="L4010" s="562">
        <f t="shared" si="603"/>
        <v>8104019</v>
      </c>
      <c r="M4010" s="585">
        <f>ROUND(G4010*2397.27,0)</f>
        <v>7910991</v>
      </c>
      <c r="N4010" s="586"/>
      <c r="O4010" s="587">
        <f>ROUND(M4010*0.3%,0)</f>
        <v>23733</v>
      </c>
      <c r="P4010" s="586"/>
      <c r="Q4010" s="586">
        <f>ROUND(M4010*2.14%,0)</f>
        <v>169295</v>
      </c>
      <c r="R4010" s="582">
        <f>M4010/G4010</f>
        <v>2397.27</v>
      </c>
      <c r="S4010" s="593"/>
      <c r="T4010" s="593"/>
      <c r="U4010" s="591"/>
      <c r="V4010" s="593"/>
      <c r="W4010" s="593"/>
      <c r="X4010" s="593"/>
      <c r="Y4010" s="593"/>
      <c r="Z4010" s="593"/>
    </row>
    <row r="4011" spans="1:26" s="36" customFormat="1" ht="37.5" hidden="1">
      <c r="A4011" s="591">
        <f t="shared" si="601"/>
        <v>91</v>
      </c>
      <c r="B4011" s="592" t="s">
        <v>3211</v>
      </c>
      <c r="C4011" s="593" t="s">
        <v>298</v>
      </c>
      <c r="D4011" s="913">
        <f t="shared" si="600"/>
        <v>8389.4827586206902</v>
      </c>
      <c r="E4011" s="602">
        <v>1497.2</v>
      </c>
      <c r="F4011" s="602" t="s">
        <v>251</v>
      </c>
      <c r="G4011" s="602">
        <v>1504</v>
      </c>
      <c r="H4011" s="602">
        <v>4</v>
      </c>
      <c r="I4011" s="602">
        <v>4</v>
      </c>
      <c r="J4011" s="582">
        <v>64</v>
      </c>
      <c r="K4011" s="606" t="s">
        <v>30</v>
      </c>
      <c r="L4011" s="562">
        <f t="shared" si="603"/>
        <v>1311232</v>
      </c>
      <c r="M4011" s="585">
        <f>J4011*20000</f>
        <v>1280000</v>
      </c>
      <c r="N4011" s="586"/>
      <c r="O4011" s="587">
        <f>ROUND(M4011*0.3%,0)</f>
        <v>3840</v>
      </c>
      <c r="P4011" s="586"/>
      <c r="Q4011" s="586">
        <f>ROUND(M4011*2.14%,0)</f>
        <v>27392</v>
      </c>
      <c r="R4011" s="582">
        <f>M4011/J4011</f>
        <v>20000</v>
      </c>
      <c r="S4011" s="593"/>
      <c r="T4011" s="593"/>
      <c r="U4011" s="591"/>
      <c r="V4011" s="593"/>
      <c r="W4011" s="593"/>
      <c r="X4011" s="593"/>
      <c r="Y4011" s="593"/>
      <c r="Z4011" s="593"/>
    </row>
    <row r="4012" spans="1:26" s="36" customFormat="1" ht="37.5" hidden="1">
      <c r="A4012" s="591">
        <f t="shared" si="601"/>
        <v>92</v>
      </c>
      <c r="B4012" s="592" t="s">
        <v>3212</v>
      </c>
      <c r="C4012" s="593" t="s">
        <v>298</v>
      </c>
      <c r="D4012" s="913">
        <f t="shared" si="600"/>
        <v>6402.7241379310353</v>
      </c>
      <c r="E4012" s="602">
        <v>1142.6400000000001</v>
      </c>
      <c r="F4012" s="593" t="s">
        <v>218</v>
      </c>
      <c r="G4012" s="602">
        <v>390</v>
      </c>
      <c r="H4012" s="602">
        <v>4</v>
      </c>
      <c r="I4012" s="602">
        <v>2</v>
      </c>
      <c r="J4012" s="582">
        <v>32</v>
      </c>
      <c r="K4012" s="606" t="s">
        <v>30</v>
      </c>
      <c r="L4012" s="562">
        <f t="shared" si="603"/>
        <v>655616</v>
      </c>
      <c r="M4012" s="585">
        <f>J4012*20000</f>
        <v>640000</v>
      </c>
      <c r="N4012" s="586"/>
      <c r="O4012" s="587">
        <f>ROUND(M4012*0.3%,0)</f>
        <v>1920</v>
      </c>
      <c r="P4012" s="586"/>
      <c r="Q4012" s="586">
        <f>ROUND(M4012*2.14%,0)</f>
        <v>13696</v>
      </c>
      <c r="R4012" s="582">
        <f>M4012/J4012</f>
        <v>20000</v>
      </c>
      <c r="S4012" s="593"/>
      <c r="T4012" s="593"/>
      <c r="U4012" s="591"/>
      <c r="V4012" s="593"/>
      <c r="W4012" s="593"/>
      <c r="X4012" s="593"/>
      <c r="Y4012" s="593"/>
      <c r="Z4012" s="593"/>
    </row>
    <row r="4013" spans="1:26" s="36" customFormat="1" ht="37.5" hidden="1">
      <c r="A4013" s="591">
        <f t="shared" si="601"/>
        <v>93</v>
      </c>
      <c r="B4013" s="592" t="s">
        <v>3213</v>
      </c>
      <c r="C4013" s="593" t="s">
        <v>298</v>
      </c>
      <c r="D4013" s="913">
        <f t="shared" si="600"/>
        <v>13616.37931034483</v>
      </c>
      <c r="E4013" s="602">
        <v>2430</v>
      </c>
      <c r="F4013" s="593" t="s">
        <v>218</v>
      </c>
      <c r="G4013" s="602">
        <v>1155</v>
      </c>
      <c r="H4013" s="602">
        <v>5</v>
      </c>
      <c r="I4013" s="602">
        <v>4</v>
      </c>
      <c r="J4013" s="582">
        <v>78</v>
      </c>
      <c r="K4013" s="606" t="s">
        <v>33</v>
      </c>
      <c r="L4013" s="562">
        <f t="shared" si="603"/>
        <v>2836407</v>
      </c>
      <c r="M4013" s="585">
        <f>ROUND(G4013*2397.27,0)</f>
        <v>2768847</v>
      </c>
      <c r="N4013" s="586"/>
      <c r="O4013" s="587">
        <f>ROUND(M4013*0.3%,0)</f>
        <v>8307</v>
      </c>
      <c r="P4013" s="586"/>
      <c r="Q4013" s="586">
        <f>ROUND(M4013*2.14%,0)</f>
        <v>59253</v>
      </c>
      <c r="R4013" s="582">
        <f>M4013/G4013</f>
        <v>2397.2701298701299</v>
      </c>
      <c r="S4013" s="593"/>
      <c r="T4013" s="593"/>
      <c r="U4013" s="591"/>
      <c r="V4013" s="593"/>
      <c r="W4013" s="593"/>
      <c r="X4013" s="593"/>
      <c r="Y4013" s="593"/>
      <c r="Z4013" s="593"/>
    </row>
    <row r="4014" spans="1:26" s="36" customFormat="1" ht="37.5" hidden="1">
      <c r="A4014" s="591">
        <f t="shared" si="601"/>
        <v>94</v>
      </c>
      <c r="B4014" s="592" t="s">
        <v>3214</v>
      </c>
      <c r="C4014" s="593" t="s">
        <v>298</v>
      </c>
      <c r="D4014" s="913">
        <f t="shared" si="600"/>
        <v>18872.413793103449</v>
      </c>
      <c r="E4014" s="608">
        <v>3368</v>
      </c>
      <c r="F4014" s="593" t="s">
        <v>218</v>
      </c>
      <c r="G4014" s="608">
        <v>845</v>
      </c>
      <c r="H4014" s="608">
        <v>9</v>
      </c>
      <c r="I4014" s="608">
        <v>2</v>
      </c>
      <c r="J4014" s="599">
        <v>64</v>
      </c>
      <c r="K4014" s="590" t="s">
        <v>30</v>
      </c>
      <c r="L4014" s="1401">
        <f>M4014+N4014+O4014+P4014+Q4014+M4015+N4015+O4015+P4015+Q4015</f>
        <v>5876413</v>
      </c>
      <c r="M4014" s="585">
        <f>J4014*27000</f>
        <v>1728000</v>
      </c>
      <c r="N4014" s="586"/>
      <c r="O4014" s="587">
        <f>ROUND(M4014*0.3%,0)</f>
        <v>5184</v>
      </c>
      <c r="P4014" s="586"/>
      <c r="Q4014" s="586">
        <f>ROUND(M4014*2.14%,0)</f>
        <v>36979</v>
      </c>
      <c r="R4014" s="582">
        <f>M4014/J4014</f>
        <v>27000</v>
      </c>
      <c r="S4014" s="593"/>
      <c r="T4014" s="593"/>
      <c r="U4014" s="591"/>
      <c r="V4014" s="593"/>
      <c r="W4014" s="593"/>
      <c r="X4014" s="593"/>
      <c r="Y4014" s="593"/>
      <c r="Z4014" s="593"/>
    </row>
    <row r="4015" spans="1:26" s="36" customFormat="1" ht="37.5" hidden="1">
      <c r="A4015" s="591"/>
      <c r="B4015" s="592"/>
      <c r="C4015" s="593"/>
      <c r="D4015" s="913"/>
      <c r="E4015" s="593"/>
      <c r="F4015" s="593"/>
      <c r="G4015" s="593"/>
      <c r="H4015" s="594"/>
      <c r="I4015" s="594"/>
      <c r="J4015" s="599"/>
      <c r="K4015" s="606" t="s">
        <v>219</v>
      </c>
      <c r="L4015" s="1401"/>
      <c r="M4015" s="596">
        <v>4000000</v>
      </c>
      <c r="N4015" s="564">
        <v>106250</v>
      </c>
      <c r="O4015" s="565"/>
      <c r="P4015" s="564"/>
      <c r="Q4015" s="586"/>
      <c r="R4015" s="582">
        <f>M4015/I4014</f>
        <v>2000000</v>
      </c>
      <c r="S4015" s="593"/>
      <c r="T4015" s="593"/>
      <c r="U4015" s="591"/>
      <c r="V4015" s="589"/>
      <c r="W4015" s="593"/>
      <c r="X4015" s="593"/>
      <c r="Y4015" s="593"/>
      <c r="Z4015" s="593"/>
    </row>
    <row r="4016" spans="1:26" s="36" customFormat="1" ht="37.5" hidden="1">
      <c r="A4016" s="591">
        <f>A4014+1</f>
        <v>95</v>
      </c>
      <c r="B4016" s="592" t="s">
        <v>3215</v>
      </c>
      <c r="C4016" s="593" t="s">
        <v>298</v>
      </c>
      <c r="D4016" s="913">
        <f t="shared" si="600"/>
        <v>10049.224137931036</v>
      </c>
      <c r="E4016" s="602">
        <v>1793.4</v>
      </c>
      <c r="F4016" s="593" t="s">
        <v>218</v>
      </c>
      <c r="G4016" s="602">
        <v>1260</v>
      </c>
      <c r="H4016" s="602">
        <v>5</v>
      </c>
      <c r="I4016" s="602">
        <v>4</v>
      </c>
      <c r="J4016" s="582">
        <v>70</v>
      </c>
      <c r="K4016" s="606" t="s">
        <v>33</v>
      </c>
      <c r="L4016" s="562">
        <f t="shared" ref="L4016:L4034" si="605">SUM(M4016:Q4016)</f>
        <v>3094262</v>
      </c>
      <c r="M4016" s="585">
        <f>ROUND(G4016*2397.27,0)</f>
        <v>3020560</v>
      </c>
      <c r="N4016" s="586"/>
      <c r="O4016" s="587">
        <f t="shared" ref="O4016:O4022" si="606">ROUND(M4016*0.3%,0)</f>
        <v>9062</v>
      </c>
      <c r="P4016" s="586"/>
      <c r="Q4016" s="586">
        <f t="shared" ref="Q4016:Q4022" si="607">ROUND(M4016*2.14%,0)</f>
        <v>64640</v>
      </c>
      <c r="R4016" s="582">
        <f t="shared" ref="R4016:R4022" si="608">M4016/G4016</f>
        <v>2397.2698412698414</v>
      </c>
      <c r="S4016" s="593"/>
      <c r="T4016" s="593"/>
      <c r="U4016" s="591"/>
      <c r="V4016" s="593"/>
      <c r="W4016" s="593"/>
      <c r="X4016" s="593"/>
      <c r="Y4016" s="593"/>
      <c r="Z4016" s="593"/>
    </row>
    <row r="4017" spans="1:26" s="36" customFormat="1" ht="37.5" hidden="1">
      <c r="A4017" s="591">
        <f t="shared" si="601"/>
        <v>96</v>
      </c>
      <c r="B4017" s="592" t="s">
        <v>3216</v>
      </c>
      <c r="C4017" s="593" t="s">
        <v>298</v>
      </c>
      <c r="D4017" s="913">
        <f t="shared" si="600"/>
        <v>8463.4482758620707</v>
      </c>
      <c r="E4017" s="602">
        <v>1510.4</v>
      </c>
      <c r="F4017" s="593" t="s">
        <v>218</v>
      </c>
      <c r="G4017" s="602">
        <v>1029.4000000000001</v>
      </c>
      <c r="H4017" s="602">
        <v>5</v>
      </c>
      <c r="I4017" s="602">
        <v>4</v>
      </c>
      <c r="J4017" s="582">
        <v>70</v>
      </c>
      <c r="K4017" s="606" t="s">
        <v>33</v>
      </c>
      <c r="L4017" s="562">
        <f t="shared" si="605"/>
        <v>2527963</v>
      </c>
      <c r="M4017" s="585">
        <f>ROUND(G4017*2397.27,0)</f>
        <v>2467750</v>
      </c>
      <c r="N4017" s="586"/>
      <c r="O4017" s="587">
        <f t="shared" si="606"/>
        <v>7403</v>
      </c>
      <c r="P4017" s="586"/>
      <c r="Q4017" s="586">
        <f t="shared" si="607"/>
        <v>52810</v>
      </c>
      <c r="R4017" s="582">
        <f t="shared" si="608"/>
        <v>2397.2702545171942</v>
      </c>
      <c r="S4017" s="593"/>
      <c r="T4017" s="593"/>
      <c r="U4017" s="591"/>
      <c r="V4017" s="593"/>
      <c r="W4017" s="593"/>
      <c r="X4017" s="593"/>
      <c r="Y4017" s="593"/>
      <c r="Z4017" s="593"/>
    </row>
    <row r="4018" spans="1:26" s="36" customFormat="1" ht="37.5" hidden="1">
      <c r="A4018" s="591">
        <f t="shared" si="601"/>
        <v>97</v>
      </c>
      <c r="B4018" s="592" t="s">
        <v>3217</v>
      </c>
      <c r="C4018" s="593" t="s">
        <v>298</v>
      </c>
      <c r="D4018" s="913">
        <f t="shared" si="600"/>
        <v>10087.327586206899</v>
      </c>
      <c r="E4018" s="602">
        <v>1800.2</v>
      </c>
      <c r="F4018" s="593" t="s">
        <v>218</v>
      </c>
      <c r="G4018" s="602">
        <v>884.2</v>
      </c>
      <c r="H4018" s="602">
        <v>5</v>
      </c>
      <c r="I4018" s="602">
        <v>4</v>
      </c>
      <c r="J4018" s="582">
        <v>60</v>
      </c>
      <c r="K4018" s="606" t="s">
        <v>33</v>
      </c>
      <c r="L4018" s="562">
        <f t="shared" si="605"/>
        <v>2170770</v>
      </c>
      <c r="M4018" s="585">
        <f>ROUND(G4018*2397.27,0)-601</f>
        <v>2119065</v>
      </c>
      <c r="N4018" s="586"/>
      <c r="O4018" s="587">
        <f t="shared" si="606"/>
        <v>6357</v>
      </c>
      <c r="P4018" s="586"/>
      <c r="Q4018" s="586">
        <f t="shared" si="607"/>
        <v>45348</v>
      </c>
      <c r="R4018" s="582">
        <f t="shared" si="608"/>
        <v>2396.5901379778329</v>
      </c>
      <c r="S4018" s="593"/>
      <c r="T4018" s="593"/>
      <c r="U4018" s="591"/>
      <c r="V4018" s="593"/>
      <c r="W4018" s="593"/>
      <c r="X4018" s="593"/>
      <c r="Y4018" s="593"/>
      <c r="Z4018" s="593"/>
    </row>
    <row r="4019" spans="1:26" s="36" customFormat="1" ht="37.5" hidden="1">
      <c r="A4019" s="591">
        <f t="shared" si="601"/>
        <v>98</v>
      </c>
      <c r="B4019" s="592" t="s">
        <v>3218</v>
      </c>
      <c r="C4019" s="593" t="s">
        <v>298</v>
      </c>
      <c r="D4019" s="602">
        <f t="shared" si="600"/>
        <v>12798.275862068967</v>
      </c>
      <c r="E4019" s="602">
        <v>2284</v>
      </c>
      <c r="F4019" s="593" t="s">
        <v>218</v>
      </c>
      <c r="G4019" s="602">
        <v>968</v>
      </c>
      <c r="H4019" s="602">
        <v>5</v>
      </c>
      <c r="I4019" s="602">
        <v>4</v>
      </c>
      <c r="J4019" s="582">
        <v>80</v>
      </c>
      <c r="K4019" s="590" t="s">
        <v>33</v>
      </c>
      <c r="L4019" s="562">
        <f t="shared" si="605"/>
        <v>2377179</v>
      </c>
      <c r="M4019" s="585">
        <f>ROUND(G4019*2397.27,0)</f>
        <v>2320557</v>
      </c>
      <c r="N4019" s="586"/>
      <c r="O4019" s="587">
        <f t="shared" si="606"/>
        <v>6962</v>
      </c>
      <c r="P4019" s="586"/>
      <c r="Q4019" s="586">
        <f t="shared" si="607"/>
        <v>49660</v>
      </c>
      <c r="R4019" s="582">
        <f t="shared" si="608"/>
        <v>2397.2696280991736</v>
      </c>
      <c r="S4019" s="593"/>
      <c r="T4019" s="593"/>
      <c r="U4019" s="591"/>
      <c r="V4019" s="593"/>
      <c r="W4019" s="593"/>
      <c r="X4019" s="593"/>
      <c r="Y4019" s="593"/>
      <c r="Z4019" s="593"/>
    </row>
    <row r="4020" spans="1:26" s="36" customFormat="1" ht="37.5" hidden="1">
      <c r="A4020" s="591">
        <f t="shared" si="601"/>
        <v>99</v>
      </c>
      <c r="B4020" s="592" t="s">
        <v>3219</v>
      </c>
      <c r="C4020" s="593" t="s">
        <v>298</v>
      </c>
      <c r="D4020" s="602">
        <f t="shared" si="600"/>
        <v>12764.655172413793</v>
      </c>
      <c r="E4020" s="602">
        <v>2278</v>
      </c>
      <c r="F4020" s="593" t="s">
        <v>218</v>
      </c>
      <c r="G4020" s="602">
        <v>961</v>
      </c>
      <c r="H4020" s="602">
        <v>5</v>
      </c>
      <c r="I4020" s="602">
        <v>4</v>
      </c>
      <c r="J4020" s="582">
        <v>80</v>
      </c>
      <c r="K4020" s="590" t="s">
        <v>33</v>
      </c>
      <c r="L4020" s="562">
        <f t="shared" si="605"/>
        <v>2359988</v>
      </c>
      <c r="M4020" s="585">
        <f>ROUND(G4020*2397.27,0)</f>
        <v>2303776</v>
      </c>
      <c r="N4020" s="586"/>
      <c r="O4020" s="587">
        <f t="shared" si="606"/>
        <v>6911</v>
      </c>
      <c r="P4020" s="586"/>
      <c r="Q4020" s="586">
        <f t="shared" si="607"/>
        <v>49301</v>
      </c>
      <c r="R4020" s="582">
        <f t="shared" si="608"/>
        <v>2397.2695109261185</v>
      </c>
      <c r="S4020" s="593"/>
      <c r="T4020" s="593"/>
      <c r="U4020" s="591"/>
      <c r="V4020" s="593"/>
      <c r="W4020" s="593"/>
      <c r="X4020" s="593"/>
      <c r="Y4020" s="593"/>
      <c r="Z4020" s="593"/>
    </row>
    <row r="4021" spans="1:26" s="36" customFormat="1" ht="37.5" hidden="1">
      <c r="A4021" s="591">
        <f t="shared" si="601"/>
        <v>100</v>
      </c>
      <c r="B4021" s="592" t="s">
        <v>3220</v>
      </c>
      <c r="C4021" s="593" t="s">
        <v>298</v>
      </c>
      <c r="D4021" s="913">
        <f t="shared" si="600"/>
        <v>10568.103448275864</v>
      </c>
      <c r="E4021" s="608">
        <v>1886</v>
      </c>
      <c r="F4021" s="593" t="s">
        <v>218</v>
      </c>
      <c r="G4021" s="608">
        <v>1053</v>
      </c>
      <c r="H4021" s="608">
        <v>5</v>
      </c>
      <c r="I4021" s="608">
        <v>1</v>
      </c>
      <c r="J4021" s="599">
        <v>160</v>
      </c>
      <c r="K4021" s="606" t="s">
        <v>33</v>
      </c>
      <c r="L4021" s="562">
        <f t="shared" si="605"/>
        <v>2585919</v>
      </c>
      <c r="M4021" s="585">
        <f>ROUND(G4021*2397.27,0)</f>
        <v>2524325</v>
      </c>
      <c r="N4021" s="586"/>
      <c r="O4021" s="587">
        <f t="shared" si="606"/>
        <v>7573</v>
      </c>
      <c r="P4021" s="586"/>
      <c r="Q4021" s="586">
        <f t="shared" si="607"/>
        <v>54021</v>
      </c>
      <c r="R4021" s="582">
        <f t="shared" si="608"/>
        <v>2397.2697056030388</v>
      </c>
      <c r="S4021" s="593"/>
      <c r="T4021" s="593"/>
      <c r="U4021" s="591"/>
      <c r="V4021" s="593"/>
      <c r="W4021" s="593"/>
      <c r="X4021" s="593"/>
      <c r="Y4021" s="593"/>
      <c r="Z4021" s="593"/>
    </row>
    <row r="4022" spans="1:26" s="36" customFormat="1" ht="37.5" hidden="1">
      <c r="A4022" s="591">
        <f t="shared" si="601"/>
        <v>101</v>
      </c>
      <c r="B4022" s="592" t="s">
        <v>3221</v>
      </c>
      <c r="C4022" s="593" t="s">
        <v>298</v>
      </c>
      <c r="D4022" s="913">
        <f>E4022/1.16/2*13</f>
        <v>13569.310344827585</v>
      </c>
      <c r="E4022" s="602">
        <v>2421.6</v>
      </c>
      <c r="F4022" s="593" t="s">
        <v>218</v>
      </c>
      <c r="G4022" s="602">
        <v>1032</v>
      </c>
      <c r="H4022" s="602">
        <v>5</v>
      </c>
      <c r="I4022" s="602">
        <v>5</v>
      </c>
      <c r="J4022" s="582">
        <v>65</v>
      </c>
      <c r="K4022" s="679" t="s">
        <v>33</v>
      </c>
      <c r="L4022" s="562">
        <f t="shared" si="605"/>
        <v>2534348</v>
      </c>
      <c r="M4022" s="585">
        <f>ROUND(G4022*2397.27,0)</f>
        <v>2473983</v>
      </c>
      <c r="N4022" s="586"/>
      <c r="O4022" s="587">
        <f t="shared" si="606"/>
        <v>7422</v>
      </c>
      <c r="P4022" s="586"/>
      <c r="Q4022" s="586">
        <f t="shared" si="607"/>
        <v>52943</v>
      </c>
      <c r="R4022" s="582">
        <f t="shared" si="608"/>
        <v>2397.2703488372094</v>
      </c>
      <c r="S4022" s="593"/>
      <c r="T4022" s="593"/>
      <c r="U4022" s="591"/>
      <c r="V4022" s="593"/>
      <c r="W4022" s="593"/>
      <c r="X4022" s="593"/>
      <c r="Y4022" s="593"/>
      <c r="Z4022" s="593"/>
    </row>
    <row r="4023" spans="1:26" s="103" customFormat="1" ht="37.5" hidden="1">
      <c r="A4023" s="591">
        <f t="shared" ref="A4023:A4034" si="609">A4022+1</f>
        <v>102</v>
      </c>
      <c r="B4023" s="592" t="s">
        <v>3978</v>
      </c>
      <c r="C4023" s="709" t="s">
        <v>314</v>
      </c>
      <c r="D4023" s="561">
        <f>E4023/1.16/2*13</f>
        <v>21382.758620689659</v>
      </c>
      <c r="E4023" s="561">
        <v>3816</v>
      </c>
      <c r="F4023" s="561" t="s">
        <v>3662</v>
      </c>
      <c r="G4023" s="561">
        <v>708</v>
      </c>
      <c r="H4023" s="1106">
        <v>2</v>
      </c>
      <c r="I4023" s="594">
        <v>9</v>
      </c>
      <c r="J4023" s="594">
        <v>106</v>
      </c>
      <c r="K4023" s="606" t="s">
        <v>219</v>
      </c>
      <c r="L4023" s="563">
        <f t="shared" si="605"/>
        <v>4106250</v>
      </c>
      <c r="M4023" s="585">
        <v>4000000</v>
      </c>
      <c r="N4023" s="564">
        <v>106250</v>
      </c>
      <c r="O4023" s="587"/>
      <c r="P4023" s="586"/>
      <c r="Q4023" s="586"/>
      <c r="R4023" s="582">
        <v>2000000</v>
      </c>
      <c r="S4023" s="560"/>
      <c r="T4023" s="558"/>
      <c r="U4023" s="560"/>
      <c r="V4023" s="560"/>
      <c r="W4023" s="560"/>
      <c r="X4023" s="560"/>
      <c r="Y4023" s="560"/>
      <c r="Z4023" s="560"/>
    </row>
    <row r="4024" spans="1:26" s="103" customFormat="1" ht="37.5" hidden="1">
      <c r="A4024" s="591">
        <f t="shared" si="609"/>
        <v>103</v>
      </c>
      <c r="B4024" s="592" t="s">
        <v>3979</v>
      </c>
      <c r="C4024" s="709" t="s">
        <v>217</v>
      </c>
      <c r="D4024" s="561">
        <f t="shared" ref="D4024:D4032" si="610">E4024/1.16/2*13</f>
        <v>16552.586206896551</v>
      </c>
      <c r="E4024" s="561">
        <v>2954</v>
      </c>
      <c r="F4024" s="561" t="s">
        <v>3662</v>
      </c>
      <c r="G4024" s="561">
        <v>660</v>
      </c>
      <c r="H4024" s="1109">
        <v>4</v>
      </c>
      <c r="I4024" s="594">
        <v>9</v>
      </c>
      <c r="J4024" s="594">
        <v>138</v>
      </c>
      <c r="K4024" s="606" t="s">
        <v>219</v>
      </c>
      <c r="L4024" s="563">
        <f t="shared" si="605"/>
        <v>4106250</v>
      </c>
      <c r="M4024" s="585">
        <v>4000000</v>
      </c>
      <c r="N4024" s="564">
        <v>106250</v>
      </c>
      <c r="O4024" s="587"/>
      <c r="P4024" s="586"/>
      <c r="Q4024" s="586"/>
      <c r="R4024" s="582">
        <v>2000000</v>
      </c>
      <c r="S4024" s="560"/>
      <c r="T4024" s="558"/>
      <c r="U4024" s="560"/>
      <c r="V4024" s="560"/>
      <c r="W4024" s="560"/>
      <c r="X4024" s="560"/>
      <c r="Y4024" s="560"/>
      <c r="Z4024" s="560"/>
    </row>
    <row r="4025" spans="1:26" s="103" customFormat="1" ht="37.5" hidden="1">
      <c r="A4025" s="591">
        <f t="shared" si="609"/>
        <v>104</v>
      </c>
      <c r="B4025" s="592" t="s">
        <v>3980</v>
      </c>
      <c r="C4025" s="709" t="s">
        <v>217</v>
      </c>
      <c r="D4025" s="561">
        <f t="shared" si="610"/>
        <v>23809.051724137935</v>
      </c>
      <c r="E4025" s="561">
        <v>4249</v>
      </c>
      <c r="F4025" s="561" t="s">
        <v>3662</v>
      </c>
      <c r="G4025" s="561">
        <v>1020</v>
      </c>
      <c r="H4025" s="1106">
        <v>2</v>
      </c>
      <c r="I4025" s="594">
        <v>9</v>
      </c>
      <c r="J4025" s="594">
        <v>76</v>
      </c>
      <c r="K4025" s="606" t="s">
        <v>219</v>
      </c>
      <c r="L4025" s="563">
        <f t="shared" si="605"/>
        <v>6127500</v>
      </c>
      <c r="M4025" s="585">
        <v>6000000</v>
      </c>
      <c r="N4025" s="564">
        <v>127500</v>
      </c>
      <c r="O4025" s="587"/>
      <c r="P4025" s="586"/>
      <c r="Q4025" s="586"/>
      <c r="R4025" s="582">
        <v>2000000</v>
      </c>
      <c r="S4025" s="560"/>
      <c r="T4025" s="558"/>
      <c r="U4025" s="560"/>
      <c r="V4025" s="560"/>
      <c r="W4025" s="560"/>
      <c r="X4025" s="560"/>
      <c r="Y4025" s="560"/>
      <c r="Z4025" s="560"/>
    </row>
    <row r="4026" spans="1:26" s="103" customFormat="1" ht="37.5" hidden="1">
      <c r="A4026" s="591">
        <f t="shared" si="609"/>
        <v>105</v>
      </c>
      <c r="B4026" s="592" t="s">
        <v>3981</v>
      </c>
      <c r="C4026" s="709" t="s">
        <v>217</v>
      </c>
      <c r="D4026" s="561">
        <f t="shared" si="610"/>
        <v>34096.982758620688</v>
      </c>
      <c r="E4026" s="561">
        <v>6085</v>
      </c>
      <c r="F4026" s="561" t="s">
        <v>3662</v>
      </c>
      <c r="G4026" s="561">
        <v>615</v>
      </c>
      <c r="H4026" s="1106">
        <v>2</v>
      </c>
      <c r="I4026" s="594">
        <v>9</v>
      </c>
      <c r="J4026" s="594">
        <v>72</v>
      </c>
      <c r="K4026" s="606" t="s">
        <v>219</v>
      </c>
      <c r="L4026" s="563">
        <f t="shared" si="605"/>
        <v>4106250</v>
      </c>
      <c r="M4026" s="585">
        <v>4000000</v>
      </c>
      <c r="N4026" s="564">
        <v>106250</v>
      </c>
      <c r="O4026" s="587"/>
      <c r="P4026" s="586"/>
      <c r="Q4026" s="586"/>
      <c r="R4026" s="582">
        <v>2000000</v>
      </c>
      <c r="S4026" s="560"/>
      <c r="T4026" s="558"/>
      <c r="U4026" s="560"/>
      <c r="V4026" s="560"/>
      <c r="W4026" s="560"/>
      <c r="X4026" s="560"/>
      <c r="Y4026" s="560"/>
      <c r="Z4026" s="560"/>
    </row>
    <row r="4027" spans="1:26" s="103" customFormat="1" ht="37.5" hidden="1">
      <c r="A4027" s="591">
        <f t="shared" si="609"/>
        <v>106</v>
      </c>
      <c r="B4027" s="1231" t="s">
        <v>3560</v>
      </c>
      <c r="C4027" s="709" t="s">
        <v>217</v>
      </c>
      <c r="D4027" s="561">
        <f t="shared" si="610"/>
        <v>19841.810344827587</v>
      </c>
      <c r="E4027" s="561">
        <v>3541</v>
      </c>
      <c r="F4027" s="561" t="s">
        <v>3662</v>
      </c>
      <c r="G4027" s="561">
        <v>967</v>
      </c>
      <c r="H4027" s="1108">
        <v>3</v>
      </c>
      <c r="I4027" s="602">
        <v>9</v>
      </c>
      <c r="J4027" s="602">
        <v>108</v>
      </c>
      <c r="K4027" s="606" t="s">
        <v>219</v>
      </c>
      <c r="L4027" s="563">
        <f t="shared" si="605"/>
        <v>6127500</v>
      </c>
      <c r="M4027" s="585">
        <v>6000000</v>
      </c>
      <c r="N4027" s="564">
        <v>127500</v>
      </c>
      <c r="O4027" s="587"/>
      <c r="P4027" s="586"/>
      <c r="Q4027" s="586"/>
      <c r="R4027" s="582">
        <v>2000000</v>
      </c>
      <c r="S4027" s="560"/>
      <c r="T4027" s="558"/>
      <c r="U4027" s="560"/>
      <c r="V4027" s="560"/>
      <c r="W4027" s="560"/>
      <c r="X4027" s="560"/>
      <c r="Y4027" s="560"/>
      <c r="Z4027" s="560"/>
    </row>
    <row r="4028" spans="1:26" s="103" customFormat="1" ht="37.5" hidden="1">
      <c r="A4028" s="591">
        <f t="shared" si="609"/>
        <v>107</v>
      </c>
      <c r="B4028" s="592" t="s">
        <v>3982</v>
      </c>
      <c r="C4028" s="709" t="s">
        <v>217</v>
      </c>
      <c r="D4028" s="561">
        <f t="shared" si="610"/>
        <v>20402.155172413797</v>
      </c>
      <c r="E4028" s="561">
        <v>3641</v>
      </c>
      <c r="F4028" s="561" t="s">
        <v>3662</v>
      </c>
      <c r="G4028" s="561">
        <v>684</v>
      </c>
      <c r="H4028" s="1106">
        <v>2</v>
      </c>
      <c r="I4028" s="594">
        <v>9</v>
      </c>
      <c r="J4028" s="594">
        <v>72</v>
      </c>
      <c r="K4028" s="606" t="s">
        <v>219</v>
      </c>
      <c r="L4028" s="563">
        <f t="shared" si="605"/>
        <v>4106250</v>
      </c>
      <c r="M4028" s="585">
        <v>4000000</v>
      </c>
      <c r="N4028" s="564">
        <v>106250</v>
      </c>
      <c r="O4028" s="587"/>
      <c r="P4028" s="586"/>
      <c r="Q4028" s="586"/>
      <c r="R4028" s="582">
        <v>2000000</v>
      </c>
      <c r="S4028" s="560"/>
      <c r="T4028" s="558"/>
      <c r="U4028" s="560"/>
      <c r="V4028" s="560"/>
      <c r="W4028" s="560"/>
      <c r="X4028" s="560"/>
      <c r="Y4028" s="560"/>
      <c r="Z4028" s="560"/>
    </row>
    <row r="4029" spans="1:26" s="103" customFormat="1" ht="37.5" hidden="1">
      <c r="A4029" s="591">
        <f t="shared" si="609"/>
        <v>108</v>
      </c>
      <c r="B4029" s="592" t="s">
        <v>3983</v>
      </c>
      <c r="C4029" s="709" t="s">
        <v>217</v>
      </c>
      <c r="D4029" s="561">
        <f t="shared" si="610"/>
        <v>20402.155172413797</v>
      </c>
      <c r="E4029" s="561">
        <v>3641</v>
      </c>
      <c r="F4029" s="561" t="s">
        <v>3662</v>
      </c>
      <c r="G4029" s="561">
        <v>694</v>
      </c>
      <c r="H4029" s="1106">
        <v>2</v>
      </c>
      <c r="I4029" s="594">
        <v>9</v>
      </c>
      <c r="J4029" s="594">
        <v>71</v>
      </c>
      <c r="K4029" s="606" t="s">
        <v>219</v>
      </c>
      <c r="L4029" s="563">
        <f t="shared" si="605"/>
        <v>4106250</v>
      </c>
      <c r="M4029" s="585">
        <v>4000000</v>
      </c>
      <c r="N4029" s="564">
        <v>106250</v>
      </c>
      <c r="O4029" s="587"/>
      <c r="P4029" s="586"/>
      <c r="Q4029" s="586"/>
      <c r="R4029" s="582">
        <v>2000000</v>
      </c>
      <c r="S4029" s="560"/>
      <c r="T4029" s="558"/>
      <c r="U4029" s="560"/>
      <c r="V4029" s="560"/>
      <c r="W4029" s="560"/>
      <c r="X4029" s="560"/>
      <c r="Y4029" s="560"/>
      <c r="Z4029" s="560"/>
    </row>
    <row r="4030" spans="1:26" s="103" customFormat="1" ht="37.5" hidden="1">
      <c r="A4030" s="591">
        <f t="shared" si="609"/>
        <v>109</v>
      </c>
      <c r="B4030" s="1231" t="s">
        <v>3984</v>
      </c>
      <c r="C4030" s="709" t="s">
        <v>217</v>
      </c>
      <c r="D4030" s="561">
        <f t="shared" si="610"/>
        <v>26341.810344827587</v>
      </c>
      <c r="E4030" s="561">
        <v>4701</v>
      </c>
      <c r="F4030" s="561" t="s">
        <v>3662</v>
      </c>
      <c r="G4030" s="561">
        <v>979</v>
      </c>
      <c r="H4030" s="1108">
        <v>3</v>
      </c>
      <c r="I4030" s="602">
        <v>9</v>
      </c>
      <c r="J4030" s="602">
        <v>110</v>
      </c>
      <c r="K4030" s="606" t="s">
        <v>219</v>
      </c>
      <c r="L4030" s="563">
        <f t="shared" si="605"/>
        <v>6127500</v>
      </c>
      <c r="M4030" s="585">
        <v>6000000</v>
      </c>
      <c r="N4030" s="564">
        <v>127500</v>
      </c>
      <c r="O4030" s="587"/>
      <c r="P4030" s="586"/>
      <c r="Q4030" s="586"/>
      <c r="R4030" s="582">
        <v>2000000</v>
      </c>
      <c r="S4030" s="560"/>
      <c r="T4030" s="558"/>
      <c r="U4030" s="560"/>
      <c r="V4030" s="560"/>
      <c r="W4030" s="560"/>
      <c r="X4030" s="560"/>
      <c r="Y4030" s="560"/>
      <c r="Z4030" s="560"/>
    </row>
    <row r="4031" spans="1:26" s="103" customFormat="1" ht="37.5" hidden="1">
      <c r="A4031" s="591">
        <f t="shared" si="609"/>
        <v>110</v>
      </c>
      <c r="B4031" s="592" t="s">
        <v>3985</v>
      </c>
      <c r="C4031" s="714" t="s">
        <v>314</v>
      </c>
      <c r="D4031" s="561">
        <f t="shared" si="610"/>
        <v>12691.810344827587</v>
      </c>
      <c r="E4031" s="561">
        <v>2265</v>
      </c>
      <c r="F4031" s="561" t="s">
        <v>3662</v>
      </c>
      <c r="G4031" s="561">
        <v>427</v>
      </c>
      <c r="H4031" s="1106">
        <v>1</v>
      </c>
      <c r="I4031" s="594">
        <v>9</v>
      </c>
      <c r="J4031" s="594">
        <v>32</v>
      </c>
      <c r="K4031" s="606" t="s">
        <v>219</v>
      </c>
      <c r="L4031" s="563">
        <f t="shared" si="605"/>
        <v>2085000</v>
      </c>
      <c r="M4031" s="585">
        <v>2000000</v>
      </c>
      <c r="N4031" s="564">
        <v>85000</v>
      </c>
      <c r="O4031" s="587"/>
      <c r="P4031" s="586"/>
      <c r="Q4031" s="586"/>
      <c r="R4031" s="582">
        <v>2000000</v>
      </c>
      <c r="S4031" s="560"/>
      <c r="T4031" s="558"/>
      <c r="U4031" s="560"/>
      <c r="V4031" s="560"/>
      <c r="W4031" s="560"/>
      <c r="X4031" s="560"/>
      <c r="Y4031" s="560"/>
      <c r="Z4031" s="560"/>
    </row>
    <row r="4032" spans="1:26" s="103" customFormat="1" ht="37.5" hidden="1">
      <c r="A4032" s="591">
        <f t="shared" si="609"/>
        <v>111</v>
      </c>
      <c r="B4032" s="592" t="s">
        <v>3986</v>
      </c>
      <c r="C4032" s="714" t="s">
        <v>314</v>
      </c>
      <c r="D4032" s="561">
        <f t="shared" si="610"/>
        <v>12675.000000000002</v>
      </c>
      <c r="E4032" s="561">
        <v>2262</v>
      </c>
      <c r="F4032" s="561" t="s">
        <v>3662</v>
      </c>
      <c r="G4032" s="561">
        <v>990</v>
      </c>
      <c r="H4032" s="1106">
        <v>1</v>
      </c>
      <c r="I4032" s="594">
        <v>9</v>
      </c>
      <c r="J4032" s="594">
        <v>37</v>
      </c>
      <c r="K4032" s="606" t="s">
        <v>219</v>
      </c>
      <c r="L4032" s="563">
        <f t="shared" si="605"/>
        <v>2085000</v>
      </c>
      <c r="M4032" s="585">
        <v>2000000</v>
      </c>
      <c r="N4032" s="564">
        <v>85000</v>
      </c>
      <c r="O4032" s="587"/>
      <c r="P4032" s="586"/>
      <c r="Q4032" s="586"/>
      <c r="R4032" s="582">
        <v>2000000</v>
      </c>
      <c r="S4032" s="560"/>
      <c r="T4032" s="558"/>
      <c r="U4032" s="560"/>
      <c r="V4032" s="560"/>
      <c r="W4032" s="560"/>
      <c r="X4032" s="560"/>
      <c r="Y4032" s="560"/>
      <c r="Z4032" s="560"/>
    </row>
    <row r="4033" spans="1:26" s="103" customFormat="1" ht="37.5" hidden="1">
      <c r="A4033" s="591">
        <f t="shared" si="609"/>
        <v>112</v>
      </c>
      <c r="B4033" s="592" t="s">
        <v>3987</v>
      </c>
      <c r="C4033" s="709" t="s">
        <v>217</v>
      </c>
      <c r="D4033" s="561">
        <f>E4033/1.16/2*13</f>
        <v>23103.017241379312</v>
      </c>
      <c r="E4033" s="561">
        <v>4123</v>
      </c>
      <c r="F4033" s="561" t="s">
        <v>3662</v>
      </c>
      <c r="G4033" s="561">
        <v>655</v>
      </c>
      <c r="H4033" s="1106">
        <v>2</v>
      </c>
      <c r="I4033" s="594">
        <v>9</v>
      </c>
      <c r="J4033" s="594">
        <v>72</v>
      </c>
      <c r="K4033" s="606" t="s">
        <v>219</v>
      </c>
      <c r="L4033" s="563">
        <f t="shared" si="605"/>
        <v>4106250</v>
      </c>
      <c r="M4033" s="585">
        <v>4000000</v>
      </c>
      <c r="N4033" s="564">
        <v>106250</v>
      </c>
      <c r="O4033" s="587"/>
      <c r="P4033" s="586"/>
      <c r="Q4033" s="586"/>
      <c r="R4033" s="582">
        <v>2000000</v>
      </c>
      <c r="S4033" s="560"/>
      <c r="T4033" s="558"/>
      <c r="U4033" s="560"/>
      <c r="V4033" s="560"/>
      <c r="W4033" s="560"/>
      <c r="X4033" s="560"/>
      <c r="Y4033" s="560"/>
      <c r="Z4033" s="560"/>
    </row>
    <row r="4034" spans="1:26" s="142" customFormat="1" hidden="1">
      <c r="A4034" s="994">
        <f t="shared" si="609"/>
        <v>113</v>
      </c>
      <c r="B4034" s="961" t="s">
        <v>4287</v>
      </c>
      <c r="C4034" s="994" t="s">
        <v>221</v>
      </c>
      <c r="D4034" s="1031">
        <v>23327.155172413797</v>
      </c>
      <c r="E4034" s="1031">
        <v>4163</v>
      </c>
      <c r="F4034" s="1031" t="s">
        <v>218</v>
      </c>
      <c r="G4034" s="1031">
        <v>1866</v>
      </c>
      <c r="H4034" s="1232">
        <v>5</v>
      </c>
      <c r="I4034" s="719">
        <v>5</v>
      </c>
      <c r="J4034" s="719">
        <v>74</v>
      </c>
      <c r="K4034" s="1233" t="s">
        <v>33</v>
      </c>
      <c r="L4034" s="993">
        <f t="shared" si="605"/>
        <v>4334800</v>
      </c>
      <c r="M4034" s="1028">
        <v>4291800</v>
      </c>
      <c r="N4034" s="725"/>
      <c r="O4034" s="723">
        <v>23000</v>
      </c>
      <c r="P4034" s="1029"/>
      <c r="Q4034" s="1029">
        <v>20000</v>
      </c>
      <c r="R4034" s="1035">
        <f>M4034/G4034</f>
        <v>2300</v>
      </c>
      <c r="S4034" s="1030"/>
      <c r="T4034" s="985"/>
      <c r="U4034" s="1030"/>
      <c r="V4034" s="1030"/>
      <c r="W4034" s="1030"/>
      <c r="X4034" s="1030"/>
      <c r="Y4034" s="1030"/>
      <c r="Z4034" s="1030"/>
    </row>
    <row r="4035" spans="1:26" s="36" customFormat="1" hidden="1">
      <c r="A4035" s="1349" t="s">
        <v>167</v>
      </c>
      <c r="B4035" s="1349"/>
      <c r="C4035" s="586" t="s">
        <v>28</v>
      </c>
      <c r="D4035" s="586">
        <f>SUM(D3919:D4034)</f>
        <v>1817219.8710295395</v>
      </c>
      <c r="E4035" s="586">
        <f>SUM(E3919:E4034)</f>
        <v>323955.56000000011</v>
      </c>
      <c r="F4035" s="586" t="s">
        <v>28</v>
      </c>
      <c r="G4035" s="586">
        <f>SUM(G3919:G4034)</f>
        <v>113689.29999999999</v>
      </c>
      <c r="H4035" s="586" t="s">
        <v>28</v>
      </c>
      <c r="I4035" s="586" t="s">
        <v>28</v>
      </c>
      <c r="J4035" s="582">
        <f>SUM(J3919:J4034)</f>
        <v>8960</v>
      </c>
      <c r="K4035" s="590" t="s">
        <v>28</v>
      </c>
      <c r="L4035" s="584">
        <f t="shared" ref="L4035:Q4035" si="611">SUM(L3919:L4034)</f>
        <v>354753538</v>
      </c>
      <c r="M4035" s="585">
        <f t="shared" si="611"/>
        <v>345606505</v>
      </c>
      <c r="N4035" s="586">
        <f t="shared" si="611"/>
        <v>3833750</v>
      </c>
      <c r="O4035" s="587">
        <f t="shared" si="611"/>
        <v>471547</v>
      </c>
      <c r="P4035" s="586">
        <f t="shared" si="611"/>
        <v>0</v>
      </c>
      <c r="Q4035" s="586">
        <f t="shared" si="611"/>
        <v>4841736</v>
      </c>
      <c r="R4035" s="582" t="s">
        <v>28</v>
      </c>
      <c r="S4035" s="564">
        <f>L4035-M4035-N4035-O4035-P4035-Q4035</f>
        <v>0</v>
      </c>
      <c r="T4035" s="577">
        <f>'1.перечень МКД'!M328</f>
        <v>354753538</v>
      </c>
      <c r="U4035" s="589">
        <f>L4035-T4035</f>
        <v>0</v>
      </c>
      <c r="V4035" s="593"/>
      <c r="W4035" s="593"/>
      <c r="X4035" s="593"/>
      <c r="Y4035" s="593"/>
      <c r="Z4035" s="593"/>
    </row>
    <row r="4036" spans="1:26" s="28" customFormat="1" hidden="1">
      <c r="A4036" s="1347" t="s">
        <v>168</v>
      </c>
      <c r="B4036" s="1347"/>
      <c r="C4036" s="1347"/>
      <c r="D4036" s="1347"/>
      <c r="E4036" s="1347"/>
      <c r="F4036" s="1347"/>
      <c r="G4036" s="1347"/>
      <c r="H4036" s="1347"/>
      <c r="I4036" s="1347"/>
      <c r="J4036" s="1347"/>
      <c r="K4036" s="1347"/>
      <c r="L4036" s="1347"/>
      <c r="M4036" s="1347"/>
      <c r="N4036" s="1347"/>
      <c r="O4036" s="1347"/>
      <c r="P4036" s="1347"/>
      <c r="Q4036" s="1347"/>
      <c r="R4036" s="590"/>
      <c r="S4036" s="592"/>
      <c r="T4036" s="592"/>
      <c r="U4036" s="591"/>
      <c r="V4036" s="592"/>
      <c r="W4036" s="592"/>
      <c r="X4036" s="592"/>
      <c r="Y4036" s="592"/>
      <c r="Z4036" s="592"/>
    </row>
    <row r="4037" spans="1:26" s="36" customFormat="1" hidden="1">
      <c r="A4037" s="591">
        <v>1</v>
      </c>
      <c r="B4037" s="616" t="s">
        <v>3222</v>
      </c>
      <c r="C4037" s="593"/>
      <c r="D4037" s="1234"/>
      <c r="E4037" s="602">
        <v>2433</v>
      </c>
      <c r="F4037" s="593" t="s">
        <v>233</v>
      </c>
      <c r="G4037" s="602">
        <v>820.7</v>
      </c>
      <c r="H4037" s="602">
        <v>5</v>
      </c>
      <c r="I4037" s="602">
        <v>4</v>
      </c>
      <c r="J4037" s="602">
        <v>58</v>
      </c>
      <c r="K4037" s="679" t="s">
        <v>33</v>
      </c>
      <c r="L4037" s="1235">
        <f t="shared" ref="L4037:L4045" si="612">SUM(M4037:Q4037)</f>
        <v>1849596</v>
      </c>
      <c r="M4037" s="585">
        <v>1805540</v>
      </c>
      <c r="N4037" s="586"/>
      <c r="O4037" s="587">
        <v>5417</v>
      </c>
      <c r="P4037" s="586"/>
      <c r="Q4037" s="586">
        <v>38639</v>
      </c>
      <c r="R4037" s="582">
        <f>M4037/G4037</f>
        <v>2200</v>
      </c>
      <c r="S4037" s="593"/>
      <c r="T4037" s="593"/>
      <c r="U4037" s="591"/>
      <c r="V4037" s="593"/>
      <c r="W4037" s="593"/>
      <c r="X4037" s="593"/>
      <c r="Y4037" s="593"/>
      <c r="Z4037" s="593"/>
    </row>
    <row r="4038" spans="1:26" s="36" customFormat="1" hidden="1">
      <c r="A4038" s="591">
        <f>A4037+1</f>
        <v>2</v>
      </c>
      <c r="B4038" s="616" t="s">
        <v>3223</v>
      </c>
      <c r="C4038" s="1234" t="s">
        <v>217</v>
      </c>
      <c r="D4038" s="593"/>
      <c r="E4038" s="602">
        <v>2433.1999999999998</v>
      </c>
      <c r="F4038" s="593" t="s">
        <v>233</v>
      </c>
      <c r="G4038" s="602">
        <v>821</v>
      </c>
      <c r="H4038" s="602">
        <v>5</v>
      </c>
      <c r="I4038" s="602">
        <v>4</v>
      </c>
      <c r="J4038" s="602">
        <v>60</v>
      </c>
      <c r="K4038" s="679" t="s">
        <v>33</v>
      </c>
      <c r="L4038" s="1235">
        <f t="shared" si="612"/>
        <v>1850272</v>
      </c>
      <c r="M4038" s="585">
        <v>1806200</v>
      </c>
      <c r="N4038" s="586"/>
      <c r="O4038" s="587">
        <v>5419</v>
      </c>
      <c r="P4038" s="586"/>
      <c r="Q4038" s="586">
        <v>38653</v>
      </c>
      <c r="R4038" s="582">
        <f>M4038/G4038</f>
        <v>2200</v>
      </c>
      <c r="S4038" s="593"/>
      <c r="T4038" s="593"/>
      <c r="U4038" s="591"/>
      <c r="V4038" s="593"/>
      <c r="W4038" s="593"/>
      <c r="X4038" s="593"/>
      <c r="Y4038" s="593"/>
      <c r="Z4038" s="593"/>
    </row>
    <row r="4039" spans="1:26" s="36" customFormat="1" hidden="1">
      <c r="A4039" s="591">
        <f t="shared" ref="A4039:A4045" si="613">A4038+1</f>
        <v>3</v>
      </c>
      <c r="B4039" s="616" t="s">
        <v>3224</v>
      </c>
      <c r="C4039" s="1234" t="s">
        <v>217</v>
      </c>
      <c r="D4039" s="593"/>
      <c r="E4039" s="602">
        <v>2433.1999999999998</v>
      </c>
      <c r="F4039" s="593" t="s">
        <v>233</v>
      </c>
      <c r="G4039" s="602">
        <v>821</v>
      </c>
      <c r="H4039" s="602">
        <v>5</v>
      </c>
      <c r="I4039" s="602">
        <v>4</v>
      </c>
      <c r="J4039" s="602">
        <v>60</v>
      </c>
      <c r="K4039" s="679" t="s">
        <v>33</v>
      </c>
      <c r="L4039" s="1235">
        <f t="shared" si="612"/>
        <v>1850272</v>
      </c>
      <c r="M4039" s="585">
        <v>1806200</v>
      </c>
      <c r="N4039" s="586"/>
      <c r="O4039" s="587">
        <v>5419</v>
      </c>
      <c r="P4039" s="586"/>
      <c r="Q4039" s="586">
        <v>38653</v>
      </c>
      <c r="R4039" s="582">
        <f>M4039/G4039</f>
        <v>2200</v>
      </c>
      <c r="S4039" s="593"/>
      <c r="T4039" s="593"/>
      <c r="U4039" s="591"/>
      <c r="V4039" s="593"/>
      <c r="W4039" s="593"/>
      <c r="X4039" s="593"/>
      <c r="Y4039" s="593"/>
      <c r="Z4039" s="593"/>
    </row>
    <row r="4040" spans="1:26" s="36" customFormat="1" hidden="1">
      <c r="A4040" s="591">
        <f t="shared" si="613"/>
        <v>4</v>
      </c>
      <c r="B4040" s="616" t="s">
        <v>3225</v>
      </c>
      <c r="C4040" s="1234" t="s">
        <v>217</v>
      </c>
      <c r="D4040" s="593"/>
      <c r="E4040" s="602">
        <v>2179</v>
      </c>
      <c r="F4040" s="593" t="s">
        <v>233</v>
      </c>
      <c r="G4040" s="602">
        <v>819.5</v>
      </c>
      <c r="H4040" s="602">
        <v>5</v>
      </c>
      <c r="I4040" s="602">
        <v>4</v>
      </c>
      <c r="J4040" s="602">
        <v>60</v>
      </c>
      <c r="K4040" s="679" t="s">
        <v>33</v>
      </c>
      <c r="L4040" s="1235">
        <f t="shared" si="612"/>
        <v>1846891</v>
      </c>
      <c r="M4040" s="585">
        <v>1802900</v>
      </c>
      <c r="N4040" s="586"/>
      <c r="O4040" s="587">
        <v>5409</v>
      </c>
      <c r="P4040" s="586"/>
      <c r="Q4040" s="586">
        <v>38582</v>
      </c>
      <c r="R4040" s="582">
        <f>M4040/G4040</f>
        <v>2200</v>
      </c>
      <c r="S4040" s="593"/>
      <c r="T4040" s="593"/>
      <c r="U4040" s="591"/>
      <c r="V4040" s="593"/>
      <c r="W4040" s="593"/>
      <c r="X4040" s="593"/>
      <c r="Y4040" s="593"/>
      <c r="Z4040" s="593"/>
    </row>
    <row r="4041" spans="1:26" s="36" customFormat="1" hidden="1">
      <c r="A4041" s="591">
        <f t="shared" si="613"/>
        <v>5</v>
      </c>
      <c r="B4041" s="616" t="s">
        <v>3226</v>
      </c>
      <c r="C4041" s="1234" t="s">
        <v>217</v>
      </c>
      <c r="D4041" s="593"/>
      <c r="E4041" s="602">
        <v>2219</v>
      </c>
      <c r="F4041" s="593" t="s">
        <v>233</v>
      </c>
      <c r="G4041" s="602">
        <v>925.7</v>
      </c>
      <c r="H4041" s="602">
        <v>5</v>
      </c>
      <c r="I4041" s="602">
        <v>5</v>
      </c>
      <c r="J4041" s="602">
        <v>74</v>
      </c>
      <c r="K4041" s="679" t="s">
        <v>33</v>
      </c>
      <c r="L4041" s="1235">
        <f t="shared" si="612"/>
        <v>2086232</v>
      </c>
      <c r="M4041" s="585">
        <v>2036540</v>
      </c>
      <c r="N4041" s="586"/>
      <c r="O4041" s="587">
        <v>6110</v>
      </c>
      <c r="P4041" s="586"/>
      <c r="Q4041" s="586">
        <v>43582</v>
      </c>
      <c r="R4041" s="582">
        <f>M4041/G4041</f>
        <v>2200</v>
      </c>
      <c r="S4041" s="593"/>
      <c r="T4041" s="593"/>
      <c r="U4041" s="591"/>
      <c r="V4041" s="593"/>
      <c r="W4041" s="593"/>
      <c r="X4041" s="593"/>
      <c r="Y4041" s="593"/>
      <c r="Z4041" s="593"/>
    </row>
    <row r="4042" spans="1:26" s="36" customFormat="1" hidden="1">
      <c r="A4042" s="591">
        <f t="shared" si="613"/>
        <v>6</v>
      </c>
      <c r="B4042" s="616" t="s">
        <v>3227</v>
      </c>
      <c r="C4042" s="1234" t="s">
        <v>217</v>
      </c>
      <c r="D4042" s="593"/>
      <c r="E4042" s="602">
        <v>3435.5</v>
      </c>
      <c r="F4042" s="593" t="s">
        <v>233</v>
      </c>
      <c r="G4042" s="602">
        <v>1213.2</v>
      </c>
      <c r="H4042" s="602">
        <v>5</v>
      </c>
      <c r="I4042" s="602">
        <v>6</v>
      </c>
      <c r="J4042" s="602">
        <v>89</v>
      </c>
      <c r="K4042" s="679" t="s">
        <v>38</v>
      </c>
      <c r="L4042" s="1235">
        <f t="shared" si="612"/>
        <v>2653148</v>
      </c>
      <c r="M4042" s="585">
        <v>2589953</v>
      </c>
      <c r="N4042" s="586"/>
      <c r="O4042" s="587">
        <v>7770</v>
      </c>
      <c r="P4042" s="586"/>
      <c r="Q4042" s="586">
        <v>55425</v>
      </c>
      <c r="R4042" s="599">
        <f>M4042/E4042</f>
        <v>753.87949352350461</v>
      </c>
      <c r="S4042" s="593"/>
      <c r="T4042" s="593"/>
      <c r="U4042" s="591"/>
      <c r="V4042" s="593"/>
      <c r="W4042" s="593"/>
      <c r="X4042" s="593"/>
      <c r="Y4042" s="593"/>
      <c r="Z4042" s="593"/>
    </row>
    <row r="4043" spans="1:26" s="36" customFormat="1" hidden="1">
      <c r="A4043" s="591">
        <f t="shared" si="613"/>
        <v>7</v>
      </c>
      <c r="B4043" s="616" t="s">
        <v>3228</v>
      </c>
      <c r="C4043" s="1234" t="s">
        <v>217</v>
      </c>
      <c r="D4043" s="593"/>
      <c r="E4043" s="602">
        <v>2218.5</v>
      </c>
      <c r="F4043" s="593" t="s">
        <v>233</v>
      </c>
      <c r="G4043" s="602">
        <v>938</v>
      </c>
      <c r="H4043" s="602">
        <v>5</v>
      </c>
      <c r="I4043" s="602">
        <v>5</v>
      </c>
      <c r="J4043" s="602">
        <v>75</v>
      </c>
      <c r="K4043" s="679" t="s">
        <v>33</v>
      </c>
      <c r="L4043" s="1235">
        <f t="shared" si="612"/>
        <v>2113952</v>
      </c>
      <c r="M4043" s="585">
        <v>2063600</v>
      </c>
      <c r="N4043" s="586"/>
      <c r="O4043" s="587">
        <v>6191</v>
      </c>
      <c r="P4043" s="586"/>
      <c r="Q4043" s="586">
        <v>44161</v>
      </c>
      <c r="R4043" s="582">
        <f>M4043/G4043</f>
        <v>2200</v>
      </c>
      <c r="S4043" s="593"/>
      <c r="T4043" s="593"/>
      <c r="U4043" s="591"/>
      <c r="V4043" s="593"/>
      <c r="W4043" s="593"/>
      <c r="X4043" s="593"/>
      <c r="Y4043" s="593"/>
      <c r="Z4043" s="593"/>
    </row>
    <row r="4044" spans="1:26" s="36" customFormat="1" hidden="1">
      <c r="A4044" s="591">
        <f t="shared" si="613"/>
        <v>8</v>
      </c>
      <c r="B4044" s="616" t="s">
        <v>3229</v>
      </c>
      <c r="C4044" s="1234" t="s">
        <v>217</v>
      </c>
      <c r="D4044" s="593"/>
      <c r="E4044" s="602">
        <v>2218.5</v>
      </c>
      <c r="F4044" s="593" t="s">
        <v>233</v>
      </c>
      <c r="G4044" s="602">
        <v>968</v>
      </c>
      <c r="H4044" s="602">
        <v>5</v>
      </c>
      <c r="I4044" s="602">
        <v>5</v>
      </c>
      <c r="J4044" s="602">
        <v>75</v>
      </c>
      <c r="K4044" s="679" t="s">
        <v>33</v>
      </c>
      <c r="L4044" s="1235">
        <f t="shared" si="612"/>
        <v>2181562</v>
      </c>
      <c r="M4044" s="585">
        <v>2129600</v>
      </c>
      <c r="N4044" s="586"/>
      <c r="O4044" s="587">
        <v>6389</v>
      </c>
      <c r="P4044" s="586"/>
      <c r="Q4044" s="586">
        <v>45573</v>
      </c>
      <c r="R4044" s="582">
        <f>M4044/G4044</f>
        <v>2200</v>
      </c>
      <c r="S4044" s="593"/>
      <c r="T4044" s="593"/>
      <c r="U4044" s="591"/>
      <c r="V4044" s="593"/>
      <c r="W4044" s="593"/>
      <c r="X4044" s="593"/>
      <c r="Y4044" s="593"/>
      <c r="Z4044" s="593"/>
    </row>
    <row r="4045" spans="1:26" s="36" customFormat="1" hidden="1">
      <c r="A4045" s="591">
        <f t="shared" si="613"/>
        <v>9</v>
      </c>
      <c r="B4045" s="616" t="s">
        <v>3230</v>
      </c>
      <c r="C4045" s="1234" t="s">
        <v>217</v>
      </c>
      <c r="D4045" s="593"/>
      <c r="E4045" s="602">
        <v>2218.5</v>
      </c>
      <c r="F4045" s="593" t="s">
        <v>233</v>
      </c>
      <c r="G4045" s="602">
        <v>933.6</v>
      </c>
      <c r="H4045" s="602">
        <v>5</v>
      </c>
      <c r="I4045" s="602">
        <v>5</v>
      </c>
      <c r="J4045" s="602">
        <v>75</v>
      </c>
      <c r="K4045" s="679" t="s">
        <v>33</v>
      </c>
      <c r="L4045" s="1235">
        <f t="shared" si="612"/>
        <v>2104036</v>
      </c>
      <c r="M4045" s="585">
        <v>2053920</v>
      </c>
      <c r="N4045" s="586"/>
      <c r="O4045" s="587">
        <v>6162</v>
      </c>
      <c r="P4045" s="586"/>
      <c r="Q4045" s="586">
        <v>43954</v>
      </c>
      <c r="R4045" s="582">
        <f>M4045/G4045</f>
        <v>2200</v>
      </c>
      <c r="S4045" s="593"/>
      <c r="T4045" s="593"/>
      <c r="U4045" s="591"/>
      <c r="V4045" s="593"/>
      <c r="W4045" s="593"/>
      <c r="X4045" s="593"/>
      <c r="Y4045" s="593"/>
      <c r="Z4045" s="593"/>
    </row>
    <row r="4046" spans="1:26" s="28" customFormat="1" hidden="1">
      <c r="A4046" s="1349" t="s">
        <v>169</v>
      </c>
      <c r="B4046" s="1349"/>
      <c r="C4046" s="586" t="s">
        <v>28</v>
      </c>
      <c r="D4046" s="586">
        <f>SUM(C4037:C4045)</f>
        <v>0</v>
      </c>
      <c r="E4046" s="586">
        <f>SUM(E4037:E4045)</f>
        <v>21788.400000000001</v>
      </c>
      <c r="F4046" s="586" t="s">
        <v>28</v>
      </c>
      <c r="G4046" s="586">
        <f>SUM(G4037:G4045)</f>
        <v>8260.6999999999989</v>
      </c>
      <c r="H4046" s="586" t="s">
        <v>28</v>
      </c>
      <c r="I4046" s="586" t="s">
        <v>28</v>
      </c>
      <c r="J4046" s="582">
        <f>SUM(J4037:J4045)</f>
        <v>626</v>
      </c>
      <c r="K4046" s="590" t="s">
        <v>28</v>
      </c>
      <c r="L4046" s="584">
        <f t="shared" ref="L4046:Q4046" si="614">SUM(L4037:L4045)</f>
        <v>18535961</v>
      </c>
      <c r="M4046" s="585">
        <f t="shared" si="614"/>
        <v>18094453</v>
      </c>
      <c r="N4046" s="586">
        <f t="shared" si="614"/>
        <v>0</v>
      </c>
      <c r="O4046" s="587">
        <f t="shared" si="614"/>
        <v>54286</v>
      </c>
      <c r="P4046" s="586">
        <f t="shared" si="614"/>
        <v>0</v>
      </c>
      <c r="Q4046" s="586">
        <f t="shared" si="614"/>
        <v>387222</v>
      </c>
      <c r="R4046" s="582" t="s">
        <v>28</v>
      </c>
      <c r="S4046" s="564">
        <f>L4046-M4046-N4046-O4046-P4046-Q4046</f>
        <v>0</v>
      </c>
      <c r="T4046" s="577" t="e">
        <f>'1.перечень МКД'!#REF!</f>
        <v>#REF!</v>
      </c>
      <c r="U4046" s="589" t="e">
        <f>L4046-T4046</f>
        <v>#REF!</v>
      </c>
      <c r="V4046" s="592"/>
      <c r="W4046" s="592"/>
      <c r="X4046" s="592"/>
      <c r="Y4046" s="592"/>
      <c r="Z4046" s="592"/>
    </row>
    <row r="4047" spans="1:26" s="28" customFormat="1" hidden="1">
      <c r="A4047" s="1347" t="s">
        <v>170</v>
      </c>
      <c r="B4047" s="1347"/>
      <c r="C4047" s="1347"/>
      <c r="D4047" s="1347"/>
      <c r="E4047" s="1347"/>
      <c r="F4047" s="1347"/>
      <c r="G4047" s="1347"/>
      <c r="H4047" s="1347"/>
      <c r="I4047" s="1347"/>
      <c r="J4047" s="1347"/>
      <c r="K4047" s="1347"/>
      <c r="L4047" s="1347"/>
      <c r="M4047" s="1347"/>
      <c r="N4047" s="1347"/>
      <c r="O4047" s="1347"/>
      <c r="P4047" s="1347"/>
      <c r="Q4047" s="1347"/>
      <c r="R4047" s="590"/>
      <c r="S4047" s="592"/>
      <c r="T4047" s="592"/>
      <c r="U4047" s="591"/>
      <c r="V4047" s="592"/>
      <c r="W4047" s="592"/>
      <c r="X4047" s="592"/>
      <c r="Y4047" s="592"/>
      <c r="Z4047" s="592"/>
    </row>
    <row r="4048" spans="1:26" s="28" customFormat="1" hidden="1">
      <c r="A4048" s="916">
        <v>1</v>
      </c>
      <c r="B4048" s="917" t="s">
        <v>3231</v>
      </c>
      <c r="C4048" s="915" t="s">
        <v>221</v>
      </c>
      <c r="D4048" s="915">
        <v>1877</v>
      </c>
      <c r="E4048" s="676">
        <v>434.06</v>
      </c>
      <c r="F4048" s="700" t="s">
        <v>251</v>
      </c>
      <c r="G4048" s="879">
        <v>443</v>
      </c>
      <c r="H4048" s="874">
        <v>2</v>
      </c>
      <c r="I4048" s="874">
        <v>2</v>
      </c>
      <c r="J4048" s="643">
        <v>12</v>
      </c>
      <c r="K4048" s="697" t="s">
        <v>33</v>
      </c>
      <c r="L4048" s="781">
        <f>SUM(M4048:Q4048)</f>
        <v>1296945</v>
      </c>
      <c r="M4048" s="782">
        <f>G4048*2800</f>
        <v>1240400</v>
      </c>
      <c r="N4048" s="783">
        <v>30000</v>
      </c>
      <c r="O4048" s="587"/>
      <c r="P4048" s="586"/>
      <c r="Q4048" s="586">
        <f>ROUND(M4048*2.14%,0)</f>
        <v>26545</v>
      </c>
      <c r="R4048" s="582">
        <f>M4048/G4048</f>
        <v>2800</v>
      </c>
      <c r="S4048" s="592"/>
      <c r="T4048" s="592"/>
      <c r="U4048" s="591"/>
      <c r="V4048" s="592"/>
      <c r="W4048" s="592"/>
      <c r="X4048" s="592"/>
      <c r="Y4048" s="592"/>
      <c r="Z4048" s="592"/>
    </row>
    <row r="4049" spans="1:26" s="28" customFormat="1" ht="37.5" hidden="1">
      <c r="A4049" s="591">
        <v>2</v>
      </c>
      <c r="B4049" s="592" t="s">
        <v>3232</v>
      </c>
      <c r="C4049" s="915" t="s">
        <v>299</v>
      </c>
      <c r="D4049" s="593">
        <v>2551</v>
      </c>
      <c r="E4049" s="582">
        <v>606</v>
      </c>
      <c r="F4049" s="593" t="s">
        <v>251</v>
      </c>
      <c r="G4049" s="582">
        <v>535</v>
      </c>
      <c r="H4049" s="593">
        <v>2</v>
      </c>
      <c r="I4049" s="593">
        <v>2</v>
      </c>
      <c r="J4049" s="582">
        <v>12</v>
      </c>
      <c r="K4049" s="679" t="s">
        <v>33</v>
      </c>
      <c r="L4049" s="584">
        <f>SUM(M4049:Q4049)</f>
        <v>1560057</v>
      </c>
      <c r="M4049" s="585">
        <f>G4049*2800</f>
        <v>1498000</v>
      </c>
      <c r="N4049" s="586">
        <v>30000</v>
      </c>
      <c r="O4049" s="587"/>
      <c r="P4049" s="586"/>
      <c r="Q4049" s="586">
        <f>ROUND(M4049*2.14%,0)</f>
        <v>32057</v>
      </c>
      <c r="R4049" s="582">
        <f>M4049/G4049</f>
        <v>2800</v>
      </c>
      <c r="S4049" s="645"/>
      <c r="T4049" s="645"/>
      <c r="U4049" s="591"/>
      <c r="V4049" s="592"/>
      <c r="W4049" s="592"/>
      <c r="X4049" s="592"/>
      <c r="Y4049" s="592"/>
      <c r="Z4049" s="592"/>
    </row>
    <row r="4050" spans="1:26" s="28" customFormat="1" hidden="1">
      <c r="A4050" s="1349" t="s">
        <v>171</v>
      </c>
      <c r="B4050" s="1349"/>
      <c r="C4050" s="586"/>
      <c r="D4050" s="586">
        <f>SUM(D4048:D4049)</f>
        <v>4428</v>
      </c>
      <c r="E4050" s="586">
        <f>SUM(E4048:E4049)</f>
        <v>1040.06</v>
      </c>
      <c r="F4050" s="593" t="s">
        <v>28</v>
      </c>
      <c r="G4050" s="586">
        <f>SUM(G4048:G4049)</f>
        <v>978</v>
      </c>
      <c r="H4050" s="593" t="s">
        <v>28</v>
      </c>
      <c r="I4050" s="593" t="s">
        <v>28</v>
      </c>
      <c r="J4050" s="582">
        <f>SUM(J4048:J4049)</f>
        <v>24</v>
      </c>
      <c r="K4050" s="590" t="s">
        <v>28</v>
      </c>
      <c r="L4050" s="584">
        <f t="shared" ref="L4050:Q4050" si="615">SUM(L4048:L4049)</f>
        <v>2857002</v>
      </c>
      <c r="M4050" s="585">
        <f t="shared" si="615"/>
        <v>2738400</v>
      </c>
      <c r="N4050" s="586">
        <f t="shared" si="615"/>
        <v>60000</v>
      </c>
      <c r="O4050" s="587">
        <f t="shared" si="615"/>
        <v>0</v>
      </c>
      <c r="P4050" s="586">
        <f t="shared" si="615"/>
        <v>0</v>
      </c>
      <c r="Q4050" s="586">
        <f t="shared" si="615"/>
        <v>58602</v>
      </c>
      <c r="R4050" s="582" t="s">
        <v>28</v>
      </c>
      <c r="S4050" s="564">
        <f>L4050-M4050-N4050-O4050-P4050-Q4050</f>
        <v>0</v>
      </c>
      <c r="T4050" s="577" t="e">
        <f>'1.перечень МКД'!#REF!</f>
        <v>#REF!</v>
      </c>
      <c r="U4050" s="589" t="e">
        <f>L4050-T4050</f>
        <v>#REF!</v>
      </c>
      <c r="V4050" s="592"/>
      <c r="W4050" s="592"/>
      <c r="X4050" s="592"/>
      <c r="Y4050" s="592"/>
      <c r="Z4050" s="592"/>
    </row>
    <row r="4051" spans="1:26" s="28" customFormat="1" hidden="1">
      <c r="A4051" s="1347" t="s">
        <v>172</v>
      </c>
      <c r="B4051" s="1347"/>
      <c r="C4051" s="1347"/>
      <c r="D4051" s="1347"/>
      <c r="E4051" s="1347"/>
      <c r="F4051" s="1347"/>
      <c r="G4051" s="1347"/>
      <c r="H4051" s="1347"/>
      <c r="I4051" s="1347"/>
      <c r="J4051" s="1347"/>
      <c r="K4051" s="1347"/>
      <c r="L4051" s="1347"/>
      <c r="M4051" s="1347"/>
      <c r="N4051" s="1347"/>
      <c r="O4051" s="1347"/>
      <c r="P4051" s="1347"/>
      <c r="Q4051" s="1347"/>
      <c r="R4051" s="590"/>
      <c r="S4051" s="592"/>
      <c r="T4051" s="592"/>
      <c r="U4051" s="591"/>
      <c r="V4051" s="592"/>
      <c r="W4051" s="592"/>
      <c r="X4051" s="592"/>
      <c r="Y4051" s="592"/>
      <c r="Z4051" s="592"/>
    </row>
    <row r="4052" spans="1:26" s="28" customFormat="1" hidden="1">
      <c r="A4052" s="916">
        <v>1</v>
      </c>
      <c r="B4052" s="917" t="s">
        <v>3233</v>
      </c>
      <c r="C4052" s="915" t="s">
        <v>221</v>
      </c>
      <c r="D4052" s="915"/>
      <c r="E4052" s="676">
        <v>1152</v>
      </c>
      <c r="F4052" s="700" t="s">
        <v>301</v>
      </c>
      <c r="G4052" s="879">
        <v>805</v>
      </c>
      <c r="H4052" s="874">
        <v>3</v>
      </c>
      <c r="I4052" s="874">
        <v>3</v>
      </c>
      <c r="J4052" s="643">
        <v>30</v>
      </c>
      <c r="K4052" s="697" t="s">
        <v>238</v>
      </c>
      <c r="L4052" s="781">
        <f>M4052+N4052+O4052+P4052+Q4052</f>
        <v>1097470</v>
      </c>
      <c r="M4052" s="782">
        <f>J4052*35000</f>
        <v>1050000</v>
      </c>
      <c r="N4052" s="783">
        <v>25000</v>
      </c>
      <c r="O4052" s="587"/>
      <c r="P4052" s="586"/>
      <c r="Q4052" s="586">
        <f>ROUND(M4052*0.0214,0)</f>
        <v>22470</v>
      </c>
      <c r="R4052" s="582">
        <f>M4052/J4052</f>
        <v>35000</v>
      </c>
      <c r="S4052" s="592"/>
      <c r="T4052" s="592"/>
      <c r="U4052" s="591"/>
      <c r="V4052" s="592"/>
      <c r="W4052" s="592"/>
      <c r="X4052" s="592"/>
      <c r="Y4052" s="592"/>
      <c r="Z4052" s="592"/>
    </row>
    <row r="4053" spans="1:26" s="28" customFormat="1" hidden="1">
      <c r="A4053" s="1349" t="s">
        <v>173</v>
      </c>
      <c r="B4053" s="1349"/>
      <c r="C4053" s="586" t="s">
        <v>28</v>
      </c>
      <c r="D4053" s="586">
        <f>SUM(D4052:D4052)</f>
        <v>0</v>
      </c>
      <c r="E4053" s="586">
        <f>SUM(E4052:E4052)</f>
        <v>1152</v>
      </c>
      <c r="F4053" s="593" t="s">
        <v>28</v>
      </c>
      <c r="G4053" s="586">
        <f>SUM(G4052:G4052)</f>
        <v>805</v>
      </c>
      <c r="H4053" s="593" t="s">
        <v>28</v>
      </c>
      <c r="I4053" s="593" t="s">
        <v>28</v>
      </c>
      <c r="J4053" s="582">
        <f>SUM(J4052:J4052)</f>
        <v>30</v>
      </c>
      <c r="K4053" s="590" t="s">
        <v>28</v>
      </c>
      <c r="L4053" s="584">
        <f t="shared" ref="L4053:Q4053" si="616">SUM(L4052:L4052)</f>
        <v>1097470</v>
      </c>
      <c r="M4053" s="585">
        <f t="shared" si="616"/>
        <v>1050000</v>
      </c>
      <c r="N4053" s="586">
        <f t="shared" si="616"/>
        <v>25000</v>
      </c>
      <c r="O4053" s="587">
        <f t="shared" si="616"/>
        <v>0</v>
      </c>
      <c r="P4053" s="586">
        <f t="shared" si="616"/>
        <v>0</v>
      </c>
      <c r="Q4053" s="586">
        <f t="shared" si="616"/>
        <v>22470</v>
      </c>
      <c r="R4053" s="582" t="s">
        <v>28</v>
      </c>
      <c r="S4053" s="564">
        <f>L4053-M4053-N4053-O4053-P4053-Q4053</f>
        <v>0</v>
      </c>
      <c r="T4053" s="577" t="e">
        <f>'1.перечень МКД'!#REF!</f>
        <v>#REF!</v>
      </c>
      <c r="U4053" s="589" t="e">
        <f>L4053-T4053</f>
        <v>#REF!</v>
      </c>
      <c r="V4053" s="592"/>
      <c r="W4053" s="592"/>
      <c r="X4053" s="592"/>
      <c r="Y4053" s="592"/>
      <c r="Z4053" s="592"/>
    </row>
    <row r="4054" spans="1:26" s="28" customFormat="1" hidden="1">
      <c r="A4054" s="1347" t="s">
        <v>174</v>
      </c>
      <c r="B4054" s="1347"/>
      <c r="C4054" s="1347"/>
      <c r="D4054" s="1347"/>
      <c r="E4054" s="1347"/>
      <c r="F4054" s="1347"/>
      <c r="G4054" s="1347"/>
      <c r="H4054" s="1347"/>
      <c r="I4054" s="1347"/>
      <c r="J4054" s="1347"/>
      <c r="K4054" s="1347"/>
      <c r="L4054" s="1347"/>
      <c r="M4054" s="1347"/>
      <c r="N4054" s="1347"/>
      <c r="O4054" s="1347"/>
      <c r="P4054" s="1347"/>
      <c r="Q4054" s="1347"/>
      <c r="R4054" s="590"/>
      <c r="S4054" s="592"/>
      <c r="T4054" s="592"/>
      <c r="U4054" s="591"/>
      <c r="V4054" s="592"/>
      <c r="W4054" s="592"/>
      <c r="X4054" s="592"/>
      <c r="Y4054" s="592"/>
      <c r="Z4054" s="592"/>
    </row>
    <row r="4055" spans="1:26" s="28" customFormat="1" hidden="1">
      <c r="A4055" s="916">
        <v>1</v>
      </c>
      <c r="B4055" s="917" t="s">
        <v>3234</v>
      </c>
      <c r="C4055" s="915" t="s">
        <v>221</v>
      </c>
      <c r="D4055" s="915">
        <v>8066</v>
      </c>
      <c r="E4055" s="676">
        <v>6308.4</v>
      </c>
      <c r="F4055" s="700" t="s">
        <v>251</v>
      </c>
      <c r="G4055" s="879">
        <v>2140.4</v>
      </c>
      <c r="H4055" s="874">
        <v>3</v>
      </c>
      <c r="I4055" s="874">
        <v>4</v>
      </c>
      <c r="J4055" s="643">
        <v>36</v>
      </c>
      <c r="K4055" s="697" t="s">
        <v>224</v>
      </c>
      <c r="L4055" s="781">
        <f>M4055+N4055+O4055+P4055+Q4055</f>
        <v>838949</v>
      </c>
      <c r="M4055" s="782">
        <f>J4055*22000</f>
        <v>792000</v>
      </c>
      <c r="N4055" s="783">
        <v>30000</v>
      </c>
      <c r="O4055" s="587"/>
      <c r="P4055" s="586"/>
      <c r="Q4055" s="586">
        <f>ROUND(M4055*2.14%,0)</f>
        <v>16949</v>
      </c>
      <c r="R4055" s="582">
        <f>M4055/J4055</f>
        <v>22000</v>
      </c>
      <c r="S4055" s="592"/>
      <c r="T4055" s="592"/>
      <c r="U4055" s="591"/>
      <c r="V4055" s="592"/>
      <c r="W4055" s="592"/>
      <c r="X4055" s="592"/>
      <c r="Y4055" s="592"/>
      <c r="Z4055" s="592"/>
    </row>
    <row r="4056" spans="1:26" s="28" customFormat="1" hidden="1">
      <c r="A4056" s="916">
        <v>2</v>
      </c>
      <c r="B4056" s="917" t="s">
        <v>3235</v>
      </c>
      <c r="C4056" s="915" t="s">
        <v>217</v>
      </c>
      <c r="D4056" s="915">
        <v>2716</v>
      </c>
      <c r="E4056" s="676">
        <v>2380.3000000000002</v>
      </c>
      <c r="F4056" s="700" t="s">
        <v>251</v>
      </c>
      <c r="G4056" s="879">
        <v>581.04</v>
      </c>
      <c r="H4056" s="874">
        <v>2</v>
      </c>
      <c r="I4056" s="874">
        <v>2</v>
      </c>
      <c r="J4056" s="643">
        <v>16</v>
      </c>
      <c r="K4056" s="697" t="s">
        <v>33</v>
      </c>
      <c r="L4056" s="781">
        <f>M4056+N4056+O4056+P4056+Q4056</f>
        <v>1686728</v>
      </c>
      <c r="M4056" s="782">
        <f>G4056*2800</f>
        <v>1626912</v>
      </c>
      <c r="N4056" s="783">
        <v>25000</v>
      </c>
      <c r="O4056" s="587"/>
      <c r="P4056" s="586"/>
      <c r="Q4056" s="586">
        <f>ROUND(M4056*2.14%,0)</f>
        <v>34816</v>
      </c>
      <c r="R4056" s="582">
        <f>M4056/G4056</f>
        <v>2800</v>
      </c>
      <c r="S4056" s="592"/>
      <c r="T4056" s="592"/>
      <c r="U4056" s="591"/>
      <c r="V4056" s="592"/>
      <c r="W4056" s="592"/>
      <c r="X4056" s="592"/>
      <c r="Y4056" s="592"/>
      <c r="Z4056" s="592"/>
    </row>
    <row r="4057" spans="1:26" s="36" customFormat="1" hidden="1">
      <c r="A4057" s="1349" t="s">
        <v>175</v>
      </c>
      <c r="B4057" s="1349"/>
      <c r="C4057" s="786" t="s">
        <v>28</v>
      </c>
      <c r="D4057" s="586">
        <f t="shared" ref="D4057:J4057" si="617">SUM(D4055:D4056)</f>
        <v>10782</v>
      </c>
      <c r="E4057" s="586">
        <f t="shared" si="617"/>
        <v>8688.7000000000007</v>
      </c>
      <c r="F4057" s="786" t="s">
        <v>28</v>
      </c>
      <c r="G4057" s="586">
        <f t="shared" si="617"/>
        <v>2721.44</v>
      </c>
      <c r="H4057" s="786" t="s">
        <v>28</v>
      </c>
      <c r="I4057" s="786" t="s">
        <v>28</v>
      </c>
      <c r="J4057" s="582">
        <f t="shared" si="617"/>
        <v>52</v>
      </c>
      <c r="K4057" s="590" t="s">
        <v>28</v>
      </c>
      <c r="L4057" s="584">
        <f>SUM(L4055:L4056)</f>
        <v>2525677</v>
      </c>
      <c r="M4057" s="585">
        <f>SUM(M4055:M4056)</f>
        <v>2418912</v>
      </c>
      <c r="N4057" s="586">
        <f>SUM(N4055:N4056)</f>
        <v>55000</v>
      </c>
      <c r="O4057" s="587"/>
      <c r="P4057" s="586">
        <f>SUM(P4055:P4056)</f>
        <v>0</v>
      </c>
      <c r="Q4057" s="586">
        <f>SUM(Q4055:Q4056)</f>
        <v>51765</v>
      </c>
      <c r="R4057" s="582" t="s">
        <v>28</v>
      </c>
      <c r="S4057" s="564">
        <f>L4057-M4057-N4057-O4057-P4057-Q4057</f>
        <v>0</v>
      </c>
      <c r="T4057" s="577" t="e">
        <f>'1.перечень МКД'!#REF!</f>
        <v>#REF!</v>
      </c>
      <c r="U4057" s="589" t="e">
        <f>L4057-T4057</f>
        <v>#REF!</v>
      </c>
      <c r="V4057" s="593"/>
      <c r="W4057" s="593"/>
      <c r="X4057" s="593"/>
      <c r="Y4057" s="593"/>
      <c r="Z4057" s="593"/>
    </row>
    <row r="4058" spans="1:26" s="28" customFormat="1" hidden="1">
      <c r="A4058" s="1347" t="s">
        <v>176</v>
      </c>
      <c r="B4058" s="1347"/>
      <c r="C4058" s="1347"/>
      <c r="D4058" s="1347"/>
      <c r="E4058" s="1347"/>
      <c r="F4058" s="1347"/>
      <c r="G4058" s="1347"/>
      <c r="H4058" s="1347"/>
      <c r="I4058" s="1347"/>
      <c r="J4058" s="1347"/>
      <c r="K4058" s="1347"/>
      <c r="L4058" s="1347"/>
      <c r="M4058" s="1347"/>
      <c r="N4058" s="1347"/>
      <c r="O4058" s="1347"/>
      <c r="P4058" s="1347"/>
      <c r="Q4058" s="1347"/>
      <c r="R4058" s="590"/>
      <c r="S4058" s="592"/>
      <c r="T4058" s="592"/>
      <c r="U4058" s="591"/>
      <c r="V4058" s="592"/>
      <c r="W4058" s="592"/>
      <c r="X4058" s="592"/>
      <c r="Y4058" s="592"/>
      <c r="Z4058" s="592"/>
    </row>
    <row r="4059" spans="1:26" s="89" customFormat="1" hidden="1">
      <c r="A4059" s="916">
        <v>1</v>
      </c>
      <c r="B4059" s="917" t="s">
        <v>3959</v>
      </c>
      <c r="C4059" s="915" t="s">
        <v>314</v>
      </c>
      <c r="D4059" s="915"/>
      <c r="E4059" s="676">
        <v>6392.2</v>
      </c>
      <c r="F4059" s="700" t="s">
        <v>251</v>
      </c>
      <c r="G4059" s="879">
        <v>1338</v>
      </c>
      <c r="H4059" s="874">
        <v>5</v>
      </c>
      <c r="I4059" s="874">
        <v>6</v>
      </c>
      <c r="J4059" s="643">
        <v>79</v>
      </c>
      <c r="K4059" s="697" t="s">
        <v>33</v>
      </c>
      <c r="L4059" s="781">
        <f>M4059+N4059+O4059+P4059+Q4059</f>
        <v>3856573</v>
      </c>
      <c r="M4059" s="782">
        <v>3746400</v>
      </c>
      <c r="N4059" s="783">
        <v>30000</v>
      </c>
      <c r="O4059" s="587"/>
      <c r="P4059" s="586"/>
      <c r="Q4059" s="586">
        <f>ROUND(M4059*2.14%,0)</f>
        <v>80173</v>
      </c>
      <c r="R4059" s="582">
        <f>M4059/G4059</f>
        <v>2800</v>
      </c>
      <c r="S4059" s="592"/>
      <c r="T4059" s="592"/>
      <c r="U4059" s="591"/>
      <c r="V4059" s="592"/>
      <c r="W4059" s="592"/>
      <c r="X4059" s="592"/>
      <c r="Y4059" s="592"/>
      <c r="Z4059" s="592"/>
    </row>
    <row r="4060" spans="1:26" s="89" customFormat="1" ht="37.5" hidden="1">
      <c r="A4060" s="916">
        <v>2</v>
      </c>
      <c r="B4060" s="917" t="s">
        <v>3960</v>
      </c>
      <c r="C4060" s="915" t="s">
        <v>314</v>
      </c>
      <c r="D4060" s="915"/>
      <c r="E4060" s="676">
        <v>5544.6</v>
      </c>
      <c r="F4060" s="700" t="s">
        <v>251</v>
      </c>
      <c r="G4060" s="879">
        <v>943.8</v>
      </c>
      <c r="H4060" s="874">
        <v>3</v>
      </c>
      <c r="I4060" s="874">
        <v>4</v>
      </c>
      <c r="J4060" s="643">
        <v>49</v>
      </c>
      <c r="K4060" s="697" t="s">
        <v>3963</v>
      </c>
      <c r="L4060" s="781">
        <f>M4060+N4060+O4060+P4060+Q4060</f>
        <v>1516458</v>
      </c>
      <c r="M4060" s="782">
        <v>1470000</v>
      </c>
      <c r="N4060" s="783"/>
      <c r="O4060" s="587">
        <v>15000</v>
      </c>
      <c r="P4060" s="586"/>
      <c r="Q4060" s="586">
        <f>ROUND(M4060*2.14%,0)</f>
        <v>31458</v>
      </c>
      <c r="R4060" s="582">
        <f>M4060/G4060</f>
        <v>1557.5333757151939</v>
      </c>
      <c r="S4060" s="592"/>
      <c r="T4060" s="592"/>
      <c r="U4060" s="591"/>
      <c r="V4060" s="592"/>
      <c r="W4060" s="592"/>
      <c r="X4060" s="592"/>
      <c r="Y4060" s="592"/>
      <c r="Z4060" s="592"/>
    </row>
    <row r="4061" spans="1:26" s="89" customFormat="1" hidden="1">
      <c r="A4061" s="916">
        <v>3</v>
      </c>
      <c r="B4061" s="917" t="s">
        <v>3961</v>
      </c>
      <c r="C4061" s="915" t="s">
        <v>239</v>
      </c>
      <c r="D4061" s="915"/>
      <c r="E4061" s="676">
        <v>500.1</v>
      </c>
      <c r="F4061" s="700" t="s">
        <v>251</v>
      </c>
      <c r="G4061" s="879">
        <v>632</v>
      </c>
      <c r="H4061" s="874">
        <v>2</v>
      </c>
      <c r="I4061" s="874">
        <v>2</v>
      </c>
      <c r="J4061" s="643">
        <v>16</v>
      </c>
      <c r="K4061" s="697" t="s">
        <v>224</v>
      </c>
      <c r="L4061" s="781">
        <f>M4061+N4061+O4061+P4061+Q4061</f>
        <v>520272</v>
      </c>
      <c r="M4061" s="782">
        <v>480000</v>
      </c>
      <c r="N4061" s="783">
        <v>30000</v>
      </c>
      <c r="O4061" s="587"/>
      <c r="P4061" s="586"/>
      <c r="Q4061" s="586">
        <f>ROUND(M4061*2.14%,0)</f>
        <v>10272</v>
      </c>
      <c r="R4061" s="582">
        <f>M4061/G4061</f>
        <v>759.49367088607596</v>
      </c>
      <c r="S4061" s="592"/>
      <c r="T4061" s="592"/>
      <c r="U4061" s="591"/>
      <c r="V4061" s="592"/>
      <c r="W4061" s="592"/>
      <c r="X4061" s="592"/>
      <c r="Y4061" s="592"/>
      <c r="Z4061" s="592"/>
    </row>
    <row r="4062" spans="1:26" s="89" customFormat="1" hidden="1">
      <c r="A4062" s="916">
        <v>4</v>
      </c>
      <c r="B4062" s="917" t="s">
        <v>3962</v>
      </c>
      <c r="C4062" s="915" t="s">
        <v>239</v>
      </c>
      <c r="D4062" s="915"/>
      <c r="E4062" s="676">
        <v>500.2</v>
      </c>
      <c r="F4062" s="700" t="s">
        <v>251</v>
      </c>
      <c r="G4062" s="879">
        <v>450</v>
      </c>
      <c r="H4062" s="874">
        <v>2</v>
      </c>
      <c r="I4062" s="874">
        <v>2</v>
      </c>
      <c r="J4062" s="643">
        <v>16</v>
      </c>
      <c r="K4062" s="697" t="s">
        <v>224</v>
      </c>
      <c r="L4062" s="781">
        <f>M4062+N4062+O4062+P4062+Q4062</f>
        <v>520272</v>
      </c>
      <c r="M4062" s="782">
        <v>480000</v>
      </c>
      <c r="N4062" s="783">
        <v>30000</v>
      </c>
      <c r="O4062" s="587"/>
      <c r="P4062" s="586"/>
      <c r="Q4062" s="586">
        <f>ROUND(M4062*2.14%,0)</f>
        <v>10272</v>
      </c>
      <c r="R4062" s="582">
        <f>M4062/G4062</f>
        <v>1066.6666666666667</v>
      </c>
      <c r="S4062" s="592"/>
      <c r="T4062" s="592"/>
      <c r="U4062" s="591"/>
      <c r="V4062" s="592"/>
      <c r="W4062" s="592"/>
      <c r="X4062" s="592"/>
      <c r="Y4062" s="592"/>
      <c r="Z4062" s="592"/>
    </row>
    <row r="4063" spans="1:26" s="28" customFormat="1" hidden="1">
      <c r="A4063" s="1349" t="s">
        <v>177</v>
      </c>
      <c r="B4063" s="1349"/>
      <c r="C4063" s="786" t="s">
        <v>28</v>
      </c>
      <c r="D4063" s="586">
        <f t="shared" ref="D4063:J4063" si="618">SUM(D4059)</f>
        <v>0</v>
      </c>
      <c r="E4063" s="586">
        <f t="shared" si="618"/>
        <v>6392.2</v>
      </c>
      <c r="F4063" s="786" t="s">
        <v>28</v>
      </c>
      <c r="G4063" s="586">
        <f t="shared" si="618"/>
        <v>1338</v>
      </c>
      <c r="H4063" s="786" t="s">
        <v>28</v>
      </c>
      <c r="I4063" s="786" t="s">
        <v>28</v>
      </c>
      <c r="J4063" s="582">
        <f t="shared" si="618"/>
        <v>79</v>
      </c>
      <c r="K4063" s="590" t="s">
        <v>28</v>
      </c>
      <c r="L4063" s="584">
        <f t="shared" ref="L4063:Q4063" si="619">SUM(L4059:L4062)</f>
        <v>6413575</v>
      </c>
      <c r="M4063" s="585">
        <f t="shared" si="619"/>
        <v>6176400</v>
      </c>
      <c r="N4063" s="586">
        <f t="shared" si="619"/>
        <v>90000</v>
      </c>
      <c r="O4063" s="587">
        <f t="shared" si="619"/>
        <v>15000</v>
      </c>
      <c r="P4063" s="586">
        <f t="shared" si="619"/>
        <v>0</v>
      </c>
      <c r="Q4063" s="586">
        <f t="shared" si="619"/>
        <v>132175</v>
      </c>
      <c r="R4063" s="582" t="s">
        <v>28</v>
      </c>
      <c r="S4063" s="564">
        <f>L4063-M4063-N4063-O4063-P4063-Q4063</f>
        <v>0</v>
      </c>
      <c r="T4063" s="577" t="e">
        <f>'1.перечень МКД'!#REF!</f>
        <v>#REF!</v>
      </c>
      <c r="U4063" s="589" t="e">
        <f>L4063-T4063</f>
        <v>#REF!</v>
      </c>
      <c r="V4063" s="592"/>
      <c r="W4063" s="592"/>
      <c r="X4063" s="592"/>
      <c r="Y4063" s="592"/>
      <c r="Z4063" s="592"/>
    </row>
    <row r="4064" spans="1:26" s="28" customFormat="1" hidden="1">
      <c r="A4064" s="1347" t="s">
        <v>178</v>
      </c>
      <c r="B4064" s="1347"/>
      <c r="C4064" s="1347"/>
      <c r="D4064" s="1347"/>
      <c r="E4064" s="1347"/>
      <c r="F4064" s="1347"/>
      <c r="G4064" s="1347"/>
      <c r="H4064" s="1347"/>
      <c r="I4064" s="1347"/>
      <c r="J4064" s="1347"/>
      <c r="K4064" s="1347"/>
      <c r="L4064" s="1347"/>
      <c r="M4064" s="1347"/>
      <c r="N4064" s="1347"/>
      <c r="O4064" s="1347"/>
      <c r="P4064" s="1347"/>
      <c r="Q4064" s="1347"/>
      <c r="R4064" s="590"/>
      <c r="S4064" s="592"/>
      <c r="T4064" s="592"/>
      <c r="U4064" s="591"/>
      <c r="V4064" s="592"/>
      <c r="W4064" s="592"/>
      <c r="X4064" s="592"/>
      <c r="Y4064" s="592"/>
      <c r="Z4064" s="592"/>
    </row>
    <row r="4065" spans="1:26" s="28" customFormat="1" ht="37.5" hidden="1">
      <c r="A4065" s="591">
        <v>1</v>
      </c>
      <c r="B4065" s="592" t="s">
        <v>3236</v>
      </c>
      <c r="C4065" s="593" t="s">
        <v>221</v>
      </c>
      <c r="D4065" s="582">
        <v>8674</v>
      </c>
      <c r="E4065" s="593">
        <v>1093</v>
      </c>
      <c r="F4065" s="582" t="s">
        <v>227</v>
      </c>
      <c r="G4065" s="593">
        <v>356</v>
      </c>
      <c r="H4065" s="593">
        <v>9</v>
      </c>
      <c r="I4065" s="593">
        <v>1</v>
      </c>
      <c r="J4065" s="593">
        <v>36</v>
      </c>
      <c r="K4065" s="588" t="s">
        <v>219</v>
      </c>
      <c r="L4065" s="584">
        <f t="shared" ref="L4065:L4090" si="620">SUM(M4065:Q4065)</f>
        <v>2085000</v>
      </c>
      <c r="M4065" s="585">
        <v>2000000</v>
      </c>
      <c r="N4065" s="586">
        <v>85000</v>
      </c>
      <c r="O4065" s="587"/>
      <c r="P4065" s="586"/>
      <c r="Q4065" s="586"/>
      <c r="R4065" s="582">
        <f>M4065/1</f>
        <v>2000000</v>
      </c>
      <c r="S4065" s="592"/>
      <c r="T4065" s="592"/>
      <c r="U4065" s="591"/>
      <c r="V4065" s="589"/>
      <c r="W4065" s="592"/>
      <c r="X4065" s="592"/>
      <c r="Y4065" s="592"/>
      <c r="Z4065" s="592"/>
    </row>
    <row r="4066" spans="1:26" s="28" customFormat="1" hidden="1">
      <c r="A4066" s="591">
        <f t="shared" ref="A4066:A4087" si="621">A4065+1</f>
        <v>2</v>
      </c>
      <c r="B4066" s="592" t="s">
        <v>3237</v>
      </c>
      <c r="C4066" s="593" t="s">
        <v>221</v>
      </c>
      <c r="D4066" s="582">
        <v>27306</v>
      </c>
      <c r="E4066" s="593">
        <v>3590</v>
      </c>
      <c r="F4066" s="582" t="s">
        <v>222</v>
      </c>
      <c r="G4066" s="593">
        <v>2122</v>
      </c>
      <c r="H4066" s="593">
        <v>5</v>
      </c>
      <c r="I4066" s="593">
        <v>8</v>
      </c>
      <c r="J4066" s="593">
        <v>128</v>
      </c>
      <c r="K4066" s="588" t="s">
        <v>238</v>
      </c>
      <c r="L4066" s="584">
        <f t="shared" si="620"/>
        <v>3826437</v>
      </c>
      <c r="M4066" s="585">
        <f>J4066*29000</f>
        <v>3712000</v>
      </c>
      <c r="N4066" s="586">
        <v>35000</v>
      </c>
      <c r="O4066" s="587"/>
      <c r="P4066" s="586"/>
      <c r="Q4066" s="586">
        <f>ROUND(M4066*2.14%,0)</f>
        <v>79437</v>
      </c>
      <c r="R4066" s="582">
        <f>M4066/J4066</f>
        <v>29000</v>
      </c>
      <c r="S4066" s="592"/>
      <c r="T4066" s="592"/>
      <c r="U4066" s="591"/>
      <c r="V4066" s="592"/>
      <c r="W4066" s="592"/>
      <c r="X4066" s="592"/>
      <c r="Y4066" s="592"/>
      <c r="Z4066" s="592"/>
    </row>
    <row r="4067" spans="1:26" s="28" customFormat="1" hidden="1">
      <c r="A4067" s="591">
        <f t="shared" si="621"/>
        <v>3</v>
      </c>
      <c r="B4067" s="592" t="s">
        <v>3238</v>
      </c>
      <c r="C4067" s="593" t="s">
        <v>314</v>
      </c>
      <c r="D4067" s="582">
        <v>16059</v>
      </c>
      <c r="E4067" s="593">
        <v>1878</v>
      </c>
      <c r="F4067" s="582" t="s">
        <v>253</v>
      </c>
      <c r="G4067" s="593">
        <v>1135</v>
      </c>
      <c r="H4067" s="593">
        <v>5</v>
      </c>
      <c r="I4067" s="593">
        <v>2</v>
      </c>
      <c r="J4067" s="593">
        <v>159</v>
      </c>
      <c r="K4067" s="588" t="s">
        <v>33</v>
      </c>
      <c r="L4067" s="584">
        <f t="shared" si="620"/>
        <v>2325388</v>
      </c>
      <c r="M4067" s="585">
        <f>G4067*2000</f>
        <v>2270000</v>
      </c>
      <c r="N4067" s="586"/>
      <c r="O4067" s="587">
        <f>ROUND(M4067*0.3%,0)</f>
        <v>6810</v>
      </c>
      <c r="P4067" s="586"/>
      <c r="Q4067" s="586">
        <f>ROUND(M4067*2.14%,0)</f>
        <v>48578</v>
      </c>
      <c r="R4067" s="582">
        <f>M4067/G4067</f>
        <v>2000</v>
      </c>
      <c r="S4067" s="592"/>
      <c r="T4067" s="592"/>
      <c r="U4067" s="591"/>
      <c r="V4067" s="592"/>
      <c r="W4067" s="592"/>
      <c r="X4067" s="592"/>
      <c r="Y4067" s="592"/>
      <c r="Z4067" s="592"/>
    </row>
    <row r="4068" spans="1:26" s="28" customFormat="1" hidden="1">
      <c r="A4068" s="591">
        <f t="shared" si="621"/>
        <v>4</v>
      </c>
      <c r="B4068" s="592" t="s">
        <v>3239</v>
      </c>
      <c r="C4068" s="593" t="s">
        <v>221</v>
      </c>
      <c r="D4068" s="582">
        <v>3896</v>
      </c>
      <c r="E4068" s="593">
        <v>814</v>
      </c>
      <c r="F4068" s="582" t="s">
        <v>230</v>
      </c>
      <c r="G4068" s="593">
        <v>803</v>
      </c>
      <c r="H4068" s="593">
        <v>2</v>
      </c>
      <c r="I4068" s="593">
        <v>2</v>
      </c>
      <c r="J4068" s="593">
        <v>25</v>
      </c>
      <c r="K4068" s="588" t="s">
        <v>33</v>
      </c>
      <c r="L4068" s="584">
        <f t="shared" si="620"/>
        <v>2239497</v>
      </c>
      <c r="M4068" s="585">
        <f>G4068*2700</f>
        <v>2168100</v>
      </c>
      <c r="N4068" s="586">
        <v>25000</v>
      </c>
      <c r="O4068" s="587"/>
      <c r="P4068" s="586"/>
      <c r="Q4068" s="586">
        <f>ROUND(M4068*2.14%,0)</f>
        <v>46397</v>
      </c>
      <c r="R4068" s="582">
        <f>M4068/G4068</f>
        <v>2700</v>
      </c>
      <c r="S4068" s="592"/>
      <c r="T4068" s="592"/>
      <c r="U4068" s="591"/>
      <c r="V4068" s="592"/>
      <c r="W4068" s="592"/>
      <c r="X4068" s="592"/>
      <c r="Y4068" s="592"/>
      <c r="Z4068" s="592"/>
    </row>
    <row r="4069" spans="1:26" s="28" customFormat="1" ht="37.5" hidden="1">
      <c r="A4069" s="591">
        <f t="shared" si="621"/>
        <v>5</v>
      </c>
      <c r="B4069" s="592" t="s">
        <v>1321</v>
      </c>
      <c r="C4069" s="593" t="s">
        <v>282</v>
      </c>
      <c r="D4069" s="582">
        <v>52538</v>
      </c>
      <c r="E4069" s="593">
        <v>7295</v>
      </c>
      <c r="F4069" s="582" t="s">
        <v>253</v>
      </c>
      <c r="G4069" s="593">
        <v>1510</v>
      </c>
      <c r="H4069" s="593">
        <v>9</v>
      </c>
      <c r="I4069" s="593">
        <v>6</v>
      </c>
      <c r="J4069" s="593">
        <v>219</v>
      </c>
      <c r="K4069" s="588" t="s">
        <v>219</v>
      </c>
      <c r="L4069" s="584">
        <f t="shared" si="620"/>
        <v>8148750</v>
      </c>
      <c r="M4069" s="585">
        <v>8000000</v>
      </c>
      <c r="N4069" s="586">
        <v>148750</v>
      </c>
      <c r="O4069" s="587"/>
      <c r="P4069" s="586"/>
      <c r="Q4069" s="586"/>
      <c r="R4069" s="599">
        <f>M4069/4</f>
        <v>2000000</v>
      </c>
      <c r="S4069" s="592"/>
      <c r="T4069" s="592"/>
      <c r="U4069" s="591"/>
      <c r="V4069" s="589"/>
      <c r="W4069" s="592"/>
      <c r="X4069" s="592"/>
      <c r="Y4069" s="592"/>
      <c r="Z4069" s="592"/>
    </row>
    <row r="4070" spans="1:26" s="28" customFormat="1" hidden="1">
      <c r="A4070" s="591">
        <f t="shared" si="621"/>
        <v>6</v>
      </c>
      <c r="B4070" s="592" t="s">
        <v>3240</v>
      </c>
      <c r="C4070" s="593" t="s">
        <v>229</v>
      </c>
      <c r="D4070" s="582">
        <v>1868</v>
      </c>
      <c r="E4070" s="593">
        <v>417</v>
      </c>
      <c r="F4070" s="582" t="s">
        <v>222</v>
      </c>
      <c r="G4070" s="593">
        <v>351</v>
      </c>
      <c r="H4070" s="593">
        <v>2</v>
      </c>
      <c r="I4070" s="593">
        <v>2</v>
      </c>
      <c r="J4070" s="593">
        <v>18</v>
      </c>
      <c r="K4070" s="588" t="s">
        <v>33</v>
      </c>
      <c r="L4070" s="584">
        <f t="shared" si="620"/>
        <v>957130</v>
      </c>
      <c r="M4070" s="585">
        <f>G4070*2600</f>
        <v>912600</v>
      </c>
      <c r="N4070" s="586">
        <v>25000</v>
      </c>
      <c r="O4070" s="587"/>
      <c r="P4070" s="586"/>
      <c r="Q4070" s="586">
        <f t="shared" ref="Q4070:Q4087" si="622">ROUND(M4070*2.14%,0)</f>
        <v>19530</v>
      </c>
      <c r="R4070" s="582">
        <f t="shared" ref="R4070:R4077" si="623">M4070/G4070</f>
        <v>2600</v>
      </c>
      <c r="S4070" s="592"/>
      <c r="T4070" s="592"/>
      <c r="U4070" s="591"/>
      <c r="V4070" s="592"/>
      <c r="W4070" s="592"/>
      <c r="X4070" s="592"/>
      <c r="Y4070" s="592"/>
      <c r="Z4070" s="592"/>
    </row>
    <row r="4071" spans="1:26" s="28" customFormat="1" hidden="1">
      <c r="A4071" s="591">
        <f t="shared" si="621"/>
        <v>7</v>
      </c>
      <c r="B4071" s="592" t="s">
        <v>3241</v>
      </c>
      <c r="C4071" s="593" t="s">
        <v>221</v>
      </c>
      <c r="D4071" s="582">
        <v>12397</v>
      </c>
      <c r="E4071" s="593">
        <v>1829</v>
      </c>
      <c r="F4071" s="582" t="s">
        <v>222</v>
      </c>
      <c r="G4071" s="593">
        <v>1191</v>
      </c>
      <c r="H4071" s="593">
        <v>4</v>
      </c>
      <c r="I4071" s="593">
        <v>4</v>
      </c>
      <c r="J4071" s="593">
        <v>64</v>
      </c>
      <c r="K4071" s="588" t="s">
        <v>33</v>
      </c>
      <c r="L4071" s="584">
        <f t="shared" si="620"/>
        <v>3312516</v>
      </c>
      <c r="M4071" s="585">
        <f t="shared" ref="M4071:M4077" si="624">G4071*2700</f>
        <v>3215700</v>
      </c>
      <c r="N4071" s="586">
        <v>28000</v>
      </c>
      <c r="O4071" s="587"/>
      <c r="P4071" s="586"/>
      <c r="Q4071" s="586">
        <f t="shared" si="622"/>
        <v>68816</v>
      </c>
      <c r="R4071" s="582">
        <f t="shared" si="623"/>
        <v>2700</v>
      </c>
      <c r="S4071" s="592"/>
      <c r="T4071" s="592"/>
      <c r="U4071" s="591"/>
      <c r="V4071" s="592"/>
      <c r="W4071" s="592"/>
      <c r="X4071" s="592"/>
      <c r="Y4071" s="592"/>
      <c r="Z4071" s="592"/>
    </row>
    <row r="4072" spans="1:26" s="28" customFormat="1" hidden="1">
      <c r="A4072" s="591">
        <f t="shared" si="621"/>
        <v>8</v>
      </c>
      <c r="B4072" s="592" t="s">
        <v>3242</v>
      </c>
      <c r="C4072" s="593" t="s">
        <v>221</v>
      </c>
      <c r="D4072" s="582">
        <v>13342</v>
      </c>
      <c r="E4072" s="593">
        <v>2435</v>
      </c>
      <c r="F4072" s="582" t="s">
        <v>222</v>
      </c>
      <c r="G4072" s="593">
        <v>1264</v>
      </c>
      <c r="H4072" s="593">
        <v>5</v>
      </c>
      <c r="I4072" s="593">
        <v>4</v>
      </c>
      <c r="J4072" s="593">
        <v>69</v>
      </c>
      <c r="K4072" s="588" t="s">
        <v>33</v>
      </c>
      <c r="L4072" s="584">
        <f t="shared" si="620"/>
        <v>3513834</v>
      </c>
      <c r="M4072" s="585">
        <f t="shared" si="624"/>
        <v>3412800</v>
      </c>
      <c r="N4072" s="586">
        <v>28000</v>
      </c>
      <c r="O4072" s="587"/>
      <c r="P4072" s="586"/>
      <c r="Q4072" s="586">
        <f t="shared" si="622"/>
        <v>73034</v>
      </c>
      <c r="R4072" s="582">
        <f t="shared" si="623"/>
        <v>2700</v>
      </c>
      <c r="S4072" s="592"/>
      <c r="T4072" s="592"/>
      <c r="U4072" s="591"/>
      <c r="V4072" s="592"/>
      <c r="W4072" s="592"/>
      <c r="X4072" s="592"/>
      <c r="Y4072" s="592"/>
      <c r="Z4072" s="592"/>
    </row>
    <row r="4073" spans="1:26" s="28" customFormat="1" hidden="1">
      <c r="A4073" s="591">
        <f t="shared" si="621"/>
        <v>9</v>
      </c>
      <c r="B4073" s="592" t="s">
        <v>3243</v>
      </c>
      <c r="C4073" s="593" t="s">
        <v>221</v>
      </c>
      <c r="D4073" s="582">
        <v>7524</v>
      </c>
      <c r="E4073" s="593">
        <v>1298</v>
      </c>
      <c r="F4073" s="582" t="s">
        <v>222</v>
      </c>
      <c r="G4073" s="593">
        <v>587</v>
      </c>
      <c r="H4073" s="593">
        <v>5</v>
      </c>
      <c r="I4073" s="593">
        <v>2</v>
      </c>
      <c r="J4073" s="593">
        <v>30</v>
      </c>
      <c r="K4073" s="588" t="s">
        <v>33</v>
      </c>
      <c r="L4073" s="584">
        <f t="shared" si="620"/>
        <v>1643817</v>
      </c>
      <c r="M4073" s="585">
        <f t="shared" si="624"/>
        <v>1584900</v>
      </c>
      <c r="N4073" s="586">
        <v>25000</v>
      </c>
      <c r="O4073" s="587"/>
      <c r="P4073" s="586"/>
      <c r="Q4073" s="586">
        <f t="shared" si="622"/>
        <v>33917</v>
      </c>
      <c r="R4073" s="582">
        <f t="shared" si="623"/>
        <v>2700</v>
      </c>
      <c r="S4073" s="592"/>
      <c r="T4073" s="592"/>
      <c r="U4073" s="591"/>
      <c r="V4073" s="592"/>
      <c r="W4073" s="592"/>
      <c r="X4073" s="592"/>
      <c r="Y4073" s="592"/>
      <c r="Z4073" s="592"/>
    </row>
    <row r="4074" spans="1:26" s="28" customFormat="1" hidden="1">
      <c r="A4074" s="591">
        <f t="shared" si="621"/>
        <v>10</v>
      </c>
      <c r="B4074" s="592" t="s">
        <v>3244</v>
      </c>
      <c r="C4074" s="593" t="s">
        <v>229</v>
      </c>
      <c r="D4074" s="582">
        <v>1785</v>
      </c>
      <c r="E4074" s="593">
        <v>382</v>
      </c>
      <c r="F4074" s="582" t="s">
        <v>222</v>
      </c>
      <c r="G4074" s="593">
        <v>336</v>
      </c>
      <c r="H4074" s="593">
        <v>2</v>
      </c>
      <c r="I4074" s="593">
        <v>2</v>
      </c>
      <c r="J4074" s="593">
        <v>8</v>
      </c>
      <c r="K4074" s="588" t="s">
        <v>33</v>
      </c>
      <c r="L4074" s="584">
        <f t="shared" si="620"/>
        <v>951614</v>
      </c>
      <c r="M4074" s="585">
        <f t="shared" si="624"/>
        <v>907200</v>
      </c>
      <c r="N4074" s="586">
        <v>25000</v>
      </c>
      <c r="O4074" s="587"/>
      <c r="P4074" s="586"/>
      <c r="Q4074" s="586">
        <f t="shared" si="622"/>
        <v>19414</v>
      </c>
      <c r="R4074" s="582">
        <f t="shared" si="623"/>
        <v>2700</v>
      </c>
      <c r="S4074" s="592"/>
      <c r="T4074" s="592"/>
      <c r="U4074" s="591"/>
      <c r="V4074" s="592"/>
      <c r="W4074" s="592"/>
      <c r="X4074" s="592"/>
      <c r="Y4074" s="592"/>
      <c r="Z4074" s="592"/>
    </row>
    <row r="4075" spans="1:26" s="28" customFormat="1" hidden="1">
      <c r="A4075" s="591">
        <f t="shared" si="621"/>
        <v>11</v>
      </c>
      <c r="B4075" s="592" t="s">
        <v>3245</v>
      </c>
      <c r="C4075" s="593" t="s">
        <v>221</v>
      </c>
      <c r="D4075" s="582">
        <v>24073</v>
      </c>
      <c r="E4075" s="593">
        <v>3811</v>
      </c>
      <c r="F4075" s="582" t="s">
        <v>222</v>
      </c>
      <c r="G4075" s="593">
        <v>1932</v>
      </c>
      <c r="H4075" s="593">
        <v>5</v>
      </c>
      <c r="I4075" s="593">
        <v>6</v>
      </c>
      <c r="J4075" s="593">
        <v>109</v>
      </c>
      <c r="K4075" s="588" t="s">
        <v>33</v>
      </c>
      <c r="L4075" s="584">
        <f t="shared" si="620"/>
        <v>5362031</v>
      </c>
      <c r="M4075" s="585">
        <f t="shared" si="624"/>
        <v>5216400</v>
      </c>
      <c r="N4075" s="586">
        <v>34000</v>
      </c>
      <c r="O4075" s="587"/>
      <c r="P4075" s="586"/>
      <c r="Q4075" s="586">
        <f t="shared" si="622"/>
        <v>111631</v>
      </c>
      <c r="R4075" s="582">
        <f t="shared" si="623"/>
        <v>2700</v>
      </c>
      <c r="S4075" s="592"/>
      <c r="T4075" s="592"/>
      <c r="U4075" s="591"/>
      <c r="V4075" s="592"/>
      <c r="W4075" s="592"/>
      <c r="X4075" s="592"/>
      <c r="Y4075" s="592"/>
      <c r="Z4075" s="592"/>
    </row>
    <row r="4076" spans="1:26" s="28" customFormat="1" hidden="1">
      <c r="A4076" s="591">
        <f t="shared" si="621"/>
        <v>12</v>
      </c>
      <c r="B4076" s="592" t="s">
        <v>3246</v>
      </c>
      <c r="C4076" s="593" t="s">
        <v>221</v>
      </c>
      <c r="D4076" s="582">
        <v>17505</v>
      </c>
      <c r="E4076" s="593">
        <v>2515</v>
      </c>
      <c r="F4076" s="582" t="s">
        <v>222</v>
      </c>
      <c r="G4076" s="593">
        <v>1520</v>
      </c>
      <c r="H4076" s="593">
        <v>5</v>
      </c>
      <c r="I4076" s="593">
        <v>6</v>
      </c>
      <c r="J4076" s="593">
        <v>100</v>
      </c>
      <c r="K4076" s="588" t="s">
        <v>33</v>
      </c>
      <c r="L4076" s="584">
        <f t="shared" si="620"/>
        <v>4226826</v>
      </c>
      <c r="M4076" s="585">
        <f t="shared" si="624"/>
        <v>4104000</v>
      </c>
      <c r="N4076" s="586">
        <v>35000</v>
      </c>
      <c r="O4076" s="587"/>
      <c r="P4076" s="586"/>
      <c r="Q4076" s="586">
        <f t="shared" si="622"/>
        <v>87826</v>
      </c>
      <c r="R4076" s="582">
        <f t="shared" si="623"/>
        <v>2700</v>
      </c>
      <c r="S4076" s="592"/>
      <c r="T4076" s="592"/>
      <c r="U4076" s="591"/>
      <c r="V4076" s="592"/>
      <c r="W4076" s="592"/>
      <c r="X4076" s="592"/>
      <c r="Y4076" s="592"/>
      <c r="Z4076" s="592"/>
    </row>
    <row r="4077" spans="1:26" s="28" customFormat="1" hidden="1">
      <c r="A4077" s="591">
        <f>A4076+1</f>
        <v>13</v>
      </c>
      <c r="B4077" s="592" t="s">
        <v>3247</v>
      </c>
      <c r="C4077" s="593" t="s">
        <v>239</v>
      </c>
      <c r="D4077" s="582">
        <v>19485</v>
      </c>
      <c r="E4077" s="593">
        <v>2760</v>
      </c>
      <c r="F4077" s="582" t="s">
        <v>222</v>
      </c>
      <c r="G4077" s="593">
        <f>98*12.5*1.3</f>
        <v>1592.5</v>
      </c>
      <c r="H4077" s="593">
        <v>5</v>
      </c>
      <c r="I4077" s="593">
        <v>6</v>
      </c>
      <c r="J4077" s="593">
        <v>97</v>
      </c>
      <c r="K4077" s="588" t="s">
        <v>33</v>
      </c>
      <c r="L4077" s="584">
        <f t="shared" si="620"/>
        <v>4419765</v>
      </c>
      <c r="M4077" s="585">
        <f t="shared" si="624"/>
        <v>4299750</v>
      </c>
      <c r="N4077" s="586">
        <v>28000</v>
      </c>
      <c r="O4077" s="587"/>
      <c r="P4077" s="586"/>
      <c r="Q4077" s="586">
        <f t="shared" si="622"/>
        <v>92015</v>
      </c>
      <c r="R4077" s="582">
        <f t="shared" si="623"/>
        <v>2700</v>
      </c>
      <c r="S4077" s="592"/>
      <c r="T4077" s="592"/>
      <c r="U4077" s="591"/>
      <c r="V4077" s="592"/>
      <c r="W4077" s="592"/>
      <c r="X4077" s="592"/>
      <c r="Y4077" s="592"/>
      <c r="Z4077" s="592"/>
    </row>
    <row r="4078" spans="1:26" s="28" customFormat="1" hidden="1">
      <c r="A4078" s="591">
        <f t="shared" si="621"/>
        <v>14</v>
      </c>
      <c r="B4078" s="592" t="s">
        <v>3248</v>
      </c>
      <c r="C4078" s="593" t="s">
        <v>239</v>
      </c>
      <c r="D4078" s="582">
        <v>17043</v>
      </c>
      <c r="E4078" s="593">
        <v>2452</v>
      </c>
      <c r="F4078" s="582" t="s">
        <v>222</v>
      </c>
      <c r="G4078" s="593">
        <v>1605</v>
      </c>
      <c r="H4078" s="593">
        <v>5</v>
      </c>
      <c r="I4078" s="593">
        <v>6</v>
      </c>
      <c r="J4078" s="593">
        <v>100</v>
      </c>
      <c r="K4078" s="588" t="s">
        <v>238</v>
      </c>
      <c r="L4078" s="584">
        <f t="shared" si="620"/>
        <v>2997060</v>
      </c>
      <c r="M4078" s="585">
        <f>J4078*29000</f>
        <v>2900000</v>
      </c>
      <c r="N4078" s="586">
        <v>35000</v>
      </c>
      <c r="O4078" s="587"/>
      <c r="P4078" s="586"/>
      <c r="Q4078" s="586">
        <f t="shared" si="622"/>
        <v>62060</v>
      </c>
      <c r="R4078" s="582">
        <f>M4078/J4078</f>
        <v>29000</v>
      </c>
      <c r="S4078" s="592"/>
      <c r="T4078" s="592"/>
      <c r="U4078" s="591"/>
      <c r="V4078" s="592"/>
      <c r="W4078" s="592"/>
      <c r="X4078" s="592"/>
      <c r="Y4078" s="592"/>
      <c r="Z4078" s="592"/>
    </row>
    <row r="4079" spans="1:26" s="28" customFormat="1" hidden="1">
      <c r="A4079" s="591">
        <f t="shared" si="621"/>
        <v>15</v>
      </c>
      <c r="B4079" s="592" t="s">
        <v>3249</v>
      </c>
      <c r="C4079" s="593" t="s">
        <v>239</v>
      </c>
      <c r="D4079" s="582">
        <v>4554</v>
      </c>
      <c r="E4079" s="593">
        <v>784</v>
      </c>
      <c r="F4079" s="582" t="s">
        <v>230</v>
      </c>
      <c r="G4079" s="593">
        <v>871</v>
      </c>
      <c r="H4079" s="593">
        <v>2</v>
      </c>
      <c r="I4079" s="593">
        <v>3</v>
      </c>
      <c r="J4079" s="593">
        <v>14</v>
      </c>
      <c r="K4079" s="588" t="s">
        <v>33</v>
      </c>
      <c r="L4079" s="584">
        <f t="shared" si="620"/>
        <v>2427026</v>
      </c>
      <c r="M4079" s="585">
        <f>G4079*2700</f>
        <v>2351700</v>
      </c>
      <c r="N4079" s="586">
        <v>25000</v>
      </c>
      <c r="O4079" s="587"/>
      <c r="P4079" s="586"/>
      <c r="Q4079" s="586">
        <f t="shared" si="622"/>
        <v>50326</v>
      </c>
      <c r="R4079" s="582">
        <f t="shared" ref="R4079:R4085" si="625">M4079/G4079</f>
        <v>2700</v>
      </c>
      <c r="S4079" s="592"/>
      <c r="T4079" s="592"/>
      <c r="U4079" s="591"/>
      <c r="V4079" s="592"/>
      <c r="W4079" s="592"/>
      <c r="X4079" s="592"/>
      <c r="Y4079" s="592"/>
      <c r="Z4079" s="592"/>
    </row>
    <row r="4080" spans="1:26" s="28" customFormat="1" hidden="1">
      <c r="A4080" s="591">
        <f t="shared" si="621"/>
        <v>16</v>
      </c>
      <c r="B4080" s="592" t="s">
        <v>3250</v>
      </c>
      <c r="C4080" s="593" t="s">
        <v>221</v>
      </c>
      <c r="D4080" s="582">
        <v>11333</v>
      </c>
      <c r="E4080" s="593">
        <v>2120</v>
      </c>
      <c r="F4080" s="582" t="s">
        <v>222</v>
      </c>
      <c r="G4080" s="593">
        <f>62*13*1.3</f>
        <v>1047.8</v>
      </c>
      <c r="H4080" s="593">
        <v>5</v>
      </c>
      <c r="I4080" s="593">
        <v>3</v>
      </c>
      <c r="J4080" s="593">
        <v>24</v>
      </c>
      <c r="K4080" s="588" t="s">
        <v>33</v>
      </c>
      <c r="L4080" s="584">
        <f t="shared" si="620"/>
        <v>2914602</v>
      </c>
      <c r="M4080" s="585">
        <f>G4080*2700</f>
        <v>2829060</v>
      </c>
      <c r="N4080" s="586">
        <v>25000</v>
      </c>
      <c r="O4080" s="587"/>
      <c r="P4080" s="586"/>
      <c r="Q4080" s="586">
        <f t="shared" si="622"/>
        <v>60542</v>
      </c>
      <c r="R4080" s="582">
        <f t="shared" si="625"/>
        <v>2700</v>
      </c>
      <c r="S4080" s="592"/>
      <c r="T4080" s="592"/>
      <c r="U4080" s="591"/>
      <c r="V4080" s="592"/>
      <c r="W4080" s="592"/>
      <c r="X4080" s="592"/>
      <c r="Y4080" s="592"/>
      <c r="Z4080" s="592"/>
    </row>
    <row r="4081" spans="1:26" s="28" customFormat="1" hidden="1">
      <c r="A4081" s="591">
        <f t="shared" si="621"/>
        <v>17</v>
      </c>
      <c r="B4081" s="592" t="s">
        <v>3251</v>
      </c>
      <c r="C4081" s="593" t="s">
        <v>221</v>
      </c>
      <c r="D4081" s="582">
        <v>11771</v>
      </c>
      <c r="E4081" s="593">
        <v>2360</v>
      </c>
      <c r="F4081" s="582" t="s">
        <v>222</v>
      </c>
      <c r="G4081" s="593">
        <f>63*13*1.3</f>
        <v>1064.7</v>
      </c>
      <c r="H4081" s="593">
        <v>5</v>
      </c>
      <c r="I4081" s="593">
        <v>3</v>
      </c>
      <c r="J4081" s="593">
        <v>22</v>
      </c>
      <c r="K4081" s="588" t="s">
        <v>33</v>
      </c>
      <c r="L4081" s="584">
        <f t="shared" si="620"/>
        <v>2961208</v>
      </c>
      <c r="M4081" s="585">
        <f>G4081*2700</f>
        <v>2874690</v>
      </c>
      <c r="N4081" s="586">
        <v>25000</v>
      </c>
      <c r="O4081" s="587"/>
      <c r="P4081" s="586"/>
      <c r="Q4081" s="586">
        <f t="shared" si="622"/>
        <v>61518</v>
      </c>
      <c r="R4081" s="582">
        <f t="shared" si="625"/>
        <v>2700</v>
      </c>
      <c r="S4081" s="592"/>
      <c r="T4081" s="592"/>
      <c r="U4081" s="591"/>
      <c r="V4081" s="592"/>
      <c r="W4081" s="592"/>
      <c r="X4081" s="592"/>
      <c r="Y4081" s="592"/>
      <c r="Z4081" s="592"/>
    </row>
    <row r="4082" spans="1:26" s="28" customFormat="1" hidden="1">
      <c r="A4082" s="591">
        <f t="shared" si="621"/>
        <v>18</v>
      </c>
      <c r="B4082" s="592" t="s">
        <v>3252</v>
      </c>
      <c r="C4082" s="593" t="s">
        <v>344</v>
      </c>
      <c r="D4082" s="582">
        <v>9876</v>
      </c>
      <c r="E4082" s="593">
        <v>1502</v>
      </c>
      <c r="F4082" s="582" t="s">
        <v>251</v>
      </c>
      <c r="G4082" s="593">
        <v>940.87</v>
      </c>
      <c r="H4082" s="593">
        <v>5</v>
      </c>
      <c r="I4082" s="593">
        <v>3</v>
      </c>
      <c r="J4082" s="593">
        <v>48</v>
      </c>
      <c r="K4082" s="588" t="s">
        <v>33</v>
      </c>
      <c r="L4082" s="584">
        <f t="shared" si="620"/>
        <v>2629712</v>
      </c>
      <c r="M4082" s="585">
        <f>G4082*2700</f>
        <v>2540349</v>
      </c>
      <c r="N4082" s="586">
        <v>35000</v>
      </c>
      <c r="O4082" s="587"/>
      <c r="P4082" s="586"/>
      <c r="Q4082" s="586">
        <f t="shared" si="622"/>
        <v>54363</v>
      </c>
      <c r="R4082" s="582">
        <f t="shared" si="625"/>
        <v>2700</v>
      </c>
      <c r="S4082" s="592"/>
      <c r="T4082" s="592"/>
      <c r="U4082" s="591"/>
      <c r="V4082" s="592"/>
      <c r="W4082" s="592"/>
      <c r="X4082" s="592"/>
      <c r="Y4082" s="592"/>
      <c r="Z4082" s="592"/>
    </row>
    <row r="4083" spans="1:26" s="28" customFormat="1" hidden="1">
      <c r="A4083" s="591">
        <f t="shared" si="621"/>
        <v>19</v>
      </c>
      <c r="B4083" s="592" t="s">
        <v>3253</v>
      </c>
      <c r="C4083" s="593" t="s">
        <v>221</v>
      </c>
      <c r="D4083" s="582">
        <v>16856</v>
      </c>
      <c r="E4083" s="593">
        <v>2753</v>
      </c>
      <c r="F4083" s="582" t="s">
        <v>222</v>
      </c>
      <c r="G4083" s="593">
        <v>1505</v>
      </c>
      <c r="H4083" s="593">
        <v>5</v>
      </c>
      <c r="I4083" s="593">
        <v>6</v>
      </c>
      <c r="J4083" s="593">
        <v>100</v>
      </c>
      <c r="K4083" s="588" t="s">
        <v>33</v>
      </c>
      <c r="L4083" s="584">
        <f t="shared" si="620"/>
        <v>4031738</v>
      </c>
      <c r="M4083" s="585">
        <f>G4083*2600</f>
        <v>3913000</v>
      </c>
      <c r="N4083" s="586">
        <v>35000</v>
      </c>
      <c r="O4083" s="587"/>
      <c r="P4083" s="586"/>
      <c r="Q4083" s="586">
        <f t="shared" si="622"/>
        <v>83738</v>
      </c>
      <c r="R4083" s="582">
        <f t="shared" si="625"/>
        <v>2600</v>
      </c>
      <c r="S4083" s="592"/>
      <c r="T4083" s="592"/>
      <c r="U4083" s="591"/>
      <c r="V4083" s="592"/>
      <c r="W4083" s="592"/>
      <c r="X4083" s="592"/>
      <c r="Y4083" s="592"/>
      <c r="Z4083" s="592"/>
    </row>
    <row r="4084" spans="1:26" s="249" customFormat="1" hidden="1">
      <c r="A4084" s="591">
        <f t="shared" si="621"/>
        <v>20</v>
      </c>
      <c r="B4084" s="581" t="s">
        <v>3254</v>
      </c>
      <c r="C4084" s="582" t="s">
        <v>217</v>
      </c>
      <c r="D4084" s="582">
        <v>2944</v>
      </c>
      <c r="E4084" s="582">
        <v>673</v>
      </c>
      <c r="F4084" s="582" t="s">
        <v>222</v>
      </c>
      <c r="G4084" s="582">
        <v>618</v>
      </c>
      <c r="H4084" s="582">
        <v>2</v>
      </c>
      <c r="I4084" s="582">
        <v>3</v>
      </c>
      <c r="J4084" s="582">
        <v>18</v>
      </c>
      <c r="K4084" s="606" t="s">
        <v>33</v>
      </c>
      <c r="L4084" s="584">
        <f t="shared" si="620"/>
        <v>1797431</v>
      </c>
      <c r="M4084" s="563">
        <f>G4084*2800</f>
        <v>1730400</v>
      </c>
      <c r="N4084" s="1236">
        <v>30000</v>
      </c>
      <c r="O4084" s="587"/>
      <c r="P4084" s="586"/>
      <c r="Q4084" s="586">
        <f t="shared" si="622"/>
        <v>37031</v>
      </c>
      <c r="R4084" s="582">
        <f t="shared" si="625"/>
        <v>2800</v>
      </c>
      <c r="S4084" s="582"/>
      <c r="T4084" s="577"/>
      <c r="U4084" s="557"/>
      <c r="V4084" s="590"/>
      <c r="W4084" s="590"/>
      <c r="X4084" s="590"/>
      <c r="Y4084" s="590"/>
      <c r="Z4084" s="590"/>
    </row>
    <row r="4085" spans="1:26" s="28" customFormat="1" hidden="1">
      <c r="A4085" s="591">
        <f t="shared" si="621"/>
        <v>21</v>
      </c>
      <c r="B4085" s="592" t="s">
        <v>3255</v>
      </c>
      <c r="C4085" s="593" t="s">
        <v>217</v>
      </c>
      <c r="D4085" s="582">
        <v>2966</v>
      </c>
      <c r="E4085" s="593">
        <v>701</v>
      </c>
      <c r="F4085" s="582" t="s">
        <v>230</v>
      </c>
      <c r="G4085" s="593">
        <v>645</v>
      </c>
      <c r="H4085" s="593">
        <v>2</v>
      </c>
      <c r="I4085" s="593">
        <v>3</v>
      </c>
      <c r="J4085" s="593">
        <v>18</v>
      </c>
      <c r="K4085" s="588" t="s">
        <v>33</v>
      </c>
      <c r="L4085" s="584">
        <f t="shared" si="620"/>
        <v>1747888</v>
      </c>
      <c r="M4085" s="585">
        <f>G4085*2600</f>
        <v>1677000</v>
      </c>
      <c r="N4085" s="586">
        <v>35000</v>
      </c>
      <c r="O4085" s="587"/>
      <c r="P4085" s="586"/>
      <c r="Q4085" s="586">
        <f t="shared" si="622"/>
        <v>35888</v>
      </c>
      <c r="R4085" s="582">
        <f t="shared" si="625"/>
        <v>2600</v>
      </c>
      <c r="S4085" s="592"/>
      <c r="T4085" s="592"/>
      <c r="U4085" s="591"/>
      <c r="V4085" s="592"/>
      <c r="W4085" s="592"/>
      <c r="X4085" s="592"/>
      <c r="Y4085" s="592"/>
      <c r="Z4085" s="592"/>
    </row>
    <row r="4086" spans="1:26" s="28" customFormat="1" hidden="1">
      <c r="A4086" s="591">
        <f t="shared" si="621"/>
        <v>22</v>
      </c>
      <c r="B4086" s="592" t="s">
        <v>3256</v>
      </c>
      <c r="C4086" s="593" t="s">
        <v>345</v>
      </c>
      <c r="D4086" s="582">
        <v>3637</v>
      </c>
      <c r="E4086" s="593">
        <v>809</v>
      </c>
      <c r="F4086" s="582" t="s">
        <v>304</v>
      </c>
      <c r="G4086" s="593">
        <v>375</v>
      </c>
      <c r="H4086" s="593">
        <v>2</v>
      </c>
      <c r="I4086" s="593">
        <v>2</v>
      </c>
      <c r="J4086" s="593">
        <v>12</v>
      </c>
      <c r="K4086" s="588" t="s">
        <v>38</v>
      </c>
      <c r="L4086" s="584">
        <f t="shared" si="620"/>
        <v>2279034</v>
      </c>
      <c r="M4086" s="585">
        <f>E4086*2750</f>
        <v>2224750</v>
      </c>
      <c r="N4086" s="586"/>
      <c r="O4086" s="587">
        <f>ROUND(M4086*0.3%,0)</f>
        <v>6674</v>
      </c>
      <c r="P4086" s="586"/>
      <c r="Q4086" s="586">
        <f t="shared" si="622"/>
        <v>47610</v>
      </c>
      <c r="R4086" s="599">
        <f>M4086/E4086</f>
        <v>2750</v>
      </c>
      <c r="S4086" s="592"/>
      <c r="T4086" s="592"/>
      <c r="U4086" s="591"/>
      <c r="V4086" s="592"/>
      <c r="W4086" s="592"/>
      <c r="X4086" s="592"/>
      <c r="Y4086" s="592"/>
      <c r="Z4086" s="592"/>
    </row>
    <row r="4087" spans="1:26" s="28" customFormat="1" ht="93.75" hidden="1">
      <c r="A4087" s="591">
        <f t="shared" si="621"/>
        <v>23</v>
      </c>
      <c r="B4087" s="592" t="s">
        <v>3257</v>
      </c>
      <c r="C4087" s="593" t="s">
        <v>296</v>
      </c>
      <c r="D4087" s="582">
        <v>2880</v>
      </c>
      <c r="E4087" s="593" t="s">
        <v>346</v>
      </c>
      <c r="F4087" s="582" t="s">
        <v>251</v>
      </c>
      <c r="G4087" s="593">
        <v>700</v>
      </c>
      <c r="H4087" s="593">
        <v>2</v>
      </c>
      <c r="I4087" s="593">
        <v>3</v>
      </c>
      <c r="J4087" s="593">
        <v>18</v>
      </c>
      <c r="K4087" s="588" t="s">
        <v>33</v>
      </c>
      <c r="L4087" s="584">
        <f t="shared" si="620"/>
        <v>1886248</v>
      </c>
      <c r="M4087" s="585">
        <f>G4087*2600</f>
        <v>1820000</v>
      </c>
      <c r="N4087" s="586">
        <f>M4087*0.015</f>
        <v>27300</v>
      </c>
      <c r="O4087" s="587"/>
      <c r="P4087" s="586"/>
      <c r="Q4087" s="586">
        <f t="shared" si="622"/>
        <v>38948</v>
      </c>
      <c r="R4087" s="582">
        <f>N4087/H4087</f>
        <v>13650</v>
      </c>
      <c r="S4087" s="592"/>
      <c r="T4087" s="592"/>
      <c r="U4087" s="591"/>
      <c r="V4087" s="592"/>
      <c r="W4087" s="592"/>
      <c r="X4087" s="592"/>
      <c r="Y4087" s="592"/>
      <c r="Z4087" s="592"/>
    </row>
    <row r="4088" spans="1:26" s="89" customFormat="1" ht="37.5" hidden="1">
      <c r="A4088" s="591">
        <f>A4087+1</f>
        <v>24</v>
      </c>
      <c r="B4088" s="1114" t="s">
        <v>4054</v>
      </c>
      <c r="C4088" s="580" t="s">
        <v>314</v>
      </c>
      <c r="D4088" s="580">
        <v>9317</v>
      </c>
      <c r="E4088" s="580">
        <v>1093</v>
      </c>
      <c r="F4088" s="580" t="s">
        <v>303</v>
      </c>
      <c r="G4088" s="580">
        <v>356</v>
      </c>
      <c r="H4088" s="580">
        <v>9</v>
      </c>
      <c r="I4088" s="580">
        <v>1</v>
      </c>
      <c r="J4088" s="580">
        <v>36</v>
      </c>
      <c r="K4088" s="590" t="s">
        <v>219</v>
      </c>
      <c r="L4088" s="584">
        <f t="shared" si="620"/>
        <v>2085000</v>
      </c>
      <c r="M4088" s="585">
        <v>2000000</v>
      </c>
      <c r="N4088" s="586">
        <v>85000</v>
      </c>
      <c r="O4088" s="587"/>
      <c r="P4088" s="582"/>
      <c r="Q4088" s="582"/>
      <c r="R4088" s="1237">
        <v>2000000</v>
      </c>
      <c r="S4088" s="592"/>
      <c r="T4088" s="592"/>
      <c r="U4088" s="593"/>
      <c r="V4088" s="589"/>
      <c r="W4088" s="592"/>
      <c r="X4088" s="592"/>
      <c r="Y4088" s="592"/>
      <c r="Z4088" s="592"/>
    </row>
    <row r="4089" spans="1:26" s="89" customFormat="1" ht="37.5" hidden="1">
      <c r="A4089" s="591">
        <f>A4088+1</f>
        <v>25</v>
      </c>
      <c r="B4089" s="1115" t="s">
        <v>4023</v>
      </c>
      <c r="C4089" s="580" t="s">
        <v>4021</v>
      </c>
      <c r="D4089" s="580">
        <v>27368</v>
      </c>
      <c r="E4089" s="1099">
        <v>3898</v>
      </c>
      <c r="F4089" s="580" t="s">
        <v>253</v>
      </c>
      <c r="G4089" s="580">
        <v>960</v>
      </c>
      <c r="H4089" s="580">
        <v>9</v>
      </c>
      <c r="I4089" s="580">
        <v>3</v>
      </c>
      <c r="J4089" s="580">
        <v>96</v>
      </c>
      <c r="K4089" s="590" t="s">
        <v>219</v>
      </c>
      <c r="L4089" s="584">
        <f t="shared" si="620"/>
        <v>4106250</v>
      </c>
      <c r="M4089" s="585">
        <f>2000000*2</f>
        <v>4000000</v>
      </c>
      <c r="N4089" s="586">
        <v>106250</v>
      </c>
      <c r="O4089" s="587"/>
      <c r="P4089" s="582"/>
      <c r="Q4089" s="582"/>
      <c r="R4089" s="1237">
        <v>2000000</v>
      </c>
      <c r="S4089" s="592"/>
      <c r="T4089" s="592"/>
      <c r="U4089" s="593"/>
      <c r="V4089" s="589"/>
      <c r="W4089" s="592"/>
      <c r="X4089" s="592"/>
      <c r="Y4089" s="592"/>
      <c r="Z4089" s="592"/>
    </row>
    <row r="4090" spans="1:26" s="89" customFormat="1" ht="37.5" hidden="1">
      <c r="A4090" s="591">
        <f>A4089+1</f>
        <v>26</v>
      </c>
      <c r="B4090" s="1115" t="s">
        <v>4055</v>
      </c>
      <c r="C4090" s="580" t="s">
        <v>314</v>
      </c>
      <c r="D4090" s="1238">
        <v>16979</v>
      </c>
      <c r="E4090" s="1238">
        <v>3696</v>
      </c>
      <c r="F4090" s="1238" t="s">
        <v>290</v>
      </c>
      <c r="G4090" s="1238">
        <v>710</v>
      </c>
      <c r="H4090" s="1238">
        <v>9</v>
      </c>
      <c r="I4090" s="1238">
        <v>3</v>
      </c>
      <c r="J4090" s="1238">
        <v>65</v>
      </c>
      <c r="K4090" s="590" t="s">
        <v>219</v>
      </c>
      <c r="L4090" s="584">
        <f t="shared" si="620"/>
        <v>2085000</v>
      </c>
      <c r="M4090" s="585">
        <v>2000000</v>
      </c>
      <c r="N4090" s="586">
        <v>85000</v>
      </c>
      <c r="O4090" s="587"/>
      <c r="P4090" s="582"/>
      <c r="Q4090" s="582"/>
      <c r="R4090" s="1237">
        <v>2000000</v>
      </c>
      <c r="S4090" s="592"/>
      <c r="T4090" s="592"/>
      <c r="U4090" s="593"/>
      <c r="V4090" s="589"/>
      <c r="W4090" s="592"/>
      <c r="X4090" s="592"/>
      <c r="Y4090" s="592"/>
      <c r="Z4090" s="592"/>
    </row>
    <row r="4091" spans="1:26" s="28" customFormat="1" hidden="1">
      <c r="A4091" s="591">
        <v>27</v>
      </c>
      <c r="B4091" s="1346" t="s">
        <v>3599</v>
      </c>
      <c r="C4091" s="593" t="s">
        <v>229</v>
      </c>
      <c r="D4091" s="582">
        <v>1832</v>
      </c>
      <c r="E4091" s="593">
        <v>412</v>
      </c>
      <c r="F4091" s="582" t="s">
        <v>222</v>
      </c>
      <c r="G4091" s="593">
        <v>370</v>
      </c>
      <c r="H4091" s="593">
        <v>2</v>
      </c>
      <c r="I4091" s="593">
        <v>2</v>
      </c>
      <c r="J4091" s="593">
        <v>8</v>
      </c>
      <c r="K4091" s="588" t="s">
        <v>33</v>
      </c>
      <c r="L4091" s="1348">
        <f>M4091+N4091+O4091+P4091+Q4091+M4092+N4092+O4092+P4092+Q4092</f>
        <v>1939596.8</v>
      </c>
      <c r="M4091" s="585">
        <v>943500</v>
      </c>
      <c r="N4091" s="586">
        <v>25000</v>
      </c>
      <c r="O4091" s="587"/>
      <c r="P4091" s="586"/>
      <c r="Q4091" s="586">
        <v>8971</v>
      </c>
      <c r="R4091" s="582">
        <f>M4091/G4091</f>
        <v>2550</v>
      </c>
      <c r="S4091" s="592"/>
      <c r="T4091" s="592"/>
      <c r="U4091" s="591"/>
      <c r="V4091" s="589"/>
      <c r="W4091" s="592"/>
      <c r="X4091" s="592"/>
      <c r="Y4091" s="592"/>
      <c r="Z4091" s="592"/>
    </row>
    <row r="4092" spans="1:26" s="28" customFormat="1" hidden="1">
      <c r="A4092" s="591"/>
      <c r="B4092" s="1346"/>
      <c r="C4092" s="593"/>
      <c r="D4092" s="582"/>
      <c r="E4092" s="593"/>
      <c r="F4092" s="582"/>
      <c r="G4092" s="593"/>
      <c r="H4092" s="593"/>
      <c r="I4092" s="593"/>
      <c r="J4092" s="593"/>
      <c r="K4092" s="588" t="s">
        <v>38</v>
      </c>
      <c r="L4092" s="1348"/>
      <c r="M4092" s="585">
        <v>947600</v>
      </c>
      <c r="N4092" s="586"/>
      <c r="O4092" s="587">
        <v>2842.8</v>
      </c>
      <c r="P4092" s="586"/>
      <c r="Q4092" s="586">
        <v>11683</v>
      </c>
      <c r="R4092" s="599">
        <f>M4092/E4091</f>
        <v>2300</v>
      </c>
      <c r="S4092" s="592"/>
      <c r="T4092" s="592"/>
      <c r="U4092" s="591"/>
      <c r="V4092" s="589"/>
      <c r="W4092" s="592"/>
      <c r="X4092" s="592"/>
      <c r="Y4092" s="592"/>
      <c r="Z4092" s="592"/>
    </row>
    <row r="4093" spans="1:26" s="89" customFormat="1" ht="37.5" hidden="1">
      <c r="A4093" s="591">
        <f>A4091+1</f>
        <v>28</v>
      </c>
      <c r="B4093" s="1115" t="s">
        <v>1324</v>
      </c>
      <c r="C4093" s="580" t="s">
        <v>314</v>
      </c>
      <c r="D4093" s="580">
        <v>86724</v>
      </c>
      <c r="E4093" s="580">
        <v>13803.2</v>
      </c>
      <c r="F4093" s="580" t="s">
        <v>303</v>
      </c>
      <c r="G4093" s="580">
        <v>2662</v>
      </c>
      <c r="H4093" s="580">
        <v>9</v>
      </c>
      <c r="I4093" s="580">
        <v>11</v>
      </c>
      <c r="J4093" s="580">
        <v>365</v>
      </c>
      <c r="K4093" s="590" t="s">
        <v>219</v>
      </c>
      <c r="L4093" s="584">
        <f>SUM(M4093:Q4093)</f>
        <v>8148750</v>
      </c>
      <c r="M4093" s="585">
        <f>2000000*4</f>
        <v>8000000</v>
      </c>
      <c r="N4093" s="586">
        <v>148750</v>
      </c>
      <c r="O4093" s="587"/>
      <c r="P4093" s="582"/>
      <c r="Q4093" s="582"/>
      <c r="R4093" s="1239">
        <v>2000000</v>
      </c>
      <c r="S4093" s="592"/>
      <c r="T4093" s="592"/>
      <c r="U4093" s="593"/>
      <c r="V4093" s="592"/>
      <c r="W4093" s="592"/>
      <c r="X4093" s="592"/>
      <c r="Y4093" s="592"/>
      <c r="Z4093" s="592"/>
    </row>
    <row r="4094" spans="1:26" s="28" customFormat="1" hidden="1">
      <c r="A4094" s="1349" t="s">
        <v>179</v>
      </c>
      <c r="B4094" s="1349"/>
      <c r="C4094" s="593" t="s">
        <v>28</v>
      </c>
      <c r="D4094" s="586">
        <f>SUM(D4065:D4093)</f>
        <v>432532</v>
      </c>
      <c r="E4094" s="586">
        <f>SUM(E4065:E4093)</f>
        <v>67173.2</v>
      </c>
      <c r="F4094" s="593" t="s">
        <v>28</v>
      </c>
      <c r="G4094" s="586">
        <f>SUM(G4065:G4093)</f>
        <v>29129.87</v>
      </c>
      <c r="H4094" s="593" t="s">
        <v>28</v>
      </c>
      <c r="I4094" s="593" t="s">
        <v>28</v>
      </c>
      <c r="J4094" s="582">
        <f>SUM(J4065:J4093)</f>
        <v>2006</v>
      </c>
      <c r="K4094" s="590" t="s">
        <v>28</v>
      </c>
      <c r="L4094" s="584">
        <f t="shared" ref="L4094:Q4094" si="626">SUM(L4065:L4093)</f>
        <v>87049148.799999997</v>
      </c>
      <c r="M4094" s="585">
        <f t="shared" si="626"/>
        <v>84555499</v>
      </c>
      <c r="N4094" s="586">
        <f t="shared" si="626"/>
        <v>1244050</v>
      </c>
      <c r="O4094" s="587">
        <f t="shared" si="626"/>
        <v>16326.8</v>
      </c>
      <c r="P4094" s="586">
        <f t="shared" si="626"/>
        <v>0</v>
      </c>
      <c r="Q4094" s="586">
        <f t="shared" si="626"/>
        <v>1233273</v>
      </c>
      <c r="R4094" s="582" t="s">
        <v>28</v>
      </c>
      <c r="S4094" s="564">
        <f>L4094-M4094-N4094-O4094-P4094-Q4094</f>
        <v>-3.0267983675003052E-9</v>
      </c>
      <c r="T4094" s="577" t="e">
        <f>'1.перечень МКД'!#REF!</f>
        <v>#REF!</v>
      </c>
      <c r="U4094" s="589" t="e">
        <f>L4094-T4094</f>
        <v>#REF!</v>
      </c>
      <c r="V4094" s="592"/>
      <c r="W4094" s="592"/>
      <c r="X4094" s="592"/>
      <c r="Y4094" s="592"/>
      <c r="Z4094" s="592"/>
    </row>
    <row r="4095" spans="1:26" s="28" customFormat="1" hidden="1">
      <c r="A4095" s="1347" t="s">
        <v>180</v>
      </c>
      <c r="B4095" s="1347"/>
      <c r="C4095" s="1347"/>
      <c r="D4095" s="1347"/>
      <c r="E4095" s="1347"/>
      <c r="F4095" s="1347"/>
      <c r="G4095" s="1347"/>
      <c r="H4095" s="1347"/>
      <c r="I4095" s="1347"/>
      <c r="J4095" s="1347"/>
      <c r="K4095" s="1347"/>
      <c r="L4095" s="1347"/>
      <c r="M4095" s="1347"/>
      <c r="N4095" s="1347"/>
      <c r="O4095" s="1347"/>
      <c r="P4095" s="1347"/>
      <c r="Q4095" s="1347"/>
      <c r="R4095" s="590"/>
      <c r="S4095" s="592"/>
      <c r="T4095" s="592"/>
      <c r="U4095" s="591"/>
      <c r="V4095" s="592"/>
      <c r="W4095" s="592"/>
      <c r="X4095" s="592"/>
      <c r="Y4095" s="592"/>
      <c r="Z4095" s="592"/>
    </row>
    <row r="4096" spans="1:26" s="28" customFormat="1" hidden="1">
      <c r="A4096" s="591">
        <v>1</v>
      </c>
      <c r="B4096" s="592" t="s">
        <v>3595</v>
      </c>
      <c r="C4096" s="593" t="s">
        <v>221</v>
      </c>
      <c r="D4096" s="582"/>
      <c r="E4096" s="593"/>
      <c r="F4096" s="582" t="s">
        <v>230</v>
      </c>
      <c r="G4096" s="593">
        <v>926</v>
      </c>
      <c r="H4096" s="593">
        <v>2</v>
      </c>
      <c r="I4096" s="593">
        <v>2</v>
      </c>
      <c r="J4096" s="582">
        <v>16</v>
      </c>
      <c r="K4096" s="588" t="s">
        <v>224</v>
      </c>
      <c r="L4096" s="584">
        <f>SUM(M4096:Q4096)</f>
        <v>402160</v>
      </c>
      <c r="M4096" s="585">
        <v>352000</v>
      </c>
      <c r="N4096" s="586">
        <v>28160</v>
      </c>
      <c r="O4096" s="587"/>
      <c r="P4096" s="586"/>
      <c r="Q4096" s="586">
        <v>22000</v>
      </c>
      <c r="R4096" s="599">
        <f>M4096/J4096</f>
        <v>22000</v>
      </c>
      <c r="S4096" s="592"/>
      <c r="T4096" s="592"/>
      <c r="U4096" s="591"/>
      <c r="V4096" s="592"/>
      <c r="W4096" s="592"/>
      <c r="X4096" s="592"/>
      <c r="Y4096" s="592"/>
      <c r="Z4096" s="592"/>
    </row>
    <row r="4097" spans="1:26" s="28" customFormat="1" hidden="1">
      <c r="A4097" s="1349" t="s">
        <v>181</v>
      </c>
      <c r="B4097" s="1349"/>
      <c r="C4097" s="786" t="s">
        <v>28</v>
      </c>
      <c r="D4097" s="586">
        <f>SUM(D4096)</f>
        <v>0</v>
      </c>
      <c r="E4097" s="586">
        <f>SUM(E4096)</f>
        <v>0</v>
      </c>
      <c r="F4097" s="786" t="s">
        <v>28</v>
      </c>
      <c r="G4097" s="586">
        <f>SUM(G4096)</f>
        <v>926</v>
      </c>
      <c r="H4097" s="786" t="s">
        <v>28</v>
      </c>
      <c r="I4097" s="786" t="s">
        <v>28</v>
      </c>
      <c r="J4097" s="582">
        <f>SUM(J4096)</f>
        <v>16</v>
      </c>
      <c r="K4097" s="590" t="s">
        <v>28</v>
      </c>
      <c r="L4097" s="584">
        <f>SUM(L4096)</f>
        <v>402160</v>
      </c>
      <c r="M4097" s="585">
        <f>SUM(M4096)</f>
        <v>352000</v>
      </c>
      <c r="N4097" s="586">
        <f>SUM(N4096)</f>
        <v>28160</v>
      </c>
      <c r="O4097" s="587"/>
      <c r="P4097" s="586">
        <f>SUM(P4096)</f>
        <v>0</v>
      </c>
      <c r="Q4097" s="586">
        <f>SUM(Q4096)</f>
        <v>22000</v>
      </c>
      <c r="R4097" s="582" t="s">
        <v>28</v>
      </c>
      <c r="S4097" s="564">
        <f>L4097-M4097-N4097-O4097-P4097-Q4097</f>
        <v>0</v>
      </c>
      <c r="T4097" s="577" t="e">
        <f>'1.перечень МКД'!#REF!</f>
        <v>#REF!</v>
      </c>
      <c r="U4097" s="589" t="e">
        <f>L4097-T4097</f>
        <v>#REF!</v>
      </c>
      <c r="V4097" s="592"/>
      <c r="W4097" s="592"/>
      <c r="X4097" s="592"/>
      <c r="Y4097" s="592"/>
      <c r="Z4097" s="592"/>
    </row>
    <row r="4098" spans="1:26" s="28" customFormat="1" hidden="1">
      <c r="A4098" s="1347" t="s">
        <v>182</v>
      </c>
      <c r="B4098" s="1347"/>
      <c r="C4098" s="1347"/>
      <c r="D4098" s="1347"/>
      <c r="E4098" s="1347"/>
      <c r="F4098" s="1347"/>
      <c r="G4098" s="1347"/>
      <c r="H4098" s="1347"/>
      <c r="I4098" s="1347"/>
      <c r="J4098" s="1347"/>
      <c r="K4098" s="1347"/>
      <c r="L4098" s="1347"/>
      <c r="M4098" s="1347"/>
      <c r="N4098" s="1347"/>
      <c r="O4098" s="1347"/>
      <c r="P4098" s="1347"/>
      <c r="Q4098" s="1347"/>
      <c r="R4098" s="590"/>
      <c r="S4098" s="592"/>
      <c r="T4098" s="592"/>
      <c r="U4098" s="591"/>
      <c r="V4098" s="592"/>
      <c r="W4098" s="592"/>
      <c r="X4098" s="592"/>
      <c r="Y4098" s="592"/>
      <c r="Z4098" s="592"/>
    </row>
    <row r="4099" spans="1:26" s="28" customFormat="1" hidden="1">
      <c r="A4099" s="591">
        <v>1</v>
      </c>
      <c r="B4099" s="592" t="s">
        <v>3258</v>
      </c>
      <c r="C4099" s="593" t="s">
        <v>305</v>
      </c>
      <c r="D4099" s="582">
        <v>3215</v>
      </c>
      <c r="E4099" s="593">
        <v>519.84</v>
      </c>
      <c r="F4099" s="582" t="s">
        <v>251</v>
      </c>
      <c r="G4099" s="593">
        <v>491.7</v>
      </c>
      <c r="H4099" s="593">
        <v>2</v>
      </c>
      <c r="I4099" s="593">
        <v>2</v>
      </c>
      <c r="J4099" s="582">
        <v>16</v>
      </c>
      <c r="K4099" s="588" t="s">
        <v>33</v>
      </c>
      <c r="L4099" s="584">
        <f>M4099+N4099+O4099+P4099+Q4099+M4100+N4100+O4100+P4100+Q4100</f>
        <v>1635556</v>
      </c>
      <c r="M4099" s="585">
        <v>1229250</v>
      </c>
      <c r="N4099" s="586">
        <v>30000</v>
      </c>
      <c r="O4099" s="587"/>
      <c r="P4099" s="586"/>
      <c r="Q4099" s="586">
        <f>ROUND(M4099*2.14%,0)</f>
        <v>26306</v>
      </c>
      <c r="R4099" s="582">
        <f>M4099/G4099</f>
        <v>2500</v>
      </c>
      <c r="S4099" s="592"/>
      <c r="T4099" s="592"/>
      <c r="U4099" s="591"/>
      <c r="V4099" s="592"/>
      <c r="W4099" s="592"/>
      <c r="X4099" s="592"/>
      <c r="Y4099" s="592"/>
      <c r="Z4099" s="592"/>
    </row>
    <row r="4100" spans="1:26" s="89" customFormat="1" ht="37.5" hidden="1">
      <c r="A4100" s="591"/>
      <c r="B4100" s="592"/>
      <c r="C4100" s="593"/>
      <c r="D4100" s="582"/>
      <c r="E4100" s="593"/>
      <c r="F4100" s="582"/>
      <c r="G4100" s="593"/>
      <c r="H4100" s="593"/>
      <c r="I4100" s="593"/>
      <c r="J4100" s="582"/>
      <c r="K4100" s="588" t="s">
        <v>3717</v>
      </c>
      <c r="L4100" s="584"/>
      <c r="M4100" s="585">
        <v>300000</v>
      </c>
      <c r="N4100" s="586">
        <v>25000</v>
      </c>
      <c r="O4100" s="587"/>
      <c r="P4100" s="586"/>
      <c r="Q4100" s="586">
        <v>25000</v>
      </c>
      <c r="R4100" s="582">
        <f>M4100/G4099</f>
        <v>610.12812690665044</v>
      </c>
      <c r="S4100" s="592"/>
      <c r="T4100" s="592"/>
      <c r="U4100" s="591"/>
      <c r="V4100" s="592"/>
      <c r="W4100" s="592"/>
      <c r="X4100" s="592"/>
      <c r="Y4100" s="592"/>
      <c r="Z4100" s="592"/>
    </row>
    <row r="4101" spans="1:26" s="89" customFormat="1" hidden="1">
      <c r="A4101" s="591">
        <v>2</v>
      </c>
      <c r="B4101" s="592" t="s">
        <v>2294</v>
      </c>
      <c r="C4101" s="593" t="s">
        <v>305</v>
      </c>
      <c r="D4101" s="582">
        <v>2137</v>
      </c>
      <c r="E4101" s="593">
        <v>494.76</v>
      </c>
      <c r="F4101" s="582" t="s">
        <v>251</v>
      </c>
      <c r="G4101" s="593">
        <v>487.31</v>
      </c>
      <c r="H4101" s="593">
        <v>2</v>
      </c>
      <c r="I4101" s="593">
        <v>2</v>
      </c>
      <c r="J4101" s="582">
        <v>12</v>
      </c>
      <c r="K4101" s="588" t="s">
        <v>33</v>
      </c>
      <c r="L4101" s="1354">
        <f>M4101+N4101+O4101+P4101+Q4101+M4102+N4102+O4102+P4102+Q4102</f>
        <v>1621275</v>
      </c>
      <c r="M4101" s="585">
        <v>1218275</v>
      </c>
      <c r="N4101" s="586">
        <v>25000</v>
      </c>
      <c r="O4101" s="587"/>
      <c r="P4101" s="586"/>
      <c r="Q4101" s="586">
        <v>28000</v>
      </c>
      <c r="R4101" s="582">
        <f>M4101/G4101</f>
        <v>2500</v>
      </c>
      <c r="S4101" s="592"/>
      <c r="T4101" s="592"/>
      <c r="U4101" s="591"/>
      <c r="V4101" s="592"/>
      <c r="W4101" s="592"/>
      <c r="X4101" s="592"/>
      <c r="Y4101" s="592"/>
      <c r="Z4101" s="592"/>
    </row>
    <row r="4102" spans="1:26" s="89" customFormat="1" ht="37.5" hidden="1">
      <c r="A4102" s="591"/>
      <c r="B4102" s="592"/>
      <c r="C4102" s="593"/>
      <c r="D4102" s="582"/>
      <c r="E4102" s="593"/>
      <c r="F4102" s="582"/>
      <c r="G4102" s="593"/>
      <c r="H4102" s="593"/>
      <c r="I4102" s="593"/>
      <c r="J4102" s="582"/>
      <c r="K4102" s="588" t="s">
        <v>3717</v>
      </c>
      <c r="L4102" s="1354"/>
      <c r="M4102" s="585">
        <v>300000</v>
      </c>
      <c r="N4102" s="586">
        <v>25000</v>
      </c>
      <c r="O4102" s="587"/>
      <c r="P4102" s="586"/>
      <c r="Q4102" s="586">
        <v>25000</v>
      </c>
      <c r="R4102" s="582">
        <f>M4102/G4101</f>
        <v>615.62455110709811</v>
      </c>
      <c r="S4102" s="592"/>
      <c r="T4102" s="592"/>
      <c r="U4102" s="591"/>
      <c r="V4102" s="592"/>
      <c r="W4102" s="592"/>
      <c r="X4102" s="592"/>
      <c r="Y4102" s="592"/>
      <c r="Z4102" s="592"/>
    </row>
    <row r="4103" spans="1:26" s="28" customFormat="1" hidden="1">
      <c r="A4103" s="1349" t="s">
        <v>183</v>
      </c>
      <c r="B4103" s="1349"/>
      <c r="C4103" s="593" t="s">
        <v>28</v>
      </c>
      <c r="D4103" s="586">
        <f>SUM(D4099:D4102)</f>
        <v>5352</v>
      </c>
      <c r="E4103" s="602">
        <f ca="1">SUM(E4099:E4233)</f>
        <v>1471.56</v>
      </c>
      <c r="F4103" s="602" t="s">
        <v>28</v>
      </c>
      <c r="G4103" s="586">
        <f>SUM(G4099:G4102)</f>
        <v>979.01</v>
      </c>
      <c r="H4103" s="593" t="s">
        <v>28</v>
      </c>
      <c r="I4103" s="593" t="s">
        <v>28</v>
      </c>
      <c r="J4103" s="582">
        <f>SUM(J4099:J4102)</f>
        <v>28</v>
      </c>
      <c r="K4103" s="590" t="s">
        <v>28</v>
      </c>
      <c r="L4103" s="584">
        <f t="shared" ref="L4103:Q4103" si="627">SUM(L4099:L4102)</f>
        <v>3256831</v>
      </c>
      <c r="M4103" s="585">
        <f t="shared" si="627"/>
        <v>3047525</v>
      </c>
      <c r="N4103" s="586">
        <f t="shared" si="627"/>
        <v>105000</v>
      </c>
      <c r="O4103" s="587">
        <f t="shared" si="627"/>
        <v>0</v>
      </c>
      <c r="P4103" s="586">
        <f t="shared" si="627"/>
        <v>0</v>
      </c>
      <c r="Q4103" s="586">
        <f t="shared" si="627"/>
        <v>104306</v>
      </c>
      <c r="R4103" s="582" t="s">
        <v>28</v>
      </c>
      <c r="S4103" s="564">
        <f>L4103-M4103-N4103-O4103-P4103-Q4103</f>
        <v>0</v>
      </c>
      <c r="T4103" s="577" t="e">
        <f>'1.перечень МКД'!#REF!</f>
        <v>#REF!</v>
      </c>
      <c r="U4103" s="589" t="e">
        <f>L4103-T4103</f>
        <v>#REF!</v>
      </c>
      <c r="V4103" s="592"/>
      <c r="W4103" s="592"/>
      <c r="X4103" s="592"/>
      <c r="Y4103" s="592"/>
      <c r="Z4103" s="592"/>
    </row>
    <row r="4104" spans="1:26" s="28" customFormat="1" hidden="1">
      <c r="A4104" s="1347" t="s">
        <v>184</v>
      </c>
      <c r="B4104" s="1347"/>
      <c r="C4104" s="1347"/>
      <c r="D4104" s="1347"/>
      <c r="E4104" s="1347"/>
      <c r="F4104" s="1347"/>
      <c r="G4104" s="1347"/>
      <c r="H4104" s="1347"/>
      <c r="I4104" s="1347"/>
      <c r="J4104" s="1347"/>
      <c r="K4104" s="1347"/>
      <c r="L4104" s="1347"/>
      <c r="M4104" s="1347"/>
      <c r="N4104" s="1347"/>
      <c r="O4104" s="1347"/>
      <c r="P4104" s="1347"/>
      <c r="Q4104" s="1347"/>
      <c r="R4104" s="590"/>
      <c r="S4104" s="592"/>
      <c r="T4104" s="592"/>
      <c r="U4104" s="591"/>
      <c r="V4104" s="592"/>
      <c r="W4104" s="592"/>
      <c r="X4104" s="592"/>
      <c r="Y4104" s="592"/>
      <c r="Z4104" s="592"/>
    </row>
    <row r="4105" spans="1:26" s="28" customFormat="1" hidden="1">
      <c r="A4105" s="714">
        <v>1</v>
      </c>
      <c r="B4105" s="616" t="s">
        <v>3260</v>
      </c>
      <c r="C4105" s="593" t="s">
        <v>305</v>
      </c>
      <c r="D4105" s="593">
        <v>4214</v>
      </c>
      <c r="E4105" s="924"/>
      <c r="F4105" s="602" t="s">
        <v>222</v>
      </c>
      <c r="G4105" s="924">
        <v>550</v>
      </c>
      <c r="H4105" s="602">
        <v>3</v>
      </c>
      <c r="I4105" s="602">
        <v>2</v>
      </c>
      <c r="J4105" s="582">
        <v>18</v>
      </c>
      <c r="K4105" s="590" t="s">
        <v>33</v>
      </c>
      <c r="L4105" s="584">
        <f>M4105+N4105+O4105+P4105+Q4105</f>
        <v>1602956</v>
      </c>
      <c r="M4105" s="585">
        <f>G4105*2800</f>
        <v>1540000</v>
      </c>
      <c r="N4105" s="586">
        <v>30000</v>
      </c>
      <c r="O4105" s="587"/>
      <c r="P4105" s="586"/>
      <c r="Q4105" s="586">
        <f>ROUND(M4105*2.14%,0)</f>
        <v>32956</v>
      </c>
      <c r="R4105" s="582">
        <f>M4105/G4105</f>
        <v>2800</v>
      </c>
      <c r="S4105" s="592"/>
      <c r="T4105" s="592"/>
      <c r="U4105" s="591"/>
      <c r="V4105" s="592"/>
      <c r="W4105" s="592"/>
      <c r="X4105" s="592"/>
      <c r="Y4105" s="592"/>
      <c r="Z4105" s="592"/>
    </row>
    <row r="4106" spans="1:26" s="28" customFormat="1" hidden="1">
      <c r="A4106" s="1349" t="s">
        <v>185</v>
      </c>
      <c r="B4106" s="1349"/>
      <c r="C4106" s="593" t="s">
        <v>28</v>
      </c>
      <c r="D4106" s="586">
        <f>SUM(C4105)</f>
        <v>0</v>
      </c>
      <c r="E4106" s="586">
        <f t="shared" ref="E4106:J4106" si="628">SUM(E4105)</f>
        <v>0</v>
      </c>
      <c r="F4106" s="593" t="s">
        <v>28</v>
      </c>
      <c r="G4106" s="586">
        <f t="shared" si="628"/>
        <v>550</v>
      </c>
      <c r="H4106" s="593" t="s">
        <v>28</v>
      </c>
      <c r="I4106" s="593" t="s">
        <v>28</v>
      </c>
      <c r="J4106" s="582">
        <f t="shared" si="628"/>
        <v>18</v>
      </c>
      <c r="K4106" s="590" t="s">
        <v>28</v>
      </c>
      <c r="L4106" s="584">
        <f>SUM(L4105)</f>
        <v>1602956</v>
      </c>
      <c r="M4106" s="585">
        <f>SUM(M4105)</f>
        <v>1540000</v>
      </c>
      <c r="N4106" s="586">
        <f>SUM(N4105)</f>
        <v>30000</v>
      </c>
      <c r="O4106" s="587"/>
      <c r="P4106" s="586">
        <f>SUM(P4105)</f>
        <v>0</v>
      </c>
      <c r="Q4106" s="586">
        <f>SUM(Q4105)</f>
        <v>32956</v>
      </c>
      <c r="R4106" s="582" t="s">
        <v>28</v>
      </c>
      <c r="S4106" s="564">
        <f>L4106-M4106-N4106-O4106-P4106-Q4106</f>
        <v>0</v>
      </c>
      <c r="T4106" s="577" t="e">
        <f>'1.перечень МКД'!#REF!</f>
        <v>#REF!</v>
      </c>
      <c r="U4106" s="589" t="e">
        <f>L4106-T4106</f>
        <v>#REF!</v>
      </c>
      <c r="V4106" s="592"/>
      <c r="W4106" s="592"/>
      <c r="X4106" s="592"/>
      <c r="Y4106" s="592"/>
      <c r="Z4106" s="592"/>
    </row>
    <row r="4107" spans="1:26" s="28" customFormat="1" hidden="1">
      <c r="A4107" s="1347" t="s">
        <v>186</v>
      </c>
      <c r="B4107" s="1347"/>
      <c r="C4107" s="1347"/>
      <c r="D4107" s="1347"/>
      <c r="E4107" s="1347"/>
      <c r="F4107" s="1347"/>
      <c r="G4107" s="1347"/>
      <c r="H4107" s="1347"/>
      <c r="I4107" s="1347"/>
      <c r="J4107" s="1347"/>
      <c r="K4107" s="1347"/>
      <c r="L4107" s="1347"/>
      <c r="M4107" s="1347"/>
      <c r="N4107" s="1347"/>
      <c r="O4107" s="1347"/>
      <c r="P4107" s="1347"/>
      <c r="Q4107" s="1347"/>
      <c r="R4107" s="590"/>
      <c r="S4107" s="592"/>
      <c r="T4107" s="592"/>
      <c r="U4107" s="591"/>
      <c r="V4107" s="592"/>
      <c r="W4107" s="592"/>
      <c r="X4107" s="592"/>
      <c r="Y4107" s="592"/>
      <c r="Z4107" s="592"/>
    </row>
    <row r="4108" spans="1:26" s="28" customFormat="1" hidden="1">
      <c r="A4108" s="714">
        <v>1</v>
      </c>
      <c r="B4108" s="616" t="s">
        <v>2297</v>
      </c>
      <c r="C4108" s="602" t="s">
        <v>239</v>
      </c>
      <c r="D4108" s="593"/>
      <c r="E4108" s="924">
        <v>764.2</v>
      </c>
      <c r="F4108" s="602" t="s">
        <v>222</v>
      </c>
      <c r="G4108" s="924">
        <v>750</v>
      </c>
      <c r="H4108" s="602">
        <v>2</v>
      </c>
      <c r="I4108" s="602">
        <v>3</v>
      </c>
      <c r="J4108" s="602">
        <v>41</v>
      </c>
      <c r="K4108" s="590" t="s">
        <v>38</v>
      </c>
      <c r="L4108" s="584">
        <f>M4108+N4108+O4108+P4108+Q4108</f>
        <v>1174270</v>
      </c>
      <c r="M4108" s="782">
        <v>1146300</v>
      </c>
      <c r="N4108" s="783"/>
      <c r="O4108" s="784">
        <v>3439</v>
      </c>
      <c r="P4108" s="783"/>
      <c r="Q4108" s="586">
        <v>24531</v>
      </c>
      <c r="R4108" s="599">
        <f>M4108/E4108</f>
        <v>1500</v>
      </c>
      <c r="S4108" s="592"/>
      <c r="T4108" s="592"/>
      <c r="U4108" s="591"/>
      <c r="V4108" s="589"/>
      <c r="W4108" s="592"/>
      <c r="X4108" s="592"/>
      <c r="Y4108" s="592"/>
      <c r="Z4108" s="592"/>
    </row>
    <row r="4109" spans="1:26" s="28" customFormat="1" hidden="1">
      <c r="A4109" s="1349" t="s">
        <v>187</v>
      </c>
      <c r="B4109" s="1349"/>
      <c r="C4109" s="593" t="s">
        <v>28</v>
      </c>
      <c r="D4109" s="586">
        <f>D4108</f>
        <v>0</v>
      </c>
      <c r="E4109" s="586">
        <f>E4108</f>
        <v>764.2</v>
      </c>
      <c r="F4109" s="586" t="s">
        <v>28</v>
      </c>
      <c r="G4109" s="586">
        <f>G4108</f>
        <v>750</v>
      </c>
      <c r="H4109" s="593" t="s">
        <v>28</v>
      </c>
      <c r="I4109" s="593" t="s">
        <v>28</v>
      </c>
      <c r="J4109" s="586">
        <f>J4108</f>
        <v>41</v>
      </c>
      <c r="K4109" s="590" t="s">
        <v>28</v>
      </c>
      <c r="L4109" s="584">
        <f t="shared" ref="L4109:Q4109" si="629">L4108</f>
        <v>1174270</v>
      </c>
      <c r="M4109" s="585">
        <f t="shared" si="629"/>
        <v>1146300</v>
      </c>
      <c r="N4109" s="586">
        <f t="shared" si="629"/>
        <v>0</v>
      </c>
      <c r="O4109" s="587">
        <f t="shared" si="629"/>
        <v>3439</v>
      </c>
      <c r="P4109" s="586">
        <f t="shared" si="629"/>
        <v>0</v>
      </c>
      <c r="Q4109" s="586">
        <f t="shared" si="629"/>
        <v>24531</v>
      </c>
      <c r="R4109" s="582" t="s">
        <v>28</v>
      </c>
      <c r="S4109" s="564">
        <f>L4109-M4109-N4109-O4109-P4109-Q4109</f>
        <v>0</v>
      </c>
      <c r="T4109" s="577" t="e">
        <f>'1.перечень МКД'!#REF!</f>
        <v>#REF!</v>
      </c>
      <c r="U4109" s="589" t="e">
        <f>L4109-T4109</f>
        <v>#REF!</v>
      </c>
      <c r="V4109" s="592"/>
      <c r="W4109" s="592"/>
      <c r="X4109" s="592"/>
      <c r="Y4109" s="592"/>
      <c r="Z4109" s="592"/>
    </row>
    <row r="4110" spans="1:26" s="28" customFormat="1" hidden="1">
      <c r="A4110" s="1347" t="s">
        <v>188</v>
      </c>
      <c r="B4110" s="1347"/>
      <c r="C4110" s="1347"/>
      <c r="D4110" s="1347"/>
      <c r="E4110" s="1347"/>
      <c r="F4110" s="1347"/>
      <c r="G4110" s="1347"/>
      <c r="H4110" s="1347"/>
      <c r="I4110" s="1347"/>
      <c r="J4110" s="1347"/>
      <c r="K4110" s="1347"/>
      <c r="L4110" s="1347"/>
      <c r="M4110" s="1347"/>
      <c r="N4110" s="1347"/>
      <c r="O4110" s="1347"/>
      <c r="P4110" s="1347"/>
      <c r="Q4110" s="1347"/>
      <c r="R4110" s="590"/>
      <c r="S4110" s="592"/>
      <c r="T4110" s="592"/>
      <c r="U4110" s="591"/>
      <c r="V4110" s="592"/>
      <c r="W4110" s="592"/>
      <c r="X4110" s="592"/>
      <c r="Y4110" s="592"/>
      <c r="Z4110" s="592"/>
    </row>
    <row r="4111" spans="1:26" s="28" customFormat="1" ht="37.5" hidden="1">
      <c r="A4111" s="591">
        <v>1</v>
      </c>
      <c r="B4111" s="592" t="s">
        <v>3261</v>
      </c>
      <c r="C4111" s="922" t="s">
        <v>239</v>
      </c>
      <c r="D4111" s="922">
        <v>3953</v>
      </c>
      <c r="E4111" s="923">
        <v>760</v>
      </c>
      <c r="F4111" s="923" t="s">
        <v>222</v>
      </c>
      <c r="G4111" s="582">
        <v>593</v>
      </c>
      <c r="H4111" s="593">
        <v>2</v>
      </c>
      <c r="I4111" s="593">
        <v>2</v>
      </c>
      <c r="J4111" s="582">
        <v>12</v>
      </c>
      <c r="K4111" s="590" t="s">
        <v>307</v>
      </c>
      <c r="L4111" s="584">
        <f t="shared" ref="L4111:L4134" si="630">SUM(M4111:Q4111)</f>
        <v>1604795</v>
      </c>
      <c r="M4111" s="1122">
        <f>G4111*2600</f>
        <v>1541800</v>
      </c>
      <c r="N4111" s="934">
        <v>30000</v>
      </c>
      <c r="O4111" s="935"/>
      <c r="P4111" s="934"/>
      <c r="Q4111" s="586">
        <f>ROUND(M4111*2.14%,0)</f>
        <v>32995</v>
      </c>
      <c r="R4111" s="936">
        <f>M4111/G4111</f>
        <v>2600</v>
      </c>
      <c r="S4111" s="592"/>
      <c r="T4111" s="592"/>
      <c r="U4111" s="591"/>
      <c r="V4111" s="592"/>
      <c r="W4111" s="592"/>
      <c r="X4111" s="592"/>
      <c r="Y4111" s="592"/>
      <c r="Z4111" s="592"/>
    </row>
    <row r="4112" spans="1:26" s="28" customFormat="1" ht="37.5" hidden="1">
      <c r="A4112" s="591">
        <f>A4111+1</f>
        <v>2</v>
      </c>
      <c r="B4112" s="592" t="s">
        <v>3262</v>
      </c>
      <c r="C4112" s="922" t="s">
        <v>239</v>
      </c>
      <c r="D4112" s="922">
        <v>3953</v>
      </c>
      <c r="E4112" s="923">
        <v>760</v>
      </c>
      <c r="F4112" s="923" t="s">
        <v>222</v>
      </c>
      <c r="G4112" s="582">
        <v>593</v>
      </c>
      <c r="H4112" s="593">
        <v>2</v>
      </c>
      <c r="I4112" s="593">
        <v>2</v>
      </c>
      <c r="J4112" s="582">
        <v>12</v>
      </c>
      <c r="K4112" s="590" t="s">
        <v>307</v>
      </c>
      <c r="L4112" s="584">
        <f t="shared" si="630"/>
        <v>1604795</v>
      </c>
      <c r="M4112" s="1122">
        <f>G4112*2600</f>
        <v>1541800</v>
      </c>
      <c r="N4112" s="934">
        <v>30000</v>
      </c>
      <c r="O4112" s="935"/>
      <c r="P4112" s="934"/>
      <c r="Q4112" s="586">
        <f>ROUND(M4112*2.14%,0)</f>
        <v>32995</v>
      </c>
      <c r="R4112" s="936">
        <f>M4112/G4112</f>
        <v>2600</v>
      </c>
      <c r="S4112" s="592"/>
      <c r="T4112" s="592"/>
      <c r="U4112" s="591"/>
      <c r="V4112" s="592"/>
      <c r="W4112" s="592"/>
      <c r="X4112" s="592"/>
      <c r="Y4112" s="592"/>
      <c r="Z4112" s="592"/>
    </row>
    <row r="4113" spans="1:26" s="28" customFormat="1" hidden="1">
      <c r="A4113" s="591">
        <f t="shared" ref="A4113:A4138" si="631">A4112+1</f>
        <v>3</v>
      </c>
      <c r="B4113" s="592" t="s">
        <v>3263</v>
      </c>
      <c r="C4113" s="922" t="s">
        <v>239</v>
      </c>
      <c r="D4113" s="922">
        <v>3953</v>
      </c>
      <c r="E4113" s="923">
        <v>760</v>
      </c>
      <c r="F4113" s="923" t="s">
        <v>222</v>
      </c>
      <c r="G4113" s="582">
        <v>593</v>
      </c>
      <c r="H4113" s="593">
        <v>2</v>
      </c>
      <c r="I4113" s="593">
        <v>2</v>
      </c>
      <c r="J4113" s="582">
        <v>12</v>
      </c>
      <c r="K4113" s="590" t="s">
        <v>38</v>
      </c>
      <c r="L4113" s="584">
        <f t="shared" si="630"/>
        <v>1557088</v>
      </c>
      <c r="M4113" s="1122">
        <v>1520000</v>
      </c>
      <c r="N4113" s="934"/>
      <c r="O4113" s="935">
        <v>4560</v>
      </c>
      <c r="P4113" s="934"/>
      <c r="Q4113" s="586">
        <f>ROUND(M4113*2.14%,0)</f>
        <v>32528</v>
      </c>
      <c r="R4113" s="599">
        <f>M4113/E4113</f>
        <v>2000</v>
      </c>
      <c r="S4113" s="592"/>
      <c r="T4113" s="592"/>
      <c r="U4113" s="591"/>
      <c r="V4113" s="592"/>
      <c r="W4113" s="592"/>
      <c r="X4113" s="592"/>
      <c r="Y4113" s="592"/>
      <c r="Z4113" s="592"/>
    </row>
    <row r="4114" spans="1:26" s="28" customFormat="1" ht="37.5" hidden="1">
      <c r="A4114" s="591">
        <f t="shared" si="631"/>
        <v>4</v>
      </c>
      <c r="B4114" s="592" t="s">
        <v>3264</v>
      </c>
      <c r="C4114" s="922" t="s">
        <v>221</v>
      </c>
      <c r="D4114" s="922">
        <v>15372</v>
      </c>
      <c r="E4114" s="923">
        <v>2829</v>
      </c>
      <c r="F4114" s="923" t="s">
        <v>233</v>
      </c>
      <c r="G4114" s="582">
        <v>1223</v>
      </c>
      <c r="H4114" s="593">
        <v>5</v>
      </c>
      <c r="I4114" s="593">
        <v>6</v>
      </c>
      <c r="J4114" s="582">
        <v>80</v>
      </c>
      <c r="K4114" s="590" t="s">
        <v>307</v>
      </c>
      <c r="L4114" s="584">
        <f t="shared" si="630"/>
        <v>2756251</v>
      </c>
      <c r="M4114" s="1122">
        <f>G4114*2200</f>
        <v>2690600</v>
      </c>
      <c r="N4114" s="934"/>
      <c r="O4114" s="935">
        <f>ROUND(M4114*0.3%,0)</f>
        <v>8072</v>
      </c>
      <c r="P4114" s="934"/>
      <c r="Q4114" s="586">
        <f>ROUND(M4114*2.14%,0)</f>
        <v>57579</v>
      </c>
      <c r="R4114" s="936">
        <f>M4114/G4114</f>
        <v>2200</v>
      </c>
      <c r="S4114" s="592"/>
      <c r="T4114" s="592"/>
      <c r="U4114" s="591"/>
      <c r="V4114" s="592"/>
      <c r="W4114" s="592"/>
      <c r="X4114" s="592"/>
      <c r="Y4114" s="592"/>
      <c r="Z4114" s="592"/>
    </row>
    <row r="4115" spans="1:26" s="28" customFormat="1" hidden="1">
      <c r="A4115" s="591">
        <f t="shared" si="631"/>
        <v>5</v>
      </c>
      <c r="B4115" s="592" t="s">
        <v>3265</v>
      </c>
      <c r="C4115" s="922" t="s">
        <v>221</v>
      </c>
      <c r="D4115" s="922">
        <v>3828</v>
      </c>
      <c r="E4115" s="923">
        <v>1057.3</v>
      </c>
      <c r="F4115" s="923" t="s">
        <v>222</v>
      </c>
      <c r="G4115" s="582">
        <v>868.8</v>
      </c>
      <c r="H4115" s="593">
        <v>3</v>
      </c>
      <c r="I4115" s="593">
        <v>2</v>
      </c>
      <c r="J4115" s="582">
        <v>15</v>
      </c>
      <c r="K4115" s="590" t="s">
        <v>238</v>
      </c>
      <c r="L4115" s="584">
        <f t="shared" si="630"/>
        <v>566235</v>
      </c>
      <c r="M4115" s="1122">
        <f>J4115*35000</f>
        <v>525000</v>
      </c>
      <c r="N4115" s="934">
        <v>30000</v>
      </c>
      <c r="O4115" s="935"/>
      <c r="P4115" s="934"/>
      <c r="Q4115" s="586">
        <f>ROUND(M4115*2.14%,0)</f>
        <v>11235</v>
      </c>
      <c r="R4115" s="936">
        <f>M4115/J4115</f>
        <v>35000</v>
      </c>
      <c r="S4115" s="592"/>
      <c r="T4115" s="592"/>
      <c r="U4115" s="591"/>
      <c r="V4115" s="592"/>
      <c r="W4115" s="592"/>
      <c r="X4115" s="592"/>
      <c r="Y4115" s="592"/>
      <c r="Z4115" s="592"/>
    </row>
    <row r="4116" spans="1:26" s="28" customFormat="1" ht="37.5" hidden="1">
      <c r="A4116" s="591">
        <f t="shared" si="631"/>
        <v>6</v>
      </c>
      <c r="B4116" s="592" t="s">
        <v>3266</v>
      </c>
      <c r="C4116" s="922" t="s">
        <v>221</v>
      </c>
      <c r="D4116" s="922">
        <v>39800</v>
      </c>
      <c r="E4116" s="923">
        <v>6641</v>
      </c>
      <c r="F4116" s="923" t="s">
        <v>233</v>
      </c>
      <c r="G4116" s="582">
        <v>1623</v>
      </c>
      <c r="H4116" s="593">
        <v>9</v>
      </c>
      <c r="I4116" s="593">
        <v>3</v>
      </c>
      <c r="J4116" s="582">
        <v>163</v>
      </c>
      <c r="K4116" s="590" t="s">
        <v>219</v>
      </c>
      <c r="L4116" s="584">
        <f t="shared" si="630"/>
        <v>6127500</v>
      </c>
      <c r="M4116" s="1122">
        <v>6000000</v>
      </c>
      <c r="N4116" s="934">
        <f>85000*1.5</f>
        <v>127500</v>
      </c>
      <c r="O4116" s="935"/>
      <c r="P4116" s="934"/>
      <c r="Q4116" s="586"/>
      <c r="R4116" s="936">
        <v>2000000</v>
      </c>
      <c r="S4116" s="592"/>
      <c r="T4116" s="592"/>
      <c r="U4116" s="591"/>
      <c r="V4116" s="589"/>
      <c r="W4116" s="592"/>
      <c r="X4116" s="592"/>
      <c r="Y4116" s="592"/>
      <c r="Z4116" s="592"/>
    </row>
    <row r="4117" spans="1:26" s="28" customFormat="1" ht="37.5" hidden="1">
      <c r="A4117" s="591">
        <f t="shared" si="631"/>
        <v>7</v>
      </c>
      <c r="B4117" s="592" t="s">
        <v>3267</v>
      </c>
      <c r="C4117" s="922" t="s">
        <v>217</v>
      </c>
      <c r="D4117" s="922">
        <v>26300</v>
      </c>
      <c r="E4117" s="923">
        <v>3199.9</v>
      </c>
      <c r="F4117" s="923" t="s">
        <v>233</v>
      </c>
      <c r="G4117" s="582">
        <v>1005</v>
      </c>
      <c r="H4117" s="593">
        <v>9</v>
      </c>
      <c r="I4117" s="593">
        <v>3</v>
      </c>
      <c r="J4117" s="582">
        <v>108</v>
      </c>
      <c r="K4117" s="590" t="s">
        <v>219</v>
      </c>
      <c r="L4117" s="584">
        <f t="shared" si="630"/>
        <v>6127500</v>
      </c>
      <c r="M4117" s="1122">
        <v>6000000</v>
      </c>
      <c r="N4117" s="934">
        <f>85000*1.5</f>
        <v>127500</v>
      </c>
      <c r="O4117" s="935"/>
      <c r="P4117" s="934"/>
      <c r="Q4117" s="586"/>
      <c r="R4117" s="936">
        <v>2000000</v>
      </c>
      <c r="S4117" s="592"/>
      <c r="T4117" s="592"/>
      <c r="U4117" s="591"/>
      <c r="V4117" s="589"/>
      <c r="W4117" s="592"/>
      <c r="X4117" s="592"/>
      <c r="Y4117" s="592"/>
      <c r="Z4117" s="592"/>
    </row>
    <row r="4118" spans="1:26" s="28" customFormat="1" ht="37.5" hidden="1">
      <c r="A4118" s="591">
        <f t="shared" si="631"/>
        <v>8</v>
      </c>
      <c r="B4118" s="592" t="s">
        <v>3268</v>
      </c>
      <c r="C4118" s="922" t="s">
        <v>221</v>
      </c>
      <c r="D4118" s="922">
        <v>31542</v>
      </c>
      <c r="E4118" s="923">
        <v>5028</v>
      </c>
      <c r="F4118" s="923" t="s">
        <v>233</v>
      </c>
      <c r="G4118" s="582">
        <v>2454</v>
      </c>
      <c r="H4118" s="593">
        <v>5</v>
      </c>
      <c r="I4118" s="593">
        <v>10</v>
      </c>
      <c r="J4118" s="582">
        <v>121</v>
      </c>
      <c r="K4118" s="590" t="s">
        <v>307</v>
      </c>
      <c r="L4118" s="584">
        <f t="shared" si="630"/>
        <v>5530530</v>
      </c>
      <c r="M4118" s="1122">
        <f>G4118*2200</f>
        <v>5398800</v>
      </c>
      <c r="N4118" s="934"/>
      <c r="O4118" s="935">
        <f>ROUND(M4118*0.3%,0)</f>
        <v>16196</v>
      </c>
      <c r="P4118" s="934"/>
      <c r="Q4118" s="586">
        <f>ROUND(M4118*2.14%,0)</f>
        <v>115534</v>
      </c>
      <c r="R4118" s="936">
        <f>M4118/G4118</f>
        <v>2200</v>
      </c>
      <c r="S4118" s="592"/>
      <c r="T4118" s="592"/>
      <c r="U4118" s="591"/>
      <c r="V4118" s="592"/>
      <c r="W4118" s="592"/>
      <c r="X4118" s="592"/>
      <c r="Y4118" s="592"/>
      <c r="Z4118" s="592"/>
    </row>
    <row r="4119" spans="1:26" s="28" customFormat="1" ht="37.5" hidden="1">
      <c r="A4119" s="591">
        <f t="shared" si="631"/>
        <v>9</v>
      </c>
      <c r="B4119" s="592" t="s">
        <v>3269</v>
      </c>
      <c r="C4119" s="922" t="s">
        <v>217</v>
      </c>
      <c r="D4119" s="922">
        <v>24196</v>
      </c>
      <c r="E4119" s="923">
        <v>4365.5</v>
      </c>
      <c r="F4119" s="923" t="s">
        <v>233</v>
      </c>
      <c r="G4119" s="582">
        <v>1100</v>
      </c>
      <c r="H4119" s="593">
        <v>9</v>
      </c>
      <c r="I4119" s="593">
        <v>3</v>
      </c>
      <c r="J4119" s="582">
        <v>108</v>
      </c>
      <c r="K4119" s="590" t="s">
        <v>219</v>
      </c>
      <c r="L4119" s="584">
        <f t="shared" si="630"/>
        <v>6127500</v>
      </c>
      <c r="M4119" s="1122">
        <v>6000000</v>
      </c>
      <c r="N4119" s="934">
        <f>85000*1.5</f>
        <v>127500</v>
      </c>
      <c r="O4119" s="935"/>
      <c r="P4119" s="934"/>
      <c r="Q4119" s="586"/>
      <c r="R4119" s="936">
        <v>2000000</v>
      </c>
      <c r="S4119" s="592"/>
      <c r="T4119" s="592"/>
      <c r="U4119" s="591"/>
      <c r="V4119" s="589"/>
      <c r="W4119" s="592"/>
      <c r="X4119" s="592"/>
      <c r="Y4119" s="592"/>
      <c r="Z4119" s="592"/>
    </row>
    <row r="4120" spans="1:26" s="28" customFormat="1" ht="37.5" hidden="1">
      <c r="A4120" s="591">
        <f t="shared" si="631"/>
        <v>10</v>
      </c>
      <c r="B4120" s="592" t="s">
        <v>1343</v>
      </c>
      <c r="C4120" s="922" t="s">
        <v>221</v>
      </c>
      <c r="D4120" s="922">
        <v>14999</v>
      </c>
      <c r="E4120" s="923">
        <v>2724</v>
      </c>
      <c r="F4120" s="923" t="s">
        <v>233</v>
      </c>
      <c r="G4120" s="582">
        <v>805</v>
      </c>
      <c r="H4120" s="593">
        <v>9</v>
      </c>
      <c r="I4120" s="593">
        <v>3</v>
      </c>
      <c r="J4120" s="582">
        <v>75</v>
      </c>
      <c r="K4120" s="590" t="s">
        <v>307</v>
      </c>
      <c r="L4120" s="584">
        <f t="shared" si="630"/>
        <v>1814212</v>
      </c>
      <c r="M4120" s="1122">
        <f>G4120*2200</f>
        <v>1771000</v>
      </c>
      <c r="N4120" s="934"/>
      <c r="O4120" s="935">
        <f>ROUND(M4120*0.3%,0)</f>
        <v>5313</v>
      </c>
      <c r="P4120" s="934"/>
      <c r="Q4120" s="586">
        <f>ROUND(M4120*2.14%,0)</f>
        <v>37899</v>
      </c>
      <c r="R4120" s="936">
        <f>M4120/G4120</f>
        <v>2200</v>
      </c>
      <c r="S4120" s="592"/>
      <c r="T4120" s="592"/>
      <c r="U4120" s="591"/>
      <c r="V4120" s="592"/>
      <c r="W4120" s="592"/>
      <c r="X4120" s="592"/>
      <c r="Y4120" s="592"/>
      <c r="Z4120" s="592"/>
    </row>
    <row r="4121" spans="1:26" s="28" customFormat="1" ht="37.5" hidden="1">
      <c r="A4121" s="591">
        <f t="shared" si="631"/>
        <v>11</v>
      </c>
      <c r="B4121" s="592" t="s">
        <v>2304</v>
      </c>
      <c r="C4121" s="922" t="s">
        <v>221</v>
      </c>
      <c r="D4121" s="922">
        <v>18459</v>
      </c>
      <c r="E4121" s="923">
        <v>3960</v>
      </c>
      <c r="F4121" s="923" t="s">
        <v>233</v>
      </c>
      <c r="G4121" s="582">
        <v>692</v>
      </c>
      <c r="H4121" s="593">
        <v>9</v>
      </c>
      <c r="I4121" s="593">
        <v>2</v>
      </c>
      <c r="J4121" s="582">
        <v>63</v>
      </c>
      <c r="K4121" s="590" t="s">
        <v>307</v>
      </c>
      <c r="L4121" s="584">
        <f t="shared" si="630"/>
        <v>1559546</v>
      </c>
      <c r="M4121" s="1122">
        <f>G4121*2200</f>
        <v>1522400</v>
      </c>
      <c r="N4121" s="934"/>
      <c r="O4121" s="935">
        <f>ROUND(M4121*0.3%,0)</f>
        <v>4567</v>
      </c>
      <c r="P4121" s="934"/>
      <c r="Q4121" s="586">
        <f>ROUND(M4121*2.14%,0)</f>
        <v>32579</v>
      </c>
      <c r="R4121" s="936">
        <f>M4121/G4121</f>
        <v>2200</v>
      </c>
      <c r="S4121" s="592"/>
      <c r="T4121" s="592"/>
      <c r="U4121" s="591"/>
      <c r="V4121" s="592"/>
      <c r="W4121" s="592"/>
      <c r="X4121" s="592"/>
      <c r="Y4121" s="592"/>
      <c r="Z4121" s="592"/>
    </row>
    <row r="4122" spans="1:26" s="28" customFormat="1" ht="37.5" hidden="1">
      <c r="A4122" s="591">
        <f t="shared" si="631"/>
        <v>12</v>
      </c>
      <c r="B4122" s="592" t="s">
        <v>3270</v>
      </c>
      <c r="C4122" s="922" t="s">
        <v>217</v>
      </c>
      <c r="D4122" s="922">
        <v>41800</v>
      </c>
      <c r="E4122" s="923">
        <v>6831.85</v>
      </c>
      <c r="F4122" s="923" t="s">
        <v>233</v>
      </c>
      <c r="G4122" s="582">
        <v>1740</v>
      </c>
      <c r="H4122" s="593">
        <v>9</v>
      </c>
      <c r="I4122" s="593">
        <v>5</v>
      </c>
      <c r="J4122" s="582">
        <v>197</v>
      </c>
      <c r="K4122" s="590" t="s">
        <v>219</v>
      </c>
      <c r="L4122" s="584">
        <f t="shared" si="630"/>
        <v>10170000</v>
      </c>
      <c r="M4122" s="1122">
        <f>5*R4122</f>
        <v>10000000</v>
      </c>
      <c r="N4122" s="934">
        <f>85000*2</f>
        <v>170000</v>
      </c>
      <c r="O4122" s="935"/>
      <c r="P4122" s="934"/>
      <c r="Q4122" s="586"/>
      <c r="R4122" s="936">
        <v>2000000</v>
      </c>
      <c r="S4122" s="592"/>
      <c r="T4122" s="592"/>
      <c r="U4122" s="591"/>
      <c r="V4122" s="589"/>
      <c r="W4122" s="592"/>
      <c r="X4122" s="592"/>
      <c r="Y4122" s="592"/>
      <c r="Z4122" s="592"/>
    </row>
    <row r="4123" spans="1:26" s="28" customFormat="1" ht="37.5" hidden="1">
      <c r="A4123" s="591">
        <f t="shared" si="631"/>
        <v>13</v>
      </c>
      <c r="B4123" s="592" t="s">
        <v>3271</v>
      </c>
      <c r="C4123" s="922" t="s">
        <v>217</v>
      </c>
      <c r="D4123" s="922">
        <v>31503</v>
      </c>
      <c r="E4123" s="923">
        <v>5234.1000000000004</v>
      </c>
      <c r="F4123" s="923" t="s">
        <v>233</v>
      </c>
      <c r="G4123" s="582">
        <v>1304.5</v>
      </c>
      <c r="H4123" s="593">
        <v>9</v>
      </c>
      <c r="I4123" s="593">
        <v>2</v>
      </c>
      <c r="J4123" s="582">
        <v>198</v>
      </c>
      <c r="K4123" s="590" t="s">
        <v>347</v>
      </c>
      <c r="L4123" s="584">
        <f t="shared" si="630"/>
        <v>2085000</v>
      </c>
      <c r="M4123" s="1122">
        <v>2000000</v>
      </c>
      <c r="N4123" s="934">
        <v>85000</v>
      </c>
      <c r="O4123" s="935"/>
      <c r="P4123" s="934"/>
      <c r="Q4123" s="586"/>
      <c r="R4123" s="936">
        <v>2000000</v>
      </c>
      <c r="S4123" s="592"/>
      <c r="T4123" s="592"/>
      <c r="U4123" s="591"/>
      <c r="V4123" s="589"/>
      <c r="W4123" s="592"/>
      <c r="X4123" s="592"/>
      <c r="Y4123" s="592"/>
      <c r="Z4123" s="592"/>
    </row>
    <row r="4124" spans="1:26" s="28" customFormat="1" hidden="1">
      <c r="A4124" s="591">
        <f t="shared" si="631"/>
        <v>14</v>
      </c>
      <c r="B4124" s="592" t="s">
        <v>3272</v>
      </c>
      <c r="C4124" s="922" t="s">
        <v>221</v>
      </c>
      <c r="D4124" s="922">
        <v>8500</v>
      </c>
      <c r="E4124" s="923">
        <v>1768.4</v>
      </c>
      <c r="F4124" s="923" t="s">
        <v>228</v>
      </c>
      <c r="G4124" s="582">
        <v>1055.3</v>
      </c>
      <c r="H4124" s="593">
        <v>3</v>
      </c>
      <c r="I4124" s="593">
        <v>3</v>
      </c>
      <c r="J4124" s="582">
        <v>26</v>
      </c>
      <c r="K4124" s="590" t="s">
        <v>224</v>
      </c>
      <c r="L4124" s="584">
        <f t="shared" si="630"/>
        <v>614241</v>
      </c>
      <c r="M4124" s="1122">
        <f>J4124*22000</f>
        <v>572000</v>
      </c>
      <c r="N4124" s="934">
        <v>30000</v>
      </c>
      <c r="O4124" s="935"/>
      <c r="P4124" s="934"/>
      <c r="Q4124" s="586">
        <f>ROUND(M4124*2.14%,0)</f>
        <v>12241</v>
      </c>
      <c r="R4124" s="936">
        <f>M4124/J4124</f>
        <v>22000</v>
      </c>
      <c r="S4124" s="592"/>
      <c r="T4124" s="592"/>
      <c r="U4124" s="591"/>
      <c r="V4124" s="592"/>
      <c r="W4124" s="592"/>
      <c r="X4124" s="592"/>
      <c r="Y4124" s="592"/>
      <c r="Z4124" s="592"/>
    </row>
    <row r="4125" spans="1:26" s="28" customFormat="1" ht="37.5" hidden="1">
      <c r="A4125" s="591">
        <f t="shared" si="631"/>
        <v>15</v>
      </c>
      <c r="B4125" s="592" t="s">
        <v>3273</v>
      </c>
      <c r="C4125" s="922" t="s">
        <v>221</v>
      </c>
      <c r="D4125" s="922">
        <v>9737</v>
      </c>
      <c r="E4125" s="923">
        <v>1775</v>
      </c>
      <c r="F4125" s="923" t="s">
        <v>222</v>
      </c>
      <c r="G4125" s="582">
        <v>964</v>
      </c>
      <c r="H4125" s="593">
        <v>5</v>
      </c>
      <c r="I4125" s="593">
        <v>3</v>
      </c>
      <c r="J4125" s="582">
        <v>50</v>
      </c>
      <c r="K4125" s="590" t="s">
        <v>30</v>
      </c>
      <c r="L4125" s="584">
        <f t="shared" si="630"/>
        <v>1126840</v>
      </c>
      <c r="M4125" s="1122">
        <v>1100000</v>
      </c>
      <c r="N4125" s="934"/>
      <c r="O4125" s="935">
        <f>ROUND(M4125*0.3%,0)</f>
        <v>3300</v>
      </c>
      <c r="P4125" s="934"/>
      <c r="Q4125" s="586">
        <f>ROUND(M4125*2.14%,0)</f>
        <v>23540</v>
      </c>
      <c r="R4125" s="936">
        <f>M4125/J4125</f>
        <v>22000</v>
      </c>
      <c r="S4125" s="592"/>
      <c r="T4125" s="592"/>
      <c r="U4125" s="591"/>
      <c r="V4125" s="592"/>
      <c r="W4125" s="592"/>
      <c r="X4125" s="592"/>
      <c r="Y4125" s="592"/>
      <c r="Z4125" s="592"/>
    </row>
    <row r="4126" spans="1:26" s="28" customFormat="1" ht="37.5" hidden="1">
      <c r="A4126" s="591">
        <f t="shared" si="631"/>
        <v>16</v>
      </c>
      <c r="B4126" s="592" t="s">
        <v>3274</v>
      </c>
      <c r="C4126" s="922" t="s">
        <v>221</v>
      </c>
      <c r="D4126" s="922">
        <v>3694</v>
      </c>
      <c r="E4126" s="923">
        <v>729</v>
      </c>
      <c r="F4126" s="923" t="s">
        <v>222</v>
      </c>
      <c r="G4126" s="582">
        <v>828</v>
      </c>
      <c r="H4126" s="593">
        <v>2</v>
      </c>
      <c r="I4126" s="593">
        <v>3</v>
      </c>
      <c r="J4126" s="582">
        <v>22</v>
      </c>
      <c r="K4126" s="590" t="s">
        <v>307</v>
      </c>
      <c r="L4126" s="584">
        <f t="shared" si="630"/>
        <v>2233870</v>
      </c>
      <c r="M4126" s="1122">
        <f>G4126*2600</f>
        <v>2152800</v>
      </c>
      <c r="N4126" s="934">
        <v>35000</v>
      </c>
      <c r="O4126" s="935"/>
      <c r="P4126" s="934"/>
      <c r="Q4126" s="586">
        <f>ROUND(M4126*2.14%,0)</f>
        <v>46070</v>
      </c>
      <c r="R4126" s="936">
        <f>M4126/G4126</f>
        <v>2600</v>
      </c>
      <c r="S4126" s="592"/>
      <c r="T4126" s="592"/>
      <c r="U4126" s="591"/>
      <c r="V4126" s="592"/>
      <c r="W4126" s="592"/>
      <c r="X4126" s="592"/>
      <c r="Y4126" s="592"/>
      <c r="Z4126" s="592"/>
    </row>
    <row r="4127" spans="1:26" s="28" customFormat="1" ht="37.5" hidden="1">
      <c r="A4127" s="591">
        <f t="shared" si="631"/>
        <v>17</v>
      </c>
      <c r="B4127" s="592" t="s">
        <v>3275</v>
      </c>
      <c r="C4127" s="922" t="s">
        <v>221</v>
      </c>
      <c r="D4127" s="922">
        <v>18600</v>
      </c>
      <c r="E4127" s="923">
        <v>3752</v>
      </c>
      <c r="F4127" s="923" t="s">
        <v>233</v>
      </c>
      <c r="G4127" s="582">
        <v>719</v>
      </c>
      <c r="H4127" s="593">
        <v>9</v>
      </c>
      <c r="I4127" s="593">
        <v>1</v>
      </c>
      <c r="J4127" s="582">
        <v>40</v>
      </c>
      <c r="K4127" s="590" t="s">
        <v>219</v>
      </c>
      <c r="L4127" s="584">
        <f t="shared" si="630"/>
        <v>2085000</v>
      </c>
      <c r="M4127" s="1122">
        <v>2000000</v>
      </c>
      <c r="N4127" s="934">
        <v>85000</v>
      </c>
      <c r="O4127" s="935"/>
      <c r="P4127" s="934"/>
      <c r="Q4127" s="586"/>
      <c r="R4127" s="936">
        <v>2000000</v>
      </c>
      <c r="S4127" s="592"/>
      <c r="T4127" s="592"/>
      <c r="U4127" s="591"/>
      <c r="V4127" s="589"/>
      <c r="W4127" s="592"/>
      <c r="X4127" s="592"/>
      <c r="Y4127" s="592"/>
      <c r="Z4127" s="592"/>
    </row>
    <row r="4128" spans="1:26" s="28" customFormat="1" ht="37.5" hidden="1">
      <c r="A4128" s="591">
        <f t="shared" si="631"/>
        <v>18</v>
      </c>
      <c r="B4128" s="592" t="s">
        <v>3276</v>
      </c>
      <c r="C4128" s="922" t="s">
        <v>217</v>
      </c>
      <c r="D4128" s="922">
        <v>16800</v>
      </c>
      <c r="E4128" s="923">
        <v>3224</v>
      </c>
      <c r="F4128" s="923" t="s">
        <v>233</v>
      </c>
      <c r="G4128" s="582">
        <v>630</v>
      </c>
      <c r="H4128" s="593">
        <v>9</v>
      </c>
      <c r="I4128" s="593">
        <v>2</v>
      </c>
      <c r="J4128" s="582">
        <v>72</v>
      </c>
      <c r="K4128" s="590" t="s">
        <v>219</v>
      </c>
      <c r="L4128" s="584">
        <f t="shared" si="630"/>
        <v>4106250</v>
      </c>
      <c r="M4128" s="1122">
        <v>4000000</v>
      </c>
      <c r="N4128" s="934">
        <v>106250</v>
      </c>
      <c r="O4128" s="935"/>
      <c r="P4128" s="934"/>
      <c r="Q4128" s="586"/>
      <c r="R4128" s="936">
        <v>2000000</v>
      </c>
      <c r="S4128" s="592"/>
      <c r="T4128" s="592"/>
      <c r="U4128" s="591"/>
      <c r="V4128" s="589"/>
      <c r="W4128" s="592"/>
      <c r="X4128" s="592"/>
      <c r="Y4128" s="592"/>
      <c r="Z4128" s="592"/>
    </row>
    <row r="4129" spans="1:26" s="28" customFormat="1" ht="37.5" hidden="1">
      <c r="A4129" s="591">
        <f t="shared" si="631"/>
        <v>19</v>
      </c>
      <c r="B4129" s="592" t="s">
        <v>3277</v>
      </c>
      <c r="C4129" s="922" t="s">
        <v>217</v>
      </c>
      <c r="D4129" s="922">
        <v>16800</v>
      </c>
      <c r="E4129" s="923">
        <v>3224</v>
      </c>
      <c r="F4129" s="923" t="s">
        <v>233</v>
      </c>
      <c r="G4129" s="582">
        <v>630</v>
      </c>
      <c r="H4129" s="593">
        <v>9</v>
      </c>
      <c r="I4129" s="593">
        <v>2</v>
      </c>
      <c r="J4129" s="582">
        <v>72</v>
      </c>
      <c r="K4129" s="590" t="s">
        <v>219</v>
      </c>
      <c r="L4129" s="584">
        <f t="shared" si="630"/>
        <v>4106250</v>
      </c>
      <c r="M4129" s="1122">
        <v>4000000</v>
      </c>
      <c r="N4129" s="934">
        <v>106250</v>
      </c>
      <c r="O4129" s="935"/>
      <c r="P4129" s="934"/>
      <c r="Q4129" s="586"/>
      <c r="R4129" s="936">
        <v>2000000</v>
      </c>
      <c r="S4129" s="592"/>
      <c r="T4129" s="592"/>
      <c r="U4129" s="591"/>
      <c r="V4129" s="589"/>
      <c r="W4129" s="592"/>
      <c r="X4129" s="592"/>
      <c r="Y4129" s="592"/>
      <c r="Z4129" s="592"/>
    </row>
    <row r="4130" spans="1:26" s="28" customFormat="1" ht="37.5" hidden="1">
      <c r="A4130" s="591">
        <f t="shared" si="631"/>
        <v>20</v>
      </c>
      <c r="B4130" s="592" t="s">
        <v>3278</v>
      </c>
      <c r="C4130" s="922" t="s">
        <v>221</v>
      </c>
      <c r="D4130" s="922">
        <v>1617</v>
      </c>
      <c r="E4130" s="923">
        <v>448</v>
      </c>
      <c r="F4130" s="923" t="s">
        <v>222</v>
      </c>
      <c r="G4130" s="582">
        <v>520</v>
      </c>
      <c r="H4130" s="593">
        <v>2</v>
      </c>
      <c r="I4130" s="593">
        <v>1</v>
      </c>
      <c r="J4130" s="582">
        <v>6</v>
      </c>
      <c r="K4130" s="590" t="s">
        <v>307</v>
      </c>
      <c r="L4130" s="584">
        <f t="shared" si="630"/>
        <v>1405933</v>
      </c>
      <c r="M4130" s="1122">
        <f>G4130*2600</f>
        <v>1352000</v>
      </c>
      <c r="N4130" s="934">
        <v>25000</v>
      </c>
      <c r="O4130" s="935"/>
      <c r="P4130" s="934"/>
      <c r="Q4130" s="586">
        <f>ROUND(M4130*2.14%,0)</f>
        <v>28933</v>
      </c>
      <c r="R4130" s="936">
        <f>M4130/G4130</f>
        <v>2600</v>
      </c>
      <c r="S4130" s="592"/>
      <c r="T4130" s="592"/>
      <c r="U4130" s="591"/>
      <c r="V4130" s="592"/>
      <c r="W4130" s="592"/>
      <c r="X4130" s="592"/>
      <c r="Y4130" s="592"/>
      <c r="Z4130" s="592"/>
    </row>
    <row r="4131" spans="1:26" s="28" customFormat="1" ht="37.5" hidden="1">
      <c r="A4131" s="591">
        <f t="shared" si="631"/>
        <v>21</v>
      </c>
      <c r="B4131" s="592" t="s">
        <v>3279</v>
      </c>
      <c r="C4131" s="922" t="s">
        <v>239</v>
      </c>
      <c r="D4131" s="922">
        <v>3707</v>
      </c>
      <c r="E4131" s="923">
        <v>803</v>
      </c>
      <c r="F4131" s="923" t="s">
        <v>222</v>
      </c>
      <c r="G4131" s="582">
        <v>768</v>
      </c>
      <c r="H4131" s="593">
        <v>2</v>
      </c>
      <c r="I4131" s="593">
        <v>2</v>
      </c>
      <c r="J4131" s="582">
        <v>12</v>
      </c>
      <c r="K4131" s="590" t="s">
        <v>307</v>
      </c>
      <c r="L4131" s="584">
        <f t="shared" si="630"/>
        <v>2069532</v>
      </c>
      <c r="M4131" s="1122">
        <f>G4131*2600</f>
        <v>1996800</v>
      </c>
      <c r="N4131" s="934">
        <v>30000</v>
      </c>
      <c r="O4131" s="935"/>
      <c r="P4131" s="934"/>
      <c r="Q4131" s="586">
        <f>ROUND(M4131*2.14%,0)</f>
        <v>42732</v>
      </c>
      <c r="R4131" s="936">
        <f>M4131/G4131</f>
        <v>2600</v>
      </c>
      <c r="S4131" s="592"/>
      <c r="T4131" s="592"/>
      <c r="U4131" s="591"/>
      <c r="V4131" s="592"/>
      <c r="W4131" s="592"/>
      <c r="X4131" s="592"/>
      <c r="Y4131" s="592"/>
      <c r="Z4131" s="592"/>
    </row>
    <row r="4132" spans="1:26" s="28" customFormat="1" ht="37.5" hidden="1">
      <c r="A4132" s="591">
        <f t="shared" si="631"/>
        <v>22</v>
      </c>
      <c r="B4132" s="592" t="s">
        <v>3280</v>
      </c>
      <c r="C4132" s="922" t="s">
        <v>239</v>
      </c>
      <c r="D4132" s="922">
        <v>3485</v>
      </c>
      <c r="E4132" s="923">
        <v>730</v>
      </c>
      <c r="F4132" s="923" t="s">
        <v>222</v>
      </c>
      <c r="G4132" s="582">
        <v>719.6</v>
      </c>
      <c r="H4132" s="593">
        <v>2</v>
      </c>
      <c r="I4132" s="593">
        <v>1</v>
      </c>
      <c r="J4132" s="582">
        <v>25</v>
      </c>
      <c r="K4132" s="590" t="s">
        <v>307</v>
      </c>
      <c r="L4132" s="584">
        <f t="shared" si="630"/>
        <v>1935999</v>
      </c>
      <c r="M4132" s="1122">
        <f>G4132*2600</f>
        <v>1870960</v>
      </c>
      <c r="N4132" s="934">
        <v>25000</v>
      </c>
      <c r="O4132" s="935"/>
      <c r="P4132" s="934"/>
      <c r="Q4132" s="586">
        <f>ROUND(M4132*2.14%,0)</f>
        <v>40039</v>
      </c>
      <c r="R4132" s="936">
        <f>M4132/G4132</f>
        <v>2600</v>
      </c>
      <c r="S4132" s="592"/>
      <c r="T4132" s="592"/>
      <c r="U4132" s="591"/>
      <c r="V4132" s="592"/>
      <c r="W4132" s="592"/>
      <c r="X4132" s="592"/>
      <c r="Y4132" s="592"/>
      <c r="Z4132" s="592"/>
    </row>
    <row r="4133" spans="1:26" s="28" customFormat="1" hidden="1">
      <c r="A4133" s="591">
        <f t="shared" si="631"/>
        <v>23</v>
      </c>
      <c r="B4133" s="592" t="s">
        <v>3281</v>
      </c>
      <c r="C4133" s="922" t="s">
        <v>221</v>
      </c>
      <c r="D4133" s="922">
        <v>10934</v>
      </c>
      <c r="E4133" s="923">
        <v>1829</v>
      </c>
      <c r="F4133" s="923" t="s">
        <v>233</v>
      </c>
      <c r="G4133" s="582">
        <v>896</v>
      </c>
      <c r="H4133" s="593">
        <v>5</v>
      </c>
      <c r="I4133" s="593">
        <v>1</v>
      </c>
      <c r="J4133" s="582">
        <v>70</v>
      </c>
      <c r="K4133" s="590" t="s">
        <v>224</v>
      </c>
      <c r="L4133" s="584">
        <f t="shared" si="630"/>
        <v>1602956</v>
      </c>
      <c r="M4133" s="1122">
        <v>1540000</v>
      </c>
      <c r="N4133" s="934">
        <v>30000</v>
      </c>
      <c r="O4133" s="935"/>
      <c r="P4133" s="934"/>
      <c r="Q4133" s="586">
        <f>ROUND(M4133*2.14%,0)</f>
        <v>32956</v>
      </c>
      <c r="R4133" s="936">
        <f>M4133/J4133</f>
        <v>22000</v>
      </c>
      <c r="S4133" s="592"/>
      <c r="T4133" s="592"/>
      <c r="U4133" s="591"/>
      <c r="V4133" s="592"/>
      <c r="W4133" s="592"/>
      <c r="X4133" s="592"/>
      <c r="Y4133" s="592"/>
      <c r="Z4133" s="592"/>
    </row>
    <row r="4134" spans="1:26" s="28" customFormat="1" hidden="1">
      <c r="A4134" s="591">
        <f t="shared" si="631"/>
        <v>24</v>
      </c>
      <c r="B4134" s="592" t="s">
        <v>3282</v>
      </c>
      <c r="C4134" s="922" t="s">
        <v>221</v>
      </c>
      <c r="D4134" s="922">
        <v>25140</v>
      </c>
      <c r="E4134" s="923">
        <v>4061</v>
      </c>
      <c r="F4134" s="923" t="s">
        <v>233</v>
      </c>
      <c r="G4134" s="582">
        <v>1677</v>
      </c>
      <c r="H4134" s="593">
        <v>5</v>
      </c>
      <c r="I4134" s="593">
        <v>8</v>
      </c>
      <c r="J4134" s="582">
        <v>131</v>
      </c>
      <c r="K4134" s="590" t="s">
        <v>224</v>
      </c>
      <c r="L4134" s="584">
        <f t="shared" si="630"/>
        <v>2988675</v>
      </c>
      <c r="M4134" s="1122">
        <v>2882000</v>
      </c>
      <c r="N4134" s="934">
        <v>45000</v>
      </c>
      <c r="O4134" s="935"/>
      <c r="P4134" s="934"/>
      <c r="Q4134" s="586">
        <f>ROUND(M4134*2.14%,0)</f>
        <v>61675</v>
      </c>
      <c r="R4134" s="936">
        <f>M4134/J4134</f>
        <v>22000</v>
      </c>
      <c r="S4134" s="592"/>
      <c r="T4134" s="592"/>
      <c r="U4134" s="591"/>
      <c r="V4134" s="592"/>
      <c r="W4134" s="592"/>
      <c r="X4134" s="592"/>
      <c r="Y4134" s="592"/>
      <c r="Z4134" s="592"/>
    </row>
    <row r="4135" spans="1:26" s="188" customFormat="1" hidden="1">
      <c r="A4135" s="591">
        <f t="shared" si="631"/>
        <v>25</v>
      </c>
      <c r="B4135" s="560" t="s">
        <v>4292</v>
      </c>
      <c r="C4135" s="555" t="s">
        <v>221</v>
      </c>
      <c r="D4135" s="555">
        <v>20166</v>
      </c>
      <c r="E4135" s="555">
        <v>3515.4</v>
      </c>
      <c r="F4135" s="555" t="s">
        <v>233</v>
      </c>
      <c r="G4135" s="555">
        <v>1456</v>
      </c>
      <c r="H4135" s="555">
        <v>5</v>
      </c>
      <c r="I4135" s="555">
        <v>6</v>
      </c>
      <c r="J4135" s="555">
        <v>120</v>
      </c>
      <c r="K4135" s="556" t="s">
        <v>234</v>
      </c>
      <c r="L4135" s="584">
        <f>M4135+N4135+O4135+P4135+Q4135</f>
        <v>3430510</v>
      </c>
      <c r="M4135" s="562">
        <v>3348800</v>
      </c>
      <c r="N4135" s="1119"/>
      <c r="O4135" s="1118">
        <v>10046</v>
      </c>
      <c r="P4135" s="1119"/>
      <c r="Q4135" s="1119">
        <v>71664</v>
      </c>
      <c r="R4135" s="936">
        <f>M4135/G4135</f>
        <v>2300</v>
      </c>
      <c r="S4135" s="564">
        <f>L4135-M4135-N4135-O4135-P4135-Q4135</f>
        <v>0</v>
      </c>
      <c r="T4135" s="556"/>
      <c r="U4135" s="560"/>
      <c r="V4135" s="560"/>
      <c r="W4135" s="560"/>
      <c r="X4135" s="560"/>
      <c r="Y4135" s="560"/>
      <c r="Z4135" s="560"/>
    </row>
    <row r="4136" spans="1:26" s="89" customFormat="1" ht="37.5" hidden="1">
      <c r="A4136" s="591">
        <f t="shared" si="631"/>
        <v>26</v>
      </c>
      <c r="B4136" s="616" t="s">
        <v>2312</v>
      </c>
      <c r="C4136" s="602" t="s">
        <v>221</v>
      </c>
      <c r="D4136" s="593">
        <v>4800</v>
      </c>
      <c r="E4136" s="924">
        <v>1203.3</v>
      </c>
      <c r="F4136" s="602" t="s">
        <v>222</v>
      </c>
      <c r="G4136" s="924">
        <v>848.8</v>
      </c>
      <c r="H4136" s="602">
        <v>3</v>
      </c>
      <c r="I4136" s="602">
        <v>3</v>
      </c>
      <c r="J4136" s="582">
        <v>36</v>
      </c>
      <c r="K4136" s="590" t="s">
        <v>307</v>
      </c>
      <c r="L4136" s="584">
        <f>SUM(M4136:Q4136)</f>
        <v>2250141.91</v>
      </c>
      <c r="M4136" s="782">
        <f>G4136*2600</f>
        <v>2206880</v>
      </c>
      <c r="N4136" s="925">
        <v>28463</v>
      </c>
      <c r="O4136" s="926"/>
      <c r="P4136" s="783"/>
      <c r="Q4136" s="586">
        <v>14798.91</v>
      </c>
      <c r="R4136" s="780">
        <f>M4136/G4136</f>
        <v>2600</v>
      </c>
      <c r="S4136" s="592"/>
      <c r="T4136" s="592"/>
      <c r="U4136" s="591"/>
      <c r="V4136" s="589"/>
      <c r="W4136" s="592">
        <v>1</v>
      </c>
      <c r="X4136" s="592"/>
      <c r="Y4136" s="592"/>
      <c r="Z4136" s="592"/>
    </row>
    <row r="4137" spans="1:26" s="89" customFormat="1" ht="37.5" hidden="1">
      <c r="A4137" s="591">
        <f t="shared" si="631"/>
        <v>27</v>
      </c>
      <c r="B4137" s="616" t="s">
        <v>2301</v>
      </c>
      <c r="C4137" s="602" t="s">
        <v>221</v>
      </c>
      <c r="D4137" s="593">
        <v>13007</v>
      </c>
      <c r="E4137" s="924">
        <v>2399.8000000000002</v>
      </c>
      <c r="F4137" s="602" t="s">
        <v>233</v>
      </c>
      <c r="G4137" s="924">
        <v>1015</v>
      </c>
      <c r="H4137" s="602">
        <v>5</v>
      </c>
      <c r="I4137" s="602">
        <v>4</v>
      </c>
      <c r="J4137" s="582">
        <v>70</v>
      </c>
      <c r="K4137" s="590" t="s">
        <v>307</v>
      </c>
      <c r="L4137" s="584">
        <f>SUM(M4137:Q4137)</f>
        <v>2274621</v>
      </c>
      <c r="M4137" s="782">
        <f>G4137*2200</f>
        <v>2233000</v>
      </c>
      <c r="N4137" s="925"/>
      <c r="O4137" s="926">
        <v>21721</v>
      </c>
      <c r="P4137" s="783"/>
      <c r="Q4137" s="586">
        <v>19900</v>
      </c>
      <c r="R4137" s="780">
        <f>M4137/G4137</f>
        <v>2200</v>
      </c>
      <c r="S4137" s="564">
        <f>L4137-M4137-N4137-O4137-P4137-Q4137</f>
        <v>0</v>
      </c>
      <c r="T4137" s="592"/>
      <c r="U4137" s="591"/>
      <c r="V4137" s="589"/>
      <c r="W4137" s="592"/>
      <c r="X4137" s="592">
        <v>1</v>
      </c>
      <c r="Y4137" s="592"/>
      <c r="Z4137" s="592"/>
    </row>
    <row r="4138" spans="1:26" s="188" customFormat="1" hidden="1">
      <c r="A4138" s="591">
        <f t="shared" si="631"/>
        <v>28</v>
      </c>
      <c r="B4138" s="560" t="s">
        <v>4290</v>
      </c>
      <c r="C4138" s="555" t="s">
        <v>217</v>
      </c>
      <c r="D4138" s="555">
        <v>9145</v>
      </c>
      <c r="E4138" s="555">
        <v>1656</v>
      </c>
      <c r="F4138" s="555" t="s">
        <v>233</v>
      </c>
      <c r="G4138" s="555">
        <v>713</v>
      </c>
      <c r="H4138" s="555">
        <v>5</v>
      </c>
      <c r="I4138" s="555">
        <v>3</v>
      </c>
      <c r="J4138" s="555">
        <v>60</v>
      </c>
      <c r="K4138" s="556" t="s">
        <v>234</v>
      </c>
      <c r="L4138" s="584">
        <f>M4138+N4138+O4138+P4138+Q4138</f>
        <v>1679914</v>
      </c>
      <c r="M4138" s="562">
        <v>1639900</v>
      </c>
      <c r="N4138" s="1119"/>
      <c r="O4138" s="1118">
        <v>4920</v>
      </c>
      <c r="P4138" s="1119"/>
      <c r="Q4138" s="1119">
        <v>35094</v>
      </c>
      <c r="R4138" s="936">
        <f>M4138/G4138</f>
        <v>2300</v>
      </c>
      <c r="S4138" s="564">
        <f>L4138-M4138-N4138-O4138-P4138-Q4138</f>
        <v>0</v>
      </c>
      <c r="T4138" s="556"/>
      <c r="U4138" s="560"/>
      <c r="V4138" s="560"/>
      <c r="W4138" s="560"/>
      <c r="X4138" s="560"/>
      <c r="Y4138" s="560"/>
      <c r="Z4138" s="560"/>
    </row>
    <row r="4139" spans="1:26" s="28" customFormat="1" hidden="1">
      <c r="A4139" s="1361" t="s">
        <v>151</v>
      </c>
      <c r="B4139" s="1361"/>
      <c r="C4139" s="593" t="s">
        <v>277</v>
      </c>
      <c r="D4139" s="586">
        <f>SUM(D4111:D4138)</f>
        <v>425790</v>
      </c>
      <c r="E4139" s="586">
        <f>SUM(E4111:E4138)</f>
        <v>75268.549999999988</v>
      </c>
      <c r="F4139" s="593" t="s">
        <v>277</v>
      </c>
      <c r="G4139" s="586">
        <f>SUM(G4111:G4138)</f>
        <v>28033.999999999996</v>
      </c>
      <c r="H4139" s="593" t="s">
        <v>277</v>
      </c>
      <c r="I4139" s="593" t="s">
        <v>277</v>
      </c>
      <c r="J4139" s="582">
        <f>SUM(J4111:J4138)</f>
        <v>1976</v>
      </c>
      <c r="K4139" s="590" t="s">
        <v>28</v>
      </c>
      <c r="L4139" s="584">
        <f t="shared" ref="L4139:Q4139" si="632">SUM(L4111:L4138)</f>
        <v>81541684.909999996</v>
      </c>
      <c r="M4139" s="584">
        <f t="shared" si="632"/>
        <v>79406540</v>
      </c>
      <c r="N4139" s="645">
        <f t="shared" si="632"/>
        <v>1273463</v>
      </c>
      <c r="O4139" s="1080">
        <f t="shared" si="632"/>
        <v>78695</v>
      </c>
      <c r="P4139" s="1080">
        <f t="shared" si="632"/>
        <v>0</v>
      </c>
      <c r="Q4139" s="1080">
        <f t="shared" si="632"/>
        <v>782986.91</v>
      </c>
      <c r="R4139" s="582" t="s">
        <v>28</v>
      </c>
      <c r="S4139" s="564">
        <f>L4139-M4139-N4139-O4139-P4139-Q4139</f>
        <v>-3.6088749766349792E-9</v>
      </c>
      <c r="T4139" s="577" t="e">
        <f>'1.перечень МКД'!#REF!</f>
        <v>#REF!</v>
      </c>
      <c r="U4139" s="589" t="e">
        <f>L4139-T4139</f>
        <v>#REF!</v>
      </c>
      <c r="V4139" s="592"/>
      <c r="W4139" s="592"/>
      <c r="X4139" s="592"/>
      <c r="Y4139" s="592"/>
      <c r="Z4139" s="592"/>
    </row>
    <row r="4140" spans="1:26" s="28" customFormat="1" hidden="1">
      <c r="A4140" s="1347" t="s">
        <v>189</v>
      </c>
      <c r="B4140" s="1347"/>
      <c r="C4140" s="1347"/>
      <c r="D4140" s="1347"/>
      <c r="E4140" s="1347"/>
      <c r="F4140" s="1347"/>
      <c r="G4140" s="1347"/>
      <c r="H4140" s="1347"/>
      <c r="I4140" s="1347"/>
      <c r="J4140" s="1347"/>
      <c r="K4140" s="1347"/>
      <c r="L4140" s="1347"/>
      <c r="M4140" s="1347"/>
      <c r="N4140" s="1347"/>
      <c r="O4140" s="1347"/>
      <c r="P4140" s="1347"/>
      <c r="Q4140" s="1347"/>
      <c r="R4140" s="590"/>
      <c r="S4140" s="592"/>
      <c r="T4140" s="592"/>
      <c r="U4140" s="591"/>
      <c r="V4140" s="592"/>
      <c r="W4140" s="592"/>
      <c r="X4140" s="592"/>
      <c r="Y4140" s="592"/>
      <c r="Z4140" s="592"/>
    </row>
    <row r="4141" spans="1:26" s="28" customFormat="1" hidden="1">
      <c r="A4141" s="591">
        <v>1</v>
      </c>
      <c r="B4141" s="592" t="s">
        <v>3283</v>
      </c>
      <c r="C4141" s="922" t="s">
        <v>282</v>
      </c>
      <c r="D4141" s="922">
        <v>8743</v>
      </c>
      <c r="E4141" s="923">
        <v>431.2</v>
      </c>
      <c r="F4141" s="923" t="s">
        <v>251</v>
      </c>
      <c r="G4141" s="582">
        <v>1058</v>
      </c>
      <c r="H4141" s="593">
        <v>4</v>
      </c>
      <c r="I4141" s="593">
        <v>1</v>
      </c>
      <c r="J4141" s="582">
        <v>30</v>
      </c>
      <c r="K4141" s="590" t="s">
        <v>33</v>
      </c>
      <c r="L4141" s="584">
        <f>SUM(M4141:Q4141)</f>
        <v>2947731</v>
      </c>
      <c r="M4141" s="1122">
        <f>G4141*2700</f>
        <v>2856600</v>
      </c>
      <c r="N4141" s="934">
        <v>30000</v>
      </c>
      <c r="O4141" s="935"/>
      <c r="P4141" s="934"/>
      <c r="Q4141" s="586">
        <f>ROUND(M4141*2.14%,0)</f>
        <v>61131</v>
      </c>
      <c r="R4141" s="936">
        <f>M4141/G4141</f>
        <v>2700</v>
      </c>
      <c r="S4141" s="592"/>
      <c r="T4141" s="592"/>
      <c r="U4141" s="591"/>
      <c r="V4141" s="592"/>
      <c r="W4141" s="592"/>
      <c r="X4141" s="592"/>
      <c r="Y4141" s="592"/>
      <c r="Z4141" s="592"/>
    </row>
    <row r="4142" spans="1:26" s="28" customFormat="1" hidden="1">
      <c r="A4142" s="591">
        <v>2</v>
      </c>
      <c r="B4142" s="592" t="s">
        <v>3285</v>
      </c>
      <c r="C4142" s="922" t="s">
        <v>348</v>
      </c>
      <c r="D4142" s="922">
        <v>2062</v>
      </c>
      <c r="E4142" s="923">
        <v>468.7</v>
      </c>
      <c r="F4142" s="923" t="s">
        <v>251</v>
      </c>
      <c r="G4142" s="582">
        <v>506</v>
      </c>
      <c r="H4142" s="593">
        <v>2</v>
      </c>
      <c r="I4142" s="593">
        <v>2</v>
      </c>
      <c r="J4142" s="582">
        <v>8</v>
      </c>
      <c r="K4142" s="590" t="s">
        <v>33</v>
      </c>
      <c r="L4142" s="584">
        <f>SUM(M4142:Q4142)</f>
        <v>1425437</v>
      </c>
      <c r="M4142" s="1122">
        <f>G4142*2700</f>
        <v>1366200</v>
      </c>
      <c r="N4142" s="934">
        <v>30000</v>
      </c>
      <c r="O4142" s="935"/>
      <c r="P4142" s="934"/>
      <c r="Q4142" s="586">
        <f>ROUND(M4142*2.14%,0)</f>
        <v>29237</v>
      </c>
      <c r="R4142" s="936">
        <f>M4142/G4142</f>
        <v>2700</v>
      </c>
      <c r="S4142" s="592"/>
      <c r="T4142" s="592"/>
      <c r="U4142" s="591"/>
      <c r="V4142" s="592"/>
      <c r="W4142" s="592"/>
      <c r="X4142" s="592"/>
      <c r="Y4142" s="592"/>
      <c r="Z4142" s="592"/>
    </row>
    <row r="4143" spans="1:26" s="28" customFormat="1" hidden="1">
      <c r="A4143" s="591">
        <v>3</v>
      </c>
      <c r="B4143" s="592" t="s">
        <v>3286</v>
      </c>
      <c r="C4143" s="922" t="s">
        <v>282</v>
      </c>
      <c r="D4143" s="922">
        <v>2218</v>
      </c>
      <c r="E4143" s="923">
        <v>400</v>
      </c>
      <c r="F4143" s="923" t="s">
        <v>251</v>
      </c>
      <c r="G4143" s="582">
        <v>520</v>
      </c>
      <c r="H4143" s="593">
        <v>2</v>
      </c>
      <c r="I4143" s="593">
        <v>2</v>
      </c>
      <c r="J4143" s="582">
        <v>12</v>
      </c>
      <c r="K4143" s="590" t="s">
        <v>33</v>
      </c>
      <c r="L4143" s="584">
        <f>SUM(M4143:Q4143)</f>
        <v>1459046</v>
      </c>
      <c r="M4143" s="1122">
        <f>G4143*2700</f>
        <v>1404000</v>
      </c>
      <c r="N4143" s="934">
        <v>25000</v>
      </c>
      <c r="O4143" s="935"/>
      <c r="P4143" s="934"/>
      <c r="Q4143" s="586">
        <f>ROUND(M4143*2.14%,0)</f>
        <v>30046</v>
      </c>
      <c r="R4143" s="936">
        <f>M4143/G4143</f>
        <v>2700</v>
      </c>
      <c r="S4143" s="592"/>
      <c r="T4143" s="592"/>
      <c r="U4143" s="591"/>
      <c r="V4143" s="592"/>
      <c r="W4143" s="592"/>
      <c r="X4143" s="592"/>
      <c r="Y4143" s="592"/>
      <c r="Z4143" s="592"/>
    </row>
    <row r="4144" spans="1:26" s="28" customFormat="1" hidden="1">
      <c r="A4144" s="1349" t="s">
        <v>190</v>
      </c>
      <c r="B4144" s="1349"/>
      <c r="C4144" s="593" t="s">
        <v>28</v>
      </c>
      <c r="D4144" s="586">
        <f>SUM(C4141:C4143)</f>
        <v>0</v>
      </c>
      <c r="E4144" s="586">
        <f>SUM(E4141:E4143)</f>
        <v>1299.9000000000001</v>
      </c>
      <c r="F4144" s="593" t="s">
        <v>28</v>
      </c>
      <c r="G4144" s="586">
        <f>SUM(G4141:G4143)</f>
        <v>2084</v>
      </c>
      <c r="H4144" s="593" t="s">
        <v>28</v>
      </c>
      <c r="I4144" s="593" t="s">
        <v>28</v>
      </c>
      <c r="J4144" s="582">
        <f>SUM(J4141:J4143)</f>
        <v>50</v>
      </c>
      <c r="K4144" s="590" t="s">
        <v>28</v>
      </c>
      <c r="L4144" s="584">
        <f>SUM(L4141:L4143)</f>
        <v>5832214</v>
      </c>
      <c r="M4144" s="585">
        <f>SUM(M4141:M4143)</f>
        <v>5626800</v>
      </c>
      <c r="N4144" s="586">
        <f>SUM(N4141:N4143)</f>
        <v>85000</v>
      </c>
      <c r="O4144" s="587"/>
      <c r="P4144" s="586">
        <f>SUM(P4141:P4143)</f>
        <v>0</v>
      </c>
      <c r="Q4144" s="586">
        <f>SUM(Q4141:Q4143)</f>
        <v>120414</v>
      </c>
      <c r="R4144" s="582" t="s">
        <v>28</v>
      </c>
      <c r="S4144" s="564">
        <f>L4144-M4144-N4144-O4144-P4144-Q4144</f>
        <v>0</v>
      </c>
      <c r="T4144" s="577" t="e">
        <f>'1.перечень МКД'!#REF!</f>
        <v>#REF!</v>
      </c>
      <c r="U4144" s="589" t="e">
        <f>L4144-T4144</f>
        <v>#REF!</v>
      </c>
      <c r="V4144" s="592"/>
      <c r="W4144" s="592"/>
      <c r="X4144" s="592"/>
      <c r="Y4144" s="592"/>
      <c r="Z4144" s="592"/>
    </row>
    <row r="4145" spans="1:26" s="28" customFormat="1" hidden="1">
      <c r="A4145" s="1347" t="s">
        <v>191</v>
      </c>
      <c r="B4145" s="1347"/>
      <c r="C4145" s="1347"/>
      <c r="D4145" s="1347"/>
      <c r="E4145" s="1347"/>
      <c r="F4145" s="1347"/>
      <c r="G4145" s="1347"/>
      <c r="H4145" s="1347"/>
      <c r="I4145" s="1347"/>
      <c r="J4145" s="1347"/>
      <c r="K4145" s="1347"/>
      <c r="L4145" s="1347"/>
      <c r="M4145" s="1347"/>
      <c r="N4145" s="1347"/>
      <c r="O4145" s="1347"/>
      <c r="P4145" s="1347"/>
      <c r="Q4145" s="1347"/>
      <c r="R4145" s="590"/>
      <c r="S4145" s="592"/>
      <c r="T4145" s="592"/>
      <c r="U4145" s="591"/>
      <c r="V4145" s="592"/>
      <c r="W4145" s="592"/>
      <c r="X4145" s="592"/>
      <c r="Y4145" s="592"/>
      <c r="Z4145" s="592"/>
    </row>
    <row r="4146" spans="1:26" s="28" customFormat="1" hidden="1">
      <c r="A4146" s="591">
        <v>1</v>
      </c>
      <c r="B4146" s="1152" t="s">
        <v>3287</v>
      </c>
      <c r="C4146" s="922" t="s">
        <v>221</v>
      </c>
      <c r="D4146" s="1153">
        <v>2112</v>
      </c>
      <c r="E4146" s="612">
        <v>502</v>
      </c>
      <c r="F4146" s="643" t="s">
        <v>301</v>
      </c>
      <c r="G4146" s="929">
        <f>28.32*12.86*1.3</f>
        <v>473.45375999999999</v>
      </c>
      <c r="H4146" s="928">
        <v>2</v>
      </c>
      <c r="I4146" s="928">
        <v>2</v>
      </c>
      <c r="J4146" s="643">
        <v>8</v>
      </c>
      <c r="K4146" s="930" t="s">
        <v>33</v>
      </c>
      <c r="L4146" s="584">
        <f>SUM(M4146:Q4146)</f>
        <v>1384040</v>
      </c>
      <c r="M4146" s="931">
        <f>ROUND(G4146*2800,0)</f>
        <v>1325671</v>
      </c>
      <c r="N4146" s="932">
        <v>30000</v>
      </c>
      <c r="O4146" s="736"/>
      <c r="P4146" s="932"/>
      <c r="Q4146" s="586">
        <f>ROUND(M4146*2.14%,0)</f>
        <v>28369</v>
      </c>
      <c r="R4146" s="582">
        <f>M4146/G4146</f>
        <v>2800.0009969294574</v>
      </c>
      <c r="S4146" s="592"/>
      <c r="T4146" s="592"/>
      <c r="U4146" s="591"/>
      <c r="V4146" s="592"/>
      <c r="W4146" s="592"/>
      <c r="X4146" s="592"/>
      <c r="Y4146" s="592"/>
      <c r="Z4146" s="592"/>
    </row>
    <row r="4147" spans="1:26" s="28" customFormat="1" hidden="1">
      <c r="A4147" s="591">
        <v>2</v>
      </c>
      <c r="B4147" s="1152" t="s">
        <v>3288</v>
      </c>
      <c r="C4147" s="922" t="s">
        <v>221</v>
      </c>
      <c r="D4147" s="1153">
        <v>7278</v>
      </c>
      <c r="E4147" s="612"/>
      <c r="F4147" s="643" t="s">
        <v>222</v>
      </c>
      <c r="G4147" s="929">
        <v>696</v>
      </c>
      <c r="H4147" s="928">
        <v>3</v>
      </c>
      <c r="I4147" s="928">
        <v>1</v>
      </c>
      <c r="J4147" s="643">
        <v>24</v>
      </c>
      <c r="K4147" s="930" t="s">
        <v>33</v>
      </c>
      <c r="L4147" s="584">
        <f>SUM(M4147:Q4147)</f>
        <v>2020504</v>
      </c>
      <c r="M4147" s="931">
        <f>G4147*2800</f>
        <v>1948800</v>
      </c>
      <c r="N4147" s="932">
        <v>30000</v>
      </c>
      <c r="O4147" s="736"/>
      <c r="P4147" s="932"/>
      <c r="Q4147" s="586">
        <f>ROUND(M4147*2.14%,0)</f>
        <v>41704</v>
      </c>
      <c r="R4147" s="582">
        <f>M4147/G4147</f>
        <v>2800</v>
      </c>
      <c r="S4147" s="592"/>
      <c r="T4147" s="592"/>
      <c r="U4147" s="591"/>
      <c r="V4147" s="592"/>
      <c r="W4147" s="592"/>
      <c r="X4147" s="592"/>
      <c r="Y4147" s="592"/>
      <c r="Z4147" s="592"/>
    </row>
    <row r="4148" spans="1:26" s="28" customFormat="1" hidden="1">
      <c r="A4148" s="1349" t="s">
        <v>192</v>
      </c>
      <c r="B4148" s="1349"/>
      <c r="C4148" s="593" t="s">
        <v>28</v>
      </c>
      <c r="D4148" s="586">
        <f>SUM(D4146:D4147)</f>
        <v>9390</v>
      </c>
      <c r="E4148" s="586">
        <f>SUM(E4146:E4147)</f>
        <v>502</v>
      </c>
      <c r="F4148" s="593" t="s">
        <v>28</v>
      </c>
      <c r="G4148" s="586">
        <f>SUM(G4146:G4147)</f>
        <v>1169.4537599999999</v>
      </c>
      <c r="H4148" s="593" t="s">
        <v>28</v>
      </c>
      <c r="I4148" s="593" t="s">
        <v>28</v>
      </c>
      <c r="J4148" s="582">
        <f>SUM(J4146:J4147)</f>
        <v>32</v>
      </c>
      <c r="K4148" s="590" t="s">
        <v>28</v>
      </c>
      <c r="L4148" s="584">
        <f t="shared" ref="L4148:Q4148" si="633">SUM(L4146:L4147)</f>
        <v>3404544</v>
      </c>
      <c r="M4148" s="585">
        <f t="shared" si="633"/>
        <v>3274471</v>
      </c>
      <c r="N4148" s="586">
        <f t="shared" si="633"/>
        <v>60000</v>
      </c>
      <c r="O4148" s="587">
        <f t="shared" si="633"/>
        <v>0</v>
      </c>
      <c r="P4148" s="586">
        <f t="shared" si="633"/>
        <v>0</v>
      </c>
      <c r="Q4148" s="586">
        <f t="shared" si="633"/>
        <v>70073</v>
      </c>
      <c r="R4148" s="582" t="s">
        <v>28</v>
      </c>
      <c r="S4148" s="564">
        <f>L4148-M4148-N4148-O4148-P4148-Q4148</f>
        <v>0</v>
      </c>
      <c r="T4148" s="577" t="e">
        <f>'1.перечень МКД'!#REF!</f>
        <v>#REF!</v>
      </c>
      <c r="U4148" s="589" t="e">
        <f>L4148-T4148</f>
        <v>#REF!</v>
      </c>
      <c r="V4148" s="592"/>
      <c r="W4148" s="592"/>
      <c r="X4148" s="592"/>
      <c r="Y4148" s="592"/>
      <c r="Z4148" s="592"/>
    </row>
    <row r="4149" spans="1:26" s="28" customFormat="1" hidden="1">
      <c r="A4149" s="1347" t="s">
        <v>193</v>
      </c>
      <c r="B4149" s="1347"/>
      <c r="C4149" s="1347"/>
      <c r="D4149" s="1347"/>
      <c r="E4149" s="1347"/>
      <c r="F4149" s="1347"/>
      <c r="G4149" s="1347"/>
      <c r="H4149" s="1347"/>
      <c r="I4149" s="1347"/>
      <c r="J4149" s="1347"/>
      <c r="K4149" s="1347"/>
      <c r="L4149" s="1347"/>
      <c r="M4149" s="1347"/>
      <c r="N4149" s="1347"/>
      <c r="O4149" s="1347"/>
      <c r="P4149" s="1347"/>
      <c r="Q4149" s="1347"/>
      <c r="R4149" s="590"/>
      <c r="S4149" s="592"/>
      <c r="T4149" s="592"/>
      <c r="U4149" s="591"/>
      <c r="V4149" s="592"/>
      <c r="W4149" s="592"/>
      <c r="X4149" s="592"/>
      <c r="Y4149" s="592"/>
      <c r="Z4149" s="592"/>
    </row>
    <row r="4150" spans="1:26" s="28" customFormat="1" hidden="1">
      <c r="A4150" s="591">
        <v>1</v>
      </c>
      <c r="B4150" s="592" t="s">
        <v>3289</v>
      </c>
      <c r="C4150" s="922" t="s">
        <v>314</v>
      </c>
      <c r="D4150" s="922"/>
      <c r="E4150" s="923">
        <v>270.60000000000002</v>
      </c>
      <c r="F4150" s="923" t="s">
        <v>251</v>
      </c>
      <c r="G4150" s="582">
        <v>427.78</v>
      </c>
      <c r="H4150" s="593">
        <v>2</v>
      </c>
      <c r="I4150" s="593">
        <v>2</v>
      </c>
      <c r="J4150" s="582">
        <v>12</v>
      </c>
      <c r="K4150" s="590" t="s">
        <v>238</v>
      </c>
      <c r="L4150" s="584">
        <f>M4150+N4150+P4150+Q4150</f>
        <v>520272</v>
      </c>
      <c r="M4150" s="1122">
        <v>480000</v>
      </c>
      <c r="N4150" s="934">
        <v>30000</v>
      </c>
      <c r="O4150" s="935"/>
      <c r="P4150" s="934"/>
      <c r="Q4150" s="586">
        <f>ROUND(M4150*2.14%,0)</f>
        <v>10272</v>
      </c>
      <c r="R4150" s="936">
        <f>M4150/J4150</f>
        <v>40000</v>
      </c>
      <c r="S4150" s="592"/>
      <c r="T4150" s="592"/>
      <c r="U4150" s="591"/>
      <c r="V4150" s="592"/>
      <c r="W4150" s="592"/>
      <c r="X4150" s="592"/>
      <c r="Y4150" s="592"/>
      <c r="Z4150" s="592"/>
    </row>
    <row r="4151" spans="1:26" s="28" customFormat="1" hidden="1">
      <c r="A4151" s="591">
        <f>A4150+1</f>
        <v>2</v>
      </c>
      <c r="B4151" s="592" t="s">
        <v>3290</v>
      </c>
      <c r="C4151" s="922" t="s">
        <v>314</v>
      </c>
      <c r="D4151" s="922"/>
      <c r="E4151" s="923">
        <v>270.60000000000002</v>
      </c>
      <c r="F4151" s="923" t="s">
        <v>251</v>
      </c>
      <c r="G4151" s="582">
        <v>427.78</v>
      </c>
      <c r="H4151" s="593">
        <v>2</v>
      </c>
      <c r="I4151" s="593">
        <v>2</v>
      </c>
      <c r="J4151" s="582">
        <v>12</v>
      </c>
      <c r="K4151" s="590" t="s">
        <v>238</v>
      </c>
      <c r="L4151" s="584">
        <f>M4151+N4151+P4151+Q4151</f>
        <v>520272</v>
      </c>
      <c r="M4151" s="1122">
        <v>480000</v>
      </c>
      <c r="N4151" s="934">
        <v>30000</v>
      </c>
      <c r="O4151" s="935"/>
      <c r="P4151" s="934"/>
      <c r="Q4151" s="586">
        <f>ROUND(M4151*2.14%,0)</f>
        <v>10272</v>
      </c>
      <c r="R4151" s="936">
        <f>M4151/J4151</f>
        <v>40000</v>
      </c>
      <c r="S4151" s="592"/>
      <c r="T4151" s="592"/>
      <c r="U4151" s="591"/>
      <c r="V4151" s="592"/>
      <c r="W4151" s="592"/>
      <c r="X4151" s="592"/>
      <c r="Y4151" s="592"/>
      <c r="Z4151" s="592"/>
    </row>
    <row r="4152" spans="1:26" s="28" customFormat="1" hidden="1">
      <c r="A4152" s="591">
        <f>A4151+1</f>
        <v>3</v>
      </c>
      <c r="B4152" s="592" t="s">
        <v>3291</v>
      </c>
      <c r="C4152" s="922" t="s">
        <v>314</v>
      </c>
      <c r="D4152" s="922"/>
      <c r="E4152" s="923">
        <v>270.60000000000002</v>
      </c>
      <c r="F4152" s="923" t="s">
        <v>251</v>
      </c>
      <c r="G4152" s="582">
        <v>531.22</v>
      </c>
      <c r="H4152" s="593">
        <v>3</v>
      </c>
      <c r="I4152" s="593">
        <v>3</v>
      </c>
      <c r="J4152" s="582">
        <v>16</v>
      </c>
      <c r="K4152" s="590" t="s">
        <v>238</v>
      </c>
      <c r="L4152" s="584">
        <f>M4152+N4152+P4152+Q4152</f>
        <v>688696</v>
      </c>
      <c r="M4152" s="1122">
        <v>640000</v>
      </c>
      <c r="N4152" s="934">
        <v>35000</v>
      </c>
      <c r="O4152" s="935"/>
      <c r="P4152" s="934"/>
      <c r="Q4152" s="586">
        <f>ROUND(M4152*2.14%,0)</f>
        <v>13696</v>
      </c>
      <c r="R4152" s="936">
        <f>M4152/J4152</f>
        <v>40000</v>
      </c>
      <c r="S4152" s="592"/>
      <c r="T4152" s="592"/>
      <c r="U4152" s="591"/>
      <c r="V4152" s="592"/>
      <c r="W4152" s="592"/>
      <c r="X4152" s="592"/>
      <c r="Y4152" s="592"/>
      <c r="Z4152" s="592"/>
    </row>
    <row r="4153" spans="1:26" s="28" customFormat="1" ht="37.5" hidden="1">
      <c r="A4153" s="591">
        <f>A4152+1</f>
        <v>4</v>
      </c>
      <c r="B4153" s="592" t="s">
        <v>3292</v>
      </c>
      <c r="C4153" s="922" t="s">
        <v>221</v>
      </c>
      <c r="D4153" s="922">
        <v>1440</v>
      </c>
      <c r="E4153" s="923">
        <v>370</v>
      </c>
      <c r="F4153" s="923" t="s">
        <v>251</v>
      </c>
      <c r="G4153" s="582">
        <v>637.9</v>
      </c>
      <c r="H4153" s="593">
        <v>2</v>
      </c>
      <c r="I4153" s="593">
        <v>2</v>
      </c>
      <c r="J4153" s="582">
        <v>16</v>
      </c>
      <c r="K4153" s="590" t="s">
        <v>30</v>
      </c>
      <c r="L4153" s="584">
        <f>M4153+O4153+Q4153+N4153</f>
        <v>327664</v>
      </c>
      <c r="M4153" s="1122">
        <f>J4153*20000</f>
        <v>320000</v>
      </c>
      <c r="N4153" s="934"/>
      <c r="O4153" s="935">
        <v>816</v>
      </c>
      <c r="P4153" s="934"/>
      <c r="Q4153" s="586">
        <f>ROUND(M4153*2.14%,0)</f>
        <v>6848</v>
      </c>
      <c r="R4153" s="936">
        <f>M4153/J4153</f>
        <v>20000</v>
      </c>
      <c r="S4153" s="592"/>
      <c r="T4153" s="592"/>
      <c r="U4153" s="591"/>
      <c r="V4153" s="592"/>
      <c r="W4153" s="592"/>
      <c r="X4153" s="592"/>
      <c r="Y4153" s="592"/>
      <c r="Z4153" s="592"/>
    </row>
    <row r="4154" spans="1:26" s="28" customFormat="1" hidden="1">
      <c r="A4154" s="1349" t="s">
        <v>194</v>
      </c>
      <c r="B4154" s="1349"/>
      <c r="C4154" s="593" t="s">
        <v>28</v>
      </c>
      <c r="D4154" s="586">
        <f>SUM(D4150:D4153)</f>
        <v>1440</v>
      </c>
      <c r="E4154" s="586">
        <f>SUM(E4150:E4153)</f>
        <v>1181.8000000000002</v>
      </c>
      <c r="F4154" s="593" t="s">
        <v>28</v>
      </c>
      <c r="G4154" s="586">
        <f>SUM(G4150:G4153)</f>
        <v>2024.6799999999998</v>
      </c>
      <c r="H4154" s="593" t="s">
        <v>28</v>
      </c>
      <c r="I4154" s="593" t="s">
        <v>28</v>
      </c>
      <c r="J4154" s="582">
        <f>SUM(J4150:J4153)</f>
        <v>56</v>
      </c>
      <c r="K4154" s="590" t="s">
        <v>28</v>
      </c>
      <c r="L4154" s="584">
        <f t="shared" ref="L4154:Q4154" si="634">SUM(L4150:L4153)</f>
        <v>2056904</v>
      </c>
      <c r="M4154" s="585">
        <f t="shared" si="634"/>
        <v>1920000</v>
      </c>
      <c r="N4154" s="586">
        <f t="shared" si="634"/>
        <v>95000</v>
      </c>
      <c r="O4154" s="587">
        <f t="shared" si="634"/>
        <v>816</v>
      </c>
      <c r="P4154" s="586">
        <f t="shared" si="634"/>
        <v>0</v>
      </c>
      <c r="Q4154" s="586">
        <f t="shared" si="634"/>
        <v>41088</v>
      </c>
      <c r="R4154" s="582" t="s">
        <v>28</v>
      </c>
      <c r="S4154" s="564">
        <f>L4154-M4154-N4154-O4154-P4154-Q4154</f>
        <v>0</v>
      </c>
      <c r="T4154" s="577" t="e">
        <f>'1.перечень МКД'!#REF!</f>
        <v>#REF!</v>
      </c>
      <c r="U4154" s="589" t="e">
        <f>L4154-T4154</f>
        <v>#REF!</v>
      </c>
      <c r="V4154" s="592"/>
      <c r="W4154" s="592"/>
      <c r="X4154" s="592"/>
      <c r="Y4154" s="592"/>
      <c r="Z4154" s="592"/>
    </row>
    <row r="4155" spans="1:26" s="28" customFormat="1" hidden="1">
      <c r="A4155" s="1347" t="s">
        <v>195</v>
      </c>
      <c r="B4155" s="1347"/>
      <c r="C4155" s="1347"/>
      <c r="D4155" s="1347"/>
      <c r="E4155" s="1347"/>
      <c r="F4155" s="1347"/>
      <c r="G4155" s="1347"/>
      <c r="H4155" s="1347"/>
      <c r="I4155" s="1347"/>
      <c r="J4155" s="1347"/>
      <c r="K4155" s="1347"/>
      <c r="L4155" s="1347"/>
      <c r="M4155" s="1347"/>
      <c r="N4155" s="1347"/>
      <c r="O4155" s="1347"/>
      <c r="P4155" s="1347"/>
      <c r="Q4155" s="1347"/>
      <c r="R4155" s="590"/>
      <c r="S4155" s="592"/>
      <c r="T4155" s="592"/>
      <c r="U4155" s="591"/>
      <c r="V4155" s="592"/>
      <c r="W4155" s="592"/>
      <c r="X4155" s="592"/>
      <c r="Y4155" s="592"/>
      <c r="Z4155" s="592"/>
    </row>
    <row r="4156" spans="1:26" s="28" customFormat="1" hidden="1">
      <c r="A4156" s="591">
        <v>1</v>
      </c>
      <c r="B4156" s="592" t="s">
        <v>3293</v>
      </c>
      <c r="C4156" s="922" t="s">
        <v>328</v>
      </c>
      <c r="D4156" s="922">
        <v>15382</v>
      </c>
      <c r="E4156" s="923">
        <v>2686.5</v>
      </c>
      <c r="F4156" s="923" t="s">
        <v>309</v>
      </c>
      <c r="G4156" s="582">
        <v>937</v>
      </c>
      <c r="H4156" s="593">
        <v>5</v>
      </c>
      <c r="I4156" s="593">
        <v>4</v>
      </c>
      <c r="J4156" s="582">
        <v>56</v>
      </c>
      <c r="K4156" s="590" t="s">
        <v>33</v>
      </c>
      <c r="L4156" s="584">
        <f t="shared" ref="L4156:L4171" si="635">SUBTOTAL(9,M4156:Q4156)</f>
        <v>1919726</v>
      </c>
      <c r="M4156" s="1122">
        <f>G4156*2000</f>
        <v>1874000</v>
      </c>
      <c r="N4156" s="934"/>
      <c r="O4156" s="935">
        <f>ROUND(M4156*0.3%,0)</f>
        <v>5622</v>
      </c>
      <c r="P4156" s="934"/>
      <c r="Q4156" s="586">
        <f t="shared" ref="Q4156:Q4163" si="636">ROUND(M4156*2.14%,0)</f>
        <v>40104</v>
      </c>
      <c r="R4156" s="936">
        <f>M4156/G4156</f>
        <v>2000</v>
      </c>
      <c r="S4156" s="592"/>
      <c r="T4156" s="592"/>
      <c r="U4156" s="591"/>
      <c r="V4156" s="592"/>
      <c r="W4156" s="592"/>
      <c r="X4156" s="592"/>
      <c r="Y4156" s="592"/>
      <c r="Z4156" s="592"/>
    </row>
    <row r="4157" spans="1:26" s="28" customFormat="1" hidden="1">
      <c r="A4157" s="591">
        <f>A4156+1</f>
        <v>2</v>
      </c>
      <c r="B4157" s="592" t="s">
        <v>3294</v>
      </c>
      <c r="C4157" s="922" t="s">
        <v>349</v>
      </c>
      <c r="D4157" s="922">
        <v>36480</v>
      </c>
      <c r="E4157" s="923">
        <v>5442</v>
      </c>
      <c r="F4157" s="923" t="s">
        <v>309</v>
      </c>
      <c r="G4157" s="582">
        <v>1850</v>
      </c>
      <c r="H4157" s="593">
        <v>5</v>
      </c>
      <c r="I4157" s="593">
        <v>10</v>
      </c>
      <c r="J4157" s="582">
        <v>150</v>
      </c>
      <c r="K4157" s="590" t="s">
        <v>33</v>
      </c>
      <c r="L4157" s="584">
        <f t="shared" si="635"/>
        <v>3790280</v>
      </c>
      <c r="M4157" s="1122">
        <f>G4157*2000</f>
        <v>3700000</v>
      </c>
      <c r="N4157" s="934"/>
      <c r="O4157" s="935">
        <f>ROUND(M4157*0.3%,0)</f>
        <v>11100</v>
      </c>
      <c r="P4157" s="934"/>
      <c r="Q4157" s="586">
        <f t="shared" si="636"/>
        <v>79180</v>
      </c>
      <c r="R4157" s="936">
        <f>M4157/G4157</f>
        <v>2000</v>
      </c>
      <c r="S4157" s="592"/>
      <c r="T4157" s="592"/>
      <c r="U4157" s="591"/>
      <c r="V4157" s="592"/>
      <c r="W4157" s="592"/>
      <c r="X4157" s="592"/>
      <c r="Y4157" s="592"/>
      <c r="Z4157" s="592"/>
    </row>
    <row r="4158" spans="1:26" s="28" customFormat="1" hidden="1">
      <c r="A4158" s="591">
        <f t="shared" ref="A4158:A4172" si="637">A4157+1</f>
        <v>3</v>
      </c>
      <c r="B4158" s="592" t="s">
        <v>3295</v>
      </c>
      <c r="C4158" s="922" t="s">
        <v>328</v>
      </c>
      <c r="D4158" s="922">
        <v>23904</v>
      </c>
      <c r="E4158" s="923">
        <v>4302</v>
      </c>
      <c r="F4158" s="923" t="s">
        <v>309</v>
      </c>
      <c r="G4158" s="582">
        <v>1683</v>
      </c>
      <c r="H4158" s="593">
        <v>5</v>
      </c>
      <c r="I4158" s="593">
        <v>8</v>
      </c>
      <c r="J4158" s="582">
        <v>129</v>
      </c>
      <c r="K4158" s="590" t="s">
        <v>33</v>
      </c>
      <c r="L4158" s="584">
        <f t="shared" si="635"/>
        <v>3448130</v>
      </c>
      <c r="M4158" s="1122">
        <f>G4158*2000</f>
        <v>3366000</v>
      </c>
      <c r="N4158" s="934"/>
      <c r="O4158" s="935">
        <f>ROUND(M4158*0.3%,0)</f>
        <v>10098</v>
      </c>
      <c r="P4158" s="934"/>
      <c r="Q4158" s="586">
        <f t="shared" si="636"/>
        <v>72032</v>
      </c>
      <c r="R4158" s="936">
        <f>M4158/G4158</f>
        <v>2000</v>
      </c>
      <c r="S4158" s="592"/>
      <c r="T4158" s="592"/>
      <c r="U4158" s="591"/>
      <c r="V4158" s="592"/>
      <c r="W4158" s="592"/>
      <c r="X4158" s="592"/>
      <c r="Y4158" s="592"/>
      <c r="Z4158" s="592"/>
    </row>
    <row r="4159" spans="1:26" s="28" customFormat="1" ht="37.5" hidden="1">
      <c r="A4159" s="591">
        <f t="shared" si="637"/>
        <v>4</v>
      </c>
      <c r="B4159" s="592" t="s">
        <v>3296</v>
      </c>
      <c r="C4159" s="922" t="s">
        <v>310</v>
      </c>
      <c r="D4159" s="922">
        <v>2922</v>
      </c>
      <c r="E4159" s="923">
        <v>634.20000000000005</v>
      </c>
      <c r="F4159" s="923" t="s">
        <v>251</v>
      </c>
      <c r="G4159" s="582">
        <v>552</v>
      </c>
      <c r="H4159" s="593">
        <v>2</v>
      </c>
      <c r="I4159" s="593">
        <v>2</v>
      </c>
      <c r="J4159" s="582">
        <v>16</v>
      </c>
      <c r="K4159" s="590" t="s">
        <v>33</v>
      </c>
      <c r="L4159" s="584">
        <f t="shared" si="635"/>
        <v>1608676</v>
      </c>
      <c r="M4159" s="1122">
        <f>G4159*2800</f>
        <v>1545600</v>
      </c>
      <c r="N4159" s="934">
        <v>30000</v>
      </c>
      <c r="O4159" s="935"/>
      <c r="P4159" s="934"/>
      <c r="Q4159" s="586">
        <f t="shared" si="636"/>
        <v>33076</v>
      </c>
      <c r="R4159" s="936">
        <f>M4159/G4159</f>
        <v>2800</v>
      </c>
      <c r="S4159" s="592"/>
      <c r="T4159" s="592"/>
      <c r="U4159" s="591"/>
      <c r="V4159" s="592"/>
      <c r="W4159" s="592"/>
      <c r="X4159" s="592"/>
      <c r="Y4159" s="592"/>
      <c r="Z4159" s="592"/>
    </row>
    <row r="4160" spans="1:26" s="28" customFormat="1" hidden="1">
      <c r="A4160" s="591">
        <f t="shared" si="637"/>
        <v>5</v>
      </c>
      <c r="B4160" s="592" t="s">
        <v>3297</v>
      </c>
      <c r="C4160" s="922" t="s">
        <v>351</v>
      </c>
      <c r="D4160" s="922">
        <v>11209</v>
      </c>
      <c r="E4160" s="923">
        <v>1848</v>
      </c>
      <c r="F4160" s="923" t="s">
        <v>309</v>
      </c>
      <c r="G4160" s="582">
        <v>726</v>
      </c>
      <c r="H4160" s="593">
        <v>5</v>
      </c>
      <c r="I4160" s="593">
        <v>4</v>
      </c>
      <c r="J4160" s="582">
        <v>60</v>
      </c>
      <c r="K4160" s="590" t="s">
        <v>33</v>
      </c>
      <c r="L4160" s="584">
        <f t="shared" si="635"/>
        <v>1561800</v>
      </c>
      <c r="M4160" s="1122">
        <v>1524600</v>
      </c>
      <c r="N4160" s="934"/>
      <c r="O4160" s="935">
        <f>ROUND(M4160*0.3%,0)</f>
        <v>4574</v>
      </c>
      <c r="P4160" s="934"/>
      <c r="Q4160" s="586">
        <f t="shared" si="636"/>
        <v>32626</v>
      </c>
      <c r="R4160" s="936">
        <f>M4160/G4160</f>
        <v>2100</v>
      </c>
      <c r="S4160" s="592"/>
      <c r="T4160" s="592"/>
      <c r="U4160" s="591"/>
      <c r="V4160" s="592"/>
      <c r="W4160" s="592"/>
      <c r="X4160" s="592"/>
      <c r="Y4160" s="592"/>
      <c r="Z4160" s="592"/>
    </row>
    <row r="4161" spans="1:1025" s="28" customFormat="1" hidden="1">
      <c r="A4161" s="591">
        <f t="shared" si="637"/>
        <v>6</v>
      </c>
      <c r="B4161" s="592" t="s">
        <v>3300</v>
      </c>
      <c r="C4161" s="922" t="s">
        <v>352</v>
      </c>
      <c r="D4161" s="922">
        <v>7066</v>
      </c>
      <c r="E4161" s="923">
        <v>801</v>
      </c>
      <c r="F4161" s="923" t="s">
        <v>251</v>
      </c>
      <c r="G4161" s="582">
        <v>996</v>
      </c>
      <c r="H4161" s="593">
        <v>3</v>
      </c>
      <c r="I4161" s="593">
        <v>3</v>
      </c>
      <c r="J4161" s="582">
        <v>30</v>
      </c>
      <c r="K4161" s="590" t="s">
        <v>238</v>
      </c>
      <c r="L4161" s="584">
        <f t="shared" si="635"/>
        <v>949260</v>
      </c>
      <c r="M4161" s="1122">
        <f>J4161*30000</f>
        <v>900000</v>
      </c>
      <c r="N4161" s="934">
        <v>30000</v>
      </c>
      <c r="O4161" s="935"/>
      <c r="P4161" s="934"/>
      <c r="Q4161" s="586">
        <f t="shared" si="636"/>
        <v>19260</v>
      </c>
      <c r="R4161" s="936">
        <f>M4161/J4161</f>
        <v>30000</v>
      </c>
      <c r="S4161" s="592"/>
      <c r="T4161" s="592"/>
      <c r="U4161" s="591"/>
      <c r="V4161" s="592"/>
      <c r="W4161" s="592"/>
      <c r="X4161" s="592"/>
      <c r="Y4161" s="592"/>
      <c r="Z4161" s="592"/>
    </row>
    <row r="4162" spans="1:1025" s="28" customFormat="1" hidden="1">
      <c r="A4162" s="591">
        <f t="shared" si="637"/>
        <v>7</v>
      </c>
      <c r="B4162" s="592" t="s">
        <v>3301</v>
      </c>
      <c r="C4162" s="922" t="s">
        <v>353</v>
      </c>
      <c r="D4162" s="922">
        <v>6502</v>
      </c>
      <c r="E4162" s="923">
        <v>966.2</v>
      </c>
      <c r="F4162" s="923" t="s">
        <v>309</v>
      </c>
      <c r="G4162" s="582">
        <v>676</v>
      </c>
      <c r="H4162" s="593">
        <v>3</v>
      </c>
      <c r="I4162" s="593">
        <v>2</v>
      </c>
      <c r="J4162" s="582">
        <v>35</v>
      </c>
      <c r="K4162" s="590" t="s">
        <v>33</v>
      </c>
      <c r="L4162" s="584">
        <f t="shared" si="635"/>
        <v>1454238</v>
      </c>
      <c r="M4162" s="1122">
        <v>1419600</v>
      </c>
      <c r="N4162" s="934"/>
      <c r="O4162" s="935">
        <f>ROUND(M4162*0.3%,0)</f>
        <v>4259</v>
      </c>
      <c r="P4162" s="934"/>
      <c r="Q4162" s="586">
        <f t="shared" si="636"/>
        <v>30379</v>
      </c>
      <c r="R4162" s="936">
        <f>M4162/G4162</f>
        <v>2100</v>
      </c>
      <c r="S4162" s="592"/>
      <c r="T4162" s="592"/>
      <c r="U4162" s="591"/>
      <c r="V4162" s="592"/>
      <c r="W4162" s="592"/>
      <c r="X4162" s="592"/>
      <c r="Y4162" s="592"/>
      <c r="Z4162" s="592"/>
    </row>
    <row r="4163" spans="1:1025" s="28" customFormat="1" hidden="1">
      <c r="A4163" s="591">
        <f t="shared" si="637"/>
        <v>8</v>
      </c>
      <c r="B4163" s="592" t="s">
        <v>3302</v>
      </c>
      <c r="C4163" s="922" t="s">
        <v>354</v>
      </c>
      <c r="D4163" s="922">
        <v>16982</v>
      </c>
      <c r="E4163" s="923">
        <v>4064.01</v>
      </c>
      <c r="F4163" s="923" t="s">
        <v>309</v>
      </c>
      <c r="G4163" s="582">
        <v>1200</v>
      </c>
      <c r="H4163" s="593">
        <v>5</v>
      </c>
      <c r="I4163" s="593">
        <v>5</v>
      </c>
      <c r="J4163" s="582">
        <v>65</v>
      </c>
      <c r="K4163" s="590" t="s">
        <v>33</v>
      </c>
      <c r="L4163" s="584">
        <f t="shared" si="635"/>
        <v>2581488</v>
      </c>
      <c r="M4163" s="1122">
        <v>2520000</v>
      </c>
      <c r="N4163" s="934"/>
      <c r="O4163" s="935">
        <f>ROUND(M4163*0.3%,0)</f>
        <v>7560</v>
      </c>
      <c r="P4163" s="934"/>
      <c r="Q4163" s="586">
        <f t="shared" si="636"/>
        <v>53928</v>
      </c>
      <c r="R4163" s="936">
        <f>M4163/G4163</f>
        <v>2100</v>
      </c>
      <c r="S4163" s="592"/>
      <c r="T4163" s="592"/>
      <c r="U4163" s="591"/>
      <c r="V4163" s="592"/>
      <c r="W4163" s="592"/>
      <c r="X4163" s="592"/>
      <c r="Y4163" s="592"/>
      <c r="Z4163" s="592"/>
    </row>
    <row r="4164" spans="1:1025" s="93" customFormat="1" ht="37.5" hidden="1">
      <c r="A4164" s="591">
        <f t="shared" si="637"/>
        <v>9</v>
      </c>
      <c r="B4164" s="1124" t="s">
        <v>1376</v>
      </c>
      <c r="C4164" s="1240" t="s">
        <v>4056</v>
      </c>
      <c r="D4164" s="1131">
        <v>108729</v>
      </c>
      <c r="E4164" s="1131">
        <v>22984</v>
      </c>
      <c r="F4164" s="1131" t="s">
        <v>309</v>
      </c>
      <c r="G4164" s="1131">
        <v>4085</v>
      </c>
      <c r="H4164" s="1131">
        <v>9</v>
      </c>
      <c r="I4164" s="1131">
        <v>13</v>
      </c>
      <c r="J4164" s="1131">
        <v>493</v>
      </c>
      <c r="K4164" s="590" t="s">
        <v>219</v>
      </c>
      <c r="L4164" s="584">
        <f t="shared" si="635"/>
        <v>14212500</v>
      </c>
      <c r="M4164" s="1126">
        <v>14000000</v>
      </c>
      <c r="N4164" s="1127">
        <v>212500</v>
      </c>
      <c r="O4164" s="1128"/>
      <c r="P4164" s="1127"/>
      <c r="Q4164" s="1127"/>
      <c r="R4164" s="599">
        <f>M4164/7</f>
        <v>2000000</v>
      </c>
      <c r="S4164" s="1129"/>
      <c r="T4164" s="1124"/>
      <c r="U4164" s="1124"/>
      <c r="V4164" s="1124"/>
      <c r="W4164" s="1124"/>
      <c r="X4164" s="1124"/>
      <c r="Y4164" s="1124"/>
      <c r="Z4164" s="1124"/>
      <c r="AA4164" s="119"/>
      <c r="AB4164" s="119"/>
      <c r="AC4164" s="119"/>
      <c r="AD4164" s="119"/>
      <c r="AE4164" s="119"/>
      <c r="AF4164" s="119"/>
      <c r="AG4164" s="119"/>
      <c r="AH4164" s="119"/>
      <c r="AI4164" s="119"/>
      <c r="AJ4164" s="119"/>
      <c r="AK4164" s="119"/>
      <c r="AL4164" s="119"/>
      <c r="AM4164" s="119"/>
      <c r="AN4164" s="119"/>
      <c r="AO4164" s="119"/>
      <c r="AP4164" s="119"/>
      <c r="AQ4164" s="119"/>
      <c r="AR4164" s="119"/>
      <c r="AS4164" s="119"/>
      <c r="AT4164" s="119"/>
      <c r="AU4164" s="119"/>
      <c r="AV4164" s="119"/>
      <c r="AW4164" s="119"/>
      <c r="AX4164" s="119"/>
      <c r="AY4164" s="119"/>
      <c r="AZ4164" s="119"/>
      <c r="BA4164" s="119"/>
      <c r="BB4164" s="119"/>
      <c r="BC4164" s="119"/>
      <c r="BD4164" s="119"/>
      <c r="BE4164" s="119"/>
      <c r="BF4164" s="119"/>
      <c r="BG4164" s="119"/>
      <c r="BH4164" s="119"/>
      <c r="BI4164" s="119"/>
      <c r="BJ4164" s="119"/>
      <c r="BK4164" s="119"/>
      <c r="BL4164" s="119"/>
      <c r="BM4164" s="119"/>
      <c r="BN4164" s="119"/>
      <c r="BO4164" s="119"/>
      <c r="BP4164" s="119"/>
      <c r="BQ4164" s="119"/>
      <c r="BR4164" s="119"/>
      <c r="BS4164" s="119"/>
      <c r="BT4164" s="119"/>
      <c r="BU4164" s="119"/>
      <c r="BV4164" s="119"/>
      <c r="BW4164" s="119"/>
      <c r="BX4164" s="119"/>
      <c r="BY4164" s="119"/>
      <c r="BZ4164" s="119"/>
      <c r="CA4164" s="119"/>
      <c r="CB4164" s="119"/>
      <c r="CC4164" s="119"/>
      <c r="CD4164" s="119"/>
      <c r="CE4164" s="119"/>
      <c r="CF4164" s="119"/>
      <c r="CG4164" s="119"/>
      <c r="CH4164" s="119"/>
      <c r="CI4164" s="119"/>
      <c r="CJ4164" s="119"/>
      <c r="CK4164" s="119"/>
      <c r="CL4164" s="119"/>
      <c r="CM4164" s="119"/>
      <c r="CN4164" s="119"/>
      <c r="CO4164" s="119"/>
      <c r="CP4164" s="119"/>
      <c r="CQ4164" s="119"/>
      <c r="CR4164" s="119"/>
      <c r="CS4164" s="119"/>
      <c r="CT4164" s="119"/>
      <c r="CU4164" s="119"/>
      <c r="CV4164" s="119"/>
      <c r="CW4164" s="119"/>
      <c r="CX4164" s="119"/>
      <c r="CY4164" s="119"/>
      <c r="CZ4164" s="119"/>
      <c r="DA4164" s="119"/>
      <c r="DB4164" s="119"/>
      <c r="DC4164" s="119"/>
      <c r="DD4164" s="119"/>
      <c r="DE4164" s="119"/>
      <c r="DF4164" s="119"/>
      <c r="DG4164" s="119"/>
      <c r="DH4164" s="119"/>
      <c r="DI4164" s="119"/>
      <c r="DJ4164" s="119"/>
      <c r="DK4164" s="119"/>
      <c r="DL4164" s="119"/>
      <c r="DM4164" s="119"/>
      <c r="DN4164" s="119"/>
      <c r="DO4164" s="119"/>
      <c r="DP4164" s="119"/>
      <c r="DQ4164" s="119"/>
      <c r="DR4164" s="119"/>
      <c r="DS4164" s="119"/>
      <c r="DT4164" s="119"/>
      <c r="DU4164" s="119"/>
      <c r="DV4164" s="119"/>
      <c r="DW4164" s="119"/>
      <c r="DX4164" s="119"/>
      <c r="DY4164" s="119"/>
      <c r="DZ4164" s="119"/>
      <c r="EA4164" s="119"/>
      <c r="EB4164" s="119"/>
      <c r="EC4164" s="119"/>
      <c r="ED4164" s="119"/>
      <c r="EE4164" s="119"/>
      <c r="EF4164" s="119"/>
      <c r="EG4164" s="119"/>
      <c r="EH4164" s="119"/>
      <c r="EI4164" s="119"/>
      <c r="EJ4164" s="119"/>
      <c r="EK4164" s="119"/>
      <c r="EL4164" s="119"/>
      <c r="EM4164" s="119"/>
      <c r="EN4164" s="119"/>
      <c r="EO4164" s="119"/>
      <c r="EP4164" s="119"/>
      <c r="EQ4164" s="119"/>
      <c r="ER4164" s="119"/>
      <c r="ES4164" s="119"/>
      <c r="ET4164" s="119"/>
      <c r="EU4164" s="119"/>
      <c r="EV4164" s="119"/>
      <c r="EW4164" s="119"/>
      <c r="EX4164" s="119"/>
      <c r="EY4164" s="119"/>
      <c r="EZ4164" s="119"/>
      <c r="FA4164" s="119"/>
      <c r="FB4164" s="119"/>
      <c r="FC4164" s="119"/>
      <c r="FD4164" s="119"/>
      <c r="FE4164" s="119"/>
      <c r="FF4164" s="119"/>
      <c r="FG4164" s="119"/>
      <c r="FH4164" s="119"/>
      <c r="FI4164" s="119"/>
      <c r="FJ4164" s="119"/>
      <c r="FK4164" s="119"/>
      <c r="FL4164" s="119"/>
      <c r="FM4164" s="119"/>
      <c r="FN4164" s="119"/>
      <c r="FO4164" s="119"/>
      <c r="FP4164" s="119"/>
      <c r="FQ4164" s="119"/>
      <c r="FR4164" s="119"/>
      <c r="FS4164" s="119"/>
      <c r="FT4164" s="119"/>
      <c r="FU4164" s="119"/>
      <c r="FV4164" s="119"/>
      <c r="FW4164" s="119"/>
      <c r="FX4164" s="119"/>
      <c r="FY4164" s="119"/>
      <c r="FZ4164" s="119"/>
      <c r="GA4164" s="119"/>
      <c r="GB4164" s="119"/>
      <c r="GC4164" s="119"/>
      <c r="GD4164" s="119"/>
      <c r="GE4164" s="119"/>
      <c r="GF4164" s="119"/>
      <c r="GG4164" s="119"/>
      <c r="GH4164" s="119"/>
      <c r="GI4164" s="119"/>
      <c r="GJ4164" s="119"/>
      <c r="GK4164" s="119"/>
      <c r="GL4164" s="119"/>
      <c r="GM4164" s="119"/>
      <c r="GN4164" s="119"/>
      <c r="GO4164" s="119"/>
      <c r="GP4164" s="119"/>
      <c r="GQ4164" s="119"/>
      <c r="GR4164" s="119"/>
      <c r="GS4164" s="119"/>
      <c r="GT4164" s="119"/>
      <c r="GU4164" s="119"/>
      <c r="GV4164" s="119"/>
      <c r="GW4164" s="119"/>
      <c r="GX4164" s="119"/>
      <c r="GY4164" s="119"/>
      <c r="GZ4164" s="119"/>
      <c r="HA4164" s="119"/>
      <c r="HB4164" s="119"/>
      <c r="HC4164" s="119"/>
      <c r="HD4164" s="119"/>
      <c r="HE4164" s="119"/>
      <c r="HF4164" s="119"/>
      <c r="HG4164" s="119"/>
      <c r="HH4164" s="119"/>
      <c r="HI4164" s="119"/>
      <c r="HJ4164" s="119"/>
      <c r="HK4164" s="119"/>
      <c r="HL4164" s="119"/>
      <c r="HM4164" s="119"/>
      <c r="HN4164" s="119"/>
      <c r="HO4164" s="119"/>
      <c r="HP4164" s="119"/>
      <c r="HQ4164" s="119"/>
      <c r="HR4164" s="119"/>
      <c r="HS4164" s="119"/>
      <c r="HT4164" s="119"/>
      <c r="HU4164" s="119"/>
      <c r="HV4164" s="119"/>
      <c r="HW4164" s="119"/>
      <c r="HX4164" s="119"/>
      <c r="HY4164" s="119"/>
      <c r="HZ4164" s="119"/>
      <c r="IA4164" s="119"/>
      <c r="IB4164" s="119"/>
      <c r="IC4164" s="119"/>
      <c r="ID4164" s="119"/>
      <c r="IE4164" s="119"/>
      <c r="IF4164" s="119"/>
      <c r="IG4164" s="119"/>
      <c r="IH4164" s="119"/>
      <c r="II4164" s="119"/>
      <c r="IJ4164" s="119"/>
      <c r="IK4164" s="119"/>
      <c r="IL4164" s="119"/>
      <c r="IM4164" s="119"/>
      <c r="IN4164" s="119"/>
      <c r="IO4164" s="119"/>
      <c r="IP4164" s="119"/>
      <c r="IQ4164" s="119"/>
      <c r="IR4164" s="119"/>
      <c r="IS4164" s="119"/>
      <c r="IT4164" s="119"/>
      <c r="IU4164" s="119"/>
      <c r="IV4164" s="119"/>
      <c r="IW4164" s="119"/>
      <c r="IX4164" s="119"/>
      <c r="IY4164" s="119"/>
      <c r="IZ4164" s="119"/>
      <c r="JA4164" s="119"/>
      <c r="JB4164" s="119"/>
      <c r="JC4164" s="119"/>
      <c r="JD4164" s="119"/>
      <c r="JE4164" s="119"/>
      <c r="JF4164" s="119"/>
      <c r="JG4164" s="119"/>
      <c r="JH4164" s="119"/>
      <c r="JI4164" s="119"/>
      <c r="JJ4164" s="119"/>
      <c r="JK4164" s="119"/>
      <c r="JL4164" s="119"/>
      <c r="JM4164" s="119"/>
      <c r="JN4164" s="119"/>
      <c r="JO4164" s="119"/>
      <c r="JP4164" s="119"/>
      <c r="JQ4164" s="119"/>
      <c r="JR4164" s="119"/>
      <c r="JS4164" s="119"/>
      <c r="JT4164" s="119"/>
      <c r="JU4164" s="119"/>
      <c r="JV4164" s="119"/>
      <c r="JW4164" s="119"/>
      <c r="JX4164" s="119"/>
      <c r="JY4164" s="119"/>
      <c r="JZ4164" s="119"/>
      <c r="KA4164" s="119"/>
      <c r="KB4164" s="119"/>
      <c r="KC4164" s="119"/>
      <c r="KD4164" s="119"/>
      <c r="KE4164" s="119"/>
      <c r="KF4164" s="119"/>
      <c r="KG4164" s="119"/>
      <c r="KH4164" s="119"/>
      <c r="KI4164" s="119"/>
      <c r="KJ4164" s="119"/>
      <c r="KK4164" s="119"/>
      <c r="KL4164" s="119"/>
      <c r="KM4164" s="119"/>
      <c r="KN4164" s="119"/>
      <c r="KO4164" s="119"/>
      <c r="KP4164" s="119"/>
      <c r="KQ4164" s="119"/>
      <c r="KR4164" s="119"/>
      <c r="KS4164" s="119"/>
      <c r="KT4164" s="119"/>
      <c r="KU4164" s="119"/>
      <c r="KV4164" s="119"/>
      <c r="KW4164" s="119"/>
      <c r="KX4164" s="119"/>
      <c r="KY4164" s="119"/>
      <c r="KZ4164" s="119"/>
      <c r="LA4164" s="119"/>
      <c r="LB4164" s="119"/>
      <c r="LC4164" s="119"/>
      <c r="LD4164" s="119"/>
      <c r="LE4164" s="119"/>
      <c r="LF4164" s="119"/>
      <c r="LG4164" s="119"/>
      <c r="LH4164" s="119"/>
      <c r="LI4164" s="119"/>
      <c r="LJ4164" s="119"/>
      <c r="LK4164" s="119"/>
      <c r="LL4164" s="119"/>
      <c r="LM4164" s="119"/>
      <c r="LN4164" s="119"/>
      <c r="LO4164" s="119"/>
      <c r="LP4164" s="119"/>
      <c r="LQ4164" s="119"/>
      <c r="LR4164" s="119"/>
      <c r="LS4164" s="119"/>
      <c r="LT4164" s="119"/>
      <c r="LU4164" s="119"/>
      <c r="LV4164" s="119"/>
      <c r="LW4164" s="119"/>
      <c r="LX4164" s="119"/>
      <c r="LY4164" s="119"/>
      <c r="LZ4164" s="119"/>
      <c r="MA4164" s="119"/>
      <c r="MB4164" s="119"/>
      <c r="MC4164" s="119"/>
      <c r="MD4164" s="119"/>
      <c r="ME4164" s="119"/>
      <c r="MF4164" s="119"/>
      <c r="MG4164" s="119"/>
      <c r="MH4164" s="119"/>
      <c r="MI4164" s="119"/>
      <c r="MJ4164" s="119"/>
      <c r="MK4164" s="119"/>
      <c r="ML4164" s="119"/>
      <c r="MM4164" s="119"/>
      <c r="MN4164" s="119"/>
      <c r="MO4164" s="119"/>
      <c r="MP4164" s="119"/>
      <c r="MQ4164" s="119"/>
      <c r="MR4164" s="119"/>
      <c r="MS4164" s="119"/>
      <c r="MT4164" s="119"/>
      <c r="MU4164" s="119"/>
      <c r="MV4164" s="119"/>
      <c r="MW4164" s="119"/>
      <c r="MX4164" s="119"/>
      <c r="MY4164" s="119"/>
      <c r="MZ4164" s="119"/>
      <c r="NA4164" s="119"/>
      <c r="NB4164" s="119"/>
      <c r="NC4164" s="119"/>
      <c r="ND4164" s="119"/>
      <c r="NE4164" s="119"/>
      <c r="NF4164" s="119"/>
      <c r="NG4164" s="119"/>
      <c r="NH4164" s="119"/>
      <c r="NI4164" s="119"/>
      <c r="NJ4164" s="119"/>
      <c r="NK4164" s="119"/>
      <c r="NL4164" s="119"/>
      <c r="NM4164" s="119"/>
      <c r="NN4164" s="119"/>
      <c r="NO4164" s="119"/>
      <c r="NP4164" s="119"/>
      <c r="NQ4164" s="119"/>
      <c r="NR4164" s="119"/>
      <c r="NS4164" s="119"/>
      <c r="NT4164" s="119"/>
      <c r="NU4164" s="119"/>
      <c r="NV4164" s="119"/>
      <c r="NW4164" s="119"/>
      <c r="NX4164" s="119"/>
      <c r="NY4164" s="119"/>
      <c r="NZ4164" s="119"/>
      <c r="OA4164" s="119"/>
      <c r="OB4164" s="119"/>
      <c r="OC4164" s="119"/>
      <c r="OD4164" s="119"/>
      <c r="OE4164" s="119"/>
      <c r="OF4164" s="119"/>
      <c r="OG4164" s="119"/>
      <c r="OH4164" s="119"/>
      <c r="OI4164" s="119"/>
      <c r="OJ4164" s="119"/>
      <c r="OK4164" s="119"/>
      <c r="OL4164" s="119"/>
      <c r="OM4164" s="119"/>
      <c r="ON4164" s="119"/>
      <c r="OO4164" s="119"/>
      <c r="OP4164" s="119"/>
      <c r="OQ4164" s="119"/>
      <c r="OR4164" s="119"/>
      <c r="OS4164" s="119"/>
      <c r="OT4164" s="119"/>
      <c r="OU4164" s="119"/>
      <c r="OV4164" s="119"/>
      <c r="OW4164" s="119"/>
      <c r="OX4164" s="119"/>
      <c r="OY4164" s="119"/>
      <c r="OZ4164" s="119"/>
      <c r="PA4164" s="119"/>
      <c r="PB4164" s="119"/>
      <c r="PC4164" s="119"/>
      <c r="PD4164" s="119"/>
      <c r="PE4164" s="119"/>
      <c r="PF4164" s="119"/>
      <c r="PG4164" s="119"/>
      <c r="PH4164" s="119"/>
      <c r="PI4164" s="119"/>
      <c r="PJ4164" s="119"/>
      <c r="PK4164" s="119"/>
      <c r="PL4164" s="119"/>
      <c r="PM4164" s="119"/>
      <c r="PN4164" s="119"/>
      <c r="PO4164" s="119"/>
      <c r="PP4164" s="119"/>
      <c r="PQ4164" s="119"/>
      <c r="PR4164" s="119"/>
      <c r="PS4164" s="119"/>
      <c r="PT4164" s="119"/>
      <c r="PU4164" s="119"/>
      <c r="PV4164" s="119"/>
      <c r="PW4164" s="119"/>
      <c r="PX4164" s="119"/>
      <c r="PY4164" s="119"/>
      <c r="PZ4164" s="119"/>
      <c r="QA4164" s="119"/>
      <c r="QB4164" s="119"/>
      <c r="QC4164" s="119"/>
      <c r="QD4164" s="119"/>
      <c r="QE4164" s="119"/>
      <c r="QF4164" s="119"/>
      <c r="QG4164" s="119"/>
      <c r="QH4164" s="119"/>
      <c r="QI4164" s="119"/>
      <c r="QJ4164" s="119"/>
      <c r="QK4164" s="119"/>
      <c r="QL4164" s="119"/>
      <c r="QM4164" s="119"/>
      <c r="QN4164" s="119"/>
      <c r="QO4164" s="119"/>
      <c r="QP4164" s="119"/>
      <c r="QQ4164" s="119"/>
      <c r="QR4164" s="119"/>
      <c r="QS4164" s="119"/>
      <c r="QT4164" s="119"/>
      <c r="QU4164" s="119"/>
      <c r="QV4164" s="119"/>
      <c r="QW4164" s="119"/>
      <c r="QX4164" s="119"/>
      <c r="QY4164" s="119"/>
      <c r="QZ4164" s="119"/>
      <c r="RA4164" s="119"/>
      <c r="RB4164" s="119"/>
      <c r="RC4164" s="119"/>
      <c r="RD4164" s="119"/>
      <c r="RE4164" s="119"/>
      <c r="RF4164" s="119"/>
      <c r="RG4164" s="119"/>
      <c r="RH4164" s="119"/>
      <c r="RI4164" s="119"/>
      <c r="RJ4164" s="119"/>
      <c r="RK4164" s="119"/>
      <c r="RL4164" s="119"/>
      <c r="RM4164" s="119"/>
      <c r="RN4164" s="119"/>
      <c r="RO4164" s="119"/>
      <c r="RP4164" s="119"/>
      <c r="RQ4164" s="119"/>
      <c r="RR4164" s="119"/>
      <c r="RS4164" s="119"/>
      <c r="RT4164" s="119"/>
      <c r="RU4164" s="119"/>
      <c r="RV4164" s="119"/>
      <c r="RW4164" s="119"/>
      <c r="RX4164" s="119"/>
      <c r="RY4164" s="119"/>
      <c r="RZ4164" s="119"/>
      <c r="SA4164" s="119"/>
      <c r="SB4164" s="119"/>
      <c r="SC4164" s="119"/>
      <c r="SD4164" s="119"/>
      <c r="SE4164" s="119"/>
      <c r="SF4164" s="119"/>
      <c r="SG4164" s="119"/>
      <c r="SH4164" s="119"/>
      <c r="SI4164" s="119"/>
      <c r="SJ4164" s="119"/>
      <c r="SK4164" s="119"/>
      <c r="SL4164" s="119"/>
      <c r="SM4164" s="119"/>
      <c r="SN4164" s="119"/>
      <c r="SO4164" s="119"/>
      <c r="SP4164" s="119"/>
      <c r="SQ4164" s="119"/>
      <c r="SR4164" s="119"/>
      <c r="SS4164" s="119"/>
      <c r="ST4164" s="119"/>
      <c r="SU4164" s="119"/>
      <c r="SV4164" s="119"/>
      <c r="SW4164" s="119"/>
      <c r="SX4164" s="119"/>
      <c r="SY4164" s="119"/>
      <c r="SZ4164" s="119"/>
      <c r="TA4164" s="119"/>
      <c r="TB4164" s="119"/>
      <c r="TC4164" s="119"/>
      <c r="TD4164" s="119"/>
      <c r="TE4164" s="119"/>
      <c r="TF4164" s="119"/>
      <c r="TG4164" s="119"/>
      <c r="TH4164" s="119"/>
      <c r="TI4164" s="119"/>
      <c r="TJ4164" s="119"/>
      <c r="TK4164" s="119"/>
      <c r="TL4164" s="119"/>
      <c r="TM4164" s="119"/>
      <c r="TN4164" s="119"/>
      <c r="TO4164" s="119"/>
      <c r="TP4164" s="119"/>
      <c r="TQ4164" s="119"/>
      <c r="TR4164" s="119"/>
      <c r="TS4164" s="119"/>
      <c r="TT4164" s="119"/>
      <c r="TU4164" s="119"/>
      <c r="TV4164" s="119"/>
      <c r="TW4164" s="119"/>
      <c r="TX4164" s="119"/>
      <c r="TY4164" s="119"/>
      <c r="TZ4164" s="119"/>
      <c r="UA4164" s="119"/>
      <c r="UB4164" s="119"/>
      <c r="UC4164" s="119"/>
      <c r="UD4164" s="119"/>
      <c r="UE4164" s="119"/>
      <c r="UF4164" s="119"/>
      <c r="UG4164" s="119"/>
      <c r="UH4164" s="119"/>
      <c r="UI4164" s="119"/>
      <c r="UJ4164" s="119"/>
      <c r="UK4164" s="119"/>
      <c r="UL4164" s="119"/>
      <c r="UM4164" s="119"/>
      <c r="UN4164" s="119"/>
      <c r="UO4164" s="119"/>
      <c r="UP4164" s="119"/>
      <c r="UQ4164" s="119"/>
      <c r="UR4164" s="119"/>
      <c r="US4164" s="119"/>
      <c r="UT4164" s="119"/>
      <c r="UU4164" s="119"/>
      <c r="UV4164" s="119"/>
      <c r="UW4164" s="119"/>
      <c r="UX4164" s="119"/>
      <c r="UY4164" s="119"/>
      <c r="UZ4164" s="119"/>
      <c r="VA4164" s="119"/>
      <c r="VB4164" s="119"/>
      <c r="VC4164" s="119"/>
      <c r="VD4164" s="119"/>
      <c r="VE4164" s="119"/>
      <c r="VF4164" s="119"/>
      <c r="VG4164" s="119"/>
      <c r="VH4164" s="119"/>
      <c r="VI4164" s="119"/>
      <c r="VJ4164" s="119"/>
      <c r="VK4164" s="119"/>
      <c r="VL4164" s="119"/>
      <c r="VM4164" s="119"/>
      <c r="VN4164" s="119"/>
      <c r="VO4164" s="119"/>
      <c r="VP4164" s="119"/>
      <c r="VQ4164" s="119"/>
      <c r="VR4164" s="119"/>
      <c r="VS4164" s="119"/>
      <c r="VT4164" s="119"/>
      <c r="VU4164" s="119"/>
      <c r="VV4164" s="119"/>
      <c r="VW4164" s="119"/>
      <c r="VX4164" s="119"/>
      <c r="VY4164" s="119"/>
      <c r="VZ4164" s="119"/>
      <c r="WA4164" s="119"/>
      <c r="WB4164" s="119"/>
      <c r="WC4164" s="119"/>
      <c r="WD4164" s="119"/>
      <c r="WE4164" s="119"/>
      <c r="WF4164" s="119"/>
      <c r="WG4164" s="119"/>
      <c r="WH4164" s="119"/>
      <c r="WI4164" s="119"/>
      <c r="WJ4164" s="119"/>
      <c r="WK4164" s="119"/>
      <c r="WL4164" s="119"/>
      <c r="WM4164" s="119"/>
      <c r="WN4164" s="119"/>
      <c r="WO4164" s="119"/>
      <c r="WP4164" s="119"/>
      <c r="WQ4164" s="119"/>
      <c r="WR4164" s="119"/>
      <c r="WS4164" s="119"/>
      <c r="WT4164" s="119"/>
      <c r="WU4164" s="119"/>
      <c r="WV4164" s="119"/>
      <c r="WW4164" s="119"/>
      <c r="WX4164" s="119"/>
      <c r="WY4164" s="119"/>
      <c r="WZ4164" s="119"/>
      <c r="XA4164" s="119"/>
      <c r="XB4164" s="119"/>
      <c r="XC4164" s="119"/>
      <c r="XD4164" s="119"/>
      <c r="XE4164" s="119"/>
      <c r="XF4164" s="119"/>
      <c r="XG4164" s="119"/>
      <c r="XH4164" s="119"/>
      <c r="XI4164" s="119"/>
      <c r="XJ4164" s="119"/>
      <c r="XK4164" s="119"/>
      <c r="XL4164" s="119"/>
      <c r="XM4164" s="119"/>
      <c r="XN4164" s="119"/>
      <c r="XO4164" s="119"/>
      <c r="XP4164" s="119"/>
      <c r="XQ4164" s="119"/>
      <c r="XR4164" s="119"/>
      <c r="XS4164" s="119"/>
      <c r="XT4164" s="119"/>
      <c r="XU4164" s="119"/>
      <c r="XV4164" s="119"/>
      <c r="XW4164" s="119"/>
      <c r="XX4164" s="119"/>
      <c r="XY4164" s="119"/>
      <c r="XZ4164" s="119"/>
      <c r="YA4164" s="119"/>
      <c r="YB4164" s="119"/>
      <c r="YC4164" s="119"/>
      <c r="YD4164" s="119"/>
      <c r="YE4164" s="119"/>
      <c r="YF4164" s="119"/>
      <c r="YG4164" s="119"/>
      <c r="YH4164" s="119"/>
      <c r="YI4164" s="119"/>
      <c r="YJ4164" s="119"/>
      <c r="YK4164" s="119"/>
      <c r="YL4164" s="119"/>
      <c r="YM4164" s="119"/>
      <c r="YN4164" s="119"/>
      <c r="YO4164" s="119"/>
      <c r="YP4164" s="119"/>
      <c r="YQ4164" s="119"/>
      <c r="YR4164" s="119"/>
      <c r="YS4164" s="119"/>
      <c r="YT4164" s="119"/>
      <c r="YU4164" s="119"/>
      <c r="YV4164" s="119"/>
      <c r="YW4164" s="119"/>
      <c r="YX4164" s="119"/>
      <c r="YY4164" s="119"/>
      <c r="YZ4164" s="119"/>
      <c r="ZA4164" s="119"/>
      <c r="ZB4164" s="119"/>
      <c r="ZC4164" s="119"/>
      <c r="ZD4164" s="119"/>
      <c r="ZE4164" s="119"/>
      <c r="ZF4164" s="119"/>
      <c r="ZG4164" s="119"/>
      <c r="ZH4164" s="119"/>
      <c r="ZI4164" s="119"/>
      <c r="ZJ4164" s="119"/>
      <c r="ZK4164" s="119"/>
      <c r="ZL4164" s="119"/>
      <c r="ZM4164" s="119"/>
      <c r="ZN4164" s="119"/>
      <c r="ZO4164" s="119"/>
      <c r="ZP4164" s="119"/>
      <c r="ZQ4164" s="119"/>
      <c r="ZR4164" s="119"/>
      <c r="ZS4164" s="119"/>
      <c r="ZT4164" s="119"/>
      <c r="ZU4164" s="119"/>
      <c r="ZV4164" s="119"/>
      <c r="ZW4164" s="119"/>
      <c r="ZX4164" s="119"/>
      <c r="ZY4164" s="119"/>
      <c r="ZZ4164" s="119"/>
      <c r="AAA4164" s="119"/>
      <c r="AAB4164" s="119"/>
      <c r="AAC4164" s="119"/>
      <c r="AAD4164" s="119"/>
      <c r="AAE4164" s="119"/>
      <c r="AAF4164" s="119"/>
      <c r="AAG4164" s="119"/>
      <c r="AAH4164" s="119"/>
      <c r="AAI4164" s="119"/>
      <c r="AAJ4164" s="119"/>
      <c r="AAK4164" s="119"/>
      <c r="AAL4164" s="119"/>
      <c r="AAM4164" s="119"/>
      <c r="AAN4164" s="119"/>
      <c r="AAO4164" s="119"/>
      <c r="AAP4164" s="119"/>
      <c r="AAQ4164" s="119"/>
      <c r="AAR4164" s="119"/>
      <c r="AAS4164" s="119"/>
      <c r="AAT4164" s="119"/>
      <c r="AAU4164" s="119"/>
      <c r="AAV4164" s="119"/>
      <c r="AAW4164" s="119"/>
      <c r="AAX4164" s="119"/>
      <c r="AAY4164" s="119"/>
      <c r="AAZ4164" s="119"/>
      <c r="ABA4164" s="119"/>
      <c r="ABB4164" s="119"/>
      <c r="ABC4164" s="119"/>
      <c r="ABD4164" s="119"/>
      <c r="ABE4164" s="119"/>
      <c r="ABF4164" s="119"/>
      <c r="ABG4164" s="119"/>
      <c r="ABH4164" s="119"/>
      <c r="ABI4164" s="119"/>
      <c r="ABJ4164" s="119"/>
      <c r="ABK4164" s="119"/>
      <c r="ABL4164" s="119"/>
      <c r="ABM4164" s="119"/>
      <c r="ABN4164" s="119"/>
      <c r="ABO4164" s="119"/>
      <c r="ABP4164" s="119"/>
      <c r="ABQ4164" s="119"/>
      <c r="ABR4164" s="119"/>
      <c r="ABS4164" s="119"/>
      <c r="ABT4164" s="119"/>
      <c r="ABU4164" s="119"/>
      <c r="ABV4164" s="119"/>
      <c r="ABW4164" s="119"/>
      <c r="ABX4164" s="119"/>
      <c r="ABY4164" s="119"/>
      <c r="ABZ4164" s="119"/>
      <c r="ACA4164" s="119"/>
      <c r="ACB4164" s="119"/>
      <c r="ACC4164" s="119"/>
      <c r="ACD4164" s="119"/>
      <c r="ACE4164" s="119"/>
      <c r="ACF4164" s="119"/>
      <c r="ACG4164" s="119"/>
      <c r="ACH4164" s="119"/>
      <c r="ACI4164" s="119"/>
      <c r="ACJ4164" s="119"/>
      <c r="ACK4164" s="119"/>
      <c r="ACL4164" s="119"/>
      <c r="ACM4164" s="119"/>
      <c r="ACN4164" s="119"/>
      <c r="ACO4164" s="119"/>
      <c r="ACP4164" s="119"/>
      <c r="ACQ4164" s="119"/>
      <c r="ACR4164" s="119"/>
      <c r="ACS4164" s="119"/>
      <c r="ACT4164" s="119"/>
      <c r="ACU4164" s="119"/>
      <c r="ACV4164" s="119"/>
      <c r="ACW4164" s="119"/>
      <c r="ACX4164" s="119"/>
      <c r="ACY4164" s="119"/>
      <c r="ACZ4164" s="119"/>
      <c r="ADA4164" s="119"/>
      <c r="ADB4164" s="119"/>
      <c r="ADC4164" s="119"/>
      <c r="ADD4164" s="119"/>
      <c r="ADE4164" s="119"/>
      <c r="ADF4164" s="119"/>
      <c r="ADG4164" s="119"/>
      <c r="ADH4164" s="119"/>
      <c r="ADI4164" s="119"/>
      <c r="ADJ4164" s="119"/>
      <c r="ADK4164" s="119"/>
      <c r="ADL4164" s="119"/>
      <c r="ADM4164" s="119"/>
      <c r="ADN4164" s="119"/>
      <c r="ADO4164" s="119"/>
      <c r="ADP4164" s="119"/>
      <c r="ADQ4164" s="119"/>
      <c r="ADR4164" s="119"/>
      <c r="ADS4164" s="119"/>
      <c r="ADT4164" s="119"/>
      <c r="ADU4164" s="119"/>
      <c r="ADV4164" s="119"/>
      <c r="ADW4164" s="119"/>
      <c r="ADX4164" s="119"/>
      <c r="ADY4164" s="119"/>
      <c r="ADZ4164" s="119"/>
      <c r="AEA4164" s="119"/>
      <c r="AEB4164" s="119"/>
      <c r="AEC4164" s="119"/>
      <c r="AED4164" s="119"/>
      <c r="AEE4164" s="119"/>
      <c r="AEF4164" s="119"/>
      <c r="AEG4164" s="119"/>
      <c r="AEH4164" s="119"/>
      <c r="AEI4164" s="119"/>
      <c r="AEJ4164" s="119"/>
      <c r="AEK4164" s="119"/>
      <c r="AEL4164" s="119"/>
      <c r="AEM4164" s="119"/>
      <c r="AEN4164" s="119"/>
      <c r="AEO4164" s="119"/>
      <c r="AEP4164" s="119"/>
      <c r="AEQ4164" s="119"/>
      <c r="AER4164" s="119"/>
      <c r="AES4164" s="119"/>
      <c r="AET4164" s="119"/>
      <c r="AEU4164" s="119"/>
      <c r="AEV4164" s="119"/>
      <c r="AEW4164" s="119"/>
      <c r="AEX4164" s="119"/>
      <c r="AEY4164" s="119"/>
      <c r="AEZ4164" s="119"/>
      <c r="AFA4164" s="119"/>
      <c r="AFB4164" s="119"/>
      <c r="AFC4164" s="119"/>
      <c r="AFD4164" s="119"/>
      <c r="AFE4164" s="119"/>
      <c r="AFF4164" s="119"/>
      <c r="AFG4164" s="119"/>
      <c r="AFH4164" s="119"/>
      <c r="AFI4164" s="119"/>
      <c r="AFJ4164" s="119"/>
      <c r="AFK4164" s="119"/>
      <c r="AFL4164" s="119"/>
      <c r="AFM4164" s="119"/>
      <c r="AFN4164" s="119"/>
      <c r="AFO4164" s="119"/>
      <c r="AFP4164" s="119"/>
      <c r="AFQ4164" s="119"/>
      <c r="AFR4164" s="119"/>
      <c r="AFS4164" s="119"/>
      <c r="AFT4164" s="119"/>
      <c r="AFU4164" s="119"/>
      <c r="AFV4164" s="119"/>
      <c r="AFW4164" s="119"/>
      <c r="AFX4164" s="119"/>
      <c r="AFY4164" s="119"/>
      <c r="AFZ4164" s="119"/>
      <c r="AGA4164" s="119"/>
      <c r="AGB4164" s="119"/>
      <c r="AGC4164" s="119"/>
      <c r="AGD4164" s="119"/>
      <c r="AGE4164" s="119"/>
      <c r="AGF4164" s="119"/>
      <c r="AGG4164" s="119"/>
      <c r="AGH4164" s="119"/>
      <c r="AGI4164" s="119"/>
      <c r="AGJ4164" s="119"/>
      <c r="AGK4164" s="119"/>
      <c r="AGL4164" s="119"/>
      <c r="AGM4164" s="119"/>
      <c r="AGN4164" s="119"/>
      <c r="AGO4164" s="119"/>
      <c r="AGP4164" s="119"/>
      <c r="AGQ4164" s="119"/>
      <c r="AGR4164" s="119"/>
      <c r="AGS4164" s="119"/>
      <c r="AGT4164" s="119"/>
      <c r="AGU4164" s="119"/>
      <c r="AGV4164" s="119"/>
      <c r="AGW4164" s="119"/>
      <c r="AGX4164" s="119"/>
      <c r="AGY4164" s="119"/>
      <c r="AGZ4164" s="119"/>
      <c r="AHA4164" s="119"/>
      <c r="AHB4164" s="119"/>
      <c r="AHC4164" s="119"/>
      <c r="AHD4164" s="119"/>
      <c r="AHE4164" s="119"/>
      <c r="AHF4164" s="119"/>
      <c r="AHG4164" s="119"/>
      <c r="AHH4164" s="119"/>
      <c r="AHI4164" s="119"/>
      <c r="AHJ4164" s="119"/>
      <c r="AHK4164" s="119"/>
      <c r="AHL4164" s="119"/>
      <c r="AHM4164" s="119"/>
      <c r="AHN4164" s="119"/>
      <c r="AHO4164" s="119"/>
      <c r="AHP4164" s="119"/>
      <c r="AHQ4164" s="119"/>
      <c r="AHR4164" s="119"/>
      <c r="AHS4164" s="119"/>
      <c r="AHT4164" s="119"/>
      <c r="AHU4164" s="119"/>
      <c r="AHV4164" s="119"/>
      <c r="AHW4164" s="119"/>
      <c r="AHX4164" s="119"/>
      <c r="AHY4164" s="119"/>
      <c r="AHZ4164" s="119"/>
      <c r="AIA4164" s="119"/>
      <c r="AIB4164" s="119"/>
      <c r="AIC4164" s="119"/>
      <c r="AID4164" s="119"/>
      <c r="AIE4164" s="119"/>
      <c r="AIF4164" s="119"/>
      <c r="AIG4164" s="119"/>
      <c r="AIH4164" s="119"/>
      <c r="AII4164" s="119"/>
      <c r="AIJ4164" s="119"/>
      <c r="AIK4164" s="119"/>
      <c r="AIL4164" s="119"/>
      <c r="AIM4164" s="119"/>
      <c r="AIN4164" s="119"/>
      <c r="AIO4164" s="119"/>
      <c r="AIP4164" s="119"/>
      <c r="AIQ4164" s="119"/>
      <c r="AIR4164" s="119"/>
      <c r="AIS4164" s="119"/>
      <c r="AIT4164" s="119"/>
      <c r="AIU4164" s="119"/>
      <c r="AIV4164" s="119"/>
      <c r="AIW4164" s="119"/>
      <c r="AIX4164" s="119"/>
      <c r="AIY4164" s="119"/>
      <c r="AIZ4164" s="119"/>
      <c r="AJA4164" s="119"/>
      <c r="AJB4164" s="119"/>
      <c r="AJC4164" s="119"/>
      <c r="AJD4164" s="119"/>
      <c r="AJE4164" s="119"/>
      <c r="AJF4164" s="119"/>
      <c r="AJG4164" s="119"/>
      <c r="AJH4164" s="119"/>
      <c r="AJI4164" s="119"/>
      <c r="AJJ4164" s="119"/>
      <c r="AJK4164" s="119"/>
      <c r="AJL4164" s="119"/>
      <c r="AJM4164" s="119"/>
      <c r="AJN4164" s="119"/>
      <c r="AJO4164" s="119"/>
      <c r="AJP4164" s="119"/>
      <c r="AJQ4164" s="119"/>
      <c r="AJR4164" s="119"/>
      <c r="AJS4164" s="119"/>
      <c r="AJT4164" s="119"/>
      <c r="AJU4164" s="119"/>
      <c r="AJV4164" s="119"/>
      <c r="AJW4164" s="119"/>
      <c r="AJX4164" s="119"/>
      <c r="AJY4164" s="119"/>
      <c r="AJZ4164" s="119"/>
      <c r="AKA4164" s="119"/>
      <c r="AKB4164" s="119"/>
      <c r="AKC4164" s="119"/>
      <c r="AKD4164" s="119"/>
      <c r="AKE4164" s="119"/>
      <c r="AKF4164" s="119"/>
      <c r="AKG4164" s="119"/>
      <c r="AKH4164" s="119"/>
      <c r="AKI4164" s="119"/>
      <c r="AKJ4164" s="119"/>
      <c r="AKK4164" s="119"/>
      <c r="AKL4164" s="119"/>
      <c r="AKM4164" s="119"/>
      <c r="AKN4164" s="119"/>
      <c r="AKO4164" s="119"/>
      <c r="AKP4164" s="119"/>
      <c r="AKQ4164" s="119"/>
      <c r="AKR4164" s="119"/>
      <c r="AKS4164" s="119"/>
      <c r="AKT4164" s="119"/>
      <c r="AKU4164" s="119"/>
      <c r="AKV4164" s="119"/>
      <c r="AKW4164" s="119"/>
      <c r="AKX4164" s="119"/>
      <c r="AKY4164" s="119"/>
      <c r="AKZ4164" s="119"/>
      <c r="ALA4164" s="119"/>
      <c r="ALB4164" s="119"/>
      <c r="ALC4164" s="119"/>
      <c r="ALD4164" s="119"/>
      <c r="ALE4164" s="119"/>
      <c r="ALF4164" s="119"/>
      <c r="ALG4164" s="119"/>
      <c r="ALH4164" s="119"/>
      <c r="ALI4164" s="119"/>
      <c r="ALJ4164" s="119"/>
      <c r="ALK4164" s="119"/>
      <c r="ALL4164" s="119"/>
      <c r="ALM4164" s="119"/>
      <c r="ALN4164" s="119"/>
      <c r="ALO4164" s="119"/>
      <c r="ALP4164" s="119"/>
      <c r="ALQ4164" s="119"/>
      <c r="ALR4164" s="119"/>
      <c r="ALS4164" s="119"/>
      <c r="ALT4164" s="119"/>
      <c r="ALU4164" s="119"/>
      <c r="ALV4164" s="119"/>
      <c r="ALW4164" s="119"/>
      <c r="ALX4164" s="119"/>
      <c r="ALY4164" s="119"/>
      <c r="ALZ4164" s="119"/>
      <c r="AMA4164" s="119"/>
      <c r="AMB4164" s="119"/>
      <c r="AMC4164" s="119"/>
      <c r="AMD4164" s="119"/>
      <c r="AME4164" s="119"/>
      <c r="AMF4164" s="119"/>
      <c r="AMG4164" s="119"/>
      <c r="AMH4164" s="119"/>
      <c r="AMI4164" s="119"/>
      <c r="AMJ4164" s="119"/>
      <c r="AMK4164" s="119"/>
    </row>
    <row r="4165" spans="1:1025" s="93" customFormat="1" ht="37.5" hidden="1">
      <c r="A4165" s="591">
        <f t="shared" si="637"/>
        <v>10</v>
      </c>
      <c r="B4165" s="1124" t="s">
        <v>4057</v>
      </c>
      <c r="C4165" s="1241" t="s">
        <v>4058</v>
      </c>
      <c r="D4165" s="1131">
        <v>16079</v>
      </c>
      <c r="E4165" s="1131">
        <v>3061.7</v>
      </c>
      <c r="F4165" s="1131" t="s">
        <v>309</v>
      </c>
      <c r="G4165" s="1131">
        <v>630</v>
      </c>
      <c r="H4165" s="1131">
        <v>9</v>
      </c>
      <c r="I4165" s="1131">
        <v>2</v>
      </c>
      <c r="J4165" s="1131">
        <v>72</v>
      </c>
      <c r="K4165" s="590" t="s">
        <v>219</v>
      </c>
      <c r="L4165" s="584">
        <f t="shared" si="635"/>
        <v>4106250</v>
      </c>
      <c r="M4165" s="1126">
        <v>4000000</v>
      </c>
      <c r="N4165" s="1127">
        <v>106250</v>
      </c>
      <c r="O4165" s="1128"/>
      <c r="P4165" s="1127"/>
      <c r="Q4165" s="1127"/>
      <c r="R4165" s="599">
        <f>M4165/I4165</f>
        <v>2000000</v>
      </c>
      <c r="S4165" s="1127"/>
      <c r="T4165" s="799"/>
      <c r="U4165" s="799"/>
      <c r="V4165" s="799"/>
      <c r="W4165" s="799"/>
      <c r="X4165" s="799"/>
      <c r="Y4165" s="799"/>
      <c r="Z4165" s="799"/>
      <c r="AMK4165" s="119"/>
    </row>
    <row r="4166" spans="1:1025" s="93" customFormat="1" ht="37.5" hidden="1">
      <c r="A4166" s="591">
        <f t="shared" si="637"/>
        <v>11</v>
      </c>
      <c r="B4166" s="1124" t="s">
        <v>3576</v>
      </c>
      <c r="C4166" s="1241" t="s">
        <v>4058</v>
      </c>
      <c r="D4166" s="1131">
        <v>16079</v>
      </c>
      <c r="E4166" s="1131">
        <v>3061.7</v>
      </c>
      <c r="F4166" s="1131" t="s">
        <v>309</v>
      </c>
      <c r="G4166" s="1131">
        <v>630</v>
      </c>
      <c r="H4166" s="1131">
        <v>9</v>
      </c>
      <c r="I4166" s="1131">
        <v>2</v>
      </c>
      <c r="J4166" s="1131">
        <v>72</v>
      </c>
      <c r="K4166" s="590" t="s">
        <v>219</v>
      </c>
      <c r="L4166" s="584">
        <f t="shared" si="635"/>
        <v>4106250</v>
      </c>
      <c r="M4166" s="1126">
        <v>4000000</v>
      </c>
      <c r="N4166" s="1127">
        <v>106250</v>
      </c>
      <c r="O4166" s="1128"/>
      <c r="P4166" s="1127"/>
      <c r="Q4166" s="1127"/>
      <c r="R4166" s="599">
        <f>M4166/I4166</f>
        <v>2000000</v>
      </c>
      <c r="S4166" s="1127"/>
      <c r="T4166" s="799"/>
      <c r="U4166" s="799"/>
      <c r="V4166" s="799"/>
      <c r="W4166" s="799"/>
      <c r="X4166" s="799"/>
      <c r="Y4166" s="799"/>
      <c r="Z4166" s="799"/>
      <c r="AMK4166" s="119"/>
    </row>
    <row r="4167" spans="1:1025" s="93" customFormat="1" ht="37.5" hidden="1">
      <c r="A4167" s="591">
        <f t="shared" si="637"/>
        <v>12</v>
      </c>
      <c r="B4167" s="1124" t="s">
        <v>4059</v>
      </c>
      <c r="C4167" s="1241" t="s">
        <v>4060</v>
      </c>
      <c r="D4167" s="1131">
        <v>23774</v>
      </c>
      <c r="E4167" s="1131">
        <v>4280.83</v>
      </c>
      <c r="F4167" s="1131" t="s">
        <v>309</v>
      </c>
      <c r="G4167" s="1131">
        <v>979.6</v>
      </c>
      <c r="H4167" s="1131">
        <v>9</v>
      </c>
      <c r="I4167" s="1131">
        <v>3</v>
      </c>
      <c r="J4167" s="1131">
        <v>106</v>
      </c>
      <c r="K4167" s="590" t="s">
        <v>219</v>
      </c>
      <c r="L4167" s="584">
        <f t="shared" si="635"/>
        <v>6127500</v>
      </c>
      <c r="M4167" s="1126">
        <v>6000000</v>
      </c>
      <c r="N4167" s="1127">
        <v>127500</v>
      </c>
      <c r="O4167" s="1128"/>
      <c r="P4167" s="1127"/>
      <c r="Q4167" s="1127"/>
      <c r="R4167" s="599">
        <f>M4167/I4167</f>
        <v>2000000</v>
      </c>
      <c r="S4167" s="1127"/>
      <c r="T4167" s="799"/>
      <c r="U4167" s="799"/>
      <c r="V4167" s="799"/>
      <c r="W4167" s="799"/>
      <c r="X4167" s="799"/>
      <c r="Y4167" s="799"/>
      <c r="Z4167" s="799"/>
      <c r="AMK4167" s="119"/>
    </row>
    <row r="4168" spans="1:1025" s="93" customFormat="1" ht="37.5" hidden="1">
      <c r="A4168" s="591">
        <f t="shared" si="637"/>
        <v>13</v>
      </c>
      <c r="B4168" s="1124" t="s">
        <v>4061</v>
      </c>
      <c r="C4168" s="1241" t="s">
        <v>4062</v>
      </c>
      <c r="D4168" s="1131">
        <v>18336</v>
      </c>
      <c r="E4168" s="1131">
        <v>3180</v>
      </c>
      <c r="F4168" s="1131" t="s">
        <v>309</v>
      </c>
      <c r="G4168" s="1131">
        <v>795</v>
      </c>
      <c r="H4168" s="1131">
        <v>9</v>
      </c>
      <c r="I4168" s="1131">
        <v>3</v>
      </c>
      <c r="J4168" s="1131">
        <v>71</v>
      </c>
      <c r="K4168" s="590" t="s">
        <v>219</v>
      </c>
      <c r="L4168" s="584">
        <f t="shared" si="635"/>
        <v>4106250</v>
      </c>
      <c r="M4168" s="1126">
        <v>4000000</v>
      </c>
      <c r="N4168" s="1127">
        <v>106250</v>
      </c>
      <c r="O4168" s="1128"/>
      <c r="P4168" s="1127"/>
      <c r="Q4168" s="1127"/>
      <c r="R4168" s="599">
        <f>M4168/2</f>
        <v>2000000</v>
      </c>
      <c r="S4168" s="1127"/>
      <c r="T4168" s="799"/>
      <c r="U4168" s="799"/>
      <c r="V4168" s="799"/>
      <c r="W4168" s="799"/>
      <c r="X4168" s="799"/>
      <c r="Y4168" s="799"/>
      <c r="Z4168" s="799"/>
      <c r="AMK4168" s="119"/>
    </row>
    <row r="4169" spans="1:1025" s="93" customFormat="1" ht="37.5" hidden="1">
      <c r="A4169" s="591">
        <f t="shared" si="637"/>
        <v>14</v>
      </c>
      <c r="B4169" s="1124" t="s">
        <v>4063</v>
      </c>
      <c r="C4169" s="1241" t="s">
        <v>4060</v>
      </c>
      <c r="D4169" s="1131">
        <v>24669</v>
      </c>
      <c r="E4169" s="1131">
        <v>4253</v>
      </c>
      <c r="F4169" s="1131" t="s">
        <v>309</v>
      </c>
      <c r="G4169" s="1131">
        <v>810</v>
      </c>
      <c r="H4169" s="1131">
        <v>9</v>
      </c>
      <c r="I4169" s="1131">
        <v>3</v>
      </c>
      <c r="J4169" s="1131">
        <v>107</v>
      </c>
      <c r="K4169" s="590" t="s">
        <v>219</v>
      </c>
      <c r="L4169" s="584">
        <f t="shared" si="635"/>
        <v>6127500</v>
      </c>
      <c r="M4169" s="1126">
        <v>6000000</v>
      </c>
      <c r="N4169" s="1127">
        <v>127500</v>
      </c>
      <c r="O4169" s="1128"/>
      <c r="P4169" s="1127"/>
      <c r="Q4169" s="1127"/>
      <c r="R4169" s="599">
        <f>M4169/I4169</f>
        <v>2000000</v>
      </c>
      <c r="S4169" s="1127"/>
      <c r="T4169" s="799"/>
      <c r="U4169" s="799"/>
      <c r="V4169" s="799"/>
      <c r="W4169" s="799"/>
      <c r="X4169" s="799"/>
      <c r="Y4169" s="799"/>
      <c r="Z4169" s="799"/>
      <c r="AMK4169" s="119"/>
    </row>
    <row r="4170" spans="1:1025" s="93" customFormat="1" ht="37.5" hidden="1">
      <c r="A4170" s="591">
        <f t="shared" si="637"/>
        <v>15</v>
      </c>
      <c r="B4170" s="1124" t="s">
        <v>4064</v>
      </c>
      <c r="C4170" s="1241" t="s">
        <v>4060</v>
      </c>
      <c r="D4170" s="1131">
        <v>16250</v>
      </c>
      <c r="E4170" s="1131">
        <v>3207.6</v>
      </c>
      <c r="F4170" s="1131" t="s">
        <v>309</v>
      </c>
      <c r="G4170" s="1131">
        <v>532</v>
      </c>
      <c r="H4170" s="1131">
        <v>9</v>
      </c>
      <c r="I4170" s="1131">
        <v>2</v>
      </c>
      <c r="J4170" s="1131">
        <v>72</v>
      </c>
      <c r="K4170" s="590" t="s">
        <v>219</v>
      </c>
      <c r="L4170" s="584">
        <f t="shared" si="635"/>
        <v>4106250</v>
      </c>
      <c r="M4170" s="1126">
        <v>4000000</v>
      </c>
      <c r="N4170" s="1127">
        <v>106250</v>
      </c>
      <c r="O4170" s="1128"/>
      <c r="P4170" s="1127"/>
      <c r="Q4170" s="1127"/>
      <c r="R4170" s="599">
        <f>M4170/I4170</f>
        <v>2000000</v>
      </c>
      <c r="S4170" s="1127"/>
      <c r="T4170" s="799"/>
      <c r="U4170" s="799"/>
      <c r="V4170" s="799"/>
      <c r="W4170" s="799"/>
      <c r="X4170" s="799"/>
      <c r="Y4170" s="799"/>
      <c r="Z4170" s="799"/>
      <c r="AMK4170" s="119"/>
    </row>
    <row r="4171" spans="1:1025" s="93" customFormat="1" ht="37.5" hidden="1">
      <c r="A4171" s="591">
        <f t="shared" si="637"/>
        <v>16</v>
      </c>
      <c r="B4171" s="1124" t="s">
        <v>3577</v>
      </c>
      <c r="C4171" s="1241" t="s">
        <v>4065</v>
      </c>
      <c r="D4171" s="1131">
        <v>25254</v>
      </c>
      <c r="E4171" s="1131">
        <v>5491.8</v>
      </c>
      <c r="F4171" s="1131" t="s">
        <v>309</v>
      </c>
      <c r="G4171" s="1131">
        <v>836</v>
      </c>
      <c r="H4171" s="1131">
        <v>9</v>
      </c>
      <c r="I4171" s="1131">
        <v>5</v>
      </c>
      <c r="J4171" s="1131">
        <v>122</v>
      </c>
      <c r="K4171" s="590" t="s">
        <v>219</v>
      </c>
      <c r="L4171" s="584">
        <f t="shared" si="635"/>
        <v>6127500</v>
      </c>
      <c r="M4171" s="1126">
        <v>6000000</v>
      </c>
      <c r="N4171" s="1127">
        <v>127500</v>
      </c>
      <c r="O4171" s="1128"/>
      <c r="P4171" s="1127"/>
      <c r="Q4171" s="1127"/>
      <c r="R4171" s="599">
        <f>M4171/3</f>
        <v>2000000</v>
      </c>
      <c r="S4171" s="1127"/>
      <c r="T4171" s="799"/>
      <c r="U4171" s="799"/>
      <c r="V4171" s="799"/>
      <c r="W4171" s="799"/>
      <c r="X4171" s="799"/>
      <c r="Y4171" s="799"/>
      <c r="Z4171" s="799"/>
      <c r="AMK4171" s="119"/>
    </row>
    <row r="4172" spans="1:1025" s="93" customFormat="1" ht="37.5" hidden="1">
      <c r="A4172" s="591">
        <f t="shared" si="637"/>
        <v>17</v>
      </c>
      <c r="B4172" s="1124" t="s">
        <v>2328</v>
      </c>
      <c r="C4172" s="1242" t="s">
        <v>4066</v>
      </c>
      <c r="D4172" s="1131">
        <v>64485</v>
      </c>
      <c r="E4172" s="1131">
        <v>11076</v>
      </c>
      <c r="F4172" s="1131" t="s">
        <v>309</v>
      </c>
      <c r="G4172" s="1131">
        <v>1996</v>
      </c>
      <c r="H4172" s="1131">
        <v>9</v>
      </c>
      <c r="I4172" s="1131">
        <v>8</v>
      </c>
      <c r="J4172" s="1131">
        <v>311</v>
      </c>
      <c r="K4172" s="590" t="s">
        <v>219</v>
      </c>
      <c r="L4172" s="584">
        <f>M4172+N4172+O4172+P4172+Q4172+M4173+N4173+O4173+P4173+Q4173</f>
        <v>25224443</v>
      </c>
      <c r="M4172" s="1126">
        <v>16000000</v>
      </c>
      <c r="N4172" s="1127">
        <v>233750</v>
      </c>
      <c r="O4172" s="1128"/>
      <c r="P4172" s="1127"/>
      <c r="Q4172" s="1127"/>
      <c r="R4172" s="599">
        <f>M4172/I4172</f>
        <v>2000000</v>
      </c>
      <c r="S4172" s="1127"/>
      <c r="T4172" s="799"/>
      <c r="U4172" s="799"/>
      <c r="V4172" s="799"/>
      <c r="W4172" s="799"/>
      <c r="X4172" s="799"/>
      <c r="Y4172" s="799"/>
      <c r="Z4172" s="799"/>
      <c r="AMK4172" s="119"/>
    </row>
    <row r="4173" spans="1:1025" s="93" customFormat="1" ht="56.25" hidden="1">
      <c r="A4173" s="591"/>
      <c r="B4173" s="1124"/>
      <c r="C4173" s="1242"/>
      <c r="D4173" s="1131"/>
      <c r="E4173" s="1131"/>
      <c r="F4173" s="1131"/>
      <c r="G4173" s="1131"/>
      <c r="H4173" s="1131"/>
      <c r="I4173" s="1131"/>
      <c r="J4173" s="1131"/>
      <c r="K4173" s="590" t="s">
        <v>3735</v>
      </c>
      <c r="L4173" s="584"/>
      <c r="M4173" s="1126">
        <v>8924121</v>
      </c>
      <c r="N4173" s="1127"/>
      <c r="O4173" s="1128">
        <v>26772</v>
      </c>
      <c r="P4173" s="1127"/>
      <c r="Q4173" s="1127">
        <v>39800</v>
      </c>
      <c r="R4173" s="1066">
        <v>28694.922829581992</v>
      </c>
      <c r="S4173" s="1127"/>
      <c r="T4173" s="799"/>
      <c r="U4173" s="799"/>
      <c r="V4173" s="799"/>
      <c r="W4173" s="799"/>
      <c r="X4173" s="799"/>
      <c r="Y4173" s="799"/>
      <c r="Z4173" s="799"/>
      <c r="AMK4173" s="119"/>
    </row>
    <row r="4174" spans="1:1025" s="128" customFormat="1" hidden="1">
      <c r="A4174" s="720">
        <f>A4172+1</f>
        <v>18</v>
      </c>
      <c r="B4174" s="994" t="s">
        <v>4282</v>
      </c>
      <c r="C4174" s="1243" t="s">
        <v>326</v>
      </c>
      <c r="D4174" s="994">
        <v>23730</v>
      </c>
      <c r="E4174" s="994">
        <v>4035</v>
      </c>
      <c r="F4174" s="1244" t="s">
        <v>309</v>
      </c>
      <c r="G4174" s="994">
        <v>1582</v>
      </c>
      <c r="H4174" s="994">
        <v>5</v>
      </c>
      <c r="I4174" s="994">
        <v>7</v>
      </c>
      <c r="J4174" s="994">
        <v>116</v>
      </c>
      <c r="K4174" s="1245" t="s">
        <v>4276</v>
      </c>
      <c r="L4174" s="1028">
        <f>SUBTOTAL(9,M4174:Q4174)</f>
        <v>3486033</v>
      </c>
      <c r="M4174" s="1028">
        <v>3403000</v>
      </c>
      <c r="N4174" s="1029"/>
      <c r="O4174" s="1246">
        <f>ROUND(M4174*0.3%,0)</f>
        <v>10209</v>
      </c>
      <c r="P4174" s="1029"/>
      <c r="Q4174" s="1029">
        <f>ROUND(M4174*2.14%,0)</f>
        <v>72824</v>
      </c>
      <c r="R4174" s="1247">
        <f>M4174/G4174</f>
        <v>2151.0745891276865</v>
      </c>
      <c r="S4174" s="961"/>
      <c r="T4174" s="961"/>
      <c r="U4174" s="961"/>
      <c r="V4174" s="961"/>
      <c r="W4174" s="961"/>
      <c r="X4174" s="961"/>
      <c r="Y4174" s="961"/>
      <c r="Z4174" s="961"/>
    </row>
    <row r="4175" spans="1:1025" s="128" customFormat="1" hidden="1">
      <c r="A4175" s="994">
        <f>A4174+1</f>
        <v>19</v>
      </c>
      <c r="B4175" s="994" t="s">
        <v>4285</v>
      </c>
      <c r="C4175" s="1243" t="s">
        <v>4283</v>
      </c>
      <c r="D4175" s="994">
        <v>6417</v>
      </c>
      <c r="E4175" s="994">
        <v>605</v>
      </c>
      <c r="F4175" s="1244" t="s">
        <v>251</v>
      </c>
      <c r="G4175" s="994">
        <v>617</v>
      </c>
      <c r="H4175" s="994">
        <v>2</v>
      </c>
      <c r="I4175" s="994">
        <v>2</v>
      </c>
      <c r="J4175" s="994">
        <v>12</v>
      </c>
      <c r="K4175" s="720" t="s">
        <v>4284</v>
      </c>
      <c r="L4175" s="1028">
        <f>SUBTOTAL(9,M4175:Q4175)</f>
        <v>1756166</v>
      </c>
      <c r="M4175" s="721">
        <v>1690000</v>
      </c>
      <c r="N4175" s="1204">
        <v>30000</v>
      </c>
      <c r="O4175" s="1248"/>
      <c r="P4175" s="1204"/>
      <c r="Q4175" s="1029">
        <f>ROUND(M4175*2.14%,0)</f>
        <v>36166</v>
      </c>
      <c r="R4175" s="1247">
        <f>M4175/G4175</f>
        <v>2739.059967585089</v>
      </c>
      <c r="S4175" s="961"/>
      <c r="T4175" s="961"/>
      <c r="U4175" s="961"/>
      <c r="V4175" s="961"/>
      <c r="W4175" s="961"/>
      <c r="X4175" s="961"/>
      <c r="Y4175" s="961"/>
      <c r="Z4175" s="961"/>
    </row>
    <row r="4176" spans="1:1025" s="89" customFormat="1" hidden="1">
      <c r="A4176" s="591">
        <f>A4175+1</f>
        <v>20</v>
      </c>
      <c r="B4176" s="592" t="s">
        <v>3579</v>
      </c>
      <c r="C4176" s="593" t="s">
        <v>367</v>
      </c>
      <c r="D4176" s="593">
        <v>1083</v>
      </c>
      <c r="E4176" s="602">
        <v>325</v>
      </c>
      <c r="F4176" s="602" t="s">
        <v>251</v>
      </c>
      <c r="G4176" s="602">
        <v>264.5</v>
      </c>
      <c r="H4176" s="593">
        <v>2</v>
      </c>
      <c r="I4176" s="593">
        <v>1</v>
      </c>
      <c r="J4176" s="582">
        <v>8</v>
      </c>
      <c r="K4176" s="590" t="s">
        <v>33</v>
      </c>
      <c r="L4176" s="584">
        <f>SUBTOTAL(9,M4176:Q4176)</f>
        <v>786449</v>
      </c>
      <c r="M4176" s="585">
        <v>740600</v>
      </c>
      <c r="N4176" s="586">
        <v>30000</v>
      </c>
      <c r="O4176" s="587"/>
      <c r="P4176" s="586"/>
      <c r="Q4176" s="586">
        <f>ROUND(M4176*2.14%,0)</f>
        <v>15849</v>
      </c>
      <c r="R4176" s="582">
        <f>M4176/G4176</f>
        <v>2800</v>
      </c>
      <c r="S4176" s="592"/>
      <c r="T4176" s="592"/>
      <c r="U4176" s="591"/>
      <c r="V4176" s="592"/>
      <c r="W4176" s="592"/>
      <c r="X4176" s="592"/>
      <c r="Y4176" s="592"/>
      <c r="Z4176" s="592"/>
    </row>
    <row r="4177" spans="1:26" s="28" customFormat="1" hidden="1">
      <c r="A4177" s="1361" t="s">
        <v>196</v>
      </c>
      <c r="B4177" s="1361"/>
      <c r="C4177" s="700" t="s">
        <v>28</v>
      </c>
      <c r="D4177" s="586">
        <f>SUM(D4156:D4176)</f>
        <v>465332</v>
      </c>
      <c r="E4177" s="586">
        <f>SUM(E4156:E4176)</f>
        <v>86305.54</v>
      </c>
      <c r="F4177" s="700" t="s">
        <v>28</v>
      </c>
      <c r="G4177" s="586">
        <f>SUM(G4156:G4176)</f>
        <v>22377.1</v>
      </c>
      <c r="H4177" s="700" t="s">
        <v>28</v>
      </c>
      <c r="I4177" s="700" t="s">
        <v>28</v>
      </c>
      <c r="J4177" s="582">
        <f>SUM(J4156:J4176)</f>
        <v>2103</v>
      </c>
      <c r="K4177" s="590" t="s">
        <v>28</v>
      </c>
      <c r="L4177" s="584">
        <f t="shared" ref="L4177:Q4177" si="638">SUM(L4156:L4176)</f>
        <v>97586689</v>
      </c>
      <c r="M4177" s="584">
        <f t="shared" si="638"/>
        <v>95607521</v>
      </c>
      <c r="N4177" s="645">
        <f t="shared" si="638"/>
        <v>1373750</v>
      </c>
      <c r="O4177" s="1080">
        <f t="shared" si="638"/>
        <v>80194</v>
      </c>
      <c r="P4177" s="1080">
        <f t="shared" si="638"/>
        <v>0</v>
      </c>
      <c r="Q4177" s="1080">
        <f t="shared" si="638"/>
        <v>525224</v>
      </c>
      <c r="R4177" s="582" t="s">
        <v>28</v>
      </c>
      <c r="S4177" s="564">
        <f>L4177-M4177-N4177-O4177-P4177-Q4177</f>
        <v>0</v>
      </c>
      <c r="T4177" s="577" t="e">
        <f>'1.перечень МКД'!#REF!</f>
        <v>#REF!</v>
      </c>
      <c r="U4177" s="589" t="e">
        <f>L4177-T4177</f>
        <v>#REF!</v>
      </c>
      <c r="V4177" s="592"/>
      <c r="W4177" s="592"/>
      <c r="X4177" s="592"/>
      <c r="Y4177" s="592"/>
      <c r="Z4177" s="592"/>
    </row>
    <row r="4178" spans="1:26" s="28" customFormat="1" hidden="1">
      <c r="A4178" s="1347" t="s">
        <v>197</v>
      </c>
      <c r="B4178" s="1347"/>
      <c r="C4178" s="1347"/>
      <c r="D4178" s="1347"/>
      <c r="E4178" s="1347"/>
      <c r="F4178" s="1347"/>
      <c r="G4178" s="1347"/>
      <c r="H4178" s="1347"/>
      <c r="I4178" s="1347"/>
      <c r="J4178" s="1347"/>
      <c r="K4178" s="1347"/>
      <c r="L4178" s="1347"/>
      <c r="M4178" s="1347"/>
      <c r="N4178" s="1347"/>
      <c r="O4178" s="1347"/>
      <c r="P4178" s="1347"/>
      <c r="Q4178" s="1347"/>
      <c r="R4178" s="590"/>
      <c r="S4178" s="592"/>
      <c r="T4178" s="592"/>
      <c r="U4178" s="591"/>
      <c r="V4178" s="592"/>
      <c r="W4178" s="592"/>
      <c r="X4178" s="592"/>
      <c r="Y4178" s="592"/>
      <c r="Z4178" s="592"/>
    </row>
    <row r="4179" spans="1:26" s="28" customFormat="1" hidden="1">
      <c r="A4179" s="591">
        <v>1</v>
      </c>
      <c r="B4179" s="592" t="s">
        <v>3303</v>
      </c>
      <c r="C4179" s="910" t="s">
        <v>221</v>
      </c>
      <c r="D4179" s="582">
        <v>4251</v>
      </c>
      <c r="E4179" s="582">
        <v>335</v>
      </c>
      <c r="F4179" s="582" t="s">
        <v>251</v>
      </c>
      <c r="G4179" s="582">
        <v>726.7</v>
      </c>
      <c r="H4179" s="582">
        <v>2</v>
      </c>
      <c r="I4179" s="582">
        <v>3</v>
      </c>
      <c r="J4179" s="582">
        <v>22</v>
      </c>
      <c r="K4179" s="590" t="s">
        <v>224</v>
      </c>
      <c r="L4179" s="584">
        <f>M4179+N4179+O4179+P4179+Q4179</f>
        <v>541828</v>
      </c>
      <c r="M4179" s="585">
        <v>506000</v>
      </c>
      <c r="N4179" s="586">
        <v>25000</v>
      </c>
      <c r="O4179" s="587"/>
      <c r="P4179" s="586"/>
      <c r="Q4179" s="586">
        <f>ROUND(M4179*2.14%,0)</f>
        <v>10828</v>
      </c>
      <c r="R4179" s="582">
        <f>M4179/J4179</f>
        <v>23000</v>
      </c>
      <c r="S4179" s="592"/>
      <c r="T4179" s="592"/>
      <c r="U4179" s="591"/>
      <c r="V4179" s="592"/>
      <c r="W4179" s="592"/>
      <c r="X4179" s="592"/>
      <c r="Y4179" s="592"/>
      <c r="Z4179" s="592"/>
    </row>
    <row r="4180" spans="1:26" s="28" customFormat="1" hidden="1">
      <c r="A4180" s="591">
        <f>A4179+1</f>
        <v>2</v>
      </c>
      <c r="B4180" s="592" t="s">
        <v>3304</v>
      </c>
      <c r="C4180" s="910" t="s">
        <v>221</v>
      </c>
      <c r="D4180" s="582">
        <v>3890</v>
      </c>
      <c r="E4180" s="582">
        <v>280</v>
      </c>
      <c r="F4180" s="582" t="s">
        <v>251</v>
      </c>
      <c r="G4180" s="582">
        <v>1079</v>
      </c>
      <c r="H4180" s="582">
        <v>2</v>
      </c>
      <c r="I4180" s="582">
        <v>3</v>
      </c>
      <c r="J4180" s="582">
        <v>22</v>
      </c>
      <c r="K4180" s="590" t="s">
        <v>224</v>
      </c>
      <c r="L4180" s="584">
        <f>M4180+N4180+O4180+P4180+Q4180</f>
        <v>541828</v>
      </c>
      <c r="M4180" s="585">
        <v>506000</v>
      </c>
      <c r="N4180" s="586">
        <v>25000</v>
      </c>
      <c r="O4180" s="587"/>
      <c r="P4180" s="586"/>
      <c r="Q4180" s="586">
        <f>ROUND(M4180*2.14%,0)</f>
        <v>10828</v>
      </c>
      <c r="R4180" s="582">
        <f>M4180/J4180</f>
        <v>23000</v>
      </c>
      <c r="S4180" s="592"/>
      <c r="T4180" s="592"/>
      <c r="U4180" s="591"/>
      <c r="V4180" s="592"/>
      <c r="W4180" s="592"/>
      <c r="X4180" s="592"/>
      <c r="Y4180" s="592"/>
      <c r="Z4180" s="592"/>
    </row>
    <row r="4181" spans="1:26" s="28" customFormat="1" hidden="1">
      <c r="A4181" s="591">
        <f>A4180+1</f>
        <v>3</v>
      </c>
      <c r="B4181" s="592" t="s">
        <v>3305</v>
      </c>
      <c r="C4181" s="910" t="s">
        <v>221</v>
      </c>
      <c r="D4181" s="582">
        <v>1450</v>
      </c>
      <c r="E4181" s="582">
        <v>204</v>
      </c>
      <c r="F4181" s="582" t="s">
        <v>251</v>
      </c>
      <c r="G4181" s="582">
        <v>334</v>
      </c>
      <c r="H4181" s="582">
        <v>2</v>
      </c>
      <c r="I4181" s="582">
        <v>2</v>
      </c>
      <c r="J4181" s="582">
        <v>8</v>
      </c>
      <c r="K4181" s="590" t="s">
        <v>224</v>
      </c>
      <c r="L4181" s="584">
        <f>M4181+N4181+O4181+P4181+Q4181</f>
        <v>212938</v>
      </c>
      <c r="M4181" s="585">
        <v>184000</v>
      </c>
      <c r="N4181" s="586">
        <v>25000</v>
      </c>
      <c r="O4181" s="587"/>
      <c r="P4181" s="586"/>
      <c r="Q4181" s="586">
        <f>ROUND(M4181*2.14%,0)</f>
        <v>3938</v>
      </c>
      <c r="R4181" s="582">
        <f>M4181/J4181</f>
        <v>23000</v>
      </c>
      <c r="S4181" s="592"/>
      <c r="T4181" s="592"/>
      <c r="U4181" s="591"/>
      <c r="V4181" s="592"/>
      <c r="W4181" s="592"/>
      <c r="X4181" s="592"/>
      <c r="Y4181" s="592"/>
      <c r="Z4181" s="592"/>
    </row>
    <row r="4182" spans="1:26" s="28" customFormat="1" hidden="1">
      <c r="A4182" s="1349" t="s">
        <v>198</v>
      </c>
      <c r="B4182" s="1349"/>
      <c r="C4182" s="593" t="s">
        <v>28</v>
      </c>
      <c r="D4182" s="586">
        <f t="shared" ref="D4182:J4182" si="639">SUM(D4179)</f>
        <v>4251</v>
      </c>
      <c r="E4182" s="586">
        <f t="shared" si="639"/>
        <v>335</v>
      </c>
      <c r="F4182" s="593" t="s">
        <v>28</v>
      </c>
      <c r="G4182" s="586">
        <f t="shared" si="639"/>
        <v>726.7</v>
      </c>
      <c r="H4182" s="593" t="s">
        <v>28</v>
      </c>
      <c r="I4182" s="593" t="s">
        <v>28</v>
      </c>
      <c r="J4182" s="582">
        <f t="shared" si="639"/>
        <v>22</v>
      </c>
      <c r="K4182" s="590" t="s">
        <v>28</v>
      </c>
      <c r="L4182" s="584">
        <f t="shared" ref="L4182:Q4182" si="640">SUM(L4179:L4181)</f>
        <v>1296594</v>
      </c>
      <c r="M4182" s="585">
        <f t="shared" si="640"/>
        <v>1196000</v>
      </c>
      <c r="N4182" s="586">
        <f t="shared" si="640"/>
        <v>75000</v>
      </c>
      <c r="O4182" s="587">
        <f t="shared" si="640"/>
        <v>0</v>
      </c>
      <c r="P4182" s="586">
        <f t="shared" si="640"/>
        <v>0</v>
      </c>
      <c r="Q4182" s="586">
        <f t="shared" si="640"/>
        <v>25594</v>
      </c>
      <c r="R4182" s="582" t="s">
        <v>28</v>
      </c>
      <c r="S4182" s="564">
        <f>L4182-M4182-N4182-O4182-P4182-Q4182</f>
        <v>0</v>
      </c>
      <c r="T4182" s="577" t="e">
        <f>'1.перечень МКД'!#REF!</f>
        <v>#REF!</v>
      </c>
      <c r="U4182" s="589" t="e">
        <f>L4182-T4182</f>
        <v>#REF!</v>
      </c>
      <c r="V4182" s="592"/>
      <c r="W4182" s="592"/>
      <c r="X4182" s="592"/>
      <c r="Y4182" s="592"/>
      <c r="Z4182" s="592"/>
    </row>
    <row r="4183" spans="1:26" s="28" customFormat="1" hidden="1">
      <c r="A4183" s="1352" t="s">
        <v>199</v>
      </c>
      <c r="B4183" s="1352"/>
      <c r="C4183" s="1352"/>
      <c r="D4183" s="1352"/>
      <c r="E4183" s="1352"/>
      <c r="F4183" s="1352"/>
      <c r="G4183" s="1352"/>
      <c r="H4183" s="1352"/>
      <c r="I4183" s="1352"/>
      <c r="J4183" s="1352"/>
      <c r="K4183" s="1352"/>
      <c r="L4183" s="1352"/>
      <c r="M4183" s="1352"/>
      <c r="N4183" s="1352"/>
      <c r="O4183" s="1352"/>
      <c r="P4183" s="1352"/>
      <c r="Q4183" s="1352"/>
      <c r="R4183" s="855"/>
      <c r="S4183" s="592"/>
      <c r="T4183" s="592"/>
      <c r="U4183" s="591"/>
      <c r="V4183" s="592"/>
      <c r="W4183" s="592"/>
      <c r="X4183" s="592"/>
      <c r="Y4183" s="592"/>
      <c r="Z4183" s="592"/>
    </row>
    <row r="4184" spans="1:26" s="28" customFormat="1" hidden="1">
      <c r="A4184" s="591">
        <v>1</v>
      </c>
      <c r="B4184" s="592" t="s">
        <v>3307</v>
      </c>
      <c r="C4184" s="910" t="s">
        <v>221</v>
      </c>
      <c r="D4184" s="582">
        <v>5975</v>
      </c>
      <c r="E4184" s="582">
        <v>1074</v>
      </c>
      <c r="F4184" s="582" t="s">
        <v>290</v>
      </c>
      <c r="G4184" s="582">
        <v>539</v>
      </c>
      <c r="H4184" s="582">
        <v>5</v>
      </c>
      <c r="I4184" s="582">
        <v>2</v>
      </c>
      <c r="J4184" s="582">
        <v>28</v>
      </c>
      <c r="K4184" s="590" t="s">
        <v>33</v>
      </c>
      <c r="L4184" s="584">
        <f>SUM(M4184:Q4184)</f>
        <v>1118112</v>
      </c>
      <c r="M4184" s="585">
        <f>G4184*2025+5</f>
        <v>1091480</v>
      </c>
      <c r="N4184" s="586"/>
      <c r="O4184" s="935">
        <f>ROUND(M4184*0.3%,0)</f>
        <v>3274</v>
      </c>
      <c r="P4184" s="586"/>
      <c r="Q4184" s="586">
        <f t="shared" ref="Q4184:Q4191" si="641">ROUND(M4184*2.14%,0)</f>
        <v>23358</v>
      </c>
      <c r="R4184" s="582">
        <f>M4184/G4184</f>
        <v>2025.0092764378478</v>
      </c>
      <c r="S4184" s="592"/>
      <c r="T4184" s="592"/>
      <c r="U4184" s="591"/>
      <c r="V4184" s="592"/>
      <c r="W4184" s="592"/>
      <c r="X4184" s="592"/>
      <c r="Y4184" s="592"/>
      <c r="Z4184" s="592"/>
    </row>
    <row r="4185" spans="1:26" s="28" customFormat="1" hidden="1">
      <c r="A4185" s="591">
        <f>A4184+1</f>
        <v>2</v>
      </c>
      <c r="B4185" s="592" t="s">
        <v>3308</v>
      </c>
      <c r="C4185" s="910" t="s">
        <v>221</v>
      </c>
      <c r="D4185" s="582">
        <v>10393</v>
      </c>
      <c r="E4185" s="582">
        <v>1787</v>
      </c>
      <c r="F4185" s="582" t="s">
        <v>290</v>
      </c>
      <c r="G4185" s="582">
        <v>1211</v>
      </c>
      <c r="H4185" s="582">
        <v>3</v>
      </c>
      <c r="I4185" s="582">
        <v>4</v>
      </c>
      <c r="J4185" s="582">
        <v>36</v>
      </c>
      <c r="K4185" s="590" t="s">
        <v>224</v>
      </c>
      <c r="L4185" s="584">
        <f>SUM(M4185:Q4185)</f>
        <v>1051400</v>
      </c>
      <c r="M4185" s="585">
        <v>1000000</v>
      </c>
      <c r="N4185" s="586">
        <v>30000</v>
      </c>
      <c r="O4185" s="587"/>
      <c r="P4185" s="586"/>
      <c r="Q4185" s="586">
        <f t="shared" si="641"/>
        <v>21400</v>
      </c>
      <c r="R4185" s="582">
        <f>M4185/J4185</f>
        <v>27777.777777777777</v>
      </c>
      <c r="S4185" s="592"/>
      <c r="T4185" s="592"/>
      <c r="U4185" s="591"/>
      <c r="V4185" s="592"/>
      <c r="W4185" s="592"/>
      <c r="X4185" s="592"/>
      <c r="Y4185" s="592"/>
      <c r="Z4185" s="592"/>
    </row>
    <row r="4186" spans="1:26" s="28" customFormat="1" hidden="1">
      <c r="A4186" s="591">
        <f>A4185+1</f>
        <v>3</v>
      </c>
      <c r="B4186" s="592" t="s">
        <v>3309</v>
      </c>
      <c r="C4186" s="910" t="s">
        <v>221</v>
      </c>
      <c r="D4186" s="582">
        <v>2421</v>
      </c>
      <c r="E4186" s="582">
        <v>495</v>
      </c>
      <c r="F4186" s="582" t="s">
        <v>222</v>
      </c>
      <c r="G4186" s="582">
        <v>604</v>
      </c>
      <c r="H4186" s="582">
        <v>2</v>
      </c>
      <c r="I4186" s="582">
        <v>1</v>
      </c>
      <c r="J4186" s="582">
        <v>16</v>
      </c>
      <c r="K4186" s="590" t="s">
        <v>33</v>
      </c>
      <c r="L4186" s="584">
        <f>SUM(M4186:Q4186)</f>
        <v>1634007</v>
      </c>
      <c r="M4186" s="585">
        <f>G4186*2600</f>
        <v>1570400</v>
      </c>
      <c r="N4186" s="586">
        <v>30000</v>
      </c>
      <c r="O4186" s="587"/>
      <c r="P4186" s="586"/>
      <c r="Q4186" s="586">
        <f t="shared" si="641"/>
        <v>33607</v>
      </c>
      <c r="R4186" s="582">
        <f>M4186/G4186</f>
        <v>2600</v>
      </c>
      <c r="S4186" s="592"/>
      <c r="T4186" s="592"/>
      <c r="U4186" s="591"/>
      <c r="V4186" s="592"/>
      <c r="W4186" s="592"/>
      <c r="X4186" s="592"/>
      <c r="Y4186" s="592"/>
      <c r="Z4186" s="592"/>
    </row>
    <row r="4187" spans="1:26" s="28" customFormat="1" hidden="1">
      <c r="A4187" s="591">
        <f>A4186+1</f>
        <v>4</v>
      </c>
      <c r="B4187" s="592" t="s">
        <v>3310</v>
      </c>
      <c r="C4187" s="910" t="s">
        <v>221</v>
      </c>
      <c r="D4187" s="582">
        <v>4596</v>
      </c>
      <c r="E4187" s="582">
        <v>896</v>
      </c>
      <c r="F4187" s="582" t="s">
        <v>355</v>
      </c>
      <c r="G4187" s="582">
        <v>1147</v>
      </c>
      <c r="H4187" s="582">
        <v>2</v>
      </c>
      <c r="I4187" s="582">
        <v>4</v>
      </c>
      <c r="J4187" s="582">
        <v>24</v>
      </c>
      <c r="K4187" s="590" t="s">
        <v>33</v>
      </c>
      <c r="L4187" s="584">
        <f>SUM(M4187:Q4187)</f>
        <v>3076019</v>
      </c>
      <c r="M4187" s="585">
        <f>G4187*2600</f>
        <v>2982200</v>
      </c>
      <c r="N4187" s="586">
        <v>30000</v>
      </c>
      <c r="O4187" s="587"/>
      <c r="P4187" s="586"/>
      <c r="Q4187" s="586">
        <f t="shared" si="641"/>
        <v>63819</v>
      </c>
      <c r="R4187" s="582">
        <f>M4187/G4187</f>
        <v>2600</v>
      </c>
      <c r="S4187" s="592"/>
      <c r="T4187" s="592"/>
      <c r="U4187" s="591"/>
      <c r="V4187" s="592"/>
      <c r="W4187" s="592"/>
      <c r="X4187" s="592"/>
      <c r="Y4187" s="592"/>
      <c r="Z4187" s="592"/>
    </row>
    <row r="4188" spans="1:26" s="28" customFormat="1" ht="37.5" hidden="1">
      <c r="A4188" s="591">
        <f>A4187+1</f>
        <v>5</v>
      </c>
      <c r="B4188" s="592" t="s">
        <v>3311</v>
      </c>
      <c r="C4188" s="910" t="s">
        <v>221</v>
      </c>
      <c r="D4188" s="582">
        <v>2470</v>
      </c>
      <c r="E4188" s="582">
        <v>556</v>
      </c>
      <c r="F4188" s="582" t="s">
        <v>222</v>
      </c>
      <c r="G4188" s="582">
        <v>732</v>
      </c>
      <c r="H4188" s="582">
        <v>2</v>
      </c>
      <c r="I4188" s="582">
        <v>2</v>
      </c>
      <c r="J4188" s="582">
        <v>12</v>
      </c>
      <c r="K4188" s="590" t="s">
        <v>30</v>
      </c>
      <c r="L4188" s="584">
        <f>SUM(M4188:Q4188)</f>
        <v>307320</v>
      </c>
      <c r="M4188" s="585">
        <f>J4188*25000</f>
        <v>300000</v>
      </c>
      <c r="N4188" s="586"/>
      <c r="O4188" s="935">
        <f>ROUND(M4188*0.3%,0)</f>
        <v>900</v>
      </c>
      <c r="P4188" s="586"/>
      <c r="Q4188" s="586">
        <f t="shared" si="641"/>
        <v>6420</v>
      </c>
      <c r="R4188" s="582">
        <f>M4188/J4188</f>
        <v>25000</v>
      </c>
      <c r="S4188" s="592"/>
      <c r="T4188" s="592"/>
      <c r="U4188" s="591"/>
      <c r="V4188" s="592"/>
      <c r="W4188" s="592"/>
      <c r="X4188" s="592"/>
      <c r="Y4188" s="592"/>
      <c r="Z4188" s="592"/>
    </row>
    <row r="4189" spans="1:26" s="28" customFormat="1" hidden="1">
      <c r="A4189" s="591">
        <f>A4188+1</f>
        <v>6</v>
      </c>
      <c r="B4189" s="592" t="s">
        <v>3312</v>
      </c>
      <c r="C4189" s="910" t="s">
        <v>221</v>
      </c>
      <c r="D4189" s="582">
        <v>2570</v>
      </c>
      <c r="E4189" s="582">
        <v>534</v>
      </c>
      <c r="F4189" s="582" t="s">
        <v>222</v>
      </c>
      <c r="G4189" s="582">
        <v>574</v>
      </c>
      <c r="H4189" s="582">
        <v>2</v>
      </c>
      <c r="I4189" s="582">
        <v>4</v>
      </c>
      <c r="J4189" s="582">
        <v>12</v>
      </c>
      <c r="K4189" s="590" t="s">
        <v>33</v>
      </c>
      <c r="L4189" s="1348">
        <f>SUM(M4189:Q4189)+SUM(M4190:Q4190)</f>
        <v>1861657</v>
      </c>
      <c r="M4189" s="585">
        <f>G4189*2600</f>
        <v>1492400</v>
      </c>
      <c r="N4189" s="586">
        <v>30000</v>
      </c>
      <c r="O4189" s="587"/>
      <c r="P4189" s="586"/>
      <c r="Q4189" s="586">
        <f t="shared" si="641"/>
        <v>31937</v>
      </c>
      <c r="R4189" s="582">
        <f>M4189/G4189</f>
        <v>2600</v>
      </c>
      <c r="S4189" s="592"/>
      <c r="T4189" s="592"/>
      <c r="U4189" s="591"/>
      <c r="V4189" s="592"/>
      <c r="W4189" s="592"/>
      <c r="X4189" s="592"/>
      <c r="Y4189" s="592"/>
      <c r="Z4189" s="592"/>
    </row>
    <row r="4190" spans="1:26" s="28" customFormat="1" ht="37.5" hidden="1">
      <c r="A4190" s="591"/>
      <c r="B4190" s="592"/>
      <c r="C4190" s="910"/>
      <c r="D4190" s="582"/>
      <c r="E4190" s="582"/>
      <c r="F4190" s="582"/>
      <c r="G4190" s="582"/>
      <c r="H4190" s="582"/>
      <c r="I4190" s="582"/>
      <c r="J4190" s="582"/>
      <c r="K4190" s="590" t="s">
        <v>30</v>
      </c>
      <c r="L4190" s="1348"/>
      <c r="M4190" s="585">
        <f>J4189*25000</f>
        <v>300000</v>
      </c>
      <c r="N4190" s="586"/>
      <c r="O4190" s="935">
        <f>ROUND(M4190*0.3%,0)</f>
        <v>900</v>
      </c>
      <c r="P4190" s="586"/>
      <c r="Q4190" s="586">
        <f t="shared" si="641"/>
        <v>6420</v>
      </c>
      <c r="R4190" s="582">
        <f>M4190/J4189</f>
        <v>25000</v>
      </c>
      <c r="S4190" s="592"/>
      <c r="T4190" s="592"/>
      <c r="U4190" s="591"/>
      <c r="V4190" s="592"/>
      <c r="W4190" s="592"/>
      <c r="X4190" s="592"/>
      <c r="Y4190" s="592"/>
      <c r="Z4190" s="592"/>
    </row>
    <row r="4191" spans="1:26" s="28" customFormat="1" hidden="1">
      <c r="A4191" s="591">
        <v>7</v>
      </c>
      <c r="B4191" s="592" t="s">
        <v>3314</v>
      </c>
      <c r="C4191" s="910" t="s">
        <v>217</v>
      </c>
      <c r="D4191" s="582">
        <v>5972</v>
      </c>
      <c r="E4191" s="582">
        <v>1006</v>
      </c>
      <c r="F4191" s="582" t="s">
        <v>233</v>
      </c>
      <c r="G4191" s="582">
        <v>1178</v>
      </c>
      <c r="H4191" s="582">
        <v>2</v>
      </c>
      <c r="I4191" s="582">
        <v>4</v>
      </c>
      <c r="J4191" s="582">
        <v>24</v>
      </c>
      <c r="K4191" s="590" t="s">
        <v>226</v>
      </c>
      <c r="L4191" s="584">
        <f>SUM(M4191:Q4191)</f>
        <v>3107585</v>
      </c>
      <c r="M4191" s="585">
        <f>E4191*3000</f>
        <v>3018000</v>
      </c>
      <c r="N4191" s="586">
        <v>25000</v>
      </c>
      <c r="O4191" s="935"/>
      <c r="P4191" s="586"/>
      <c r="Q4191" s="586">
        <f t="shared" si="641"/>
        <v>64585</v>
      </c>
      <c r="R4191" s="599">
        <f>M4191/E4191</f>
        <v>3000</v>
      </c>
      <c r="S4191" s="592"/>
      <c r="T4191" s="592"/>
      <c r="U4191" s="591"/>
      <c r="V4191" s="592"/>
      <c r="W4191" s="592"/>
      <c r="X4191" s="592"/>
      <c r="Y4191" s="592"/>
      <c r="Z4191" s="592"/>
    </row>
    <row r="4192" spans="1:26" s="28" customFormat="1" hidden="1">
      <c r="A4192" s="591">
        <f>A4191+1</f>
        <v>8</v>
      </c>
      <c r="B4192" s="592" t="s">
        <v>3798</v>
      </c>
      <c r="C4192" s="910" t="s">
        <v>221</v>
      </c>
      <c r="D4192" s="582">
        <v>1451</v>
      </c>
      <c r="E4192" s="582">
        <v>377</v>
      </c>
      <c r="F4192" s="582" t="s">
        <v>222</v>
      </c>
      <c r="G4192" s="582">
        <v>357</v>
      </c>
      <c r="H4192" s="582">
        <v>2</v>
      </c>
      <c r="I4192" s="582">
        <v>1</v>
      </c>
      <c r="J4192" s="582">
        <v>8</v>
      </c>
      <c r="K4192" s="590" t="s">
        <v>33</v>
      </c>
      <c r="L4192" s="584">
        <f>SUM(M4192:Q4192)</f>
        <v>899565</v>
      </c>
      <c r="M4192" s="585">
        <v>851346</v>
      </c>
      <c r="N4192" s="586">
        <v>30000</v>
      </c>
      <c r="O4192" s="935">
        <v>0</v>
      </c>
      <c r="P4192" s="586"/>
      <c r="Q4192" s="586">
        <v>18219</v>
      </c>
      <c r="R4192" s="582">
        <v>2384.7226890756301</v>
      </c>
      <c r="S4192" s="592"/>
      <c r="T4192" s="592"/>
      <c r="U4192" s="591"/>
      <c r="V4192" s="592"/>
      <c r="W4192" s="592"/>
      <c r="X4192" s="592"/>
      <c r="Y4192" s="592"/>
      <c r="Z4192" s="592"/>
    </row>
    <row r="4193" spans="1:26" s="28" customFormat="1" hidden="1">
      <c r="A4193" s="591">
        <f>A4192+1</f>
        <v>9</v>
      </c>
      <c r="B4193" s="592" t="s">
        <v>3799</v>
      </c>
      <c r="C4193" s="910" t="s">
        <v>221</v>
      </c>
      <c r="D4193" s="582">
        <v>2874</v>
      </c>
      <c r="E4193" s="582">
        <v>588</v>
      </c>
      <c r="F4193" s="582" t="s">
        <v>290</v>
      </c>
      <c r="G4193" s="582">
        <v>509</v>
      </c>
      <c r="H4193" s="582">
        <v>2</v>
      </c>
      <c r="I4193" s="582">
        <v>2</v>
      </c>
      <c r="J4193" s="582">
        <v>16</v>
      </c>
      <c r="K4193" s="590" t="s">
        <v>33</v>
      </c>
      <c r="L4193" s="584">
        <f>SUM(M4193:Q4193)</f>
        <v>1074084</v>
      </c>
      <c r="M4193" s="585">
        <v>1048500</v>
      </c>
      <c r="N4193" s="586"/>
      <c r="O4193" s="935">
        <v>3146</v>
      </c>
      <c r="P4193" s="586"/>
      <c r="Q4193" s="586">
        <v>22438</v>
      </c>
      <c r="R4193" s="582">
        <v>2059.9214145383103</v>
      </c>
      <c r="S4193" s="592"/>
      <c r="T4193" s="592"/>
      <c r="U4193" s="591"/>
      <c r="V4193" s="592"/>
      <c r="W4193" s="592"/>
      <c r="X4193" s="592"/>
      <c r="Y4193" s="592"/>
      <c r="Z4193" s="592"/>
    </row>
    <row r="4194" spans="1:26" s="28" customFormat="1" hidden="1">
      <c r="A4194" s="591">
        <f>A4193+1</f>
        <v>10</v>
      </c>
      <c r="B4194" s="592" t="s">
        <v>3800</v>
      </c>
      <c r="C4194" s="910" t="s">
        <v>221</v>
      </c>
      <c r="D4194" s="582">
        <v>2503</v>
      </c>
      <c r="E4194" s="582">
        <v>521</v>
      </c>
      <c r="F4194" s="582" t="s">
        <v>222</v>
      </c>
      <c r="G4194" s="582">
        <v>614</v>
      </c>
      <c r="H4194" s="582">
        <v>2</v>
      </c>
      <c r="I4194" s="582">
        <v>2</v>
      </c>
      <c r="J4194" s="582">
        <v>12</v>
      </c>
      <c r="K4194" s="590" t="s">
        <v>33</v>
      </c>
      <c r="L4194" s="584">
        <f>SUM(M4194:Q4194)</f>
        <v>1526351</v>
      </c>
      <c r="M4194" s="585">
        <v>1465000</v>
      </c>
      <c r="N4194" s="586">
        <v>30000</v>
      </c>
      <c r="O4194" s="935">
        <v>0</v>
      </c>
      <c r="P4194" s="586"/>
      <c r="Q4194" s="586">
        <v>31351</v>
      </c>
      <c r="R4194" s="582">
        <v>2385.9934853420195</v>
      </c>
      <c r="S4194" s="592"/>
      <c r="T4194" s="592"/>
      <c r="U4194" s="591"/>
      <c r="V4194" s="592"/>
      <c r="W4194" s="592"/>
      <c r="X4194" s="592"/>
      <c r="Y4194" s="592"/>
      <c r="Z4194" s="592"/>
    </row>
    <row r="4195" spans="1:26" s="508" customFormat="1" hidden="1">
      <c r="A4195" s="1353" t="s">
        <v>157</v>
      </c>
      <c r="B4195" s="1353"/>
      <c r="C4195" s="593" t="s">
        <v>28</v>
      </c>
      <c r="D4195" s="783">
        <f>SUM(D4184:D4194)</f>
        <v>41225</v>
      </c>
      <c r="E4195" s="783">
        <f>SUM(E4184:E4194)</f>
        <v>7834</v>
      </c>
      <c r="F4195" s="593" t="s">
        <v>28</v>
      </c>
      <c r="G4195" s="783">
        <f>SUM(G4184:G4194)</f>
        <v>7465</v>
      </c>
      <c r="H4195" s="593" t="s">
        <v>28</v>
      </c>
      <c r="I4195" s="593" t="s">
        <v>28</v>
      </c>
      <c r="J4195" s="780">
        <f>SUM(J4184:J4194)</f>
        <v>188</v>
      </c>
      <c r="K4195" s="590" t="s">
        <v>28</v>
      </c>
      <c r="L4195" s="781">
        <f t="shared" ref="L4195:Q4195" si="642">SUM(L4184:L4194)</f>
        <v>15656100</v>
      </c>
      <c r="M4195" s="782">
        <f t="shared" si="642"/>
        <v>15119326</v>
      </c>
      <c r="N4195" s="783">
        <f t="shared" si="642"/>
        <v>205000</v>
      </c>
      <c r="O4195" s="784">
        <f t="shared" si="642"/>
        <v>8220</v>
      </c>
      <c r="P4195" s="783">
        <f t="shared" si="642"/>
        <v>0</v>
      </c>
      <c r="Q4195" s="783">
        <f t="shared" si="642"/>
        <v>323554</v>
      </c>
      <c r="R4195" s="582" t="s">
        <v>28</v>
      </c>
      <c r="S4195" s="564">
        <f>L4195-M4195-N4195-O4195-P4195-Q4195</f>
        <v>0</v>
      </c>
      <c r="T4195" s="577" t="e">
        <f>'1.перечень МКД'!#REF!</f>
        <v>#REF!</v>
      </c>
      <c r="U4195" s="589" t="e">
        <f>L4195-T4195</f>
        <v>#REF!</v>
      </c>
      <c r="V4195" s="855"/>
      <c r="W4195" s="855"/>
      <c r="X4195" s="855"/>
      <c r="Y4195" s="855"/>
      <c r="Z4195" s="855"/>
    </row>
    <row r="4196" spans="1:26" s="28" customFormat="1" hidden="1">
      <c r="A4196" s="1347" t="s">
        <v>200</v>
      </c>
      <c r="B4196" s="1347"/>
      <c r="C4196" s="1347"/>
      <c r="D4196" s="1347"/>
      <c r="E4196" s="1347"/>
      <c r="F4196" s="1347"/>
      <c r="G4196" s="1347"/>
      <c r="H4196" s="1347"/>
      <c r="I4196" s="1347"/>
      <c r="J4196" s="1347"/>
      <c r="K4196" s="1347"/>
      <c r="L4196" s="1347"/>
      <c r="M4196" s="1347"/>
      <c r="N4196" s="1347"/>
      <c r="O4196" s="1347"/>
      <c r="P4196" s="1347"/>
      <c r="Q4196" s="1347"/>
      <c r="R4196" s="590"/>
      <c r="S4196" s="592"/>
      <c r="T4196" s="592"/>
      <c r="U4196" s="591"/>
      <c r="V4196" s="592"/>
      <c r="W4196" s="592"/>
      <c r="X4196" s="592"/>
      <c r="Y4196" s="592"/>
      <c r="Z4196" s="592"/>
    </row>
    <row r="4197" spans="1:26" s="28" customFormat="1" hidden="1">
      <c r="A4197" s="591">
        <v>1</v>
      </c>
      <c r="B4197" s="592" t="s">
        <v>3315</v>
      </c>
      <c r="C4197" s="910" t="s">
        <v>221</v>
      </c>
      <c r="D4197" s="582"/>
      <c r="E4197" s="582"/>
      <c r="F4197" s="582" t="s">
        <v>317</v>
      </c>
      <c r="G4197" s="582">
        <v>224</v>
      </c>
      <c r="H4197" s="582">
        <v>4</v>
      </c>
      <c r="I4197" s="582">
        <v>1</v>
      </c>
      <c r="J4197" s="582">
        <v>28</v>
      </c>
      <c r="K4197" s="590" t="s">
        <v>231</v>
      </c>
      <c r="L4197" s="584">
        <f>SUM(M4197:Q4197,M4198:Q4198)</f>
        <v>1901468</v>
      </c>
      <c r="M4197" s="585">
        <f>J4197*35000</f>
        <v>980000</v>
      </c>
      <c r="N4197" s="586">
        <v>40000</v>
      </c>
      <c r="O4197" s="935"/>
      <c r="P4197" s="586"/>
      <c r="Q4197" s="586">
        <f t="shared" ref="Q4197:Q4202" si="643">ROUND(M4197*2.14%,0)</f>
        <v>20972</v>
      </c>
      <c r="R4197" s="582">
        <f>M4197/J4197</f>
        <v>35000</v>
      </c>
      <c r="S4197" s="592"/>
      <c r="T4197" s="592"/>
      <c r="U4197" s="591"/>
      <c r="V4197" s="592"/>
      <c r="W4197" s="592"/>
      <c r="X4197" s="592"/>
      <c r="Y4197" s="592"/>
      <c r="Z4197" s="592"/>
    </row>
    <row r="4198" spans="1:26" s="28" customFormat="1" ht="37.5" hidden="1">
      <c r="A4198" s="591"/>
      <c r="B4198" s="592"/>
      <c r="C4198" s="910"/>
      <c r="D4198" s="582"/>
      <c r="E4198" s="582"/>
      <c r="F4198" s="582"/>
      <c r="G4198" s="582"/>
      <c r="H4198" s="582"/>
      <c r="I4198" s="582"/>
      <c r="J4198" s="582"/>
      <c r="K4198" s="590" t="s">
        <v>30</v>
      </c>
      <c r="L4198" s="584"/>
      <c r="M4198" s="585">
        <v>840000</v>
      </c>
      <c r="N4198" s="586"/>
      <c r="O4198" s="935">
        <v>2520</v>
      </c>
      <c r="P4198" s="586"/>
      <c r="Q4198" s="586">
        <f t="shared" si="643"/>
        <v>17976</v>
      </c>
      <c r="R4198" s="582">
        <f>M4198/J4197</f>
        <v>30000</v>
      </c>
      <c r="S4198" s="592"/>
      <c r="T4198" s="592"/>
      <c r="U4198" s="591"/>
      <c r="V4198" s="592"/>
      <c r="W4198" s="592"/>
      <c r="X4198" s="592"/>
      <c r="Y4198" s="592"/>
      <c r="Z4198" s="592"/>
    </row>
    <row r="4199" spans="1:26" s="28" customFormat="1" hidden="1">
      <c r="A4199" s="591">
        <f>A4197+1</f>
        <v>2</v>
      </c>
      <c r="B4199" s="592" t="s">
        <v>3316</v>
      </c>
      <c r="C4199" s="910" t="s">
        <v>221</v>
      </c>
      <c r="D4199" s="582">
        <v>17631</v>
      </c>
      <c r="E4199" s="582">
        <v>3203</v>
      </c>
      <c r="F4199" s="582" t="s">
        <v>316</v>
      </c>
      <c r="G4199" s="582">
        <v>1658</v>
      </c>
      <c r="H4199" s="582">
        <v>5</v>
      </c>
      <c r="I4199" s="582">
        <v>6</v>
      </c>
      <c r="J4199" s="582">
        <v>100</v>
      </c>
      <c r="K4199" s="590" t="s">
        <v>231</v>
      </c>
      <c r="L4199" s="584">
        <f t="shared" ref="L4199:L4219" si="644">SUM(M4199:Q4199)</f>
        <v>3614900</v>
      </c>
      <c r="M4199" s="585">
        <f>J4199*35000</f>
        <v>3500000</v>
      </c>
      <c r="N4199" s="586">
        <v>40000</v>
      </c>
      <c r="O4199" s="935"/>
      <c r="P4199" s="586"/>
      <c r="Q4199" s="586">
        <f t="shared" si="643"/>
        <v>74900</v>
      </c>
      <c r="R4199" s="582">
        <f>M4199/J4199</f>
        <v>35000</v>
      </c>
      <c r="S4199" s="592"/>
      <c r="T4199" s="592"/>
      <c r="U4199" s="591"/>
      <c r="V4199" s="592"/>
      <c r="W4199" s="592"/>
      <c r="X4199" s="592"/>
      <c r="Y4199" s="592"/>
      <c r="Z4199" s="592"/>
    </row>
    <row r="4200" spans="1:26" s="28" customFormat="1" hidden="1">
      <c r="A4200" s="591">
        <f t="shared" ref="A4200:A4220" si="645">A4199+1</f>
        <v>3</v>
      </c>
      <c r="B4200" s="592" t="s">
        <v>3317</v>
      </c>
      <c r="C4200" s="910" t="s">
        <v>221</v>
      </c>
      <c r="D4200" s="582"/>
      <c r="E4200" s="582"/>
      <c r="F4200" s="582" t="s">
        <v>317</v>
      </c>
      <c r="G4200" s="582"/>
      <c r="H4200" s="582">
        <v>5</v>
      </c>
      <c r="I4200" s="582">
        <v>6</v>
      </c>
      <c r="J4200" s="582">
        <v>105</v>
      </c>
      <c r="K4200" s="590" t="s">
        <v>231</v>
      </c>
      <c r="L4200" s="584">
        <f t="shared" si="644"/>
        <v>3793645</v>
      </c>
      <c r="M4200" s="585">
        <f>J4200*35000</f>
        <v>3675000</v>
      </c>
      <c r="N4200" s="586">
        <v>40000</v>
      </c>
      <c r="O4200" s="935"/>
      <c r="P4200" s="586"/>
      <c r="Q4200" s="586">
        <f t="shared" si="643"/>
        <v>78645</v>
      </c>
      <c r="R4200" s="582">
        <f>M4200/J4200</f>
        <v>35000</v>
      </c>
      <c r="S4200" s="592"/>
      <c r="T4200" s="592"/>
      <c r="U4200" s="591"/>
      <c r="V4200" s="592"/>
      <c r="W4200" s="592"/>
      <c r="X4200" s="592"/>
      <c r="Y4200" s="592"/>
      <c r="Z4200" s="592"/>
    </row>
    <row r="4201" spans="1:26" s="28" customFormat="1" ht="37.5" hidden="1">
      <c r="A4201" s="591">
        <f t="shared" si="645"/>
        <v>4</v>
      </c>
      <c r="B4201" s="592" t="s">
        <v>3318</v>
      </c>
      <c r="C4201" s="910" t="s">
        <v>221</v>
      </c>
      <c r="D4201" s="582">
        <v>6343</v>
      </c>
      <c r="E4201" s="582">
        <v>1074</v>
      </c>
      <c r="F4201" s="582" t="s">
        <v>315</v>
      </c>
      <c r="G4201" s="582">
        <v>612</v>
      </c>
      <c r="H4201" s="582">
        <v>5</v>
      </c>
      <c r="I4201" s="582">
        <v>2</v>
      </c>
      <c r="J4201" s="582">
        <v>24</v>
      </c>
      <c r="K4201" s="590" t="s">
        <v>30</v>
      </c>
      <c r="L4201" s="584">
        <f t="shared" si="644"/>
        <v>737568</v>
      </c>
      <c r="M4201" s="585">
        <f>J4201*30000</f>
        <v>720000</v>
      </c>
      <c r="N4201" s="586"/>
      <c r="O4201" s="935">
        <f>ROUND(M4201*0.3%,0)</f>
        <v>2160</v>
      </c>
      <c r="P4201" s="586"/>
      <c r="Q4201" s="586">
        <f t="shared" si="643"/>
        <v>15408</v>
      </c>
      <c r="R4201" s="582">
        <f>M4201/J4201</f>
        <v>30000</v>
      </c>
      <c r="S4201" s="592"/>
      <c r="T4201" s="592"/>
      <c r="U4201" s="591"/>
      <c r="V4201" s="592"/>
      <c r="W4201" s="592"/>
      <c r="X4201" s="592"/>
      <c r="Y4201" s="592"/>
      <c r="Z4201" s="592"/>
    </row>
    <row r="4202" spans="1:26" s="28" customFormat="1" ht="37.5" hidden="1">
      <c r="A4202" s="591">
        <f t="shared" si="645"/>
        <v>5</v>
      </c>
      <c r="B4202" s="592" t="s">
        <v>3319</v>
      </c>
      <c r="C4202" s="910" t="s">
        <v>221</v>
      </c>
      <c r="D4202" s="582">
        <v>21872</v>
      </c>
      <c r="E4202" s="582">
        <v>3405</v>
      </c>
      <c r="F4202" s="582" t="s">
        <v>317</v>
      </c>
      <c r="G4202" s="582">
        <v>1310</v>
      </c>
      <c r="H4202" s="582">
        <v>5</v>
      </c>
      <c r="I4202" s="582">
        <v>6</v>
      </c>
      <c r="J4202" s="582">
        <v>85</v>
      </c>
      <c r="K4202" s="590" t="s">
        <v>30</v>
      </c>
      <c r="L4202" s="584">
        <f t="shared" si="644"/>
        <v>2612220</v>
      </c>
      <c r="M4202" s="585">
        <f>J4202*30000</f>
        <v>2550000</v>
      </c>
      <c r="N4202" s="586"/>
      <c r="O4202" s="935">
        <f>ROUND(M4202*0.3%,0)</f>
        <v>7650</v>
      </c>
      <c r="P4202" s="586"/>
      <c r="Q4202" s="586">
        <f t="shared" si="643"/>
        <v>54570</v>
      </c>
      <c r="R4202" s="582">
        <f>M4202/J4202</f>
        <v>30000</v>
      </c>
      <c r="S4202" s="592"/>
      <c r="T4202" s="592"/>
      <c r="U4202" s="591"/>
      <c r="V4202" s="592"/>
      <c r="W4202" s="592"/>
      <c r="X4202" s="592"/>
      <c r="Y4202" s="592"/>
      <c r="Z4202" s="592"/>
    </row>
    <row r="4203" spans="1:26" s="28" customFormat="1" ht="37.5" hidden="1">
      <c r="A4203" s="591">
        <f t="shared" si="645"/>
        <v>6</v>
      </c>
      <c r="B4203" s="592" t="s">
        <v>3320</v>
      </c>
      <c r="C4203" s="910" t="s">
        <v>221</v>
      </c>
      <c r="D4203" s="582"/>
      <c r="E4203" s="582"/>
      <c r="F4203" s="582" t="s">
        <v>317</v>
      </c>
      <c r="G4203" s="582"/>
      <c r="H4203" s="582">
        <v>5</v>
      </c>
      <c r="I4203" s="582">
        <v>4</v>
      </c>
      <c r="J4203" s="582">
        <v>40</v>
      </c>
      <c r="K4203" s="590" t="s">
        <v>30</v>
      </c>
      <c r="L4203" s="584">
        <f t="shared" si="644"/>
        <v>1258170</v>
      </c>
      <c r="M4203" s="585">
        <v>1200000</v>
      </c>
      <c r="N4203" s="586"/>
      <c r="O4203" s="935">
        <v>3600</v>
      </c>
      <c r="P4203" s="586"/>
      <c r="Q4203" s="586">
        <v>54570</v>
      </c>
      <c r="R4203" s="582">
        <f>M4203/J4203</f>
        <v>30000</v>
      </c>
      <c r="S4203" s="592"/>
      <c r="T4203" s="592"/>
      <c r="U4203" s="591"/>
      <c r="V4203" s="592"/>
      <c r="W4203" s="592"/>
      <c r="X4203" s="592"/>
      <c r="Y4203" s="592"/>
      <c r="Z4203" s="592"/>
    </row>
    <row r="4204" spans="1:26" s="28" customFormat="1" hidden="1">
      <c r="A4204" s="591">
        <f t="shared" si="645"/>
        <v>7</v>
      </c>
      <c r="B4204" s="592" t="s">
        <v>3321</v>
      </c>
      <c r="C4204" s="910" t="s">
        <v>221</v>
      </c>
      <c r="D4204" s="582">
        <v>6219</v>
      </c>
      <c r="E4204" s="582">
        <v>1401</v>
      </c>
      <c r="F4204" s="582" t="s">
        <v>317</v>
      </c>
      <c r="G4204" s="582">
        <v>444</v>
      </c>
      <c r="H4204" s="582">
        <v>5</v>
      </c>
      <c r="I4204" s="582">
        <v>2</v>
      </c>
      <c r="J4204" s="582">
        <v>30</v>
      </c>
      <c r="K4204" s="590" t="s">
        <v>33</v>
      </c>
      <c r="L4204" s="584">
        <f t="shared" si="644"/>
        <v>1000634</v>
      </c>
      <c r="M4204" s="585">
        <f>G4204*2200</f>
        <v>976800</v>
      </c>
      <c r="N4204" s="586"/>
      <c r="O4204" s="935">
        <f>ROUND(M4204*0.3%,0)</f>
        <v>2930</v>
      </c>
      <c r="P4204" s="586"/>
      <c r="Q4204" s="586">
        <f>ROUND(M4204*2.14%,0)</f>
        <v>20904</v>
      </c>
      <c r="R4204" s="582">
        <f>M4204/G4204</f>
        <v>2200</v>
      </c>
      <c r="S4204" s="592"/>
      <c r="T4204" s="592"/>
      <c r="U4204" s="591"/>
      <c r="V4204" s="592"/>
      <c r="W4204" s="592"/>
      <c r="X4204" s="592"/>
      <c r="Y4204" s="592"/>
      <c r="Z4204" s="592"/>
    </row>
    <row r="4205" spans="1:26" s="28" customFormat="1" hidden="1">
      <c r="A4205" s="591">
        <f t="shared" si="645"/>
        <v>8</v>
      </c>
      <c r="B4205" s="592" t="s">
        <v>3322</v>
      </c>
      <c r="C4205" s="910" t="s">
        <v>221</v>
      </c>
      <c r="D4205" s="582">
        <v>19199</v>
      </c>
      <c r="E4205" s="582">
        <v>3408</v>
      </c>
      <c r="F4205" s="582" t="s">
        <v>317</v>
      </c>
      <c r="G4205" s="582">
        <v>1325</v>
      </c>
      <c r="H4205" s="582">
        <v>5</v>
      </c>
      <c r="I4205" s="582">
        <v>6</v>
      </c>
      <c r="J4205" s="582">
        <v>85</v>
      </c>
      <c r="K4205" s="590" t="s">
        <v>33</v>
      </c>
      <c r="L4205" s="584">
        <f t="shared" si="644"/>
        <v>2986126</v>
      </c>
      <c r="M4205" s="585">
        <f>G4205*2200</f>
        <v>2915000</v>
      </c>
      <c r="N4205" s="586"/>
      <c r="O4205" s="935">
        <f>ROUND(M4205*0.3%,0)</f>
        <v>8745</v>
      </c>
      <c r="P4205" s="586"/>
      <c r="Q4205" s="586">
        <f>ROUND(M4205*2.14%,0)</f>
        <v>62381</v>
      </c>
      <c r="R4205" s="582">
        <f>M4205/G4205</f>
        <v>2200</v>
      </c>
      <c r="S4205" s="592"/>
      <c r="T4205" s="592"/>
      <c r="U4205" s="591"/>
      <c r="V4205" s="592"/>
      <c r="W4205" s="592"/>
      <c r="X4205" s="592"/>
      <c r="Y4205" s="592"/>
      <c r="Z4205" s="592"/>
    </row>
    <row r="4206" spans="1:26" s="28" customFormat="1" hidden="1">
      <c r="A4206" s="591">
        <f t="shared" si="645"/>
        <v>9</v>
      </c>
      <c r="B4206" s="592" t="s">
        <v>3323</v>
      </c>
      <c r="C4206" s="910" t="s">
        <v>221</v>
      </c>
      <c r="D4206" s="582"/>
      <c r="E4206" s="582"/>
      <c r="F4206" s="582" t="s">
        <v>315</v>
      </c>
      <c r="G4206" s="582">
        <v>615</v>
      </c>
      <c r="H4206" s="582">
        <v>4</v>
      </c>
      <c r="I4206" s="582">
        <v>2</v>
      </c>
      <c r="J4206" s="582">
        <v>24</v>
      </c>
      <c r="K4206" s="590" t="s">
        <v>33</v>
      </c>
      <c r="L4206" s="584">
        <f t="shared" si="644"/>
        <v>1726035</v>
      </c>
      <c r="M4206" s="585">
        <f>G4206*2700</f>
        <v>1660500</v>
      </c>
      <c r="N4206" s="586">
        <v>30000</v>
      </c>
      <c r="O4206" s="935"/>
      <c r="P4206" s="586"/>
      <c r="Q4206" s="586">
        <f>ROUND(M4206*2.14%,0)</f>
        <v>35535</v>
      </c>
      <c r="R4206" s="582">
        <f>M4206/G4206</f>
        <v>2700</v>
      </c>
      <c r="S4206" s="592"/>
      <c r="T4206" s="592"/>
      <c r="U4206" s="591"/>
      <c r="V4206" s="592"/>
      <c r="W4206" s="592"/>
      <c r="X4206" s="592"/>
      <c r="Y4206" s="592"/>
      <c r="Z4206" s="592"/>
    </row>
    <row r="4207" spans="1:26" s="28" customFormat="1" ht="37.5" hidden="1">
      <c r="A4207" s="591">
        <f t="shared" si="645"/>
        <v>10</v>
      </c>
      <c r="B4207" s="848" t="s">
        <v>3324</v>
      </c>
      <c r="C4207" s="922" t="s">
        <v>221</v>
      </c>
      <c r="D4207" s="922">
        <v>12548</v>
      </c>
      <c r="E4207" s="938">
        <v>2359</v>
      </c>
      <c r="F4207" s="700" t="s">
        <v>316</v>
      </c>
      <c r="G4207" s="939">
        <v>1175</v>
      </c>
      <c r="H4207" s="928">
        <v>5</v>
      </c>
      <c r="I4207" s="928">
        <v>5</v>
      </c>
      <c r="J4207" s="643">
        <v>69</v>
      </c>
      <c r="K4207" s="930" t="s">
        <v>30</v>
      </c>
      <c r="L4207" s="584">
        <f t="shared" si="644"/>
        <v>1908457</v>
      </c>
      <c r="M4207" s="931">
        <v>1863000</v>
      </c>
      <c r="N4207" s="932"/>
      <c r="O4207" s="736">
        <v>5589</v>
      </c>
      <c r="P4207" s="586"/>
      <c r="Q4207" s="932">
        <v>39868</v>
      </c>
      <c r="R4207" s="582">
        <f>M4207/J4207</f>
        <v>27000</v>
      </c>
      <c r="S4207" s="592"/>
      <c r="T4207" s="592"/>
      <c r="U4207" s="591"/>
      <c r="V4207" s="592"/>
      <c r="W4207" s="592"/>
      <c r="X4207" s="592"/>
      <c r="Y4207" s="592"/>
      <c r="Z4207" s="592"/>
    </row>
    <row r="4208" spans="1:26" s="28" customFormat="1" hidden="1">
      <c r="A4208" s="591">
        <f t="shared" si="645"/>
        <v>11</v>
      </c>
      <c r="B4208" s="592" t="s">
        <v>3325</v>
      </c>
      <c r="C4208" s="910" t="s">
        <v>314</v>
      </c>
      <c r="D4208" s="582">
        <v>11209</v>
      </c>
      <c r="E4208" s="582">
        <v>2155</v>
      </c>
      <c r="F4208" s="582" t="s">
        <v>317</v>
      </c>
      <c r="G4208" s="582">
        <v>852</v>
      </c>
      <c r="H4208" s="582">
        <v>5</v>
      </c>
      <c r="I4208" s="582">
        <v>4</v>
      </c>
      <c r="J4208" s="582">
        <v>56</v>
      </c>
      <c r="K4208" s="590" t="s">
        <v>33</v>
      </c>
      <c r="L4208" s="584">
        <f t="shared" si="644"/>
        <v>1920135</v>
      </c>
      <c r="M4208" s="585">
        <f>G4208*2200</f>
        <v>1874400</v>
      </c>
      <c r="N4208" s="586"/>
      <c r="O4208" s="935">
        <f>ROUND(M4208*0.3%,0)</f>
        <v>5623</v>
      </c>
      <c r="P4208" s="586"/>
      <c r="Q4208" s="586">
        <f t="shared" ref="Q4208:Q4221" si="646">ROUND(M4208*2.14%,0)</f>
        <v>40112</v>
      </c>
      <c r="R4208" s="582">
        <f>M4208/G4208</f>
        <v>2200</v>
      </c>
      <c r="S4208" s="592"/>
      <c r="T4208" s="592"/>
      <c r="U4208" s="591"/>
      <c r="V4208" s="592"/>
      <c r="W4208" s="592"/>
      <c r="X4208" s="592"/>
      <c r="Y4208" s="592"/>
      <c r="Z4208" s="592"/>
    </row>
    <row r="4209" spans="1:26" s="28" customFormat="1" ht="37.5" hidden="1">
      <c r="A4209" s="591">
        <f t="shared" si="645"/>
        <v>12</v>
      </c>
      <c r="B4209" s="592" t="s">
        <v>3326</v>
      </c>
      <c r="C4209" s="910" t="s">
        <v>221</v>
      </c>
      <c r="D4209" s="582"/>
      <c r="E4209" s="582"/>
      <c r="F4209" s="582" t="s">
        <v>317</v>
      </c>
      <c r="G4209" s="582"/>
      <c r="H4209" s="582">
        <v>5</v>
      </c>
      <c r="I4209" s="582">
        <v>1</v>
      </c>
      <c r="J4209" s="582">
        <v>62</v>
      </c>
      <c r="K4209" s="590" t="s">
        <v>30</v>
      </c>
      <c r="L4209" s="584">
        <f t="shared" si="644"/>
        <v>1905384</v>
      </c>
      <c r="M4209" s="585">
        <f>J4209*30000</f>
        <v>1860000</v>
      </c>
      <c r="N4209" s="586"/>
      <c r="O4209" s="935">
        <f>ROUND(M4209*0.3%,0)</f>
        <v>5580</v>
      </c>
      <c r="P4209" s="586"/>
      <c r="Q4209" s="586">
        <f t="shared" si="646"/>
        <v>39804</v>
      </c>
      <c r="R4209" s="582">
        <f>M4209/J4209</f>
        <v>30000</v>
      </c>
      <c r="S4209" s="592"/>
      <c r="T4209" s="592"/>
      <c r="U4209" s="591"/>
      <c r="V4209" s="592"/>
      <c r="W4209" s="592"/>
      <c r="X4209" s="592"/>
      <c r="Y4209" s="592"/>
      <c r="Z4209" s="592"/>
    </row>
    <row r="4210" spans="1:26" s="28" customFormat="1" hidden="1">
      <c r="A4210" s="591">
        <f t="shared" si="645"/>
        <v>13</v>
      </c>
      <c r="B4210" s="592" t="s">
        <v>2355</v>
      </c>
      <c r="C4210" s="910" t="s">
        <v>221</v>
      </c>
      <c r="D4210" s="582"/>
      <c r="E4210" s="582"/>
      <c r="F4210" s="582" t="s">
        <v>317</v>
      </c>
      <c r="G4210" s="582">
        <v>1262</v>
      </c>
      <c r="H4210" s="582">
        <v>5</v>
      </c>
      <c r="I4210" s="582">
        <v>6</v>
      </c>
      <c r="J4210" s="582">
        <v>98</v>
      </c>
      <c r="K4210" s="590" t="s">
        <v>33</v>
      </c>
      <c r="L4210" s="584">
        <f t="shared" si="644"/>
        <v>2844144</v>
      </c>
      <c r="M4210" s="585">
        <f>G4210*2200</f>
        <v>2776400</v>
      </c>
      <c r="N4210" s="586"/>
      <c r="O4210" s="935">
        <f>ROUND(M4210*0.3%,0)</f>
        <v>8329</v>
      </c>
      <c r="P4210" s="586"/>
      <c r="Q4210" s="586">
        <f t="shared" si="646"/>
        <v>59415</v>
      </c>
      <c r="R4210" s="582">
        <f>M4210/G4210</f>
        <v>2200</v>
      </c>
      <c r="S4210" s="592"/>
      <c r="T4210" s="592"/>
      <c r="U4210" s="591"/>
      <c r="V4210" s="592"/>
      <c r="W4210" s="592"/>
      <c r="X4210" s="592"/>
      <c r="Y4210" s="592"/>
      <c r="Z4210" s="592"/>
    </row>
    <row r="4211" spans="1:26" s="28" customFormat="1" ht="37.5" hidden="1">
      <c r="A4211" s="591">
        <f t="shared" si="645"/>
        <v>14</v>
      </c>
      <c r="B4211" s="592" t="s">
        <v>3327</v>
      </c>
      <c r="C4211" s="910" t="s">
        <v>221</v>
      </c>
      <c r="D4211" s="582"/>
      <c r="E4211" s="582"/>
      <c r="F4211" s="582" t="s">
        <v>317</v>
      </c>
      <c r="G4211" s="582"/>
      <c r="H4211" s="582">
        <v>5</v>
      </c>
      <c r="I4211" s="582">
        <v>8</v>
      </c>
      <c r="J4211" s="582">
        <v>119</v>
      </c>
      <c r="K4211" s="590" t="s">
        <v>30</v>
      </c>
      <c r="L4211" s="584">
        <f t="shared" si="644"/>
        <v>3657108</v>
      </c>
      <c r="M4211" s="585">
        <f>J4211*30000</f>
        <v>3570000</v>
      </c>
      <c r="N4211" s="586"/>
      <c r="O4211" s="935">
        <f>ROUND(M4211*0.3%,0)</f>
        <v>10710</v>
      </c>
      <c r="P4211" s="586"/>
      <c r="Q4211" s="586">
        <f t="shared" si="646"/>
        <v>76398</v>
      </c>
      <c r="R4211" s="582">
        <f>M4211/J4211</f>
        <v>30000</v>
      </c>
      <c r="S4211" s="592"/>
      <c r="T4211" s="592"/>
      <c r="U4211" s="591"/>
      <c r="V4211" s="592"/>
      <c r="W4211" s="592"/>
      <c r="X4211" s="592"/>
      <c r="Y4211" s="592"/>
      <c r="Z4211" s="592"/>
    </row>
    <row r="4212" spans="1:26" s="28" customFormat="1" hidden="1">
      <c r="A4212" s="591">
        <f t="shared" si="645"/>
        <v>15</v>
      </c>
      <c r="B4212" s="592" t="s">
        <v>3328</v>
      </c>
      <c r="C4212" s="910" t="s">
        <v>221</v>
      </c>
      <c r="D4212" s="582">
        <v>5991</v>
      </c>
      <c r="E4212" s="582">
        <v>1323</v>
      </c>
      <c r="F4212" s="582" t="s">
        <v>317</v>
      </c>
      <c r="G4212" s="582">
        <v>411</v>
      </c>
      <c r="H4212" s="582">
        <v>5</v>
      </c>
      <c r="I4212" s="582">
        <v>2</v>
      </c>
      <c r="J4212" s="582">
        <v>25</v>
      </c>
      <c r="K4212" s="590" t="s">
        <v>33</v>
      </c>
      <c r="L4212" s="584">
        <f t="shared" si="644"/>
        <v>926263</v>
      </c>
      <c r="M4212" s="585">
        <f>G4212*2200</f>
        <v>904200</v>
      </c>
      <c r="N4212" s="586"/>
      <c r="O4212" s="935">
        <f>ROUND(M4212*0.3%,0)</f>
        <v>2713</v>
      </c>
      <c r="P4212" s="586"/>
      <c r="Q4212" s="586">
        <f t="shared" si="646"/>
        <v>19350</v>
      </c>
      <c r="R4212" s="582">
        <f>M4212/G4212</f>
        <v>2200</v>
      </c>
      <c r="S4212" s="592"/>
      <c r="T4212" s="592"/>
      <c r="U4212" s="591"/>
      <c r="V4212" s="592"/>
      <c r="W4212" s="592"/>
      <c r="X4212" s="592"/>
      <c r="Y4212" s="592"/>
      <c r="Z4212" s="592"/>
    </row>
    <row r="4213" spans="1:26" s="28" customFormat="1" hidden="1">
      <c r="A4213" s="591">
        <f t="shared" si="645"/>
        <v>16</v>
      </c>
      <c r="B4213" s="592" t="s">
        <v>3329</v>
      </c>
      <c r="C4213" s="910" t="s">
        <v>221</v>
      </c>
      <c r="D4213" s="582"/>
      <c r="E4213" s="582"/>
      <c r="F4213" s="582" t="s">
        <v>317</v>
      </c>
      <c r="G4213" s="582">
        <v>1303</v>
      </c>
      <c r="H4213" s="582">
        <v>5</v>
      </c>
      <c r="I4213" s="582">
        <v>6</v>
      </c>
      <c r="J4213" s="582">
        <v>84</v>
      </c>
      <c r="K4213" s="590" t="s">
        <v>231</v>
      </c>
      <c r="L4213" s="584">
        <f t="shared" si="644"/>
        <v>3042916</v>
      </c>
      <c r="M4213" s="585">
        <f>J4213*35000</f>
        <v>2940000</v>
      </c>
      <c r="N4213" s="586">
        <v>40000</v>
      </c>
      <c r="O4213" s="935"/>
      <c r="P4213" s="586"/>
      <c r="Q4213" s="586">
        <f t="shared" si="646"/>
        <v>62916</v>
      </c>
      <c r="R4213" s="582">
        <f>M4213/J4213</f>
        <v>35000</v>
      </c>
      <c r="S4213" s="592"/>
      <c r="T4213" s="592"/>
      <c r="U4213" s="591"/>
      <c r="V4213" s="592"/>
      <c r="W4213" s="592"/>
      <c r="X4213" s="592"/>
      <c r="Y4213" s="592"/>
      <c r="Z4213" s="592"/>
    </row>
    <row r="4214" spans="1:26" s="28" customFormat="1" hidden="1">
      <c r="A4214" s="591">
        <f t="shared" si="645"/>
        <v>17</v>
      </c>
      <c r="B4214" s="592" t="s">
        <v>3330</v>
      </c>
      <c r="C4214" s="910" t="s">
        <v>221</v>
      </c>
      <c r="D4214" s="582"/>
      <c r="E4214" s="582"/>
      <c r="F4214" s="582" t="s">
        <v>317</v>
      </c>
      <c r="G4214" s="582">
        <v>1209</v>
      </c>
      <c r="H4214" s="582">
        <v>5</v>
      </c>
      <c r="I4214" s="582">
        <v>6</v>
      </c>
      <c r="J4214" s="582">
        <v>82</v>
      </c>
      <c r="K4214" s="590" t="s">
        <v>33</v>
      </c>
      <c r="L4214" s="584">
        <f t="shared" si="644"/>
        <v>2724699</v>
      </c>
      <c r="M4214" s="585">
        <f>G4214*2200</f>
        <v>2659800</v>
      </c>
      <c r="N4214" s="586"/>
      <c r="O4214" s="935">
        <f t="shared" ref="O4214:O4220" si="647">ROUND(M4214*0.3%,0)</f>
        <v>7979</v>
      </c>
      <c r="P4214" s="586"/>
      <c r="Q4214" s="586">
        <f t="shared" si="646"/>
        <v>56920</v>
      </c>
      <c r="R4214" s="582">
        <f>M4214/G4214</f>
        <v>2200</v>
      </c>
      <c r="S4214" s="592"/>
      <c r="T4214" s="592"/>
      <c r="U4214" s="591"/>
      <c r="V4214" s="592"/>
      <c r="W4214" s="592"/>
      <c r="X4214" s="592"/>
      <c r="Y4214" s="592"/>
      <c r="Z4214" s="592"/>
    </row>
    <row r="4215" spans="1:26" s="28" customFormat="1" hidden="1">
      <c r="A4215" s="591">
        <f t="shared" si="645"/>
        <v>18</v>
      </c>
      <c r="B4215" s="592" t="s">
        <v>3331</v>
      </c>
      <c r="C4215" s="910" t="s">
        <v>221</v>
      </c>
      <c r="D4215" s="582"/>
      <c r="E4215" s="582"/>
      <c r="F4215" s="582" t="s">
        <v>317</v>
      </c>
      <c r="G4215" s="582">
        <v>1171</v>
      </c>
      <c r="H4215" s="582">
        <v>5</v>
      </c>
      <c r="I4215" s="582">
        <v>6</v>
      </c>
      <c r="J4215" s="582">
        <v>70</v>
      </c>
      <c r="K4215" s="590" t="s">
        <v>33</v>
      </c>
      <c r="L4215" s="584">
        <f t="shared" si="644"/>
        <v>2639060</v>
      </c>
      <c r="M4215" s="585">
        <f>G4215*2200</f>
        <v>2576200</v>
      </c>
      <c r="N4215" s="586"/>
      <c r="O4215" s="935">
        <f t="shared" si="647"/>
        <v>7729</v>
      </c>
      <c r="P4215" s="586"/>
      <c r="Q4215" s="586">
        <f t="shared" si="646"/>
        <v>55131</v>
      </c>
      <c r="R4215" s="582">
        <f>M4215/G4215</f>
        <v>2200</v>
      </c>
      <c r="S4215" s="592"/>
      <c r="T4215" s="592"/>
      <c r="U4215" s="591"/>
      <c r="V4215" s="592"/>
      <c r="W4215" s="592"/>
      <c r="X4215" s="592"/>
      <c r="Y4215" s="592"/>
      <c r="Z4215" s="592"/>
    </row>
    <row r="4216" spans="1:26" s="28" customFormat="1" hidden="1">
      <c r="A4216" s="591">
        <f t="shared" si="645"/>
        <v>19</v>
      </c>
      <c r="B4216" s="592" t="s">
        <v>3332</v>
      </c>
      <c r="C4216" s="910" t="s">
        <v>221</v>
      </c>
      <c r="D4216" s="582"/>
      <c r="E4216" s="582">
        <v>2205</v>
      </c>
      <c r="F4216" s="582" t="s">
        <v>317</v>
      </c>
      <c r="G4216" s="582">
        <v>914</v>
      </c>
      <c r="H4216" s="582">
        <v>5</v>
      </c>
      <c r="I4216" s="582">
        <v>4</v>
      </c>
      <c r="J4216" s="582">
        <v>59</v>
      </c>
      <c r="K4216" s="590" t="s">
        <v>33</v>
      </c>
      <c r="L4216" s="584">
        <f t="shared" si="644"/>
        <v>2059863</v>
      </c>
      <c r="M4216" s="585">
        <f>G4216*2200</f>
        <v>2010800</v>
      </c>
      <c r="N4216" s="586"/>
      <c r="O4216" s="935">
        <f t="shared" si="647"/>
        <v>6032</v>
      </c>
      <c r="P4216" s="586"/>
      <c r="Q4216" s="586">
        <f t="shared" si="646"/>
        <v>43031</v>
      </c>
      <c r="R4216" s="582">
        <f>M4216/G4216</f>
        <v>2200</v>
      </c>
      <c r="S4216" s="592"/>
      <c r="T4216" s="592"/>
      <c r="U4216" s="591"/>
      <c r="V4216" s="592"/>
      <c r="W4216" s="592"/>
      <c r="X4216" s="592"/>
      <c r="Y4216" s="592"/>
      <c r="Z4216" s="592"/>
    </row>
    <row r="4217" spans="1:26" s="28" customFormat="1" ht="37.5" hidden="1">
      <c r="A4217" s="591">
        <f t="shared" si="645"/>
        <v>20</v>
      </c>
      <c r="B4217" s="592" t="s">
        <v>3333</v>
      </c>
      <c r="C4217" s="910" t="s">
        <v>221</v>
      </c>
      <c r="D4217" s="582"/>
      <c r="E4217" s="582"/>
      <c r="F4217" s="582" t="s">
        <v>317</v>
      </c>
      <c r="G4217" s="582"/>
      <c r="H4217" s="582">
        <v>5</v>
      </c>
      <c r="I4217" s="582">
        <v>6</v>
      </c>
      <c r="J4217" s="582">
        <v>80</v>
      </c>
      <c r="K4217" s="590" t="s">
        <v>30</v>
      </c>
      <c r="L4217" s="584">
        <f t="shared" si="644"/>
        <v>2212704</v>
      </c>
      <c r="M4217" s="585">
        <f>J4217*27000</f>
        <v>2160000</v>
      </c>
      <c r="N4217" s="586"/>
      <c r="O4217" s="935">
        <f t="shared" si="647"/>
        <v>6480</v>
      </c>
      <c r="P4217" s="586"/>
      <c r="Q4217" s="586">
        <f t="shared" si="646"/>
        <v>46224</v>
      </c>
      <c r="R4217" s="582">
        <f>M4217/J4217</f>
        <v>27000</v>
      </c>
      <c r="S4217" s="592"/>
      <c r="T4217" s="592"/>
      <c r="U4217" s="591"/>
      <c r="V4217" s="592"/>
      <c r="W4217" s="592"/>
      <c r="X4217" s="592"/>
      <c r="Y4217" s="592"/>
      <c r="Z4217" s="592"/>
    </row>
    <row r="4218" spans="1:26" s="28" customFormat="1" ht="37.5" hidden="1">
      <c r="A4218" s="591">
        <f t="shared" si="645"/>
        <v>21</v>
      </c>
      <c r="B4218" s="592" t="s">
        <v>3334</v>
      </c>
      <c r="C4218" s="910" t="s">
        <v>314</v>
      </c>
      <c r="D4218" s="582">
        <v>9940</v>
      </c>
      <c r="E4218" s="582">
        <v>1737</v>
      </c>
      <c r="F4218" s="582" t="s">
        <v>316</v>
      </c>
      <c r="G4218" s="582">
        <v>910</v>
      </c>
      <c r="H4218" s="582">
        <v>5</v>
      </c>
      <c r="I4218" s="582">
        <v>3</v>
      </c>
      <c r="J4218" s="582">
        <v>57</v>
      </c>
      <c r="K4218" s="590" t="s">
        <v>30</v>
      </c>
      <c r="L4218" s="584">
        <f t="shared" si="644"/>
        <v>1576552</v>
      </c>
      <c r="M4218" s="585">
        <f>J4218*27000</f>
        <v>1539000</v>
      </c>
      <c r="N4218" s="586"/>
      <c r="O4218" s="935">
        <f t="shared" si="647"/>
        <v>4617</v>
      </c>
      <c r="P4218" s="586"/>
      <c r="Q4218" s="586">
        <f t="shared" si="646"/>
        <v>32935</v>
      </c>
      <c r="R4218" s="582">
        <f>M4218/J4218</f>
        <v>27000</v>
      </c>
      <c r="S4218" s="592"/>
      <c r="T4218" s="592"/>
      <c r="U4218" s="591"/>
      <c r="V4218" s="592"/>
      <c r="W4218" s="592"/>
      <c r="X4218" s="592"/>
      <c r="Y4218" s="592"/>
      <c r="Z4218" s="592"/>
    </row>
    <row r="4219" spans="1:26" s="28" customFormat="1" ht="37.5" hidden="1">
      <c r="A4219" s="591">
        <f t="shared" si="645"/>
        <v>22</v>
      </c>
      <c r="B4219" s="592" t="s">
        <v>3335</v>
      </c>
      <c r="C4219" s="910" t="s">
        <v>221</v>
      </c>
      <c r="D4219" s="582"/>
      <c r="E4219" s="582"/>
      <c r="F4219" s="582" t="s">
        <v>317</v>
      </c>
      <c r="G4219" s="582">
        <v>416</v>
      </c>
      <c r="H4219" s="582">
        <v>5</v>
      </c>
      <c r="I4219" s="582">
        <v>2</v>
      </c>
      <c r="J4219" s="582">
        <v>25</v>
      </c>
      <c r="K4219" s="590" t="s">
        <v>30</v>
      </c>
      <c r="L4219" s="584">
        <f t="shared" si="644"/>
        <v>813241</v>
      </c>
      <c r="M4219" s="585">
        <v>793870</v>
      </c>
      <c r="N4219" s="586"/>
      <c r="O4219" s="935">
        <f t="shared" si="647"/>
        <v>2382</v>
      </c>
      <c r="P4219" s="586"/>
      <c r="Q4219" s="586">
        <f t="shared" si="646"/>
        <v>16989</v>
      </c>
      <c r="R4219" s="582">
        <f>M4219/J4219</f>
        <v>31754.799999999999</v>
      </c>
      <c r="S4219" s="592"/>
      <c r="T4219" s="592"/>
      <c r="U4219" s="591"/>
      <c r="V4219" s="592"/>
      <c r="W4219" s="592"/>
      <c r="X4219" s="592"/>
      <c r="Y4219" s="592"/>
      <c r="Z4219" s="592"/>
    </row>
    <row r="4220" spans="1:26" s="28" customFormat="1" ht="37.5" hidden="1">
      <c r="A4220" s="591">
        <f t="shared" si="645"/>
        <v>23</v>
      </c>
      <c r="B4220" s="592" t="s">
        <v>3336</v>
      </c>
      <c r="C4220" s="910" t="s">
        <v>221</v>
      </c>
      <c r="D4220" s="582"/>
      <c r="E4220" s="582"/>
      <c r="F4220" s="582" t="s">
        <v>315</v>
      </c>
      <c r="G4220" s="582"/>
      <c r="H4220" s="582">
        <v>3</v>
      </c>
      <c r="I4220" s="582">
        <v>1</v>
      </c>
      <c r="J4220" s="582">
        <v>46</v>
      </c>
      <c r="K4220" s="590" t="s">
        <v>30</v>
      </c>
      <c r="L4220" s="1348">
        <f>SUM(M4220:Q4220,M4221:Q4221)</f>
        <v>2946759</v>
      </c>
      <c r="M4220" s="585">
        <f>J4220*27000</f>
        <v>1242000</v>
      </c>
      <c r="N4220" s="586"/>
      <c r="O4220" s="935">
        <f t="shared" si="647"/>
        <v>3726</v>
      </c>
      <c r="P4220" s="586"/>
      <c r="Q4220" s="586">
        <f t="shared" si="646"/>
        <v>26579</v>
      </c>
      <c r="R4220" s="582">
        <f>M4220/J4220</f>
        <v>27000</v>
      </c>
      <c r="S4220" s="592"/>
      <c r="T4220" s="592"/>
      <c r="U4220" s="591"/>
      <c r="V4220" s="592"/>
      <c r="W4220" s="592"/>
      <c r="X4220" s="592"/>
      <c r="Y4220" s="592"/>
      <c r="Z4220" s="592"/>
    </row>
    <row r="4221" spans="1:26" s="28" customFormat="1" hidden="1">
      <c r="A4221" s="591"/>
      <c r="B4221" s="592"/>
      <c r="C4221" s="910"/>
      <c r="D4221" s="582"/>
      <c r="E4221" s="582"/>
      <c r="F4221" s="582"/>
      <c r="G4221" s="582"/>
      <c r="H4221" s="582"/>
      <c r="I4221" s="582"/>
      <c r="J4221" s="582"/>
      <c r="K4221" s="590" t="s">
        <v>231</v>
      </c>
      <c r="L4221" s="1348"/>
      <c r="M4221" s="585">
        <v>1610000</v>
      </c>
      <c r="N4221" s="586">
        <v>30000</v>
      </c>
      <c r="O4221" s="935"/>
      <c r="P4221" s="586"/>
      <c r="Q4221" s="586">
        <f t="shared" si="646"/>
        <v>34454</v>
      </c>
      <c r="R4221" s="582">
        <f>M4221/J4220</f>
        <v>35000</v>
      </c>
      <c r="S4221" s="592"/>
      <c r="T4221" s="592"/>
      <c r="U4221" s="591"/>
      <c r="V4221" s="592"/>
      <c r="W4221" s="592"/>
      <c r="X4221" s="592"/>
      <c r="Y4221" s="592"/>
      <c r="Z4221" s="592"/>
    </row>
    <row r="4222" spans="1:26" s="28" customFormat="1" hidden="1">
      <c r="A4222" s="591">
        <v>24</v>
      </c>
      <c r="B4222" s="592" t="s">
        <v>3337</v>
      </c>
      <c r="C4222" s="910" t="s">
        <v>221</v>
      </c>
      <c r="D4222" s="582">
        <v>3720</v>
      </c>
      <c r="E4222" s="582">
        <v>799</v>
      </c>
      <c r="F4222" s="582" t="s">
        <v>315</v>
      </c>
      <c r="G4222" s="582">
        <v>581</v>
      </c>
      <c r="H4222" s="582">
        <v>3</v>
      </c>
      <c r="I4222" s="582">
        <v>2</v>
      </c>
      <c r="J4222" s="582">
        <v>23</v>
      </c>
      <c r="K4222" s="590" t="s">
        <v>339</v>
      </c>
      <c r="L4222" s="584">
        <f>SUM(M4222:Q4222)</f>
        <v>165000</v>
      </c>
      <c r="M4222" s="585">
        <v>150000</v>
      </c>
      <c r="N4222" s="586">
        <v>15000</v>
      </c>
      <c r="O4222" s="935"/>
      <c r="P4222" s="586"/>
      <c r="Q4222" s="586"/>
      <c r="R4222" s="582">
        <f>M4222/J4222</f>
        <v>6521.739130434783</v>
      </c>
      <c r="S4222" s="592"/>
      <c r="T4222" s="592"/>
      <c r="U4222" s="591"/>
      <c r="V4222" s="592"/>
      <c r="W4222" s="592"/>
      <c r="X4222" s="592"/>
      <c r="Y4222" s="592"/>
      <c r="Z4222" s="592"/>
    </row>
    <row r="4223" spans="1:26" s="28" customFormat="1" hidden="1">
      <c r="A4223" s="591">
        <v>25</v>
      </c>
      <c r="B4223" s="592" t="s">
        <v>3338</v>
      </c>
      <c r="C4223" s="910" t="s">
        <v>221</v>
      </c>
      <c r="D4223" s="582"/>
      <c r="E4223" s="582">
        <v>341</v>
      </c>
      <c r="F4223" s="582" t="s">
        <v>356</v>
      </c>
      <c r="G4223" s="582">
        <v>244</v>
      </c>
      <c r="H4223" s="582">
        <v>2</v>
      </c>
      <c r="I4223" s="582">
        <v>1</v>
      </c>
      <c r="J4223" s="582">
        <v>9</v>
      </c>
      <c r="K4223" s="590" t="s">
        <v>33</v>
      </c>
      <c r="L4223" s="584">
        <f>SUM(M4223:Q4223)</f>
        <v>702898</v>
      </c>
      <c r="M4223" s="585">
        <f>G4223*2700</f>
        <v>658800</v>
      </c>
      <c r="N4223" s="586">
        <v>30000</v>
      </c>
      <c r="O4223" s="935"/>
      <c r="P4223" s="586"/>
      <c r="Q4223" s="586">
        <f>ROUND(M4223*2.14%,0)</f>
        <v>14098</v>
      </c>
      <c r="R4223" s="582">
        <f>M4223/G4223</f>
        <v>2700</v>
      </c>
      <c r="S4223" s="592"/>
      <c r="T4223" s="592"/>
      <c r="U4223" s="591"/>
      <c r="V4223" s="592"/>
      <c r="W4223" s="592"/>
      <c r="X4223" s="592"/>
      <c r="Y4223" s="592"/>
      <c r="Z4223" s="592"/>
    </row>
    <row r="4224" spans="1:26" s="28" customFormat="1" hidden="1">
      <c r="A4224" s="1349" t="s">
        <v>201</v>
      </c>
      <c r="B4224" s="1349"/>
      <c r="C4224" s="586" t="s">
        <v>28</v>
      </c>
      <c r="D4224" s="586">
        <f>SUM(D4197:D4223)</f>
        <v>114672</v>
      </c>
      <c r="E4224" s="586">
        <f>SUM(E4197:E4223)</f>
        <v>23410</v>
      </c>
      <c r="F4224" s="586" t="s">
        <v>28</v>
      </c>
      <c r="G4224" s="586">
        <f>SUM(G4197:G4223)</f>
        <v>16636</v>
      </c>
      <c r="H4224" s="586" t="s">
        <v>28</v>
      </c>
      <c r="I4224" s="586" t="s">
        <v>28</v>
      </c>
      <c r="J4224" s="582">
        <f>SUM(J4197:J4223)</f>
        <v>1485</v>
      </c>
      <c r="K4224" s="590" t="s">
        <v>28</v>
      </c>
      <c r="L4224" s="584">
        <f t="shared" ref="L4224:Q4224" si="648">SUM(L4197:L4223)</f>
        <v>51675949</v>
      </c>
      <c r="M4224" s="585">
        <f t="shared" si="648"/>
        <v>50205770</v>
      </c>
      <c r="N4224" s="586">
        <f t="shared" si="648"/>
        <v>265000</v>
      </c>
      <c r="O4224" s="587">
        <f t="shared" si="648"/>
        <v>105094</v>
      </c>
      <c r="P4224" s="586">
        <f t="shared" si="648"/>
        <v>0</v>
      </c>
      <c r="Q4224" s="586">
        <f t="shared" si="648"/>
        <v>1100085</v>
      </c>
      <c r="R4224" s="582" t="s">
        <v>28</v>
      </c>
      <c r="S4224" s="564">
        <f>L4224-M4224-N4224-O4224-P4224-Q4224</f>
        <v>0</v>
      </c>
      <c r="T4224" s="577" t="e">
        <f>'1.перечень МКД'!#REF!</f>
        <v>#REF!</v>
      </c>
      <c r="U4224" s="589" t="e">
        <f>L4224-T4224</f>
        <v>#REF!</v>
      </c>
      <c r="V4224" s="592"/>
      <c r="W4224" s="592"/>
      <c r="X4224" s="592"/>
      <c r="Y4224" s="592"/>
      <c r="Z4224" s="592"/>
    </row>
    <row r="4225" spans="1:37" s="28" customFormat="1" hidden="1">
      <c r="A4225" s="1352" t="s">
        <v>202</v>
      </c>
      <c r="B4225" s="1352"/>
      <c r="C4225" s="1352"/>
      <c r="D4225" s="1352"/>
      <c r="E4225" s="1352"/>
      <c r="F4225" s="1352"/>
      <c r="G4225" s="1352"/>
      <c r="H4225" s="1352"/>
      <c r="I4225" s="1352"/>
      <c r="J4225" s="1352"/>
      <c r="K4225" s="1352"/>
      <c r="L4225" s="1352"/>
      <c r="M4225" s="1352"/>
      <c r="N4225" s="1352"/>
      <c r="O4225" s="1352"/>
      <c r="P4225" s="1352"/>
      <c r="Q4225" s="1352"/>
      <c r="R4225" s="855"/>
      <c r="S4225" s="592"/>
      <c r="T4225" s="592"/>
      <c r="U4225" s="591"/>
      <c r="V4225" s="592"/>
      <c r="W4225" s="592"/>
      <c r="X4225" s="592"/>
      <c r="Y4225" s="592"/>
      <c r="Z4225" s="592"/>
    </row>
    <row r="4226" spans="1:37" s="28" customFormat="1" hidden="1">
      <c r="A4226" s="937">
        <v>1</v>
      </c>
      <c r="B4226" s="848" t="s">
        <v>3339</v>
      </c>
      <c r="C4226" s="922" t="s">
        <v>318</v>
      </c>
      <c r="D4226" s="922">
        <v>380.9</v>
      </c>
      <c r="E4226" s="938">
        <v>337</v>
      </c>
      <c r="F4226" s="700" t="s">
        <v>222</v>
      </c>
      <c r="G4226" s="939"/>
      <c r="H4226" s="928">
        <v>2</v>
      </c>
      <c r="I4226" s="928">
        <v>1</v>
      </c>
      <c r="J4226" s="643">
        <v>8</v>
      </c>
      <c r="K4226" s="930" t="s">
        <v>38</v>
      </c>
      <c r="L4226" s="584">
        <f>SUM(M4226:Q4226)</f>
        <v>718542</v>
      </c>
      <c r="M4226" s="931">
        <v>701427</v>
      </c>
      <c r="N4226" s="932"/>
      <c r="O4226" s="736">
        <f>ROUND(M4226*0.3%,0)</f>
        <v>2104</v>
      </c>
      <c r="P4226" s="932"/>
      <c r="Q4226" s="586">
        <f>ROUND(M4226*2.14%,0)</f>
        <v>15011</v>
      </c>
      <c r="R4226" s="599">
        <f>M4226/E4226</f>
        <v>2081.3857566765578</v>
      </c>
      <c r="S4226" s="592"/>
      <c r="T4226" s="592"/>
      <c r="U4226" s="591"/>
      <c r="V4226" s="592"/>
      <c r="W4226" s="592"/>
      <c r="X4226" s="592"/>
      <c r="Y4226" s="592"/>
      <c r="Z4226" s="592"/>
    </row>
    <row r="4227" spans="1:37" s="28" customFormat="1" hidden="1">
      <c r="A4227" s="937">
        <v>2</v>
      </c>
      <c r="B4227" s="848" t="s">
        <v>3340</v>
      </c>
      <c r="C4227" s="922" t="s">
        <v>318</v>
      </c>
      <c r="D4227" s="922">
        <v>5267</v>
      </c>
      <c r="E4227" s="938">
        <v>462.2</v>
      </c>
      <c r="F4227" s="700" t="s">
        <v>357</v>
      </c>
      <c r="G4227" s="939">
        <v>494</v>
      </c>
      <c r="H4227" s="928">
        <v>2</v>
      </c>
      <c r="I4227" s="928">
        <v>1</v>
      </c>
      <c r="J4227" s="643">
        <v>16</v>
      </c>
      <c r="K4227" s="930" t="s">
        <v>33</v>
      </c>
      <c r="L4227" s="584">
        <f>SUM(M4227:Q4227)</f>
        <v>1437800</v>
      </c>
      <c r="M4227" s="931">
        <f>G4227*2800</f>
        <v>1383200</v>
      </c>
      <c r="N4227" s="932">
        <v>25000</v>
      </c>
      <c r="O4227" s="736"/>
      <c r="P4227" s="932"/>
      <c r="Q4227" s="586">
        <f>ROUND(M4227*2.14%,0)</f>
        <v>29600</v>
      </c>
      <c r="R4227" s="582">
        <f>M4227/G4227</f>
        <v>2800</v>
      </c>
      <c r="S4227" s="592"/>
      <c r="T4227" s="592"/>
      <c r="U4227" s="591"/>
      <c r="V4227" s="592"/>
      <c r="W4227" s="592"/>
      <c r="X4227" s="592"/>
      <c r="Y4227" s="592"/>
      <c r="Z4227" s="592"/>
    </row>
    <row r="4228" spans="1:37" s="28" customFormat="1" hidden="1">
      <c r="A4228" s="1349" t="s">
        <v>203</v>
      </c>
      <c r="B4228" s="1349"/>
      <c r="C4228" s="700" t="s">
        <v>28</v>
      </c>
      <c r="D4228" s="612">
        <f>SUM(D4226:D4227)</f>
        <v>5647.9</v>
      </c>
      <c r="E4228" s="612">
        <f>SUM(E4226:E4227)</f>
        <v>799.2</v>
      </c>
      <c r="F4228" s="700" t="s">
        <v>28</v>
      </c>
      <c r="G4228" s="612">
        <f>SUM(G4226:G4227)</f>
        <v>494</v>
      </c>
      <c r="H4228" s="700" t="s">
        <v>28</v>
      </c>
      <c r="I4228" s="700" t="s">
        <v>28</v>
      </c>
      <c r="J4228" s="643">
        <f>SUM(J4227:J4227)</f>
        <v>16</v>
      </c>
      <c r="K4228" s="590" t="s">
        <v>28</v>
      </c>
      <c r="L4228" s="940">
        <f t="shared" ref="L4228:Q4228" si="649">SUM(L4226:L4227)</f>
        <v>2156342</v>
      </c>
      <c r="M4228" s="611">
        <f t="shared" si="649"/>
        <v>2084627</v>
      </c>
      <c r="N4228" s="612">
        <f t="shared" si="649"/>
        <v>25000</v>
      </c>
      <c r="O4228" s="613">
        <f t="shared" si="649"/>
        <v>2104</v>
      </c>
      <c r="P4228" s="612">
        <f t="shared" si="649"/>
        <v>0</v>
      </c>
      <c r="Q4228" s="612">
        <f t="shared" si="649"/>
        <v>44611</v>
      </c>
      <c r="R4228" s="582" t="s">
        <v>28</v>
      </c>
      <c r="S4228" s="564">
        <f>L4228-M4228-N4228-O4228-P4228-Q4228</f>
        <v>0</v>
      </c>
      <c r="T4228" s="577" t="e">
        <f>'1.перечень МКД'!#REF!</f>
        <v>#REF!</v>
      </c>
      <c r="U4228" s="589" t="e">
        <f>L4228-T4228</f>
        <v>#REF!</v>
      </c>
      <c r="V4228" s="592"/>
      <c r="W4228" s="592"/>
      <c r="X4228" s="592"/>
      <c r="Y4228" s="592"/>
      <c r="Z4228" s="592"/>
    </row>
    <row r="4229" spans="1:37" s="28" customFormat="1" hidden="1">
      <c r="A4229" s="1347" t="s">
        <v>204</v>
      </c>
      <c r="B4229" s="1347"/>
      <c r="C4229" s="1347"/>
      <c r="D4229" s="1347"/>
      <c r="E4229" s="1347"/>
      <c r="F4229" s="1347"/>
      <c r="G4229" s="1347"/>
      <c r="H4229" s="1347"/>
      <c r="I4229" s="1347"/>
      <c r="J4229" s="1347"/>
      <c r="K4229" s="1347"/>
      <c r="L4229" s="1347"/>
      <c r="M4229" s="1347"/>
      <c r="N4229" s="1347"/>
      <c r="O4229" s="1347"/>
      <c r="P4229" s="1347"/>
      <c r="Q4229" s="1347"/>
      <c r="R4229" s="590"/>
      <c r="S4229" s="592"/>
      <c r="T4229" s="592"/>
      <c r="U4229" s="591"/>
      <c r="V4229" s="592"/>
      <c r="W4229" s="592"/>
      <c r="X4229" s="592"/>
      <c r="Y4229" s="592"/>
      <c r="Z4229" s="592"/>
    </row>
    <row r="4230" spans="1:37" s="28" customFormat="1" hidden="1">
      <c r="A4230" s="937">
        <v>1</v>
      </c>
      <c r="B4230" s="848" t="s">
        <v>3341</v>
      </c>
      <c r="C4230" s="922" t="s">
        <v>221</v>
      </c>
      <c r="D4230" s="922"/>
      <c r="E4230" s="938">
        <v>767</v>
      </c>
      <c r="F4230" s="700" t="s">
        <v>291</v>
      </c>
      <c r="G4230" s="939">
        <v>942</v>
      </c>
      <c r="H4230" s="928">
        <v>2</v>
      </c>
      <c r="I4230" s="928">
        <v>3</v>
      </c>
      <c r="J4230" s="643">
        <v>18</v>
      </c>
      <c r="K4230" s="930" t="s">
        <v>33</v>
      </c>
      <c r="L4230" s="584">
        <f>SUM(M4230:Q4230)</f>
        <v>2724045</v>
      </c>
      <c r="M4230" s="931">
        <f>G4230*2800</f>
        <v>2637600</v>
      </c>
      <c r="N4230" s="932">
        <v>30000</v>
      </c>
      <c r="O4230" s="736"/>
      <c r="P4230" s="932"/>
      <c r="Q4230" s="586">
        <f>ROUND(M4230*2.14%,0)</f>
        <v>56445</v>
      </c>
      <c r="R4230" s="582">
        <f>M4230/G4230</f>
        <v>2800</v>
      </c>
      <c r="S4230" s="592"/>
      <c r="T4230" s="592"/>
      <c r="U4230" s="591"/>
      <c r="V4230" s="592"/>
      <c r="W4230" s="592"/>
      <c r="X4230" s="592"/>
      <c r="Y4230" s="592"/>
      <c r="Z4230" s="592"/>
    </row>
    <row r="4231" spans="1:37" s="28" customFormat="1" hidden="1">
      <c r="A4231" s="937">
        <f>A4230+1</f>
        <v>2</v>
      </c>
      <c r="B4231" s="848" t="s">
        <v>3342</v>
      </c>
      <c r="C4231" s="922" t="s">
        <v>221</v>
      </c>
      <c r="D4231" s="922"/>
      <c r="E4231" s="938">
        <v>390</v>
      </c>
      <c r="F4231" s="700" t="s">
        <v>291</v>
      </c>
      <c r="G4231" s="939">
        <v>770</v>
      </c>
      <c r="H4231" s="928">
        <v>2</v>
      </c>
      <c r="I4231" s="928">
        <v>2</v>
      </c>
      <c r="J4231" s="643">
        <v>16</v>
      </c>
      <c r="K4231" s="930" t="s">
        <v>33</v>
      </c>
      <c r="L4231" s="584">
        <f>SUM(M4231:Q4231)</f>
        <v>2232138</v>
      </c>
      <c r="M4231" s="931">
        <f>G4231*2800</f>
        <v>2156000</v>
      </c>
      <c r="N4231" s="932">
        <v>30000</v>
      </c>
      <c r="O4231" s="736"/>
      <c r="P4231" s="932"/>
      <c r="Q4231" s="586">
        <f>ROUND(M4231*2.14%,0)</f>
        <v>46138</v>
      </c>
      <c r="R4231" s="582">
        <f>M4231/G4231</f>
        <v>2800</v>
      </c>
      <c r="S4231" s="592"/>
      <c r="T4231" s="592"/>
      <c r="U4231" s="591"/>
      <c r="V4231" s="592"/>
      <c r="W4231" s="592"/>
      <c r="X4231" s="592"/>
      <c r="Y4231" s="592"/>
      <c r="Z4231" s="592"/>
    </row>
    <row r="4232" spans="1:37" s="28" customFormat="1" hidden="1">
      <c r="A4232" s="937">
        <f>A4231+1</f>
        <v>3</v>
      </c>
      <c r="B4232" s="848" t="s">
        <v>3343</v>
      </c>
      <c r="C4232" s="922" t="s">
        <v>221</v>
      </c>
      <c r="D4232" s="922"/>
      <c r="E4232" s="938">
        <v>950</v>
      </c>
      <c r="F4232" s="700" t="s">
        <v>291</v>
      </c>
      <c r="G4232" s="939">
        <v>650</v>
      </c>
      <c r="H4232" s="928">
        <v>2</v>
      </c>
      <c r="I4232" s="928">
        <v>2</v>
      </c>
      <c r="J4232" s="643">
        <v>16</v>
      </c>
      <c r="K4232" s="930" t="s">
        <v>224</v>
      </c>
      <c r="L4232" s="584">
        <f>SUM(M4232:Q4232)</f>
        <v>389533</v>
      </c>
      <c r="M4232" s="931">
        <f>J4232*22000</f>
        <v>352000</v>
      </c>
      <c r="N4232" s="932">
        <v>30000</v>
      </c>
      <c r="O4232" s="736"/>
      <c r="P4232" s="932"/>
      <c r="Q4232" s="586">
        <f>ROUND(M4232*2.14%,0)</f>
        <v>7533</v>
      </c>
      <c r="R4232" s="582">
        <f>M4232/J4232</f>
        <v>22000</v>
      </c>
      <c r="S4232" s="592"/>
      <c r="T4232" s="592"/>
      <c r="U4232" s="591"/>
      <c r="V4232" s="592"/>
      <c r="W4232" s="592"/>
      <c r="X4232" s="592"/>
      <c r="Y4232" s="592"/>
      <c r="Z4232" s="592"/>
    </row>
    <row r="4233" spans="1:37" s="28" customFormat="1" hidden="1">
      <c r="A4233" s="1349" t="s">
        <v>205</v>
      </c>
      <c r="B4233" s="1349"/>
      <c r="C4233" s="593" t="s">
        <v>28</v>
      </c>
      <c r="D4233" s="586">
        <f>SUM(D4230:D4232)</f>
        <v>0</v>
      </c>
      <c r="E4233" s="586">
        <f>SUM(E4230:E4232)</f>
        <v>2107</v>
      </c>
      <c r="F4233" s="593" t="s">
        <v>28</v>
      </c>
      <c r="G4233" s="586">
        <f>SUM(G4230:G4232)</f>
        <v>2362</v>
      </c>
      <c r="H4233" s="593" t="s">
        <v>28</v>
      </c>
      <c r="I4233" s="593" t="s">
        <v>28</v>
      </c>
      <c r="J4233" s="582">
        <f>SUM(J4230:J4232)</f>
        <v>50</v>
      </c>
      <c r="K4233" s="590" t="s">
        <v>28</v>
      </c>
      <c r="L4233" s="584">
        <f>SUM(L4230:L4232)</f>
        <v>5345716</v>
      </c>
      <c r="M4233" s="585">
        <f>SUM(M4230:M4232)</f>
        <v>5145600</v>
      </c>
      <c r="N4233" s="586">
        <f>SUM(N4230:N4232)</f>
        <v>90000</v>
      </c>
      <c r="O4233" s="587"/>
      <c r="P4233" s="586">
        <f>SUM(P4230:P4232)</f>
        <v>0</v>
      </c>
      <c r="Q4233" s="586">
        <f>SUM(Q4230:Q4232)</f>
        <v>110116</v>
      </c>
      <c r="R4233" s="582" t="s">
        <v>28</v>
      </c>
      <c r="S4233" s="564">
        <f>L4233-M4233-N4233-O4233-P4233-Q4233</f>
        <v>0</v>
      </c>
      <c r="T4233" s="577" t="e">
        <f>'1.перечень МКД'!#REF!</f>
        <v>#REF!</v>
      </c>
      <c r="U4233" s="589" t="e">
        <f>L4233-T4233</f>
        <v>#REF!</v>
      </c>
      <c r="V4233" s="592"/>
      <c r="W4233" s="592"/>
      <c r="X4233" s="592"/>
      <c r="Y4233" s="592"/>
      <c r="Z4233" s="592"/>
    </row>
    <row r="4234" spans="1:37" s="246" customFormat="1" hidden="1">
      <c r="A4234" s="1368" t="s">
        <v>90</v>
      </c>
      <c r="B4234" s="1368"/>
      <c r="C4234" s="1368"/>
      <c r="D4234" s="1368"/>
      <c r="E4234" s="1368"/>
      <c r="F4234" s="1368"/>
      <c r="G4234" s="1368"/>
      <c r="H4234" s="1368"/>
      <c r="I4234" s="1368"/>
      <c r="J4234" s="1368"/>
      <c r="K4234" s="1368"/>
      <c r="L4234" s="1368"/>
      <c r="M4234" s="1368"/>
      <c r="N4234" s="1368"/>
      <c r="O4234" s="1368"/>
      <c r="P4234" s="1368"/>
      <c r="Q4234" s="1368"/>
      <c r="R4234" s="556"/>
      <c r="S4234" s="586"/>
      <c r="T4234" s="588"/>
      <c r="U4234" s="589"/>
      <c r="V4234" s="591"/>
      <c r="W4234" s="589"/>
      <c r="X4234" s="591"/>
      <c r="Y4234" s="589"/>
      <c r="Z4234" s="589"/>
      <c r="AB4234" s="72"/>
      <c r="AD4234" s="72"/>
      <c r="AE4234" s="72"/>
      <c r="AF4234" s="72"/>
      <c r="AH4234" s="36"/>
      <c r="AI4234" s="14"/>
      <c r="AK4234" s="72"/>
    </row>
    <row r="4235" spans="1:37" s="35" customFormat="1" hidden="1">
      <c r="A4235" s="1365" t="s">
        <v>210</v>
      </c>
      <c r="B4235" s="1365"/>
      <c r="C4235" s="571" t="s">
        <v>28</v>
      </c>
      <c r="D4235" s="571"/>
      <c r="E4235" s="575">
        <f>E4237+E4327+E4583</f>
        <v>801104.59500000009</v>
      </c>
      <c r="F4235" s="571" t="s">
        <v>28</v>
      </c>
      <c r="G4235" s="575">
        <f>G4237+G4327+G4583</f>
        <v>329980.15405199997</v>
      </c>
      <c r="H4235" s="571" t="s">
        <v>28</v>
      </c>
      <c r="I4235" s="571" t="s">
        <v>28</v>
      </c>
      <c r="J4235" s="575">
        <f>J4237+J4327+J4583</f>
        <v>20153</v>
      </c>
      <c r="K4235" s="572"/>
      <c r="L4235" s="573">
        <f t="shared" ref="L4235:Q4235" si="650">L4237+L4327+L4583</f>
        <v>1049372351.4100001</v>
      </c>
      <c r="M4235" s="574">
        <f t="shared" si="650"/>
        <v>1024093125</v>
      </c>
      <c r="N4235" s="575">
        <f t="shared" si="650"/>
        <v>6480978.5</v>
      </c>
      <c r="O4235" s="576">
        <f t="shared" si="650"/>
        <v>1249920.74</v>
      </c>
      <c r="P4235" s="575">
        <f t="shared" si="650"/>
        <v>0</v>
      </c>
      <c r="Q4235" s="575">
        <f t="shared" si="650"/>
        <v>17548327.170000002</v>
      </c>
      <c r="R4235" s="582" t="s">
        <v>28</v>
      </c>
      <c r="S4235" s="575">
        <f>L4235-M4235-N4235-O4235-P4235-Q4235</f>
        <v>8.5681676864624023E-8</v>
      </c>
      <c r="T4235" s="578" t="e">
        <f>'1.перечень МКД'!#REF!</f>
        <v>#REF!</v>
      </c>
      <c r="U4235" s="941" t="e">
        <f>L4235-T4235</f>
        <v>#REF!</v>
      </c>
      <c r="V4235" s="579"/>
      <c r="W4235" s="579"/>
      <c r="X4235" s="579"/>
      <c r="Y4235" s="579"/>
      <c r="Z4235" s="579"/>
    </row>
    <row r="4236" spans="1:37" s="244" customFormat="1" hidden="1">
      <c r="A4236" s="1345" t="s">
        <v>140</v>
      </c>
      <c r="B4236" s="1345"/>
      <c r="C4236" s="1345"/>
      <c r="D4236" s="1345"/>
      <c r="E4236" s="1345"/>
      <c r="F4236" s="1345"/>
      <c r="G4236" s="1345"/>
      <c r="H4236" s="1345"/>
      <c r="I4236" s="1345"/>
      <c r="J4236" s="1345"/>
      <c r="K4236" s="1345"/>
      <c r="L4236" s="1345"/>
      <c r="M4236" s="1345"/>
      <c r="N4236" s="1345"/>
      <c r="O4236" s="1345"/>
      <c r="P4236" s="1345"/>
      <c r="Q4236" s="1345"/>
      <c r="R4236" s="570"/>
      <c r="S4236" s="555"/>
      <c r="T4236" s="556"/>
      <c r="U4236" s="558"/>
      <c r="V4236" s="556"/>
      <c r="W4236" s="556"/>
      <c r="X4236" s="556"/>
      <c r="Y4236" s="556"/>
      <c r="Z4236" s="556"/>
    </row>
    <row r="4237" spans="1:37" s="249" customFormat="1" hidden="1">
      <c r="A4237" s="580"/>
      <c r="B4237" s="581" t="s">
        <v>162</v>
      </c>
      <c r="C4237" s="561" t="s">
        <v>28</v>
      </c>
      <c r="D4237" s="582">
        <f>D4325</f>
        <v>1353162</v>
      </c>
      <c r="E4237" s="582">
        <f>E4325</f>
        <v>226758.60000000003</v>
      </c>
      <c r="F4237" s="561" t="s">
        <v>28</v>
      </c>
      <c r="G4237" s="582">
        <f>G4325</f>
        <v>87978.7</v>
      </c>
      <c r="H4237" s="561" t="s">
        <v>28</v>
      </c>
      <c r="I4237" s="561" t="s">
        <v>28</v>
      </c>
      <c r="J4237" s="582">
        <f>J4325</f>
        <v>6686</v>
      </c>
      <c r="K4237" s="583" t="s">
        <v>28</v>
      </c>
      <c r="L4237" s="584">
        <f t="shared" ref="L4237:Q4237" si="651">L4325</f>
        <v>356773915.19000006</v>
      </c>
      <c r="M4237" s="585">
        <f t="shared" si="651"/>
        <v>349538705</v>
      </c>
      <c r="N4237" s="586">
        <f t="shared" si="651"/>
        <v>1508250</v>
      </c>
      <c r="O4237" s="587">
        <f t="shared" si="651"/>
        <v>422658.19</v>
      </c>
      <c r="P4237" s="586">
        <f t="shared" si="651"/>
        <v>0</v>
      </c>
      <c r="Q4237" s="586">
        <f t="shared" si="651"/>
        <v>5304302</v>
      </c>
      <c r="R4237" s="582"/>
      <c r="S4237" s="586">
        <f>L4237-M4237-N4237-O4237-P4237-Q4237</f>
        <v>5.6810677051544189E-8</v>
      </c>
      <c r="T4237" s="588" t="e">
        <f>'1.перечень МКД'!#REF!</f>
        <v>#REF!</v>
      </c>
      <c r="U4237" s="589" t="e">
        <f>T4237-L4237</f>
        <v>#REF!</v>
      </c>
      <c r="V4237" s="590"/>
      <c r="W4237" s="590"/>
      <c r="X4237" s="590"/>
      <c r="Y4237" s="590"/>
      <c r="Z4237" s="590"/>
    </row>
    <row r="4238" spans="1:37" s="244" customFormat="1" hidden="1">
      <c r="A4238" s="1345" t="s">
        <v>139</v>
      </c>
      <c r="B4238" s="1345"/>
      <c r="C4238" s="1345"/>
      <c r="D4238" s="1345"/>
      <c r="E4238" s="1345"/>
      <c r="F4238" s="1345"/>
      <c r="G4238" s="1345"/>
      <c r="H4238" s="1345"/>
      <c r="I4238" s="1345"/>
      <c r="J4238" s="1345"/>
      <c r="K4238" s="1345"/>
      <c r="L4238" s="1345"/>
      <c r="M4238" s="1345"/>
      <c r="N4238" s="1345"/>
      <c r="O4238" s="1345"/>
      <c r="P4238" s="1345"/>
      <c r="Q4238" s="1345"/>
      <c r="R4238" s="570"/>
      <c r="S4238" s="555"/>
      <c r="T4238" s="556"/>
      <c r="U4238" s="558"/>
      <c r="V4238" s="556"/>
      <c r="W4238" s="556"/>
      <c r="X4238" s="556"/>
      <c r="Y4238" s="556"/>
      <c r="Z4238" s="556"/>
    </row>
    <row r="4239" spans="1:37" s="75" customFormat="1" hidden="1">
      <c r="A4239" s="582">
        <v>1</v>
      </c>
      <c r="B4239" s="592" t="s">
        <v>4076</v>
      </c>
      <c r="C4239" s="593" t="s">
        <v>292</v>
      </c>
      <c r="D4239" s="594">
        <v>1796</v>
      </c>
      <c r="E4239" s="594">
        <v>433</v>
      </c>
      <c r="F4239" s="594" t="s">
        <v>251</v>
      </c>
      <c r="G4239" s="594">
        <v>500</v>
      </c>
      <c r="H4239" s="594">
        <v>2</v>
      </c>
      <c r="I4239" s="594">
        <v>2</v>
      </c>
      <c r="J4239" s="594">
        <v>8</v>
      </c>
      <c r="K4239" s="590" t="s">
        <v>38</v>
      </c>
      <c r="L4239" s="584">
        <f>M4239+N4239+O4239+Q4239</f>
        <v>860306</v>
      </c>
      <c r="M4239" s="596">
        <v>822700</v>
      </c>
      <c r="N4239" s="597">
        <v>20000</v>
      </c>
      <c r="O4239" s="598"/>
      <c r="P4239" s="594"/>
      <c r="Q4239" s="597">
        <f t="shared" ref="Q4239:Q4248" si="652">ROUND(M4239*0.0214,0)</f>
        <v>17606</v>
      </c>
      <c r="R4239" s="599">
        <f>M4239/E4239</f>
        <v>1900</v>
      </c>
      <c r="S4239" s="586">
        <f t="shared" ref="S4239:S4272" si="653">L4239-M4239-N4239-O4239-P4239-Q4239</f>
        <v>0</v>
      </c>
      <c r="T4239" s="600"/>
      <c r="U4239" s="709"/>
      <c r="V4239" s="601"/>
      <c r="W4239" s="600"/>
      <c r="X4239" s="601"/>
      <c r="Y4239" s="601"/>
      <c r="Z4239" s="601"/>
    </row>
    <row r="4240" spans="1:37" hidden="1">
      <c r="A4240" s="582">
        <f>A4239+1</f>
        <v>2</v>
      </c>
      <c r="B4240" s="592" t="s">
        <v>3347</v>
      </c>
      <c r="C4240" s="593" t="s">
        <v>271</v>
      </c>
      <c r="D4240" s="618">
        <v>16197</v>
      </c>
      <c r="E4240" s="594">
        <v>5475</v>
      </c>
      <c r="F4240" s="582" t="s">
        <v>233</v>
      </c>
      <c r="G4240" s="618">
        <v>1565</v>
      </c>
      <c r="H4240" s="650">
        <v>5</v>
      </c>
      <c r="I4240" s="650">
        <v>4</v>
      </c>
      <c r="J4240" s="650">
        <v>48</v>
      </c>
      <c r="K4240" s="590" t="s">
        <v>33</v>
      </c>
      <c r="L4240" s="584">
        <f>M4240+N4240+O4240+Q4240</f>
        <v>3391831</v>
      </c>
      <c r="M4240" s="585">
        <v>3286500</v>
      </c>
      <c r="N4240" s="564">
        <v>35000</v>
      </c>
      <c r="O4240" s="587"/>
      <c r="P4240" s="586"/>
      <c r="Q4240" s="597">
        <f t="shared" si="652"/>
        <v>70331</v>
      </c>
      <c r="R4240" s="582">
        <f>M4240/G4240</f>
        <v>2100</v>
      </c>
      <c r="S4240" s="586">
        <f t="shared" si="653"/>
        <v>0</v>
      </c>
      <c r="T4240" s="588"/>
      <c r="U4240" s="589"/>
      <c r="V4240" s="589"/>
      <c r="W4240" s="600"/>
    </row>
    <row r="4241" spans="1:37" s="75" customFormat="1" ht="37.5" hidden="1">
      <c r="A4241" s="1347">
        <v>3</v>
      </c>
      <c r="B4241" s="1346" t="s">
        <v>3348</v>
      </c>
      <c r="C4241" s="617" t="s">
        <v>271</v>
      </c>
      <c r="D4241" s="618">
        <v>12674</v>
      </c>
      <c r="E4241" s="619">
        <v>2630</v>
      </c>
      <c r="F4241" s="608" t="s">
        <v>222</v>
      </c>
      <c r="G4241" s="633">
        <v>1146</v>
      </c>
      <c r="H4241" s="633">
        <v>5</v>
      </c>
      <c r="I4241" s="633">
        <v>4</v>
      </c>
      <c r="J4241" s="633">
        <v>76</v>
      </c>
      <c r="K4241" s="610" t="s">
        <v>30</v>
      </c>
      <c r="L4241" s="1357">
        <f>M4241+N4241+O4241+Q4241+M4242+N4242+O4242+Q4242</f>
        <v>6243904</v>
      </c>
      <c r="M4241" s="635">
        <v>2052000</v>
      </c>
      <c r="N4241" s="636"/>
      <c r="O4241" s="641">
        <v>6156</v>
      </c>
      <c r="P4241" s="1010"/>
      <c r="Q4241" s="597">
        <f t="shared" si="652"/>
        <v>43913</v>
      </c>
      <c r="R4241" s="582">
        <f>M4241/J4241</f>
        <v>27000</v>
      </c>
      <c r="S4241" s="586">
        <f t="shared" si="653"/>
        <v>4141835</v>
      </c>
      <c r="T4241" s="588"/>
      <c r="U4241" s="1189"/>
      <c r="V4241" s="589"/>
      <c r="W4241" s="600"/>
      <c r="X4241" s="601"/>
      <c r="Y4241" s="601"/>
      <c r="Z4241" s="601"/>
    </row>
    <row r="4242" spans="1:37" s="517" customFormat="1" hidden="1">
      <c r="A4242" s="1347"/>
      <c r="B4242" s="1346"/>
      <c r="C4242" s="617"/>
      <c r="D4242" s="618"/>
      <c r="E4242" s="619"/>
      <c r="F4242" s="608"/>
      <c r="G4242" s="633"/>
      <c r="H4242" s="633"/>
      <c r="I4242" s="633"/>
      <c r="J4242" s="633"/>
      <c r="K4242" s="669" t="s">
        <v>33</v>
      </c>
      <c r="L4242" s="1357"/>
      <c r="M4242" s="635">
        <v>4011000</v>
      </c>
      <c r="N4242" s="636">
        <v>45000</v>
      </c>
      <c r="O4242" s="641"/>
      <c r="P4242" s="1010"/>
      <c r="Q4242" s="597">
        <f t="shared" si="652"/>
        <v>85835</v>
      </c>
      <c r="R4242" s="582">
        <f>M4242/G4241</f>
        <v>3500</v>
      </c>
      <c r="S4242" s="586">
        <f t="shared" si="653"/>
        <v>-4141835</v>
      </c>
      <c r="T4242" s="588"/>
      <c r="U4242" s="589"/>
      <c r="V4242" s="589"/>
      <c r="W4242" s="600"/>
      <c r="X4242" s="591"/>
      <c r="Y4242" s="589"/>
      <c r="Z4242" s="589"/>
      <c r="AA4242" s="246"/>
      <c r="AB4242" s="72"/>
      <c r="AC4242" s="246"/>
      <c r="AD4242" s="72"/>
      <c r="AE4242" s="72"/>
      <c r="AF4242" s="516"/>
      <c r="AH4242" s="36"/>
      <c r="AI4242" s="14"/>
      <c r="AJ4242" s="246"/>
      <c r="AK4242" s="72"/>
    </row>
    <row r="4243" spans="1:37" s="75" customFormat="1" hidden="1">
      <c r="A4243" s="1364">
        <v>4</v>
      </c>
      <c r="B4243" s="1366" t="s">
        <v>3351</v>
      </c>
      <c r="C4243" s="617" t="s">
        <v>271</v>
      </c>
      <c r="D4243" s="618">
        <v>13368</v>
      </c>
      <c r="E4243" s="619">
        <v>2710</v>
      </c>
      <c r="F4243" s="608" t="s">
        <v>222</v>
      </c>
      <c r="G4243" s="594">
        <v>1144</v>
      </c>
      <c r="H4243" s="633">
        <v>5</v>
      </c>
      <c r="I4243" s="633">
        <v>4</v>
      </c>
      <c r="J4243" s="633">
        <v>76</v>
      </c>
      <c r="K4243" s="1249" t="s">
        <v>33</v>
      </c>
      <c r="L4243" s="1357">
        <f>M4243+N4243+O4243+Q4243+M4244+N4244+O4244+Q4244</f>
        <v>6236755</v>
      </c>
      <c r="M4243" s="635">
        <v>4004000</v>
      </c>
      <c r="N4243" s="636">
        <v>45000</v>
      </c>
      <c r="O4243" s="641"/>
      <c r="P4243" s="1010"/>
      <c r="Q4243" s="597">
        <f t="shared" si="652"/>
        <v>85686</v>
      </c>
      <c r="R4243" s="582">
        <f>M4243/G4243</f>
        <v>3500</v>
      </c>
      <c r="S4243" s="586">
        <f t="shared" si="653"/>
        <v>2102069</v>
      </c>
      <c r="T4243" s="588"/>
      <c r="U4243" s="714"/>
      <c r="V4243" s="589"/>
      <c r="W4243" s="600"/>
      <c r="X4243" s="601"/>
      <c r="Y4243" s="601"/>
      <c r="Z4243" s="601"/>
    </row>
    <row r="4244" spans="1:37" ht="37.5" hidden="1">
      <c r="A4244" s="1364"/>
      <c r="B4244" s="1366"/>
      <c r="C4244" s="652"/>
      <c r="D4244" s="618"/>
      <c r="E4244" s="619"/>
      <c r="F4244" s="653"/>
      <c r="G4244" s="594"/>
      <c r="H4244" s="633"/>
      <c r="I4244" s="633"/>
      <c r="J4244" s="633"/>
      <c r="K4244" s="610" t="s">
        <v>30</v>
      </c>
      <c r="L4244" s="1357"/>
      <c r="M4244" s="635">
        <v>2052000</v>
      </c>
      <c r="N4244" s="636"/>
      <c r="O4244" s="641">
        <v>6156</v>
      </c>
      <c r="P4244" s="1010"/>
      <c r="Q4244" s="597">
        <f t="shared" si="652"/>
        <v>43913</v>
      </c>
      <c r="R4244" s="582">
        <f>M4244/J4243</f>
        <v>27000</v>
      </c>
      <c r="S4244" s="586">
        <f t="shared" si="653"/>
        <v>-2102069</v>
      </c>
      <c r="T4244" s="588"/>
      <c r="U4244" s="1250"/>
      <c r="V4244" s="589"/>
      <c r="W4244" s="600"/>
    </row>
    <row r="4245" spans="1:37" s="517" customFormat="1" hidden="1">
      <c r="A4245" s="1347">
        <v>5</v>
      </c>
      <c r="B4245" s="1346" t="s">
        <v>3352</v>
      </c>
      <c r="C4245" s="593" t="s">
        <v>271</v>
      </c>
      <c r="D4245" s="582">
        <v>12442</v>
      </c>
      <c r="E4245" s="625">
        <v>2007</v>
      </c>
      <c r="F4245" s="643" t="s">
        <v>222</v>
      </c>
      <c r="G4245" s="625">
        <v>968</v>
      </c>
      <c r="H4245" s="625">
        <v>5</v>
      </c>
      <c r="I4245" s="582">
        <v>3</v>
      </c>
      <c r="J4245" s="582">
        <v>48</v>
      </c>
      <c r="K4245" s="606" t="s">
        <v>33</v>
      </c>
      <c r="L4245" s="1357">
        <f>M4245+N4245+O4245+Q4245+M4246+N4246+O4246+Q4246</f>
        <v>6017768</v>
      </c>
      <c r="M4245" s="611">
        <v>3062600</v>
      </c>
      <c r="N4245" s="586"/>
      <c r="O4245" s="587">
        <v>9293</v>
      </c>
      <c r="P4245" s="586"/>
      <c r="Q4245" s="597">
        <f t="shared" si="652"/>
        <v>65540</v>
      </c>
      <c r="R4245" s="582">
        <f>M4245/G4245</f>
        <v>3163.8429752066118</v>
      </c>
      <c r="S4245" s="586">
        <f t="shared" si="653"/>
        <v>2880335</v>
      </c>
      <c r="T4245" s="588"/>
      <c r="U4245" s="589"/>
      <c r="V4245" s="589"/>
      <c r="W4245" s="600"/>
      <c r="X4245" s="591"/>
      <c r="Y4245" s="589"/>
      <c r="Z4245" s="589"/>
      <c r="AA4245" s="246"/>
      <c r="AB4245" s="72"/>
      <c r="AC4245" s="246"/>
      <c r="AD4245" s="72"/>
      <c r="AE4245" s="72"/>
      <c r="AF4245" s="516"/>
      <c r="AH4245" s="36"/>
      <c r="AI4245" s="14"/>
      <c r="AJ4245" s="246"/>
      <c r="AK4245" s="72"/>
    </row>
    <row r="4246" spans="1:37" hidden="1">
      <c r="A4246" s="1347"/>
      <c r="B4246" s="1346"/>
      <c r="C4246" s="593"/>
      <c r="D4246" s="603"/>
      <c r="E4246" s="594"/>
      <c r="F4246" s="608"/>
      <c r="G4246" s="603"/>
      <c r="H4246" s="609"/>
      <c r="I4246" s="609"/>
      <c r="J4246" s="609"/>
      <c r="K4246" s="606" t="s">
        <v>38</v>
      </c>
      <c r="L4246" s="1357"/>
      <c r="M4246" s="611">
        <v>2810850</v>
      </c>
      <c r="N4246" s="586"/>
      <c r="O4246" s="587">
        <v>9333</v>
      </c>
      <c r="P4246" s="586"/>
      <c r="Q4246" s="597">
        <f t="shared" si="652"/>
        <v>60152</v>
      </c>
      <c r="R4246" s="599">
        <f>M4246/E4245</f>
        <v>1400.5231689088191</v>
      </c>
      <c r="S4246" s="586">
        <f t="shared" si="653"/>
        <v>-2880335</v>
      </c>
      <c r="T4246" s="588"/>
      <c r="U4246" s="589"/>
      <c r="V4246" s="589"/>
      <c r="W4246" s="600"/>
    </row>
    <row r="4247" spans="1:37" hidden="1">
      <c r="A4247" s="1364">
        <v>6</v>
      </c>
      <c r="B4247" s="1366" t="s">
        <v>3354</v>
      </c>
      <c r="C4247" s="617" t="s">
        <v>217</v>
      </c>
      <c r="D4247" s="618">
        <v>12424</v>
      </c>
      <c r="E4247" s="619">
        <v>2550</v>
      </c>
      <c r="F4247" s="620" t="s">
        <v>222</v>
      </c>
      <c r="G4247" s="620">
        <v>1145</v>
      </c>
      <c r="H4247" s="620">
        <v>5</v>
      </c>
      <c r="I4247" s="620">
        <v>4</v>
      </c>
      <c r="J4247" s="620">
        <v>79</v>
      </c>
      <c r="K4247" s="590" t="s">
        <v>224</v>
      </c>
      <c r="L4247" s="1357">
        <f>M4247+N4247+O4247+Q4247+M4248+N4248+O4248+Q4248</f>
        <v>5464311</v>
      </c>
      <c r="M4247" s="596">
        <v>1264000</v>
      </c>
      <c r="N4247" s="564">
        <v>35000</v>
      </c>
      <c r="O4247" s="598"/>
      <c r="P4247" s="1007"/>
      <c r="Q4247" s="597">
        <f t="shared" si="652"/>
        <v>27050</v>
      </c>
      <c r="R4247" s="582">
        <f>M4247/J4247</f>
        <v>16000</v>
      </c>
      <c r="S4247" s="586">
        <f t="shared" si="653"/>
        <v>4138261</v>
      </c>
      <c r="T4247" s="588"/>
      <c r="U4247" s="1250"/>
      <c r="V4247" s="589"/>
      <c r="W4247" s="600"/>
    </row>
    <row r="4248" spans="1:37" s="75" customFormat="1" hidden="1">
      <c r="A4248" s="1364"/>
      <c r="B4248" s="1366"/>
      <c r="C4248" s="617"/>
      <c r="D4248" s="618"/>
      <c r="E4248" s="619"/>
      <c r="F4248" s="620"/>
      <c r="G4248" s="620"/>
      <c r="H4248" s="620"/>
      <c r="I4248" s="620"/>
      <c r="J4248" s="620"/>
      <c r="K4248" s="590" t="s">
        <v>33</v>
      </c>
      <c r="L4248" s="1357"/>
      <c r="M4248" s="596">
        <v>4007500</v>
      </c>
      <c r="N4248" s="564">
        <v>45000</v>
      </c>
      <c r="O4248" s="598"/>
      <c r="P4248" s="1007"/>
      <c r="Q4248" s="597">
        <f t="shared" si="652"/>
        <v>85761</v>
      </c>
      <c r="R4248" s="582">
        <f>M4248/G4247</f>
        <v>3500</v>
      </c>
      <c r="S4248" s="586">
        <f t="shared" si="653"/>
        <v>-4138261</v>
      </c>
      <c r="T4248" s="588"/>
      <c r="U4248" s="1189"/>
      <c r="V4248" s="589"/>
      <c r="W4248" s="600"/>
      <c r="X4248" s="601"/>
      <c r="Y4248" s="601"/>
      <c r="Z4248" s="601"/>
    </row>
    <row r="4249" spans="1:37" s="246" customFormat="1" ht="37.5" hidden="1">
      <c r="A4249" s="1364">
        <v>7</v>
      </c>
      <c r="B4249" s="1346" t="s">
        <v>3356</v>
      </c>
      <c r="C4249" s="593" t="s">
        <v>271</v>
      </c>
      <c r="D4249" s="582">
        <v>27959</v>
      </c>
      <c r="E4249" s="646">
        <v>4220</v>
      </c>
      <c r="F4249" s="643" t="s">
        <v>233</v>
      </c>
      <c r="G4249" s="582">
        <v>872</v>
      </c>
      <c r="H4249" s="582">
        <v>14</v>
      </c>
      <c r="I4249" s="582">
        <v>1</v>
      </c>
      <c r="J4249" s="582">
        <v>75</v>
      </c>
      <c r="K4249" s="606" t="s">
        <v>30</v>
      </c>
      <c r="L4249" s="1357">
        <f>M4249+N4249+O4249+Q4249+M4250+N4250+O4250+Q4250</f>
        <v>17578278</v>
      </c>
      <c r="M4249" s="585">
        <v>2400000</v>
      </c>
      <c r="N4249" s="586"/>
      <c r="O4249" s="587">
        <v>7200</v>
      </c>
      <c r="P4249" s="586"/>
      <c r="Q4249" s="597">
        <v>40000</v>
      </c>
      <c r="R4249" s="582">
        <f>M4249/J4249</f>
        <v>32000</v>
      </c>
      <c r="S4249" s="586">
        <f t="shared" si="653"/>
        <v>15131078</v>
      </c>
      <c r="T4249" s="588"/>
      <c r="U4249" s="714"/>
      <c r="V4249" s="589"/>
      <c r="W4249" s="600"/>
      <c r="X4249" s="589"/>
      <c r="Y4249" s="589"/>
      <c r="Z4249" s="591"/>
      <c r="AA4249" s="36"/>
      <c r="AB4249" s="14"/>
      <c r="AD4249" s="72"/>
    </row>
    <row r="4250" spans="1:37" s="75" customFormat="1" ht="37.5" hidden="1">
      <c r="A4250" s="1364"/>
      <c r="B4250" s="1346"/>
      <c r="C4250" s="593"/>
      <c r="D4250" s="593"/>
      <c r="E4250" s="646"/>
      <c r="F4250" s="593"/>
      <c r="G4250" s="593"/>
      <c r="H4250" s="593"/>
      <c r="I4250" s="593"/>
      <c r="J4250" s="593"/>
      <c r="K4250" s="606" t="s">
        <v>415</v>
      </c>
      <c r="L4250" s="1357"/>
      <c r="M4250" s="585">
        <v>14770000</v>
      </c>
      <c r="N4250" s="586">
        <v>45000</v>
      </c>
      <c r="O4250" s="587"/>
      <c r="P4250" s="586"/>
      <c r="Q4250" s="597">
        <f t="shared" ref="Q4250:Q4261" si="654">ROUND(M4250*0.0214,0)</f>
        <v>316078</v>
      </c>
      <c r="R4250" s="599">
        <f>M4250/E4249</f>
        <v>3500</v>
      </c>
      <c r="S4250" s="586">
        <f t="shared" si="653"/>
        <v>-15131078</v>
      </c>
      <c r="T4250" s="588"/>
      <c r="U4250" s="1189"/>
      <c r="V4250" s="589"/>
      <c r="W4250" s="600"/>
      <c r="X4250" s="601"/>
      <c r="Y4250" s="601"/>
      <c r="Z4250" s="601"/>
    </row>
    <row r="4251" spans="1:37" s="246" customFormat="1" hidden="1">
      <c r="A4251" s="582">
        <v>8</v>
      </c>
      <c r="B4251" s="581" t="s">
        <v>3366</v>
      </c>
      <c r="C4251" s="617" t="s">
        <v>419</v>
      </c>
      <c r="D4251" s="582">
        <v>14225</v>
      </c>
      <c r="E4251" s="582">
        <v>2580</v>
      </c>
      <c r="F4251" s="620" t="s">
        <v>371</v>
      </c>
      <c r="G4251" s="582">
        <v>1212</v>
      </c>
      <c r="H4251" s="582">
        <v>5</v>
      </c>
      <c r="I4251" s="582">
        <v>4</v>
      </c>
      <c r="J4251" s="582">
        <v>70</v>
      </c>
      <c r="K4251" s="606" t="s">
        <v>33</v>
      </c>
      <c r="L4251" s="584">
        <f>M4251+N4251+O4251+Q4251</f>
        <v>3973033</v>
      </c>
      <c r="M4251" s="585">
        <v>3878400</v>
      </c>
      <c r="N4251" s="586"/>
      <c r="O4251" s="587">
        <v>11635</v>
      </c>
      <c r="P4251" s="586"/>
      <c r="Q4251" s="597">
        <f t="shared" si="654"/>
        <v>82998</v>
      </c>
      <c r="R4251" s="582">
        <f>M4251/G4251</f>
        <v>3200</v>
      </c>
      <c r="S4251" s="586">
        <f t="shared" si="653"/>
        <v>0</v>
      </c>
      <c r="T4251" s="589"/>
      <c r="U4251" s="589"/>
      <c r="V4251" s="591"/>
      <c r="W4251" s="600"/>
      <c r="X4251" s="591"/>
      <c r="Y4251" s="589"/>
      <c r="Z4251" s="589"/>
      <c r="AB4251" s="72"/>
      <c r="AD4251" s="72"/>
      <c r="AE4251" s="72"/>
      <c r="AF4251" s="72"/>
      <c r="AH4251" s="36"/>
      <c r="AI4251" s="14"/>
      <c r="AK4251" s="72"/>
    </row>
    <row r="4252" spans="1:37" s="75" customFormat="1" hidden="1">
      <c r="A4252" s="1364">
        <v>9</v>
      </c>
      <c r="B4252" s="1346" t="s">
        <v>3370</v>
      </c>
      <c r="C4252" s="593" t="s">
        <v>271</v>
      </c>
      <c r="D4252" s="603">
        <v>14039</v>
      </c>
      <c r="E4252" s="594">
        <v>1480</v>
      </c>
      <c r="F4252" s="608" t="s">
        <v>222</v>
      </c>
      <c r="G4252" s="603">
        <v>1415</v>
      </c>
      <c r="H4252" s="609">
        <v>3</v>
      </c>
      <c r="I4252" s="609">
        <v>4</v>
      </c>
      <c r="J4252" s="609">
        <v>30</v>
      </c>
      <c r="K4252" s="590" t="s">
        <v>33</v>
      </c>
      <c r="L4252" s="1357">
        <f>M4252+N4252+O4252+Q4252+M4253+N4253+O4253+Q4253</f>
        <v>7718243</v>
      </c>
      <c r="M4252" s="585">
        <v>4528000</v>
      </c>
      <c r="N4252" s="586">
        <v>35000</v>
      </c>
      <c r="O4252" s="587"/>
      <c r="P4252" s="586"/>
      <c r="Q4252" s="597">
        <f t="shared" si="654"/>
        <v>96899</v>
      </c>
      <c r="R4252" s="599">
        <f>M4252/G4252</f>
        <v>3200</v>
      </c>
      <c r="S4252" s="586">
        <f t="shared" si="653"/>
        <v>3058344</v>
      </c>
      <c r="T4252" s="588"/>
      <c r="U4252" s="1189"/>
      <c r="V4252" s="589"/>
      <c r="W4252" s="600"/>
      <c r="X4252" s="601"/>
      <c r="Y4252" s="601"/>
      <c r="Z4252" s="601"/>
    </row>
    <row r="4253" spans="1:37" s="75" customFormat="1" hidden="1">
      <c r="A4253" s="1364"/>
      <c r="B4253" s="1346"/>
      <c r="C4253" s="593" t="s">
        <v>271</v>
      </c>
      <c r="D4253" s="603">
        <v>14039</v>
      </c>
      <c r="E4253" s="594">
        <v>1480</v>
      </c>
      <c r="F4253" s="608" t="s">
        <v>222</v>
      </c>
      <c r="G4253" s="603">
        <v>1415</v>
      </c>
      <c r="H4253" s="609">
        <v>3</v>
      </c>
      <c r="I4253" s="609">
        <v>4</v>
      </c>
      <c r="J4253" s="609">
        <v>30</v>
      </c>
      <c r="K4253" s="590" t="s">
        <v>38</v>
      </c>
      <c r="L4253" s="1357"/>
      <c r="M4253" s="585">
        <v>2960000</v>
      </c>
      <c r="N4253" s="586">
        <v>35000</v>
      </c>
      <c r="O4253" s="587"/>
      <c r="P4253" s="586"/>
      <c r="Q4253" s="597">
        <f t="shared" si="654"/>
        <v>63344</v>
      </c>
      <c r="R4253" s="599">
        <f>M4253/E4253</f>
        <v>2000</v>
      </c>
      <c r="S4253" s="586">
        <f t="shared" si="653"/>
        <v>-3058344</v>
      </c>
      <c r="T4253" s="588"/>
      <c r="U4253" s="1189"/>
      <c r="V4253" s="589"/>
      <c r="W4253" s="600"/>
      <c r="X4253" s="601"/>
      <c r="Y4253" s="601"/>
      <c r="Z4253" s="601"/>
    </row>
    <row r="4254" spans="1:37" s="246" customFormat="1" hidden="1">
      <c r="A4254" s="602">
        <v>10</v>
      </c>
      <c r="B4254" s="592" t="s">
        <v>3802</v>
      </c>
      <c r="C4254" s="593" t="s">
        <v>217</v>
      </c>
      <c r="D4254" s="594">
        <v>12411</v>
      </c>
      <c r="E4254" s="593">
        <v>1700</v>
      </c>
      <c r="F4254" s="608" t="s">
        <v>222</v>
      </c>
      <c r="G4254" s="594">
        <v>965.5</v>
      </c>
      <c r="H4254" s="594">
        <v>5</v>
      </c>
      <c r="I4254" s="594">
        <v>4</v>
      </c>
      <c r="J4254" s="594">
        <v>80</v>
      </c>
      <c r="K4254" s="590" t="s">
        <v>238</v>
      </c>
      <c r="L4254" s="584">
        <f>M4254+N4254+O4254+Q4254</f>
        <v>2241224</v>
      </c>
      <c r="M4254" s="585">
        <v>2160000</v>
      </c>
      <c r="N4254" s="564">
        <v>35000</v>
      </c>
      <c r="O4254" s="587"/>
      <c r="P4254" s="593"/>
      <c r="Q4254" s="597">
        <f t="shared" si="654"/>
        <v>46224</v>
      </c>
      <c r="R4254" s="582">
        <f>M4254/J4254</f>
        <v>27000</v>
      </c>
      <c r="S4254" s="586">
        <f t="shared" si="653"/>
        <v>0</v>
      </c>
      <c r="T4254" s="1186"/>
      <c r="U4254" s="589"/>
      <c r="V4254" s="591"/>
      <c r="W4254" s="600"/>
      <c r="X4254" s="591"/>
      <c r="Y4254" s="589"/>
      <c r="Z4254" s="589"/>
      <c r="AB4254" s="72"/>
      <c r="AD4254" s="72"/>
      <c r="AE4254" s="72"/>
      <c r="AF4254" s="72"/>
      <c r="AH4254" s="36"/>
      <c r="AI4254" s="14"/>
      <c r="AK4254" s="72"/>
    </row>
    <row r="4255" spans="1:37" s="246" customFormat="1" hidden="1">
      <c r="A4255" s="602">
        <f>A4254+1</f>
        <v>11</v>
      </c>
      <c r="B4255" s="592" t="s">
        <v>3803</v>
      </c>
      <c r="C4255" s="593" t="s">
        <v>217</v>
      </c>
      <c r="D4255" s="594">
        <v>13198</v>
      </c>
      <c r="E4255" s="593">
        <v>1600</v>
      </c>
      <c r="F4255" s="594" t="s">
        <v>222</v>
      </c>
      <c r="G4255" s="594">
        <v>1131</v>
      </c>
      <c r="H4255" s="594">
        <v>5</v>
      </c>
      <c r="I4255" s="594">
        <v>4</v>
      </c>
      <c r="J4255" s="594">
        <v>64</v>
      </c>
      <c r="K4255" s="590" t="s">
        <v>224</v>
      </c>
      <c r="L4255" s="584">
        <f>M4255+N4255+O4255+Q4255</f>
        <v>1080914</v>
      </c>
      <c r="M4255" s="585">
        <v>1024000</v>
      </c>
      <c r="N4255" s="564">
        <v>35000</v>
      </c>
      <c r="O4255" s="631"/>
      <c r="P4255" s="948"/>
      <c r="Q4255" s="597">
        <f t="shared" si="654"/>
        <v>21914</v>
      </c>
      <c r="R4255" s="582">
        <f>M4255/J4255</f>
        <v>16000</v>
      </c>
      <c r="S4255" s="586">
        <f t="shared" si="653"/>
        <v>0</v>
      </c>
      <c r="T4255" s="589"/>
      <c r="U4255" s="589"/>
      <c r="V4255" s="591"/>
      <c r="W4255" s="600"/>
      <c r="X4255" s="591"/>
      <c r="Y4255" s="589"/>
      <c r="Z4255" s="589"/>
      <c r="AB4255" s="72"/>
      <c r="AD4255" s="72"/>
      <c r="AE4255" s="72"/>
      <c r="AF4255" s="72"/>
      <c r="AH4255" s="36"/>
      <c r="AI4255" s="14"/>
      <c r="AK4255" s="72"/>
    </row>
    <row r="4256" spans="1:37" s="75" customFormat="1" hidden="1">
      <c r="A4256" s="602">
        <f>A4255+1</f>
        <v>12</v>
      </c>
      <c r="B4256" s="592" t="s">
        <v>3381</v>
      </c>
      <c r="C4256" s="593" t="s">
        <v>292</v>
      </c>
      <c r="D4256" s="594">
        <v>5925</v>
      </c>
      <c r="E4256" s="594">
        <v>945.9</v>
      </c>
      <c r="F4256" s="594" t="s">
        <v>251</v>
      </c>
      <c r="G4256" s="594">
        <v>1124</v>
      </c>
      <c r="H4256" s="594">
        <v>2</v>
      </c>
      <c r="I4256" s="594">
        <v>4</v>
      </c>
      <c r="J4256" s="594">
        <v>24</v>
      </c>
      <c r="K4256" s="590" t="s">
        <v>33</v>
      </c>
      <c r="L4256" s="584">
        <f>M4256+N4256+O4256+Q4256</f>
        <v>2545718</v>
      </c>
      <c r="M4256" s="596">
        <v>2472800</v>
      </c>
      <c r="N4256" s="597">
        <v>20000</v>
      </c>
      <c r="O4256" s="598"/>
      <c r="P4256" s="594"/>
      <c r="Q4256" s="597">
        <f t="shared" si="654"/>
        <v>52918</v>
      </c>
      <c r="R4256" s="599">
        <f>M4256/G4256</f>
        <v>2200</v>
      </c>
      <c r="S4256" s="586">
        <f t="shared" si="653"/>
        <v>0</v>
      </c>
      <c r="T4256" s="600"/>
      <c r="U4256" s="709"/>
      <c r="V4256" s="601"/>
      <c r="W4256" s="600"/>
      <c r="X4256" s="601"/>
      <c r="Y4256" s="601"/>
      <c r="Z4256" s="601"/>
    </row>
    <row r="4257" spans="1:30" s="75" customFormat="1" hidden="1">
      <c r="A4257" s="602">
        <f>A4256+1</f>
        <v>13</v>
      </c>
      <c r="B4257" s="592" t="s">
        <v>3386</v>
      </c>
      <c r="C4257" s="602" t="s">
        <v>239</v>
      </c>
      <c r="D4257" s="582">
        <v>7594</v>
      </c>
      <c r="E4257" s="646">
        <v>542.9</v>
      </c>
      <c r="F4257" s="582" t="s">
        <v>222</v>
      </c>
      <c r="G4257" s="582">
        <v>1250</v>
      </c>
      <c r="H4257" s="582">
        <v>2</v>
      </c>
      <c r="I4257" s="582">
        <v>3</v>
      </c>
      <c r="J4257" s="582">
        <v>18</v>
      </c>
      <c r="K4257" s="679" t="s">
        <v>33</v>
      </c>
      <c r="L4257" s="584">
        <f>M4257+N4257+O4257+Q4257</f>
        <v>4513625</v>
      </c>
      <c r="M4257" s="585">
        <v>4375000</v>
      </c>
      <c r="N4257" s="586">
        <v>45000</v>
      </c>
      <c r="O4257" s="587"/>
      <c r="P4257" s="586"/>
      <c r="Q4257" s="597">
        <f t="shared" si="654"/>
        <v>93625</v>
      </c>
      <c r="R4257" s="599">
        <f>M4257/G4257</f>
        <v>3500</v>
      </c>
      <c r="S4257" s="586">
        <f t="shared" si="653"/>
        <v>0</v>
      </c>
      <c r="T4257" s="600"/>
      <c r="U4257" s="709"/>
      <c r="V4257" s="601"/>
      <c r="W4257" s="600"/>
      <c r="X4257" s="601"/>
      <c r="Y4257" s="601"/>
      <c r="Z4257" s="601"/>
    </row>
    <row r="4258" spans="1:30" s="75" customFormat="1" hidden="1">
      <c r="A4258" s="1364">
        <v>14</v>
      </c>
      <c r="B4258" s="1400" t="s">
        <v>3389</v>
      </c>
      <c r="C4258" s="593" t="s">
        <v>271</v>
      </c>
      <c r="D4258" s="603">
        <v>11198</v>
      </c>
      <c r="E4258" s="594">
        <v>2146</v>
      </c>
      <c r="F4258" s="608" t="s">
        <v>222</v>
      </c>
      <c r="G4258" s="603">
        <v>1255</v>
      </c>
      <c r="H4258" s="609">
        <v>4</v>
      </c>
      <c r="I4258" s="609">
        <v>4</v>
      </c>
      <c r="J4258" s="609">
        <v>40</v>
      </c>
      <c r="K4258" s="590" t="s">
        <v>38</v>
      </c>
      <c r="L4258" s="1357">
        <f>M4258+N4258+O4258+Q4258+M4259+N4259+O4259+Q4259</f>
        <v>6366931</v>
      </c>
      <c r="M4258" s="585">
        <v>5365000</v>
      </c>
      <c r="N4258" s="586">
        <v>35000</v>
      </c>
      <c r="O4258" s="587"/>
      <c r="P4258" s="586"/>
      <c r="Q4258" s="597">
        <f t="shared" si="654"/>
        <v>114811</v>
      </c>
      <c r="R4258" s="599">
        <f>M4258/E4258</f>
        <v>2500</v>
      </c>
      <c r="S4258" s="586">
        <f t="shared" si="653"/>
        <v>852120</v>
      </c>
      <c r="T4258" s="588"/>
      <c r="U4258" s="1189"/>
      <c r="V4258" s="589"/>
      <c r="W4258" s="600"/>
      <c r="X4258" s="601"/>
      <c r="Y4258" s="601"/>
      <c r="Z4258" s="601"/>
    </row>
    <row r="4259" spans="1:30" hidden="1">
      <c r="A4259" s="1364"/>
      <c r="B4259" s="1400"/>
      <c r="C4259" s="593"/>
      <c r="D4259" s="603"/>
      <c r="E4259" s="594"/>
      <c r="F4259" s="608"/>
      <c r="G4259" s="603"/>
      <c r="H4259" s="609"/>
      <c r="I4259" s="609"/>
      <c r="J4259" s="609"/>
      <c r="K4259" s="590" t="s">
        <v>224</v>
      </c>
      <c r="L4259" s="1357"/>
      <c r="M4259" s="585">
        <v>800000</v>
      </c>
      <c r="N4259" s="586">
        <v>35000</v>
      </c>
      <c r="O4259" s="587"/>
      <c r="P4259" s="586"/>
      <c r="Q4259" s="597">
        <f t="shared" si="654"/>
        <v>17120</v>
      </c>
      <c r="R4259" s="599">
        <f>M4259/J4258</f>
        <v>20000</v>
      </c>
      <c r="S4259" s="586">
        <f t="shared" si="653"/>
        <v>-852120</v>
      </c>
      <c r="T4259" s="588"/>
      <c r="U4259" s="589"/>
      <c r="V4259" s="589"/>
      <c r="W4259" s="600"/>
    </row>
    <row r="4260" spans="1:30" s="75" customFormat="1" hidden="1">
      <c r="A4260" s="582">
        <v>15</v>
      </c>
      <c r="B4260" s="592" t="s">
        <v>3394</v>
      </c>
      <c r="C4260" s="700" t="s">
        <v>271</v>
      </c>
      <c r="D4260" s="582">
        <v>17250</v>
      </c>
      <c r="E4260" s="582">
        <v>2201</v>
      </c>
      <c r="F4260" s="582" t="s">
        <v>222</v>
      </c>
      <c r="G4260" s="582">
        <v>1150</v>
      </c>
      <c r="H4260" s="582">
        <v>5</v>
      </c>
      <c r="I4260" s="582">
        <v>4</v>
      </c>
      <c r="J4260" s="582">
        <v>76</v>
      </c>
      <c r="K4260" s="606" t="s">
        <v>33</v>
      </c>
      <c r="L4260" s="584">
        <f>M4260+N4260+O4260+Q4260</f>
        <v>3769792</v>
      </c>
      <c r="M4260" s="611">
        <v>3680000</v>
      </c>
      <c r="N4260" s="586"/>
      <c r="O4260" s="587">
        <v>11040</v>
      </c>
      <c r="P4260" s="586"/>
      <c r="Q4260" s="597">
        <f t="shared" si="654"/>
        <v>78752</v>
      </c>
      <c r="R4260" s="599">
        <f>M4260/G4260</f>
        <v>3200</v>
      </c>
      <c r="S4260" s="586">
        <f t="shared" si="653"/>
        <v>0</v>
      </c>
      <c r="T4260" s="600"/>
      <c r="U4260" s="709"/>
      <c r="V4260" s="601"/>
      <c r="W4260" s="600"/>
      <c r="X4260" s="601"/>
      <c r="Y4260" s="601"/>
      <c r="Z4260" s="601"/>
    </row>
    <row r="4261" spans="1:30" s="75" customFormat="1" hidden="1">
      <c r="A4261" s="1364">
        <v>16</v>
      </c>
      <c r="B4261" s="1346" t="s">
        <v>3395</v>
      </c>
      <c r="C4261" s="593" t="s">
        <v>271</v>
      </c>
      <c r="D4261" s="603">
        <v>24556</v>
      </c>
      <c r="E4261" s="603">
        <v>4384</v>
      </c>
      <c r="F4261" s="604" t="s">
        <v>233</v>
      </c>
      <c r="G4261" s="603">
        <v>1210</v>
      </c>
      <c r="H4261" s="609">
        <v>9</v>
      </c>
      <c r="I4261" s="609">
        <v>2</v>
      </c>
      <c r="J4261" s="609">
        <v>255</v>
      </c>
      <c r="K4261" s="590" t="s">
        <v>33</v>
      </c>
      <c r="L4261" s="1357">
        <f>M4261+N4261+O4261+Q4261+M4262+N4262+O4262+Q4262</f>
        <v>10827480</v>
      </c>
      <c r="M4261" s="611">
        <v>2541000</v>
      </c>
      <c r="N4261" s="612"/>
      <c r="O4261" s="613">
        <v>7623</v>
      </c>
      <c r="P4261" s="586"/>
      <c r="Q4261" s="597">
        <f t="shared" si="654"/>
        <v>54377</v>
      </c>
      <c r="R4261" s="599">
        <f>M4261/G4261</f>
        <v>2100</v>
      </c>
      <c r="S4261" s="586">
        <f t="shared" si="653"/>
        <v>8224480</v>
      </c>
      <c r="T4261" s="588"/>
      <c r="U4261" s="714"/>
      <c r="V4261" s="589"/>
      <c r="W4261" s="600"/>
      <c r="X4261" s="601"/>
      <c r="Y4261" s="601"/>
      <c r="Z4261" s="601"/>
    </row>
    <row r="4262" spans="1:30" s="246" customFormat="1" ht="37.5" hidden="1">
      <c r="A4262" s="1364"/>
      <c r="B4262" s="1346"/>
      <c r="C4262" s="593"/>
      <c r="D4262" s="603"/>
      <c r="E4262" s="603"/>
      <c r="F4262" s="604"/>
      <c r="G4262" s="603"/>
      <c r="H4262" s="609"/>
      <c r="I4262" s="609"/>
      <c r="J4262" s="609"/>
      <c r="K4262" s="606" t="s">
        <v>30</v>
      </c>
      <c r="L4262" s="1357"/>
      <c r="M4262" s="585">
        <v>8160000</v>
      </c>
      <c r="N4262" s="586"/>
      <c r="O4262" s="613">
        <v>24480</v>
      </c>
      <c r="P4262" s="586"/>
      <c r="Q4262" s="597">
        <v>40000</v>
      </c>
      <c r="R4262" s="582">
        <v>32000</v>
      </c>
      <c r="S4262" s="586">
        <f t="shared" si="653"/>
        <v>-8224480</v>
      </c>
      <c r="T4262" s="588"/>
      <c r="U4262" s="714"/>
      <c r="V4262" s="589"/>
      <c r="W4262" s="600"/>
      <c r="X4262" s="589"/>
      <c r="Y4262" s="589"/>
      <c r="Z4262" s="591"/>
      <c r="AA4262" s="36"/>
      <c r="AB4262" s="14"/>
      <c r="AD4262" s="72"/>
    </row>
    <row r="4263" spans="1:30" s="75" customFormat="1" ht="37.5" hidden="1">
      <c r="A4263" s="582">
        <v>17</v>
      </c>
      <c r="B4263" s="592" t="s">
        <v>3396</v>
      </c>
      <c r="C4263" s="593" t="s">
        <v>271</v>
      </c>
      <c r="D4263" s="594">
        <v>4152</v>
      </c>
      <c r="E4263" s="594">
        <v>880</v>
      </c>
      <c r="F4263" s="594" t="s">
        <v>222</v>
      </c>
      <c r="G4263" s="594">
        <v>603.5</v>
      </c>
      <c r="H4263" s="594">
        <v>2</v>
      </c>
      <c r="I4263" s="594">
        <v>5</v>
      </c>
      <c r="J4263" s="594">
        <v>20</v>
      </c>
      <c r="K4263" s="590" t="s">
        <v>30</v>
      </c>
      <c r="L4263" s="584">
        <f>M4263+N4263+O4263+Q4263</f>
        <v>553176</v>
      </c>
      <c r="M4263" s="596">
        <v>540000</v>
      </c>
      <c r="N4263" s="597"/>
      <c r="O4263" s="1251">
        <v>1620</v>
      </c>
      <c r="P4263" s="594"/>
      <c r="Q4263" s="597">
        <f t="shared" ref="Q4263:Q4289" si="655">ROUND(M4263*0.0214,0)</f>
        <v>11556</v>
      </c>
      <c r="R4263" s="582">
        <f>M4263/J4263</f>
        <v>27000</v>
      </c>
      <c r="S4263" s="586">
        <f t="shared" si="653"/>
        <v>0</v>
      </c>
      <c r="T4263" s="600"/>
      <c r="U4263" s="709"/>
      <c r="V4263" s="601"/>
      <c r="W4263" s="600"/>
      <c r="X4263" s="601"/>
      <c r="Y4263" s="601"/>
      <c r="Z4263" s="601"/>
    </row>
    <row r="4264" spans="1:30" hidden="1">
      <c r="A4264" s="582">
        <f>A4263+1</f>
        <v>18</v>
      </c>
      <c r="B4264" s="677" t="s">
        <v>3397</v>
      </c>
      <c r="C4264" s="593" t="s">
        <v>271</v>
      </c>
      <c r="D4264" s="644">
        <v>12149</v>
      </c>
      <c r="E4264" s="593">
        <v>2220</v>
      </c>
      <c r="F4264" s="593" t="s">
        <v>222</v>
      </c>
      <c r="G4264" s="593">
        <v>1128</v>
      </c>
      <c r="H4264" s="593">
        <v>5</v>
      </c>
      <c r="I4264" s="593">
        <v>4</v>
      </c>
      <c r="J4264" s="593">
        <v>80</v>
      </c>
      <c r="K4264" s="590" t="s">
        <v>33</v>
      </c>
      <c r="L4264" s="584">
        <f>M4264+N4264+O4264+Q4264</f>
        <v>4077487</v>
      </c>
      <c r="M4264" s="627">
        <v>3948000</v>
      </c>
      <c r="N4264" s="586">
        <v>45000</v>
      </c>
      <c r="O4264" s="587"/>
      <c r="P4264" s="586"/>
      <c r="Q4264" s="597">
        <f t="shared" si="655"/>
        <v>84487</v>
      </c>
      <c r="R4264" s="599">
        <f>M4264/G4264</f>
        <v>3500</v>
      </c>
      <c r="S4264" s="586">
        <f t="shared" si="653"/>
        <v>0</v>
      </c>
      <c r="T4264" s="588"/>
      <c r="U4264" s="589"/>
      <c r="V4264" s="589"/>
      <c r="W4264" s="600"/>
    </row>
    <row r="4265" spans="1:30" s="75" customFormat="1" hidden="1">
      <c r="A4265" s="582">
        <f>A4264+1</f>
        <v>19</v>
      </c>
      <c r="B4265" s="592" t="s">
        <v>3398</v>
      </c>
      <c r="C4265" s="593" t="s">
        <v>271</v>
      </c>
      <c r="D4265" s="594">
        <v>2540</v>
      </c>
      <c r="E4265" s="594">
        <v>485</v>
      </c>
      <c r="F4265" s="594" t="s">
        <v>222</v>
      </c>
      <c r="G4265" s="594">
        <v>844</v>
      </c>
      <c r="H4265" s="594">
        <v>3</v>
      </c>
      <c r="I4265" s="594">
        <v>3</v>
      </c>
      <c r="J4265" s="594">
        <v>18</v>
      </c>
      <c r="K4265" s="590" t="s">
        <v>33</v>
      </c>
      <c r="L4265" s="584">
        <f>M4265+N4265+O4265+Q4265</f>
        <v>2438772</v>
      </c>
      <c r="M4265" s="596">
        <v>2363200</v>
      </c>
      <c r="N4265" s="597">
        <v>25000</v>
      </c>
      <c r="O4265" s="598"/>
      <c r="P4265" s="594"/>
      <c r="Q4265" s="597">
        <f t="shared" si="655"/>
        <v>50572</v>
      </c>
      <c r="R4265" s="599">
        <f>M4265/G4265</f>
        <v>2800</v>
      </c>
      <c r="S4265" s="586">
        <f t="shared" si="653"/>
        <v>0</v>
      </c>
      <c r="T4265" s="600"/>
      <c r="U4265" s="709"/>
      <c r="V4265" s="601"/>
      <c r="W4265" s="600"/>
      <c r="X4265" s="601"/>
      <c r="Y4265" s="601"/>
      <c r="Z4265" s="601"/>
    </row>
    <row r="4266" spans="1:30" s="75" customFormat="1" ht="37.5" hidden="1">
      <c r="A4266" s="582">
        <f>A4265+1</f>
        <v>20</v>
      </c>
      <c r="B4266" s="592" t="s">
        <v>3401</v>
      </c>
      <c r="C4266" s="700" t="s">
        <v>271</v>
      </c>
      <c r="D4266" s="582">
        <v>10824</v>
      </c>
      <c r="E4266" s="582">
        <v>2250</v>
      </c>
      <c r="F4266" s="643" t="s">
        <v>233</v>
      </c>
      <c r="G4266" s="582">
        <v>399</v>
      </c>
      <c r="H4266" s="582">
        <v>9</v>
      </c>
      <c r="I4266" s="582">
        <v>1</v>
      </c>
      <c r="J4266" s="582">
        <v>35</v>
      </c>
      <c r="K4266" s="606" t="s">
        <v>30</v>
      </c>
      <c r="L4266" s="584">
        <f>M4266+N4266+O4266+Q4266</f>
        <v>1100539</v>
      </c>
      <c r="M4266" s="596">
        <v>1074325</v>
      </c>
      <c r="N4266" s="586"/>
      <c r="O4266" s="587">
        <v>3223</v>
      </c>
      <c r="P4266" s="586"/>
      <c r="Q4266" s="597">
        <f t="shared" si="655"/>
        <v>22991</v>
      </c>
      <c r="R4266" s="582">
        <f>M4266/J4266</f>
        <v>30695</v>
      </c>
      <c r="S4266" s="586">
        <f t="shared" si="653"/>
        <v>0</v>
      </c>
      <c r="T4266" s="600"/>
      <c r="U4266" s="709"/>
      <c r="V4266" s="601"/>
      <c r="W4266" s="600"/>
      <c r="X4266" s="601"/>
      <c r="Y4266" s="601"/>
      <c r="Z4266" s="601"/>
    </row>
    <row r="4267" spans="1:30" s="75" customFormat="1" ht="37.5" hidden="1">
      <c r="A4267" s="582">
        <v>21</v>
      </c>
      <c r="B4267" s="592" t="s">
        <v>3410</v>
      </c>
      <c r="C4267" s="593" t="s">
        <v>396</v>
      </c>
      <c r="D4267" s="594">
        <v>4152</v>
      </c>
      <c r="E4267" s="594">
        <v>880</v>
      </c>
      <c r="F4267" s="594" t="s">
        <v>222</v>
      </c>
      <c r="G4267" s="594">
        <v>805</v>
      </c>
      <c r="H4267" s="594">
        <v>2</v>
      </c>
      <c r="I4267" s="594">
        <v>3</v>
      </c>
      <c r="J4267" s="594">
        <v>20</v>
      </c>
      <c r="K4267" s="590" t="s">
        <v>404</v>
      </c>
      <c r="L4267" s="584">
        <f>M4267+N4267+O4267+Q4267</f>
        <v>512200</v>
      </c>
      <c r="M4267" s="596">
        <v>500000</v>
      </c>
      <c r="N4267" s="597"/>
      <c r="O4267" s="1251">
        <v>1500</v>
      </c>
      <c r="P4267" s="594"/>
      <c r="Q4267" s="597">
        <f t="shared" si="655"/>
        <v>10700</v>
      </c>
      <c r="R4267" s="582">
        <f>M4267/J4267</f>
        <v>25000</v>
      </c>
      <c r="S4267" s="586">
        <f t="shared" si="653"/>
        <v>0</v>
      </c>
      <c r="T4267" s="600"/>
      <c r="U4267" s="709"/>
      <c r="V4267" s="601"/>
      <c r="W4267" s="600"/>
      <c r="X4267" s="601"/>
      <c r="Y4267" s="601"/>
      <c r="Z4267" s="601"/>
    </row>
    <row r="4268" spans="1:30" ht="37.5" hidden="1">
      <c r="A4268" s="1364">
        <v>22</v>
      </c>
      <c r="B4268" s="1346" t="s">
        <v>3412</v>
      </c>
      <c r="C4268" s="617" t="s">
        <v>271</v>
      </c>
      <c r="D4268" s="582">
        <v>5989</v>
      </c>
      <c r="E4268" s="582">
        <v>1248</v>
      </c>
      <c r="F4268" s="582" t="s">
        <v>230</v>
      </c>
      <c r="G4268" s="582">
        <v>683</v>
      </c>
      <c r="H4268" s="602">
        <v>4</v>
      </c>
      <c r="I4268" s="602">
        <v>2</v>
      </c>
      <c r="J4268" s="582">
        <v>19</v>
      </c>
      <c r="K4268" s="590" t="s">
        <v>30</v>
      </c>
      <c r="L4268" s="1357">
        <f>M4268+N4268+O4268+Q4268+M4269+N4269+O4269+Q4269</f>
        <v>962110</v>
      </c>
      <c r="M4268" s="585">
        <v>513000</v>
      </c>
      <c r="N4268" s="564">
        <v>15000</v>
      </c>
      <c r="O4268" s="587"/>
      <c r="P4268" s="586"/>
      <c r="Q4268" s="597">
        <f t="shared" si="655"/>
        <v>10978</v>
      </c>
      <c r="R4268" s="582">
        <f>M4268/J4268</f>
        <v>27000</v>
      </c>
      <c r="S4268" s="586">
        <f t="shared" si="653"/>
        <v>423132</v>
      </c>
      <c r="T4268" s="588"/>
      <c r="U4268" s="589"/>
      <c r="V4268" s="589"/>
      <c r="W4268" s="600"/>
    </row>
    <row r="4269" spans="1:30" s="75" customFormat="1" hidden="1">
      <c r="A4269" s="1364"/>
      <c r="B4269" s="1346"/>
      <c r="C4269" s="602"/>
      <c r="D4269" s="582"/>
      <c r="E4269" s="582"/>
      <c r="F4269" s="582"/>
      <c r="G4269" s="582"/>
      <c r="H4269" s="602"/>
      <c r="I4269" s="602"/>
      <c r="J4269" s="582"/>
      <c r="K4269" s="610" t="s">
        <v>224</v>
      </c>
      <c r="L4269" s="1357"/>
      <c r="M4269" s="585">
        <v>380000</v>
      </c>
      <c r="N4269" s="564">
        <v>35000</v>
      </c>
      <c r="O4269" s="587"/>
      <c r="P4269" s="586"/>
      <c r="Q4269" s="597">
        <f t="shared" si="655"/>
        <v>8132</v>
      </c>
      <c r="R4269" s="582">
        <v>20000</v>
      </c>
      <c r="S4269" s="586">
        <f t="shared" si="653"/>
        <v>-423132</v>
      </c>
      <c r="T4269" s="605"/>
      <c r="U4269" s="1189"/>
      <c r="V4269" s="589"/>
      <c r="W4269" s="600"/>
      <c r="X4269" s="601"/>
      <c r="Y4269" s="601"/>
      <c r="Z4269" s="601"/>
    </row>
    <row r="4270" spans="1:30" hidden="1">
      <c r="A4270" s="1364">
        <v>23</v>
      </c>
      <c r="B4270" s="1346" t="s">
        <v>3414</v>
      </c>
      <c r="C4270" s="602" t="s">
        <v>217</v>
      </c>
      <c r="D4270" s="582">
        <v>12456</v>
      </c>
      <c r="E4270" s="646">
        <v>2408</v>
      </c>
      <c r="F4270" s="582" t="s">
        <v>222</v>
      </c>
      <c r="G4270" s="582">
        <v>1238</v>
      </c>
      <c r="H4270" s="582">
        <v>5</v>
      </c>
      <c r="I4270" s="582">
        <v>4</v>
      </c>
      <c r="J4270" s="582">
        <v>80</v>
      </c>
      <c r="K4270" s="590" t="s">
        <v>284</v>
      </c>
      <c r="L4270" s="1357">
        <f>M4270+N4270+O4270+Q4270+M4271+N4271+O4271+Q4271</f>
        <v>13325594</v>
      </c>
      <c r="M4270" s="585">
        <v>10836000</v>
      </c>
      <c r="N4270" s="586">
        <v>45000</v>
      </c>
      <c r="O4270" s="587"/>
      <c r="P4270" s="586"/>
      <c r="Q4270" s="597">
        <f t="shared" si="655"/>
        <v>231890</v>
      </c>
      <c r="R4270" s="599">
        <f>M4270/E4270</f>
        <v>4500</v>
      </c>
      <c r="S4270" s="586">
        <f t="shared" si="653"/>
        <v>2212704</v>
      </c>
      <c r="T4270" s="588"/>
      <c r="U4270" s="589"/>
      <c r="V4270" s="589"/>
      <c r="W4270" s="600"/>
    </row>
    <row r="4271" spans="1:30" ht="37.5" hidden="1">
      <c r="A4271" s="1364"/>
      <c r="B4271" s="1346"/>
      <c r="C4271" s="602"/>
      <c r="D4271" s="582"/>
      <c r="E4271" s="646"/>
      <c r="F4271" s="582"/>
      <c r="G4271" s="582"/>
      <c r="H4271" s="582"/>
      <c r="I4271" s="582"/>
      <c r="J4271" s="582"/>
      <c r="K4271" s="606" t="s">
        <v>30</v>
      </c>
      <c r="L4271" s="1357"/>
      <c r="M4271" s="585">
        <v>2160000</v>
      </c>
      <c r="O4271" s="613">
        <v>6480</v>
      </c>
      <c r="P4271" s="586"/>
      <c r="Q4271" s="597">
        <f t="shared" si="655"/>
        <v>46224</v>
      </c>
      <c r="R4271" s="582">
        <v>27000</v>
      </c>
      <c r="S4271" s="586">
        <f t="shared" si="653"/>
        <v>-2212704</v>
      </c>
      <c r="T4271" s="588"/>
      <c r="U4271" s="589"/>
      <c r="V4271" s="589"/>
      <c r="W4271" s="600"/>
    </row>
    <row r="4272" spans="1:30" s="75" customFormat="1" hidden="1">
      <c r="A4272" s="709">
        <v>24</v>
      </c>
      <c r="B4272" s="592" t="s">
        <v>3823</v>
      </c>
      <c r="C4272" s="593" t="s">
        <v>271</v>
      </c>
      <c r="D4272" s="561">
        <v>12418</v>
      </c>
      <c r="E4272" s="561">
        <v>2500</v>
      </c>
      <c r="F4272" s="594" t="s">
        <v>222</v>
      </c>
      <c r="G4272" s="561">
        <v>1135</v>
      </c>
      <c r="H4272" s="561">
        <v>5</v>
      </c>
      <c r="I4272" s="561">
        <v>4</v>
      </c>
      <c r="J4272" s="561">
        <v>80</v>
      </c>
      <c r="K4272" s="577" t="s">
        <v>33</v>
      </c>
      <c r="L4272" s="584">
        <f>M4272+N4272+O4272+P4272+Q4272</f>
        <v>3720621</v>
      </c>
      <c r="M4272" s="563">
        <v>3632000</v>
      </c>
      <c r="N4272" s="586"/>
      <c r="O4272" s="598">
        <v>10896</v>
      </c>
      <c r="P4272" s="597"/>
      <c r="Q4272" s="597">
        <f t="shared" si="655"/>
        <v>77725</v>
      </c>
      <c r="R4272" s="599">
        <f>M4272/G4272</f>
        <v>3200</v>
      </c>
      <c r="S4272" s="586">
        <f t="shared" si="653"/>
        <v>0</v>
      </c>
      <c r="T4272" s="600"/>
      <c r="U4272" s="709"/>
      <c r="V4272" s="601"/>
      <c r="W4272" s="600"/>
      <c r="X4272" s="601"/>
      <c r="Y4272" s="601"/>
      <c r="Z4272" s="601"/>
    </row>
    <row r="4273" spans="1:26" s="75" customFormat="1" hidden="1">
      <c r="A4273" s="709">
        <f t="shared" ref="A4273:A4278" si="656">A4272+1</f>
        <v>25</v>
      </c>
      <c r="B4273" s="591" t="s">
        <v>3882</v>
      </c>
      <c r="C4273" s="590" t="s">
        <v>314</v>
      </c>
      <c r="D4273" s="1252">
        <v>19352</v>
      </c>
      <c r="E4273" s="1252">
        <v>3690</v>
      </c>
      <c r="F4273" s="1253" t="s">
        <v>233</v>
      </c>
      <c r="G4273" s="1252">
        <v>581</v>
      </c>
      <c r="H4273" s="1254" t="s">
        <v>3881</v>
      </c>
      <c r="I4273" s="609">
        <v>1</v>
      </c>
      <c r="J4273" s="1255">
        <v>78</v>
      </c>
      <c r="K4273" s="606" t="s">
        <v>33</v>
      </c>
      <c r="L4273" s="584">
        <f>M4273+N4273+O4273+Q4273</f>
        <v>1249870.3</v>
      </c>
      <c r="M4273" s="596">
        <v>1220100</v>
      </c>
      <c r="N4273" s="597"/>
      <c r="O4273" s="598">
        <f>M4273*0.3%</f>
        <v>3660.3</v>
      </c>
      <c r="P4273" s="597"/>
      <c r="Q4273" s="597">
        <f t="shared" si="655"/>
        <v>26110</v>
      </c>
      <c r="R4273" s="599">
        <f>M4273/G4273</f>
        <v>2100</v>
      </c>
      <c r="S4273" s="586"/>
      <c r="T4273" s="600"/>
      <c r="U4273" s="709"/>
      <c r="V4273" s="601"/>
      <c r="W4273" s="600"/>
      <c r="X4273" s="601"/>
      <c r="Y4273" s="601"/>
      <c r="Z4273" s="601"/>
    </row>
    <row r="4274" spans="1:26" s="75" customFormat="1" hidden="1">
      <c r="A4274" s="709">
        <f t="shared" si="656"/>
        <v>26</v>
      </c>
      <c r="B4274" s="592" t="s">
        <v>1469</v>
      </c>
      <c r="C4274" s="593" t="s">
        <v>271</v>
      </c>
      <c r="D4274" s="594">
        <v>18880</v>
      </c>
      <c r="E4274" s="594">
        <v>5130</v>
      </c>
      <c r="F4274" s="594" t="s">
        <v>222</v>
      </c>
      <c r="G4274" s="594">
        <v>2565</v>
      </c>
      <c r="H4274" s="594">
        <v>5</v>
      </c>
      <c r="I4274" s="594">
        <v>6</v>
      </c>
      <c r="J4274" s="594">
        <v>104</v>
      </c>
      <c r="K4274" s="588" t="s">
        <v>33</v>
      </c>
      <c r="L4274" s="584">
        <f t="shared" ref="L4274:L4292" si="657">M4274+N4274+O4274+P4274+Q4274</f>
        <v>9196551.5</v>
      </c>
      <c r="M4274" s="596">
        <v>8977500</v>
      </c>
      <c r="N4274" s="597"/>
      <c r="O4274" s="598">
        <v>26932.5</v>
      </c>
      <c r="P4274" s="597"/>
      <c r="Q4274" s="597">
        <f t="shared" si="655"/>
        <v>192119</v>
      </c>
      <c r="R4274" s="599">
        <f>M4274/G4274</f>
        <v>3500</v>
      </c>
      <c r="S4274" s="586">
        <f t="shared" ref="S4274:S4301" si="658">L4274-M4274-N4274-O4274-P4274-Q4274</f>
        <v>0</v>
      </c>
      <c r="T4274" s="600"/>
      <c r="U4274" s="709"/>
      <c r="V4274" s="601"/>
      <c r="W4274" s="600"/>
      <c r="X4274" s="601"/>
      <c r="Y4274" s="601"/>
      <c r="Z4274" s="601"/>
    </row>
    <row r="4275" spans="1:26" s="75" customFormat="1" ht="37.5" hidden="1">
      <c r="A4275" s="709">
        <f t="shared" si="656"/>
        <v>27</v>
      </c>
      <c r="B4275" s="592" t="s">
        <v>2387</v>
      </c>
      <c r="C4275" s="593" t="s">
        <v>217</v>
      </c>
      <c r="D4275" s="594">
        <v>14006</v>
      </c>
      <c r="E4275" s="594">
        <v>2260</v>
      </c>
      <c r="F4275" s="594" t="s">
        <v>251</v>
      </c>
      <c r="G4275" s="594">
        <v>1122</v>
      </c>
      <c r="H4275" s="594">
        <v>5</v>
      </c>
      <c r="I4275" s="594">
        <v>5</v>
      </c>
      <c r="J4275" s="594">
        <v>100</v>
      </c>
      <c r="K4275" s="590" t="s">
        <v>30</v>
      </c>
      <c r="L4275" s="584">
        <f t="shared" si="657"/>
        <v>2765880</v>
      </c>
      <c r="M4275" s="596">
        <v>2700000</v>
      </c>
      <c r="N4275" s="597"/>
      <c r="O4275" s="598">
        <v>8100</v>
      </c>
      <c r="P4275" s="597"/>
      <c r="Q4275" s="597">
        <f t="shared" si="655"/>
        <v>57780</v>
      </c>
      <c r="R4275" s="582">
        <f>M4275/J4275</f>
        <v>27000</v>
      </c>
      <c r="S4275" s="586">
        <f t="shared" si="658"/>
        <v>0</v>
      </c>
      <c r="T4275" s="600"/>
      <c r="U4275" s="709"/>
      <c r="V4275" s="589"/>
      <c r="W4275" s="600"/>
      <c r="X4275" s="601"/>
      <c r="Y4275" s="601"/>
      <c r="Z4275" s="601"/>
    </row>
    <row r="4276" spans="1:26" s="75" customFormat="1" hidden="1">
      <c r="A4276" s="709">
        <f t="shared" si="656"/>
        <v>28</v>
      </c>
      <c r="B4276" s="592" t="s">
        <v>2389</v>
      </c>
      <c r="C4276" s="593" t="s">
        <v>271</v>
      </c>
      <c r="D4276" s="594">
        <v>17804</v>
      </c>
      <c r="E4276" s="594">
        <v>2970</v>
      </c>
      <c r="F4276" s="594" t="s">
        <v>222</v>
      </c>
      <c r="G4276" s="594">
        <v>2100</v>
      </c>
      <c r="H4276" s="594">
        <v>5</v>
      </c>
      <c r="I4276" s="594">
        <v>6</v>
      </c>
      <c r="J4276" s="594">
        <v>100</v>
      </c>
      <c r="K4276" s="590" t="s">
        <v>33</v>
      </c>
      <c r="L4276" s="584">
        <f t="shared" si="657"/>
        <v>7529340</v>
      </c>
      <c r="M4276" s="596">
        <v>7350000</v>
      </c>
      <c r="N4276" s="597"/>
      <c r="O4276" s="598">
        <v>22050</v>
      </c>
      <c r="P4276" s="597"/>
      <c r="Q4276" s="597">
        <f t="shared" si="655"/>
        <v>157290</v>
      </c>
      <c r="R4276" s="599">
        <f>M4276/G4276</f>
        <v>3500</v>
      </c>
      <c r="S4276" s="586">
        <f t="shared" si="658"/>
        <v>0</v>
      </c>
      <c r="T4276" s="600"/>
      <c r="U4276" s="709"/>
      <c r="V4276" s="601"/>
      <c r="W4276" s="600"/>
      <c r="X4276" s="601"/>
      <c r="Y4276" s="601"/>
      <c r="Z4276" s="601"/>
    </row>
    <row r="4277" spans="1:26" hidden="1">
      <c r="A4277" s="709">
        <f t="shared" si="656"/>
        <v>29</v>
      </c>
      <c r="B4277" s="674" t="s">
        <v>3353</v>
      </c>
      <c r="C4277" s="593" t="s">
        <v>271</v>
      </c>
      <c r="D4277" s="708">
        <v>18739</v>
      </c>
      <c r="E4277" s="708">
        <v>3450</v>
      </c>
      <c r="F4277" s="594" t="s">
        <v>222</v>
      </c>
      <c r="G4277" s="708">
        <v>1646</v>
      </c>
      <c r="H4277" s="708">
        <v>5</v>
      </c>
      <c r="I4277" s="708">
        <v>6</v>
      </c>
      <c r="J4277" s="708">
        <v>120</v>
      </c>
      <c r="K4277" s="588" t="s">
        <v>33</v>
      </c>
      <c r="L4277" s="584">
        <f t="shared" si="657"/>
        <v>5648131.7999999998</v>
      </c>
      <c r="M4277" s="611">
        <v>5513600</v>
      </c>
      <c r="N4277" s="586"/>
      <c r="O4277" s="598">
        <v>16540.8</v>
      </c>
      <c r="P4277" s="586"/>
      <c r="Q4277" s="597">
        <f t="shared" si="655"/>
        <v>117991</v>
      </c>
      <c r="R4277" s="599">
        <v>3349.696233292831</v>
      </c>
      <c r="S4277" s="575">
        <f t="shared" si="658"/>
        <v>-1.8917489796876907E-10</v>
      </c>
      <c r="T4277" s="588"/>
      <c r="U4277" s="589"/>
      <c r="V4277" s="589"/>
      <c r="W4277" s="600"/>
    </row>
    <row r="4278" spans="1:26" s="75" customFormat="1" hidden="1">
      <c r="A4278" s="582">
        <f t="shared" si="656"/>
        <v>30</v>
      </c>
      <c r="B4278" s="581" t="s">
        <v>3848</v>
      </c>
      <c r="C4278" s="593" t="s">
        <v>217</v>
      </c>
      <c r="D4278" s="650">
        <v>13364</v>
      </c>
      <c r="E4278" s="599">
        <v>2160</v>
      </c>
      <c r="F4278" s="594" t="s">
        <v>222</v>
      </c>
      <c r="G4278" s="599">
        <v>1150</v>
      </c>
      <c r="H4278" s="594">
        <v>5</v>
      </c>
      <c r="I4278" s="594">
        <v>4</v>
      </c>
      <c r="J4278" s="594">
        <v>80</v>
      </c>
      <c r="K4278" s="588" t="s">
        <v>33</v>
      </c>
      <c r="L4278" s="584">
        <f t="shared" si="657"/>
        <v>4123210</v>
      </c>
      <c r="M4278" s="596">
        <v>4025000</v>
      </c>
      <c r="N4278" s="597"/>
      <c r="O4278" s="598">
        <v>12075</v>
      </c>
      <c r="P4278" s="597"/>
      <c r="Q4278" s="597">
        <f t="shared" si="655"/>
        <v>86135</v>
      </c>
      <c r="R4278" s="599">
        <f>M4278/G4278</f>
        <v>3500</v>
      </c>
      <c r="S4278" s="586">
        <f t="shared" si="658"/>
        <v>0</v>
      </c>
      <c r="T4278" s="600"/>
      <c r="U4278" s="709"/>
      <c r="V4278" s="601"/>
      <c r="W4278" s="600"/>
      <c r="X4278" s="601"/>
      <c r="Y4278" s="601"/>
      <c r="Z4278" s="601"/>
    </row>
    <row r="4279" spans="1:26" s="75" customFormat="1" hidden="1">
      <c r="A4279" s="582">
        <f t="shared" ref="A4279:A4288" si="659">A4278+1</f>
        <v>31</v>
      </c>
      <c r="B4279" s="1011" t="s">
        <v>3864</v>
      </c>
      <c r="C4279" s="593" t="s">
        <v>271</v>
      </c>
      <c r="D4279" s="618">
        <v>26665</v>
      </c>
      <c r="E4279" s="619">
        <v>3657</v>
      </c>
      <c r="F4279" s="643" t="s">
        <v>233</v>
      </c>
      <c r="G4279" s="619">
        <v>1606.3</v>
      </c>
      <c r="H4279" s="561">
        <v>6</v>
      </c>
      <c r="I4279" s="561">
        <v>6</v>
      </c>
      <c r="J4279" s="650">
        <v>110</v>
      </c>
      <c r="K4279" s="577" t="s">
        <v>33</v>
      </c>
      <c r="L4279" s="584">
        <f t="shared" si="657"/>
        <v>3455536.69</v>
      </c>
      <c r="M4279" s="585">
        <v>3373230</v>
      </c>
      <c r="N4279" s="586"/>
      <c r="O4279" s="598">
        <v>10119.69</v>
      </c>
      <c r="P4279" s="564"/>
      <c r="Q4279" s="597">
        <f t="shared" si="655"/>
        <v>72187</v>
      </c>
      <c r="R4279" s="599">
        <f>M4279/G4279</f>
        <v>2100</v>
      </c>
      <c r="S4279" s="586">
        <f t="shared" si="658"/>
        <v>0</v>
      </c>
      <c r="T4279" s="600"/>
      <c r="U4279" s="709"/>
      <c r="V4279" s="601"/>
      <c r="W4279" s="600"/>
      <c r="X4279" s="601"/>
      <c r="Y4279" s="601"/>
      <c r="Z4279" s="601"/>
    </row>
    <row r="4280" spans="1:26" s="75" customFormat="1" hidden="1">
      <c r="A4280" s="582">
        <f t="shared" si="659"/>
        <v>32</v>
      </c>
      <c r="B4280" s="592" t="s">
        <v>2399</v>
      </c>
      <c r="C4280" s="593" t="s">
        <v>217</v>
      </c>
      <c r="D4280" s="594">
        <v>62234</v>
      </c>
      <c r="E4280" s="594">
        <v>10268</v>
      </c>
      <c r="F4280" s="594" t="s">
        <v>233</v>
      </c>
      <c r="G4280" s="594">
        <v>2694</v>
      </c>
      <c r="H4280" s="594">
        <v>9</v>
      </c>
      <c r="I4280" s="594">
        <v>6</v>
      </c>
      <c r="J4280" s="594">
        <v>323</v>
      </c>
      <c r="K4280" s="590" t="s">
        <v>224</v>
      </c>
      <c r="L4280" s="584">
        <f t="shared" si="657"/>
        <v>6630244</v>
      </c>
      <c r="M4280" s="596">
        <v>6460000</v>
      </c>
      <c r="N4280" s="597">
        <v>32000</v>
      </c>
      <c r="O4280" s="598"/>
      <c r="P4280" s="597"/>
      <c r="Q4280" s="597">
        <f t="shared" si="655"/>
        <v>138244</v>
      </c>
      <c r="R4280" s="599">
        <f>M4280/J4280</f>
        <v>20000</v>
      </c>
      <c r="S4280" s="586">
        <f t="shared" si="658"/>
        <v>0</v>
      </c>
      <c r="T4280" s="600"/>
      <c r="U4280" s="709"/>
      <c r="V4280" s="601"/>
      <c r="W4280" s="600"/>
      <c r="X4280" s="601"/>
      <c r="Y4280" s="601"/>
      <c r="Z4280" s="601"/>
    </row>
    <row r="4281" spans="1:26" s="75" customFormat="1" hidden="1">
      <c r="A4281" s="582">
        <f t="shared" si="659"/>
        <v>33</v>
      </c>
      <c r="B4281" s="592" t="s">
        <v>3869</v>
      </c>
      <c r="C4281" s="593" t="s">
        <v>271</v>
      </c>
      <c r="D4281" s="594">
        <v>13198</v>
      </c>
      <c r="E4281" s="594">
        <v>3240</v>
      </c>
      <c r="F4281" s="594" t="s">
        <v>222</v>
      </c>
      <c r="G4281" s="594">
        <v>1234</v>
      </c>
      <c r="H4281" s="594">
        <v>4</v>
      </c>
      <c r="I4281" s="594">
        <v>3</v>
      </c>
      <c r="J4281" s="594">
        <v>34</v>
      </c>
      <c r="K4281" s="588" t="s">
        <v>224</v>
      </c>
      <c r="L4281" s="584">
        <f t="shared" si="657"/>
        <v>590642</v>
      </c>
      <c r="M4281" s="563">
        <v>544000</v>
      </c>
      <c r="N4281" s="597">
        <v>35000</v>
      </c>
      <c r="O4281" s="565"/>
      <c r="P4281" s="564"/>
      <c r="Q4281" s="597">
        <f t="shared" si="655"/>
        <v>11642</v>
      </c>
      <c r="R4281" s="599">
        <f>M4281/J4281</f>
        <v>16000</v>
      </c>
      <c r="S4281" s="586">
        <f t="shared" si="658"/>
        <v>0</v>
      </c>
      <c r="T4281" s="600"/>
      <c r="U4281" s="709"/>
      <c r="V4281" s="601"/>
      <c r="W4281" s="600"/>
      <c r="X4281" s="601"/>
      <c r="Y4281" s="601"/>
      <c r="Z4281" s="601"/>
    </row>
    <row r="4282" spans="1:26" s="75" customFormat="1" hidden="1">
      <c r="A4282" s="582">
        <f t="shared" si="659"/>
        <v>34</v>
      </c>
      <c r="B4282" s="592" t="s">
        <v>3843</v>
      </c>
      <c r="C4282" s="593" t="s">
        <v>271</v>
      </c>
      <c r="D4282" s="602">
        <v>17190</v>
      </c>
      <c r="E4282" s="602">
        <v>2356</v>
      </c>
      <c r="F4282" s="594" t="s">
        <v>222</v>
      </c>
      <c r="G4282" s="602">
        <v>1146</v>
      </c>
      <c r="H4282" s="602">
        <v>5</v>
      </c>
      <c r="I4282" s="602">
        <v>4</v>
      </c>
      <c r="J4282" s="602">
        <v>80</v>
      </c>
      <c r="K4282" s="588" t="s">
        <v>284</v>
      </c>
      <c r="L4282" s="584">
        <f t="shared" si="657"/>
        <v>10863883</v>
      </c>
      <c r="M4282" s="596">
        <v>10602000</v>
      </c>
      <c r="N4282" s="597">
        <v>35000</v>
      </c>
      <c r="O4282" s="598"/>
      <c r="P4282" s="597"/>
      <c r="Q4282" s="597">
        <f t="shared" si="655"/>
        <v>226883</v>
      </c>
      <c r="R4282" s="599">
        <f>M4282/E4282</f>
        <v>4500</v>
      </c>
      <c r="S4282" s="586">
        <f t="shared" si="658"/>
        <v>0</v>
      </c>
      <c r="T4282" s="600"/>
      <c r="U4282" s="709"/>
      <c r="V4282" s="601"/>
      <c r="W4282" s="600"/>
      <c r="X4282" s="601"/>
      <c r="Y4282" s="601"/>
      <c r="Z4282" s="601"/>
    </row>
    <row r="4283" spans="1:26" s="75" customFormat="1" hidden="1">
      <c r="A4283" s="582">
        <f t="shared" si="659"/>
        <v>35</v>
      </c>
      <c r="B4283" s="592" t="s">
        <v>3861</v>
      </c>
      <c r="C4283" s="593" t="s">
        <v>217</v>
      </c>
      <c r="D4283" s="594">
        <v>9193</v>
      </c>
      <c r="E4283" s="594">
        <v>2317</v>
      </c>
      <c r="F4283" s="643" t="s">
        <v>233</v>
      </c>
      <c r="G4283" s="594">
        <v>359.4</v>
      </c>
      <c r="H4283" s="594">
        <v>9</v>
      </c>
      <c r="I4283" s="594">
        <v>1</v>
      </c>
      <c r="J4283" s="594">
        <v>43</v>
      </c>
      <c r="K4283" s="588" t="s">
        <v>284</v>
      </c>
      <c r="L4283" s="584">
        <f t="shared" si="657"/>
        <v>6661435</v>
      </c>
      <c r="M4283" s="563">
        <v>6487600</v>
      </c>
      <c r="N4283" s="564">
        <v>35000</v>
      </c>
      <c r="O4283" s="565"/>
      <c r="P4283" s="564"/>
      <c r="Q4283" s="597">
        <f t="shared" si="655"/>
        <v>138835</v>
      </c>
      <c r="R4283" s="599">
        <f>M4283/E4283</f>
        <v>2800</v>
      </c>
      <c r="S4283" s="586">
        <f t="shared" si="658"/>
        <v>0</v>
      </c>
      <c r="T4283" s="600"/>
      <c r="U4283" s="709"/>
      <c r="V4283" s="601"/>
      <c r="W4283" s="600"/>
      <c r="X4283" s="601"/>
      <c r="Y4283" s="601"/>
      <c r="Z4283" s="601"/>
    </row>
    <row r="4284" spans="1:26" s="75" customFormat="1" ht="37.5" hidden="1">
      <c r="A4284" s="582">
        <f t="shared" si="659"/>
        <v>36</v>
      </c>
      <c r="B4284" s="592" t="s">
        <v>3863</v>
      </c>
      <c r="C4284" s="593" t="s">
        <v>271</v>
      </c>
      <c r="D4284" s="594">
        <v>4413</v>
      </c>
      <c r="E4284" s="594">
        <v>480</v>
      </c>
      <c r="F4284" s="594" t="s">
        <v>222</v>
      </c>
      <c r="G4284" s="594">
        <v>686.6</v>
      </c>
      <c r="H4284" s="594">
        <v>2</v>
      </c>
      <c r="I4284" s="594">
        <v>1</v>
      </c>
      <c r="J4284" s="594">
        <v>38</v>
      </c>
      <c r="K4284" s="588" t="s">
        <v>30</v>
      </c>
      <c r="L4284" s="584">
        <f t="shared" si="657"/>
        <v>1051034</v>
      </c>
      <c r="M4284" s="596">
        <v>1026000</v>
      </c>
      <c r="N4284" s="597"/>
      <c r="O4284" s="598">
        <v>3078</v>
      </c>
      <c r="P4284" s="597"/>
      <c r="Q4284" s="597">
        <f t="shared" si="655"/>
        <v>21956</v>
      </c>
      <c r="R4284" s="599">
        <f>M4284/J4284</f>
        <v>27000</v>
      </c>
      <c r="S4284" s="586">
        <f t="shared" si="658"/>
        <v>0</v>
      </c>
      <c r="T4284" s="600"/>
      <c r="U4284" s="709"/>
      <c r="V4284" s="601"/>
      <c r="W4284" s="600"/>
      <c r="X4284" s="601"/>
      <c r="Y4284" s="601"/>
      <c r="Z4284" s="601"/>
    </row>
    <row r="4285" spans="1:26" s="75" customFormat="1" hidden="1">
      <c r="A4285" s="582">
        <f t="shared" si="659"/>
        <v>37</v>
      </c>
      <c r="B4285" s="592" t="s">
        <v>3871</v>
      </c>
      <c r="C4285" s="593" t="s">
        <v>271</v>
      </c>
      <c r="D4285" s="594">
        <v>18612</v>
      </c>
      <c r="E4285" s="594">
        <v>2244</v>
      </c>
      <c r="F4285" s="594" t="s">
        <v>222</v>
      </c>
      <c r="G4285" s="594">
        <v>1291</v>
      </c>
      <c r="H4285" s="594">
        <v>5</v>
      </c>
      <c r="I4285" s="594">
        <v>1</v>
      </c>
      <c r="J4285" s="594">
        <v>196</v>
      </c>
      <c r="K4285" s="588" t="s">
        <v>224</v>
      </c>
      <c r="L4285" s="584">
        <f t="shared" si="657"/>
        <v>3238110</v>
      </c>
      <c r="M4285" s="596">
        <v>3136000</v>
      </c>
      <c r="N4285" s="597">
        <v>35000</v>
      </c>
      <c r="O4285" s="598"/>
      <c r="P4285" s="597"/>
      <c r="Q4285" s="597">
        <f t="shared" si="655"/>
        <v>67110</v>
      </c>
      <c r="R4285" s="582">
        <f>M4285/J4285</f>
        <v>16000</v>
      </c>
      <c r="S4285" s="586">
        <f t="shared" si="658"/>
        <v>0</v>
      </c>
      <c r="T4285" s="600"/>
      <c r="U4285" s="709"/>
      <c r="V4285" s="601"/>
      <c r="W4285" s="600"/>
      <c r="X4285" s="601"/>
      <c r="Y4285" s="601"/>
      <c r="Z4285" s="601"/>
    </row>
    <row r="4286" spans="1:26" s="75" customFormat="1" hidden="1">
      <c r="A4286" s="582">
        <f t="shared" si="659"/>
        <v>38</v>
      </c>
      <c r="B4286" s="592" t="s">
        <v>2457</v>
      </c>
      <c r="C4286" s="593" t="s">
        <v>271</v>
      </c>
      <c r="D4286" s="594">
        <v>17594</v>
      </c>
      <c r="E4286" s="594">
        <v>1100</v>
      </c>
      <c r="F4286" s="594" t="s">
        <v>222</v>
      </c>
      <c r="G4286" s="594">
        <v>1679</v>
      </c>
      <c r="H4286" s="594">
        <v>5</v>
      </c>
      <c r="I4286" s="594">
        <v>4</v>
      </c>
      <c r="J4286" s="594">
        <v>118</v>
      </c>
      <c r="K4286" s="590" t="s">
        <v>33</v>
      </c>
      <c r="L4286" s="584">
        <f t="shared" si="657"/>
        <v>6019886.5</v>
      </c>
      <c r="M4286" s="596">
        <v>5876500</v>
      </c>
      <c r="N4286" s="597"/>
      <c r="O4286" s="598">
        <v>17629.5</v>
      </c>
      <c r="P4286" s="597"/>
      <c r="Q4286" s="597">
        <f t="shared" si="655"/>
        <v>125757</v>
      </c>
      <c r="R4286" s="561">
        <f>M4286/G4286</f>
        <v>3500</v>
      </c>
      <c r="S4286" s="586">
        <f t="shared" si="658"/>
        <v>0</v>
      </c>
      <c r="T4286" s="600"/>
      <c r="U4286" s="709"/>
      <c r="V4286" s="589"/>
      <c r="W4286" s="600"/>
      <c r="X4286" s="601"/>
      <c r="Y4286" s="601"/>
      <c r="Z4286" s="601"/>
    </row>
    <row r="4287" spans="1:26" s="75" customFormat="1" hidden="1">
      <c r="A4287" s="582">
        <f t="shared" si="659"/>
        <v>39</v>
      </c>
      <c r="B4287" s="592" t="s">
        <v>3858</v>
      </c>
      <c r="C4287" s="593" t="s">
        <v>271</v>
      </c>
      <c r="D4287" s="594">
        <v>27143</v>
      </c>
      <c r="E4287" s="594">
        <v>2928</v>
      </c>
      <c r="F4287" s="643" t="s">
        <v>233</v>
      </c>
      <c r="G4287" s="594">
        <v>1202</v>
      </c>
      <c r="H4287" s="594">
        <v>9</v>
      </c>
      <c r="I4287" s="594">
        <v>3</v>
      </c>
      <c r="J4287" s="594">
        <v>108</v>
      </c>
      <c r="K4287" s="588" t="s">
        <v>224</v>
      </c>
      <c r="L4287" s="584">
        <f t="shared" si="657"/>
        <v>2241224</v>
      </c>
      <c r="M4287" s="563">
        <v>2160000</v>
      </c>
      <c r="N4287" s="597">
        <v>35000</v>
      </c>
      <c r="O4287" s="565"/>
      <c r="P4287" s="564"/>
      <c r="Q4287" s="597">
        <f t="shared" si="655"/>
        <v>46224</v>
      </c>
      <c r="R4287" s="599">
        <f>M4287/J4287</f>
        <v>20000</v>
      </c>
      <c r="S4287" s="586">
        <f t="shared" si="658"/>
        <v>0</v>
      </c>
      <c r="T4287" s="600"/>
      <c r="U4287" s="709"/>
      <c r="V4287" s="601"/>
      <c r="W4287" s="600"/>
      <c r="X4287" s="601"/>
      <c r="Y4287" s="601"/>
      <c r="Z4287" s="601"/>
    </row>
    <row r="4288" spans="1:26" s="75" customFormat="1" hidden="1">
      <c r="A4288" s="582">
        <f t="shared" si="659"/>
        <v>40</v>
      </c>
      <c r="B4288" s="592" t="s">
        <v>3859</v>
      </c>
      <c r="C4288" s="593" t="s">
        <v>217</v>
      </c>
      <c r="D4288" s="594">
        <v>13672</v>
      </c>
      <c r="E4288" s="594">
        <v>2534</v>
      </c>
      <c r="F4288" s="643" t="s">
        <v>233</v>
      </c>
      <c r="G4288" s="594">
        <v>963</v>
      </c>
      <c r="H4288" s="594">
        <v>5</v>
      </c>
      <c r="I4288" s="594">
        <v>4</v>
      </c>
      <c r="J4288" s="594">
        <v>64</v>
      </c>
      <c r="K4288" s="588" t="s">
        <v>224</v>
      </c>
      <c r="L4288" s="584">
        <f t="shared" si="657"/>
        <v>1799979</v>
      </c>
      <c r="M4288" s="563">
        <v>1728000</v>
      </c>
      <c r="N4288" s="564">
        <v>35000</v>
      </c>
      <c r="O4288" s="565"/>
      <c r="P4288" s="564"/>
      <c r="Q4288" s="597">
        <f t="shared" si="655"/>
        <v>36979</v>
      </c>
      <c r="R4288" s="582">
        <f>M4288/J4288</f>
        <v>27000</v>
      </c>
      <c r="S4288" s="586">
        <f t="shared" si="658"/>
        <v>0</v>
      </c>
      <c r="T4288" s="600"/>
      <c r="U4288" s="709"/>
      <c r="V4288" s="601"/>
      <c r="W4288" s="600"/>
      <c r="X4288" s="601"/>
      <c r="Y4288" s="601"/>
      <c r="Z4288" s="601"/>
    </row>
    <row r="4289" spans="1:26" s="75" customFormat="1" ht="37.5" hidden="1">
      <c r="A4289" s="709">
        <f>A4288+1</f>
        <v>41</v>
      </c>
      <c r="B4289" s="592" t="s">
        <v>3867</v>
      </c>
      <c r="C4289" s="593" t="s">
        <v>271</v>
      </c>
      <c r="D4289" s="594">
        <v>1742</v>
      </c>
      <c r="E4289" s="594">
        <v>392</v>
      </c>
      <c r="F4289" s="594" t="s">
        <v>222</v>
      </c>
      <c r="G4289" s="594">
        <v>297.5</v>
      </c>
      <c r="H4289" s="594">
        <v>2</v>
      </c>
      <c r="I4289" s="594">
        <v>1</v>
      </c>
      <c r="J4289" s="594">
        <v>4</v>
      </c>
      <c r="K4289" s="588" t="s">
        <v>30</v>
      </c>
      <c r="L4289" s="584">
        <f t="shared" si="657"/>
        <v>110635</v>
      </c>
      <c r="M4289" s="563">
        <v>108000</v>
      </c>
      <c r="N4289" s="564"/>
      <c r="O4289" s="598">
        <v>324</v>
      </c>
      <c r="P4289" s="564"/>
      <c r="Q4289" s="597">
        <f t="shared" si="655"/>
        <v>2311</v>
      </c>
      <c r="R4289" s="599">
        <f>M4289/J4289</f>
        <v>27000</v>
      </c>
      <c r="S4289" s="586">
        <f t="shared" si="658"/>
        <v>0</v>
      </c>
      <c r="T4289" s="600"/>
      <c r="U4289" s="709"/>
      <c r="V4289" s="601"/>
      <c r="W4289" s="600"/>
      <c r="X4289" s="601"/>
      <c r="Y4289" s="601"/>
      <c r="Z4289" s="601"/>
    </row>
    <row r="4290" spans="1:26" s="75" customFormat="1" ht="37.5" hidden="1">
      <c r="A4290" s="709">
        <f>A4289+1</f>
        <v>42</v>
      </c>
      <c r="B4290" s="592" t="s">
        <v>3850</v>
      </c>
      <c r="C4290" s="593" t="s">
        <v>271</v>
      </c>
      <c r="D4290" s="594">
        <v>30653</v>
      </c>
      <c r="E4290" s="594">
        <v>1216.5999999999999</v>
      </c>
      <c r="F4290" s="594" t="s">
        <v>233</v>
      </c>
      <c r="G4290" s="594">
        <v>400</v>
      </c>
      <c r="H4290" s="594">
        <v>7</v>
      </c>
      <c r="I4290" s="594">
        <v>1</v>
      </c>
      <c r="J4290" s="594">
        <v>115</v>
      </c>
      <c r="K4290" s="588" t="s">
        <v>30</v>
      </c>
      <c r="L4290" s="584">
        <f t="shared" si="657"/>
        <v>3731040</v>
      </c>
      <c r="M4290" s="596">
        <v>3680000</v>
      </c>
      <c r="N4290" s="597"/>
      <c r="O4290" s="598">
        <v>11040</v>
      </c>
      <c r="P4290" s="597"/>
      <c r="Q4290" s="597">
        <v>40000</v>
      </c>
      <c r="R4290" s="582">
        <f>M4290/J4290</f>
        <v>32000</v>
      </c>
      <c r="S4290" s="586">
        <f t="shared" si="658"/>
        <v>0</v>
      </c>
      <c r="T4290" s="600"/>
      <c r="U4290" s="709"/>
      <c r="V4290" s="601"/>
      <c r="W4290" s="600"/>
      <c r="X4290" s="601"/>
      <c r="Y4290" s="601"/>
      <c r="Z4290" s="601"/>
    </row>
    <row r="4291" spans="1:26" s="75" customFormat="1" hidden="1">
      <c r="A4291" s="709">
        <f>A4290+1</f>
        <v>43</v>
      </c>
      <c r="B4291" s="1011" t="s">
        <v>3857</v>
      </c>
      <c r="C4291" s="593" t="s">
        <v>271</v>
      </c>
      <c r="D4291" s="618">
        <v>23600</v>
      </c>
      <c r="E4291" s="619">
        <v>3754</v>
      </c>
      <c r="F4291" s="594" t="s">
        <v>230</v>
      </c>
      <c r="G4291" s="619">
        <v>902.3</v>
      </c>
      <c r="H4291" s="561">
        <v>9</v>
      </c>
      <c r="I4291" s="561">
        <v>2</v>
      </c>
      <c r="J4291" s="650">
        <v>102</v>
      </c>
      <c r="K4291" s="588" t="s">
        <v>224</v>
      </c>
      <c r="L4291" s="584">
        <f t="shared" si="657"/>
        <v>2118656</v>
      </c>
      <c r="M4291" s="596">
        <v>2040000</v>
      </c>
      <c r="N4291" s="597">
        <v>35000</v>
      </c>
      <c r="O4291" s="598"/>
      <c r="P4291" s="597"/>
      <c r="Q4291" s="597">
        <f t="shared" ref="Q4291:Q4304" si="660">ROUND(M4291*0.0214,0)</f>
        <v>43656</v>
      </c>
      <c r="R4291" s="599">
        <f>M4291/J4291</f>
        <v>20000</v>
      </c>
      <c r="S4291" s="586">
        <f t="shared" si="658"/>
        <v>0</v>
      </c>
      <c r="T4291" s="600"/>
      <c r="U4291" s="709"/>
      <c r="V4291" s="601"/>
      <c r="W4291" s="600"/>
      <c r="X4291" s="601"/>
      <c r="Y4291" s="601"/>
      <c r="Z4291" s="601"/>
    </row>
    <row r="4292" spans="1:26" s="75" customFormat="1" hidden="1">
      <c r="A4292" s="709">
        <f>A4291+1</f>
        <v>44</v>
      </c>
      <c r="B4292" s="592" t="s">
        <v>2481</v>
      </c>
      <c r="C4292" s="593" t="s">
        <v>271</v>
      </c>
      <c r="D4292" s="594">
        <v>17895</v>
      </c>
      <c r="E4292" s="594">
        <v>3383</v>
      </c>
      <c r="F4292" s="594" t="s">
        <v>233</v>
      </c>
      <c r="G4292" s="594">
        <v>1486</v>
      </c>
      <c r="H4292" s="594">
        <v>5</v>
      </c>
      <c r="I4292" s="594">
        <v>6</v>
      </c>
      <c r="J4292" s="594">
        <v>80</v>
      </c>
      <c r="K4292" s="590" t="s">
        <v>252</v>
      </c>
      <c r="L4292" s="584">
        <f t="shared" si="657"/>
        <v>4598401</v>
      </c>
      <c r="M4292" s="596">
        <v>4458000</v>
      </c>
      <c r="N4292" s="597">
        <v>45000</v>
      </c>
      <c r="O4292" s="598"/>
      <c r="P4292" s="597"/>
      <c r="Q4292" s="597">
        <f t="shared" si="660"/>
        <v>95401</v>
      </c>
      <c r="R4292" s="582">
        <f>M4292/G4292</f>
        <v>3000</v>
      </c>
      <c r="S4292" s="586">
        <f t="shared" si="658"/>
        <v>0</v>
      </c>
      <c r="T4292" s="600"/>
      <c r="U4292" s="709"/>
      <c r="V4292" s="601"/>
      <c r="W4292" s="600"/>
      <c r="X4292" s="601"/>
      <c r="Y4292" s="601"/>
      <c r="Z4292" s="601"/>
    </row>
    <row r="4293" spans="1:26" s="75" customFormat="1" hidden="1">
      <c r="A4293" s="709">
        <f>A4292+1</f>
        <v>45</v>
      </c>
      <c r="B4293" s="592" t="s">
        <v>3852</v>
      </c>
      <c r="C4293" s="593" t="s">
        <v>3814</v>
      </c>
      <c r="D4293" s="594">
        <v>6758</v>
      </c>
      <c r="E4293" s="594">
        <v>1608</v>
      </c>
      <c r="F4293" s="594" t="s">
        <v>222</v>
      </c>
      <c r="G4293" s="594">
        <v>1239</v>
      </c>
      <c r="H4293" s="594">
        <v>2</v>
      </c>
      <c r="I4293" s="594">
        <v>3</v>
      </c>
      <c r="J4293" s="594">
        <v>18</v>
      </c>
      <c r="K4293" s="588" t="s">
        <v>224</v>
      </c>
      <c r="L4293" s="1348">
        <f>M4293+N4293+O4293+Q4293+M4294+N4294+O4294+Q4294</f>
        <v>785143</v>
      </c>
      <c r="M4293" s="596">
        <v>288000</v>
      </c>
      <c r="N4293" s="597">
        <v>30000</v>
      </c>
      <c r="O4293" s="598"/>
      <c r="P4293" s="597"/>
      <c r="Q4293" s="597">
        <f t="shared" si="660"/>
        <v>6163</v>
      </c>
      <c r="R4293" s="599">
        <f>M4293/J4293</f>
        <v>16000</v>
      </c>
      <c r="S4293" s="586">
        <f t="shared" si="658"/>
        <v>460980</v>
      </c>
      <c r="T4293" s="600"/>
      <c r="U4293" s="709"/>
      <c r="V4293" s="601"/>
      <c r="W4293" s="600"/>
      <c r="X4293" s="601"/>
      <c r="Y4293" s="601"/>
      <c r="Z4293" s="601"/>
    </row>
    <row r="4294" spans="1:26" s="75" customFormat="1" ht="37.5" hidden="1">
      <c r="A4294" s="709"/>
      <c r="B4294" s="592"/>
      <c r="C4294" s="593"/>
      <c r="D4294" s="594"/>
      <c r="E4294" s="594"/>
      <c r="F4294" s="594"/>
      <c r="G4294" s="594"/>
      <c r="H4294" s="594"/>
      <c r="I4294" s="594"/>
      <c r="J4294" s="594"/>
      <c r="K4294" s="588" t="s">
        <v>30</v>
      </c>
      <c r="L4294" s="1348"/>
      <c r="M4294" s="596">
        <v>450000</v>
      </c>
      <c r="N4294" s="597"/>
      <c r="O4294" s="598">
        <v>1350</v>
      </c>
      <c r="P4294" s="597"/>
      <c r="Q4294" s="597">
        <f t="shared" si="660"/>
        <v>9630</v>
      </c>
      <c r="R4294" s="599">
        <f>M4294/J4293</f>
        <v>25000</v>
      </c>
      <c r="S4294" s="586">
        <f t="shared" si="658"/>
        <v>-460980</v>
      </c>
      <c r="T4294" s="600"/>
      <c r="U4294" s="709"/>
      <c r="V4294" s="601"/>
      <c r="W4294" s="600"/>
      <c r="X4294" s="601"/>
      <c r="Y4294" s="601"/>
      <c r="Z4294" s="601"/>
    </row>
    <row r="4295" spans="1:26" s="75" customFormat="1" hidden="1">
      <c r="A4295" s="709">
        <v>46</v>
      </c>
      <c r="B4295" s="592" t="s">
        <v>3851</v>
      </c>
      <c r="C4295" s="593" t="s">
        <v>271</v>
      </c>
      <c r="D4295" s="594">
        <v>15375</v>
      </c>
      <c r="E4295" s="594">
        <v>3114</v>
      </c>
      <c r="F4295" s="594" t="s">
        <v>222</v>
      </c>
      <c r="G4295" s="594">
        <v>1372</v>
      </c>
      <c r="H4295" s="594">
        <v>4</v>
      </c>
      <c r="I4295" s="594">
        <v>4</v>
      </c>
      <c r="J4295" s="594">
        <v>52</v>
      </c>
      <c r="K4295" s="588" t="s">
        <v>224</v>
      </c>
      <c r="L4295" s="1348">
        <f>M4295+N4295+O4295+Q4295+M4296+N4296+O4296+Q4296</f>
        <v>2323063</v>
      </c>
      <c r="M4295" s="596">
        <v>832000</v>
      </c>
      <c r="N4295" s="597">
        <v>35000</v>
      </c>
      <c r="O4295" s="598"/>
      <c r="P4295" s="597"/>
      <c r="Q4295" s="597">
        <f t="shared" si="660"/>
        <v>17805</v>
      </c>
      <c r="R4295" s="599">
        <f>M4295/J4295</f>
        <v>16000</v>
      </c>
      <c r="S4295" s="586">
        <f t="shared" si="658"/>
        <v>1438258</v>
      </c>
      <c r="T4295" s="600"/>
      <c r="U4295" s="709"/>
      <c r="V4295" s="601"/>
      <c r="W4295" s="600"/>
      <c r="X4295" s="601"/>
      <c r="Y4295" s="601"/>
      <c r="Z4295" s="601"/>
    </row>
    <row r="4296" spans="1:26" s="75" customFormat="1" ht="37.5" hidden="1">
      <c r="A4296" s="709"/>
      <c r="B4296" s="592"/>
      <c r="C4296" s="593"/>
      <c r="D4296" s="594"/>
      <c r="E4296" s="594"/>
      <c r="F4296" s="594"/>
      <c r="G4296" s="594"/>
      <c r="H4296" s="594"/>
      <c r="I4296" s="594"/>
      <c r="J4296" s="594"/>
      <c r="K4296" s="588" t="s">
        <v>30</v>
      </c>
      <c r="L4296" s="1348"/>
      <c r="M4296" s="596">
        <v>1404000</v>
      </c>
      <c r="N4296" s="597"/>
      <c r="O4296" s="598">
        <v>4212</v>
      </c>
      <c r="P4296" s="597"/>
      <c r="Q4296" s="597">
        <f t="shared" si="660"/>
        <v>30046</v>
      </c>
      <c r="R4296" s="599">
        <v>27000</v>
      </c>
      <c r="S4296" s="586">
        <f t="shared" si="658"/>
        <v>-1438258</v>
      </c>
      <c r="T4296" s="600"/>
      <c r="U4296" s="709"/>
      <c r="V4296" s="601"/>
      <c r="W4296" s="600"/>
      <c r="X4296" s="601"/>
      <c r="Y4296" s="601"/>
      <c r="Z4296" s="601"/>
    </row>
    <row r="4297" spans="1:26" s="75" customFormat="1" ht="37.5" hidden="1">
      <c r="A4297" s="709">
        <v>47</v>
      </c>
      <c r="B4297" s="592" t="s">
        <v>3844</v>
      </c>
      <c r="C4297" s="593" t="s">
        <v>271</v>
      </c>
      <c r="D4297" s="594">
        <v>13400</v>
      </c>
      <c r="E4297" s="594">
        <v>2721</v>
      </c>
      <c r="F4297" s="594" t="s">
        <v>230</v>
      </c>
      <c r="G4297" s="594">
        <v>1072</v>
      </c>
      <c r="H4297" s="594">
        <v>4</v>
      </c>
      <c r="I4297" s="594">
        <v>4</v>
      </c>
      <c r="J4297" s="594">
        <v>41</v>
      </c>
      <c r="K4297" s="590" t="s">
        <v>30</v>
      </c>
      <c r="L4297" s="584">
        <f t="shared" ref="L4297:L4315" si="661">M4297+N4297+O4297+P4297+Q4297</f>
        <v>1134011</v>
      </c>
      <c r="M4297" s="596">
        <v>1107000</v>
      </c>
      <c r="N4297" s="597"/>
      <c r="O4297" s="598">
        <v>3321</v>
      </c>
      <c r="P4297" s="597"/>
      <c r="Q4297" s="597">
        <f t="shared" si="660"/>
        <v>23690</v>
      </c>
      <c r="R4297" s="582">
        <f>M4297/J4297</f>
        <v>27000</v>
      </c>
      <c r="S4297" s="586">
        <f t="shared" si="658"/>
        <v>0</v>
      </c>
      <c r="T4297" s="600"/>
      <c r="U4297" s="709"/>
      <c r="V4297" s="601"/>
      <c r="W4297" s="600"/>
      <c r="X4297" s="601"/>
      <c r="Y4297" s="601"/>
      <c r="Z4297" s="601"/>
    </row>
    <row r="4298" spans="1:26" s="75" customFormat="1" ht="37.5" hidden="1">
      <c r="A4298" s="709">
        <f t="shared" ref="A4298:A4306" si="662">A4297+1</f>
        <v>48</v>
      </c>
      <c r="B4298" s="592" t="s">
        <v>3862</v>
      </c>
      <c r="C4298" s="593" t="s">
        <v>271</v>
      </c>
      <c r="D4298" s="650">
        <v>21061</v>
      </c>
      <c r="E4298" s="594">
        <v>3502</v>
      </c>
      <c r="F4298" s="643" t="s">
        <v>233</v>
      </c>
      <c r="G4298" s="594">
        <v>513</v>
      </c>
      <c r="H4298" s="594">
        <v>12</v>
      </c>
      <c r="I4298" s="594">
        <v>1</v>
      </c>
      <c r="J4298" s="594">
        <v>77</v>
      </c>
      <c r="K4298" s="588" t="s">
        <v>30</v>
      </c>
      <c r="L4298" s="584">
        <f t="shared" si="661"/>
        <v>2524122</v>
      </c>
      <c r="M4298" s="563">
        <v>2464000</v>
      </c>
      <c r="N4298" s="564"/>
      <c r="O4298" s="565">
        <v>7392</v>
      </c>
      <c r="P4298" s="564"/>
      <c r="Q4298" s="597">
        <f t="shared" si="660"/>
        <v>52730</v>
      </c>
      <c r="R4298" s="599">
        <f>M4298/J4298</f>
        <v>32000</v>
      </c>
      <c r="S4298" s="586">
        <f t="shared" si="658"/>
        <v>0</v>
      </c>
      <c r="T4298" s="600"/>
      <c r="U4298" s="709"/>
      <c r="V4298" s="601"/>
      <c r="W4298" s="600"/>
      <c r="X4298" s="601"/>
      <c r="Y4298" s="601"/>
      <c r="Z4298" s="601"/>
    </row>
    <row r="4299" spans="1:26" s="75" customFormat="1" hidden="1">
      <c r="A4299" s="709">
        <f t="shared" si="662"/>
        <v>49</v>
      </c>
      <c r="B4299" s="592" t="s">
        <v>600</v>
      </c>
      <c r="C4299" s="593" t="s">
        <v>217</v>
      </c>
      <c r="D4299" s="561">
        <v>15852</v>
      </c>
      <c r="E4299" s="561">
        <v>2950</v>
      </c>
      <c r="F4299" s="643" t="s">
        <v>233</v>
      </c>
      <c r="G4299" s="561">
        <v>680</v>
      </c>
      <c r="H4299" s="625">
        <v>9</v>
      </c>
      <c r="I4299" s="625">
        <v>2</v>
      </c>
      <c r="J4299" s="561">
        <v>72</v>
      </c>
      <c r="K4299" s="577" t="s">
        <v>33</v>
      </c>
      <c r="L4299" s="584">
        <f t="shared" si="661"/>
        <v>1462843</v>
      </c>
      <c r="M4299" s="563">
        <v>1428000</v>
      </c>
      <c r="N4299" s="564"/>
      <c r="O4299" s="598">
        <v>4284</v>
      </c>
      <c r="P4299" s="564"/>
      <c r="Q4299" s="597">
        <f t="shared" si="660"/>
        <v>30559</v>
      </c>
      <c r="R4299" s="599">
        <f>M4299/G4299</f>
        <v>2100</v>
      </c>
      <c r="S4299" s="586">
        <f t="shared" si="658"/>
        <v>0</v>
      </c>
      <c r="T4299" s="600"/>
      <c r="U4299" s="709"/>
      <c r="V4299" s="601"/>
      <c r="W4299" s="600"/>
      <c r="X4299" s="601"/>
      <c r="Y4299" s="601"/>
      <c r="Z4299" s="601"/>
    </row>
    <row r="4300" spans="1:26" s="75" customFormat="1" hidden="1">
      <c r="A4300" s="709">
        <f t="shared" si="662"/>
        <v>50</v>
      </c>
      <c r="B4300" s="592" t="s">
        <v>2568</v>
      </c>
      <c r="C4300" s="593" t="s">
        <v>271</v>
      </c>
      <c r="D4300" s="594">
        <v>16298</v>
      </c>
      <c r="E4300" s="594">
        <v>2380</v>
      </c>
      <c r="F4300" s="594" t="s">
        <v>222</v>
      </c>
      <c r="G4300" s="594">
        <v>1218</v>
      </c>
      <c r="H4300" s="594">
        <v>5</v>
      </c>
      <c r="I4300" s="594">
        <v>4</v>
      </c>
      <c r="J4300" s="594">
        <v>70</v>
      </c>
      <c r="K4300" s="590" t="s">
        <v>33</v>
      </c>
      <c r="L4300" s="584">
        <f t="shared" si="661"/>
        <v>4367017</v>
      </c>
      <c r="M4300" s="596">
        <v>4263000</v>
      </c>
      <c r="N4300" s="597"/>
      <c r="O4300" s="598">
        <v>12789</v>
      </c>
      <c r="P4300" s="597"/>
      <c r="Q4300" s="597">
        <f t="shared" si="660"/>
        <v>91228</v>
      </c>
      <c r="R4300" s="599">
        <f>M4300/G4300</f>
        <v>3500</v>
      </c>
      <c r="S4300" s="586">
        <f t="shared" si="658"/>
        <v>0</v>
      </c>
      <c r="T4300" s="600"/>
      <c r="U4300" s="709"/>
      <c r="V4300" s="601"/>
      <c r="W4300" s="600"/>
      <c r="X4300" s="601"/>
      <c r="Y4300" s="601"/>
      <c r="Z4300" s="601"/>
    </row>
    <row r="4301" spans="1:26" s="75" customFormat="1" hidden="1">
      <c r="A4301" s="709">
        <f t="shared" si="662"/>
        <v>51</v>
      </c>
      <c r="B4301" s="592" t="s">
        <v>2577</v>
      </c>
      <c r="C4301" s="593" t="s">
        <v>217</v>
      </c>
      <c r="D4301" s="594">
        <v>18609</v>
      </c>
      <c r="E4301" s="594">
        <v>3409</v>
      </c>
      <c r="F4301" s="594" t="s">
        <v>251</v>
      </c>
      <c r="G4301" s="594">
        <v>1674</v>
      </c>
      <c r="H4301" s="594">
        <v>5</v>
      </c>
      <c r="I4301" s="594">
        <v>6</v>
      </c>
      <c r="J4301" s="594">
        <v>120</v>
      </c>
      <c r="K4301" s="590" t="s">
        <v>33</v>
      </c>
      <c r="L4301" s="584">
        <f t="shared" si="661"/>
        <v>5487506.4000000004</v>
      </c>
      <c r="M4301" s="596">
        <v>5356800</v>
      </c>
      <c r="N4301" s="586"/>
      <c r="O4301" s="598">
        <v>16070.4</v>
      </c>
      <c r="P4301" s="586"/>
      <c r="Q4301" s="597">
        <f t="shared" si="660"/>
        <v>114636</v>
      </c>
      <c r="R4301" s="599">
        <f>M4301/G4301</f>
        <v>3200</v>
      </c>
      <c r="S4301" s="586">
        <f t="shared" si="658"/>
        <v>3.7834979593753815E-10</v>
      </c>
      <c r="T4301" s="600"/>
      <c r="U4301" s="709"/>
      <c r="V4301" s="601"/>
      <c r="W4301" s="600"/>
      <c r="X4301" s="601"/>
      <c r="Y4301" s="601"/>
      <c r="Z4301" s="601"/>
    </row>
    <row r="4302" spans="1:26" s="31" customFormat="1" ht="37.5" hidden="1">
      <c r="A4302" s="709">
        <f t="shared" si="662"/>
        <v>52</v>
      </c>
      <c r="B4302" s="592" t="s">
        <v>2624</v>
      </c>
      <c r="C4302" s="593" t="s">
        <v>271</v>
      </c>
      <c r="D4302" s="594">
        <v>17426</v>
      </c>
      <c r="E4302" s="594">
        <v>2608</v>
      </c>
      <c r="F4302" s="594" t="s">
        <v>251</v>
      </c>
      <c r="G4302" s="594">
        <v>1150</v>
      </c>
      <c r="H4302" s="594">
        <v>5</v>
      </c>
      <c r="I4302" s="594">
        <v>4</v>
      </c>
      <c r="J4302" s="594">
        <v>64</v>
      </c>
      <c r="K4302" s="590" t="s">
        <v>30</v>
      </c>
      <c r="L4302" s="967">
        <f t="shared" si="661"/>
        <v>1770163</v>
      </c>
      <c r="M4302" s="775">
        <v>1728000</v>
      </c>
      <c r="N4302" s="597"/>
      <c r="O4302" s="1191">
        <v>5184</v>
      </c>
      <c r="P4302" s="597"/>
      <c r="Q4302" s="1184">
        <f t="shared" si="660"/>
        <v>36979</v>
      </c>
      <c r="R4302" s="599">
        <f>M4302/J4302</f>
        <v>27000</v>
      </c>
      <c r="S4302" s="1256"/>
      <c r="T4302" s="601"/>
      <c r="U4302" s="601"/>
      <c r="V4302" s="601"/>
      <c r="W4302" s="601"/>
      <c r="X4302" s="601"/>
      <c r="Y4302" s="601"/>
      <c r="Z4302" s="601"/>
    </row>
    <row r="4303" spans="1:26" s="75" customFormat="1" hidden="1">
      <c r="A4303" s="709">
        <f t="shared" si="662"/>
        <v>53</v>
      </c>
      <c r="B4303" s="592" t="s">
        <v>3860</v>
      </c>
      <c r="C4303" s="593" t="s">
        <v>271</v>
      </c>
      <c r="D4303" s="594">
        <v>13256</v>
      </c>
      <c r="E4303" s="594">
        <v>3030</v>
      </c>
      <c r="F4303" s="594" t="s">
        <v>222</v>
      </c>
      <c r="G4303" s="594">
        <v>972</v>
      </c>
      <c r="H4303" s="594">
        <v>5</v>
      </c>
      <c r="I4303" s="594">
        <v>4</v>
      </c>
      <c r="J4303" s="594">
        <v>79</v>
      </c>
      <c r="K4303" s="588" t="s">
        <v>38</v>
      </c>
      <c r="L4303" s="584">
        <f t="shared" si="661"/>
        <v>7737105</v>
      </c>
      <c r="M4303" s="563">
        <v>7575000</v>
      </c>
      <c r="N4303" s="564"/>
      <c r="O4303" s="565"/>
      <c r="P4303" s="564"/>
      <c r="Q4303" s="597">
        <f t="shared" si="660"/>
        <v>162105</v>
      </c>
      <c r="R4303" s="599">
        <f>M4303/E4303</f>
        <v>2500</v>
      </c>
      <c r="S4303" s="586">
        <f t="shared" ref="S4303:S4318" si="663">L4303-M4303-N4303-O4303-P4303-Q4303</f>
        <v>0</v>
      </c>
      <c r="T4303" s="600"/>
      <c r="U4303" s="709"/>
      <c r="V4303" s="601"/>
      <c r="W4303" s="600"/>
      <c r="X4303" s="601"/>
      <c r="Y4303" s="601"/>
      <c r="Z4303" s="601"/>
    </row>
    <row r="4304" spans="1:26" s="75" customFormat="1" hidden="1">
      <c r="A4304" s="709">
        <f t="shared" si="662"/>
        <v>54</v>
      </c>
      <c r="B4304" s="592" t="s">
        <v>3853</v>
      </c>
      <c r="C4304" s="593" t="s">
        <v>271</v>
      </c>
      <c r="D4304" s="594">
        <v>3938</v>
      </c>
      <c r="E4304" s="594">
        <v>1222</v>
      </c>
      <c r="F4304" s="594" t="s">
        <v>222</v>
      </c>
      <c r="G4304" s="594">
        <v>844</v>
      </c>
      <c r="H4304" s="594">
        <v>2</v>
      </c>
      <c r="I4304" s="594">
        <v>3</v>
      </c>
      <c r="J4304" s="594">
        <v>18</v>
      </c>
      <c r="K4304" s="588" t="s">
        <v>33</v>
      </c>
      <c r="L4304" s="584">
        <f t="shared" si="661"/>
        <v>1902106.4</v>
      </c>
      <c r="M4304" s="596">
        <v>1856800</v>
      </c>
      <c r="N4304" s="597"/>
      <c r="O4304" s="598">
        <v>5570.4000000000005</v>
      </c>
      <c r="P4304" s="597"/>
      <c r="Q4304" s="597">
        <f t="shared" si="660"/>
        <v>39736</v>
      </c>
      <c r="R4304" s="599">
        <f>M4304/G4304</f>
        <v>2200</v>
      </c>
      <c r="S4304" s="586">
        <f t="shared" si="663"/>
        <v>-9.4587448984384537E-11</v>
      </c>
      <c r="T4304" s="600"/>
      <c r="U4304" s="709"/>
      <c r="V4304" s="601"/>
      <c r="W4304" s="600"/>
      <c r="X4304" s="601"/>
      <c r="Y4304" s="601"/>
      <c r="Z4304" s="601"/>
    </row>
    <row r="4305" spans="1:26" s="75" customFormat="1" ht="37.5" hidden="1">
      <c r="A4305" s="709">
        <f t="shared" si="662"/>
        <v>55</v>
      </c>
      <c r="B4305" s="1011" t="s">
        <v>3855</v>
      </c>
      <c r="C4305" s="593" t="s">
        <v>217</v>
      </c>
      <c r="D4305" s="618">
        <v>30739</v>
      </c>
      <c r="E4305" s="619">
        <v>6804</v>
      </c>
      <c r="F4305" s="643" t="s">
        <v>233</v>
      </c>
      <c r="G4305" s="619">
        <v>1364</v>
      </c>
      <c r="H4305" s="561">
        <v>9</v>
      </c>
      <c r="I4305" s="561">
        <v>4</v>
      </c>
      <c r="J4305" s="650">
        <v>144</v>
      </c>
      <c r="K4305" s="588" t="s">
        <v>30</v>
      </c>
      <c r="L4305" s="584">
        <f t="shared" si="661"/>
        <v>4661824</v>
      </c>
      <c r="M4305" s="596">
        <v>4608000</v>
      </c>
      <c r="N4305" s="597"/>
      <c r="O4305" s="598">
        <v>13824</v>
      </c>
      <c r="P4305" s="597"/>
      <c r="Q4305" s="597">
        <v>40000</v>
      </c>
      <c r="R4305" s="599">
        <f>M4305/J4305</f>
        <v>32000</v>
      </c>
      <c r="S4305" s="586">
        <f t="shared" si="663"/>
        <v>0</v>
      </c>
      <c r="T4305" s="600"/>
      <c r="U4305" s="709"/>
      <c r="V4305" s="601"/>
      <c r="W4305" s="600"/>
      <c r="X4305" s="601"/>
      <c r="Y4305" s="601"/>
      <c r="Z4305" s="601"/>
    </row>
    <row r="4306" spans="1:26" s="75" customFormat="1" ht="37.5" hidden="1">
      <c r="A4306" s="709">
        <f t="shared" si="662"/>
        <v>56</v>
      </c>
      <c r="B4306" s="1011" t="s">
        <v>3856</v>
      </c>
      <c r="C4306" s="593" t="s">
        <v>217</v>
      </c>
      <c r="D4306" s="618">
        <v>33560</v>
      </c>
      <c r="E4306" s="619">
        <v>6804</v>
      </c>
      <c r="F4306" s="643" t="s">
        <v>233</v>
      </c>
      <c r="G4306" s="619">
        <v>1382</v>
      </c>
      <c r="H4306" s="561">
        <v>9</v>
      </c>
      <c r="I4306" s="561">
        <v>4</v>
      </c>
      <c r="J4306" s="650">
        <v>144</v>
      </c>
      <c r="K4306" s="588" t="s">
        <v>30</v>
      </c>
      <c r="L4306" s="584">
        <f t="shared" si="661"/>
        <v>4661824</v>
      </c>
      <c r="M4306" s="611">
        <v>4608000</v>
      </c>
      <c r="N4306" s="597"/>
      <c r="O4306" s="598">
        <v>13824</v>
      </c>
      <c r="P4306" s="597"/>
      <c r="Q4306" s="597">
        <v>40000</v>
      </c>
      <c r="R4306" s="599">
        <f>M4306/J4306</f>
        <v>32000</v>
      </c>
      <c r="S4306" s="586">
        <f t="shared" si="663"/>
        <v>0</v>
      </c>
      <c r="T4306" s="600"/>
      <c r="U4306" s="709"/>
      <c r="V4306" s="601"/>
      <c r="W4306" s="600"/>
      <c r="X4306" s="601"/>
      <c r="Y4306" s="601"/>
      <c r="Z4306" s="601"/>
    </row>
    <row r="4307" spans="1:26" s="75" customFormat="1" hidden="1">
      <c r="A4307" s="709">
        <f t="shared" ref="A4307:A4316" si="664">A4306+1</f>
        <v>57</v>
      </c>
      <c r="B4307" s="592" t="s">
        <v>3849</v>
      </c>
      <c r="C4307" s="593" t="s">
        <v>271</v>
      </c>
      <c r="D4307" s="594"/>
      <c r="E4307" s="594">
        <v>4010</v>
      </c>
      <c r="F4307" s="676" t="s">
        <v>233</v>
      </c>
      <c r="G4307" s="594">
        <v>1177</v>
      </c>
      <c r="H4307" s="594">
        <v>10</v>
      </c>
      <c r="I4307" s="594">
        <v>3</v>
      </c>
      <c r="J4307" s="594">
        <v>90</v>
      </c>
      <c r="K4307" s="588" t="s">
        <v>33</v>
      </c>
      <c r="L4307" s="584">
        <f t="shared" si="661"/>
        <v>717080</v>
      </c>
      <c r="M4307" s="596">
        <v>700000</v>
      </c>
      <c r="N4307" s="597"/>
      <c r="O4307" s="598">
        <v>2100</v>
      </c>
      <c r="P4307" s="597"/>
      <c r="Q4307" s="597">
        <v>14980</v>
      </c>
      <c r="R4307" s="561">
        <v>594.73237043330505</v>
      </c>
      <c r="S4307" s="586">
        <f t="shared" si="663"/>
        <v>0</v>
      </c>
      <c r="T4307" s="600"/>
      <c r="U4307" s="709"/>
      <c r="V4307" s="601"/>
      <c r="W4307" s="600"/>
      <c r="X4307" s="601"/>
      <c r="Y4307" s="601"/>
      <c r="Z4307" s="601"/>
    </row>
    <row r="4308" spans="1:26" s="75" customFormat="1" ht="37.5" hidden="1">
      <c r="A4308" s="709">
        <f t="shared" si="664"/>
        <v>58</v>
      </c>
      <c r="B4308" s="592" t="s">
        <v>3868</v>
      </c>
      <c r="C4308" s="593" t="s">
        <v>271</v>
      </c>
      <c r="D4308" s="650">
        <v>1909</v>
      </c>
      <c r="E4308" s="594">
        <v>640</v>
      </c>
      <c r="F4308" s="594" t="s">
        <v>222</v>
      </c>
      <c r="G4308" s="594">
        <v>386</v>
      </c>
      <c r="H4308" s="594">
        <v>2</v>
      </c>
      <c r="I4308" s="594">
        <v>1</v>
      </c>
      <c r="J4308" s="594">
        <v>8</v>
      </c>
      <c r="K4308" s="588" t="s">
        <v>30</v>
      </c>
      <c r="L4308" s="584">
        <f t="shared" si="661"/>
        <v>221270</v>
      </c>
      <c r="M4308" s="563">
        <v>216000</v>
      </c>
      <c r="N4308" s="564"/>
      <c r="O4308" s="565">
        <v>648</v>
      </c>
      <c r="P4308" s="564"/>
      <c r="Q4308" s="597">
        <v>4622</v>
      </c>
      <c r="R4308" s="599">
        <f>M4308/J4308</f>
        <v>27000</v>
      </c>
      <c r="S4308" s="586">
        <f t="shared" si="663"/>
        <v>0</v>
      </c>
      <c r="T4308" s="600"/>
      <c r="U4308" s="709"/>
      <c r="V4308" s="601"/>
      <c r="W4308" s="600"/>
      <c r="X4308" s="601"/>
      <c r="Y4308" s="601"/>
      <c r="Z4308" s="601"/>
    </row>
    <row r="4309" spans="1:26" s="75" customFormat="1" hidden="1">
      <c r="A4309" s="709">
        <f t="shared" si="664"/>
        <v>59</v>
      </c>
      <c r="B4309" s="592" t="s">
        <v>3845</v>
      </c>
      <c r="C4309" s="593" t="s">
        <v>217</v>
      </c>
      <c r="D4309" s="594">
        <v>13878</v>
      </c>
      <c r="E4309" s="594">
        <v>2260</v>
      </c>
      <c r="F4309" s="594" t="s">
        <v>222</v>
      </c>
      <c r="G4309" s="594">
        <v>1144</v>
      </c>
      <c r="H4309" s="594">
        <v>5</v>
      </c>
      <c r="I4309" s="594">
        <v>4</v>
      </c>
      <c r="J4309" s="594">
        <v>80</v>
      </c>
      <c r="K4309" s="588" t="s">
        <v>284</v>
      </c>
      <c r="L4309" s="584">
        <f t="shared" si="661"/>
        <v>10245000</v>
      </c>
      <c r="M4309" s="596">
        <v>10170000</v>
      </c>
      <c r="N4309" s="597">
        <v>35000</v>
      </c>
      <c r="O4309" s="598"/>
      <c r="P4309" s="597"/>
      <c r="Q4309" s="597">
        <v>40000</v>
      </c>
      <c r="R4309" s="599">
        <f>M4309/E4309</f>
        <v>4500</v>
      </c>
      <c r="S4309" s="586">
        <f t="shared" si="663"/>
        <v>0</v>
      </c>
      <c r="T4309" s="600"/>
      <c r="U4309" s="709"/>
      <c r="V4309" s="601"/>
      <c r="W4309" s="600"/>
      <c r="X4309" s="601"/>
      <c r="Y4309" s="601"/>
      <c r="Z4309" s="601"/>
    </row>
    <row r="4310" spans="1:26" s="75" customFormat="1" ht="37.5" hidden="1">
      <c r="A4310" s="709">
        <f t="shared" si="664"/>
        <v>60</v>
      </c>
      <c r="B4310" s="592" t="s">
        <v>2662</v>
      </c>
      <c r="C4310" s="593" t="s">
        <v>217</v>
      </c>
      <c r="D4310" s="650">
        <v>6650</v>
      </c>
      <c r="E4310" s="594">
        <v>4155</v>
      </c>
      <c r="F4310" s="594" t="s">
        <v>222</v>
      </c>
      <c r="G4310" s="594">
        <v>1984</v>
      </c>
      <c r="H4310" s="594">
        <v>5</v>
      </c>
      <c r="I4310" s="594">
        <v>7</v>
      </c>
      <c r="J4310" s="594">
        <v>140</v>
      </c>
      <c r="K4310" s="590" t="s">
        <v>30</v>
      </c>
      <c r="L4310" s="584">
        <f t="shared" si="661"/>
        <v>3831340</v>
      </c>
      <c r="M4310" s="596">
        <v>3780000</v>
      </c>
      <c r="N4310" s="597"/>
      <c r="O4310" s="598">
        <v>11340</v>
      </c>
      <c r="P4310" s="597"/>
      <c r="Q4310" s="597">
        <v>40000</v>
      </c>
      <c r="R4310" s="599">
        <f>M4310/J4310</f>
        <v>27000</v>
      </c>
      <c r="S4310" s="586">
        <f t="shared" si="663"/>
        <v>0</v>
      </c>
      <c r="T4310" s="600"/>
      <c r="U4310" s="709"/>
      <c r="V4310" s="601"/>
      <c r="W4310" s="600"/>
      <c r="X4310" s="601"/>
      <c r="Y4310" s="601"/>
      <c r="Z4310" s="601"/>
    </row>
    <row r="4311" spans="1:26" s="75" customFormat="1" hidden="1">
      <c r="A4311" s="709">
        <f t="shared" si="664"/>
        <v>61</v>
      </c>
      <c r="B4311" s="1011" t="s">
        <v>3865</v>
      </c>
      <c r="C4311" s="593" t="s">
        <v>271</v>
      </c>
      <c r="D4311" s="618">
        <v>12642</v>
      </c>
      <c r="E4311" s="619">
        <v>2438</v>
      </c>
      <c r="F4311" s="643" t="s">
        <v>233</v>
      </c>
      <c r="G4311" s="619">
        <v>1178.5999999999999</v>
      </c>
      <c r="H4311" s="561">
        <v>5</v>
      </c>
      <c r="I4311" s="561">
        <v>4</v>
      </c>
      <c r="J4311" s="650">
        <v>80</v>
      </c>
      <c r="K4311" s="577" t="s">
        <v>33</v>
      </c>
      <c r="L4311" s="584">
        <f t="shared" si="661"/>
        <v>2535451.1800000002</v>
      </c>
      <c r="M4311" s="585">
        <v>2475060</v>
      </c>
      <c r="N4311" s="586"/>
      <c r="O4311" s="598">
        <v>7425.18</v>
      </c>
      <c r="P4311" s="564"/>
      <c r="Q4311" s="597">
        <v>52966</v>
      </c>
      <c r="R4311" s="599">
        <f>M4311/G4311</f>
        <v>2100</v>
      </c>
      <c r="S4311" s="586">
        <f t="shared" si="663"/>
        <v>1.673470251262188E-10</v>
      </c>
      <c r="T4311" s="600"/>
      <c r="U4311" s="709"/>
      <c r="V4311" s="601"/>
      <c r="W4311" s="600"/>
      <c r="X4311" s="601"/>
      <c r="Y4311" s="601"/>
      <c r="Z4311" s="601"/>
    </row>
    <row r="4312" spans="1:26" s="75" customFormat="1" ht="56.25" hidden="1">
      <c r="A4312" s="709">
        <f t="shared" si="664"/>
        <v>62</v>
      </c>
      <c r="B4312" s="581" t="s">
        <v>3760</v>
      </c>
      <c r="C4312" s="593" t="s">
        <v>271</v>
      </c>
      <c r="D4312" s="603">
        <v>80745</v>
      </c>
      <c r="E4312" s="594">
        <v>9021.6</v>
      </c>
      <c r="F4312" s="643" t="s">
        <v>233</v>
      </c>
      <c r="G4312" s="603">
        <v>1778.9</v>
      </c>
      <c r="H4312" s="609">
        <v>18</v>
      </c>
      <c r="I4312" s="609">
        <v>3</v>
      </c>
      <c r="J4312" s="609">
        <v>262</v>
      </c>
      <c r="K4312" s="590" t="s">
        <v>3880</v>
      </c>
      <c r="L4312" s="595">
        <f t="shared" si="661"/>
        <v>555700</v>
      </c>
      <c r="M4312" s="611">
        <v>510700</v>
      </c>
      <c r="N4312" s="612">
        <v>45000</v>
      </c>
      <c r="O4312" s="613"/>
      <c r="P4312" s="586"/>
      <c r="Q4312" s="597"/>
      <c r="R4312" s="582"/>
      <c r="S4312" s="586">
        <f t="shared" si="663"/>
        <v>0</v>
      </c>
      <c r="T4312" s="600"/>
      <c r="U4312" s="709"/>
      <c r="V4312" s="589"/>
      <c r="W4312" s="600"/>
      <c r="X4312" s="601"/>
      <c r="Y4312" s="601"/>
      <c r="Z4312" s="601"/>
    </row>
    <row r="4313" spans="1:26" s="75" customFormat="1" hidden="1">
      <c r="A4313" s="709">
        <f t="shared" si="664"/>
        <v>63</v>
      </c>
      <c r="B4313" s="592" t="s">
        <v>3854</v>
      </c>
      <c r="C4313" s="593" t="s">
        <v>217</v>
      </c>
      <c r="D4313" s="618">
        <v>44490</v>
      </c>
      <c r="E4313" s="619">
        <v>7282</v>
      </c>
      <c r="F4313" s="643" t="s">
        <v>233</v>
      </c>
      <c r="G4313" s="619">
        <v>1856</v>
      </c>
      <c r="H4313" s="602">
        <v>9</v>
      </c>
      <c r="I4313" s="602">
        <v>4</v>
      </c>
      <c r="J4313" s="650">
        <v>187</v>
      </c>
      <c r="K4313" s="588" t="s">
        <v>284</v>
      </c>
      <c r="L4313" s="584">
        <f t="shared" si="661"/>
        <v>32844000</v>
      </c>
      <c r="M4313" s="596">
        <v>32769000</v>
      </c>
      <c r="N4313" s="597">
        <v>35000</v>
      </c>
      <c r="O4313" s="598"/>
      <c r="P4313" s="597"/>
      <c r="Q4313" s="597">
        <v>40000</v>
      </c>
      <c r="R4313" s="599">
        <f>M4313/E4313</f>
        <v>4500</v>
      </c>
      <c r="S4313" s="586">
        <f t="shared" si="663"/>
        <v>0</v>
      </c>
      <c r="T4313" s="600"/>
      <c r="U4313" s="709"/>
      <c r="V4313" s="601"/>
      <c r="W4313" s="600"/>
      <c r="X4313" s="601"/>
      <c r="Y4313" s="601"/>
      <c r="Z4313" s="601"/>
    </row>
    <row r="4314" spans="1:26" s="75" customFormat="1" ht="56.25" hidden="1">
      <c r="A4314" s="709">
        <f t="shared" si="664"/>
        <v>64</v>
      </c>
      <c r="B4314" s="592" t="s">
        <v>3847</v>
      </c>
      <c r="C4314" s="593" t="s">
        <v>217</v>
      </c>
      <c r="D4314" s="594">
        <v>47250</v>
      </c>
      <c r="E4314" s="594">
        <v>7678.6</v>
      </c>
      <c r="F4314" s="594" t="s">
        <v>233</v>
      </c>
      <c r="G4314" s="594">
        <v>1660.7</v>
      </c>
      <c r="H4314" s="594">
        <v>9</v>
      </c>
      <c r="I4314" s="594">
        <v>6</v>
      </c>
      <c r="J4314" s="594">
        <v>216</v>
      </c>
      <c r="K4314" s="588" t="s">
        <v>3819</v>
      </c>
      <c r="L4314" s="584">
        <f t="shared" si="661"/>
        <v>19271500</v>
      </c>
      <c r="M4314" s="596">
        <v>19196500</v>
      </c>
      <c r="N4314" s="597">
        <v>35000</v>
      </c>
      <c r="O4314" s="598"/>
      <c r="P4314" s="597"/>
      <c r="Q4314" s="597">
        <v>40000</v>
      </c>
      <c r="R4314" s="599">
        <f>M4314/E4314</f>
        <v>2500</v>
      </c>
      <c r="S4314" s="586">
        <f t="shared" si="663"/>
        <v>0</v>
      </c>
      <c r="T4314" s="600"/>
      <c r="U4314" s="709"/>
      <c r="V4314" s="601"/>
      <c r="W4314" s="600"/>
      <c r="X4314" s="601"/>
      <c r="Y4314" s="601"/>
      <c r="Z4314" s="601"/>
    </row>
    <row r="4315" spans="1:26" s="75" customFormat="1" ht="37.5" hidden="1">
      <c r="A4315" s="709">
        <f t="shared" si="664"/>
        <v>65</v>
      </c>
      <c r="B4315" s="592" t="s">
        <v>783</v>
      </c>
      <c r="C4315" s="593" t="s">
        <v>271</v>
      </c>
      <c r="D4315" s="708">
        <v>73370</v>
      </c>
      <c r="E4315" s="708">
        <v>7128</v>
      </c>
      <c r="F4315" s="643" t="s">
        <v>233</v>
      </c>
      <c r="G4315" s="708">
        <v>2808</v>
      </c>
      <c r="H4315" s="710">
        <v>9</v>
      </c>
      <c r="I4315" s="602">
        <v>6</v>
      </c>
      <c r="J4315" s="708">
        <v>285</v>
      </c>
      <c r="K4315" s="588" t="s">
        <v>219</v>
      </c>
      <c r="L4315" s="584">
        <f t="shared" si="661"/>
        <v>12191250</v>
      </c>
      <c r="M4315" s="585">
        <v>12000000</v>
      </c>
      <c r="N4315" s="586">
        <v>191250</v>
      </c>
      <c r="O4315" s="587"/>
      <c r="P4315" s="586"/>
      <c r="Q4315" s="597"/>
      <c r="R4315" s="599">
        <f>M4315/I4315</f>
        <v>2000000</v>
      </c>
      <c r="S4315" s="586">
        <f t="shared" si="663"/>
        <v>0</v>
      </c>
      <c r="T4315" s="600"/>
      <c r="U4315" s="709"/>
      <c r="V4315" s="601"/>
      <c r="W4315" s="600"/>
      <c r="X4315" s="601"/>
      <c r="Y4315" s="601"/>
      <c r="Z4315" s="601"/>
    </row>
    <row r="4316" spans="1:26" hidden="1">
      <c r="A4316" s="709">
        <f t="shared" si="664"/>
        <v>66</v>
      </c>
      <c r="B4316" s="592" t="s">
        <v>3413</v>
      </c>
      <c r="C4316" s="593" t="s">
        <v>217</v>
      </c>
      <c r="D4316" s="582">
        <v>55719</v>
      </c>
      <c r="E4316" s="582">
        <v>3880</v>
      </c>
      <c r="F4316" s="594" t="s">
        <v>222</v>
      </c>
      <c r="G4316" s="582">
        <v>1979</v>
      </c>
      <c r="H4316" s="582">
        <v>5</v>
      </c>
      <c r="I4316" s="582">
        <v>7</v>
      </c>
      <c r="J4316" s="582">
        <v>139</v>
      </c>
      <c r="K4316" s="588" t="s">
        <v>224</v>
      </c>
      <c r="L4316" s="1348">
        <f>M4316+N4316+O4316+P4316+Q4316+M4317+N4317+O4317+P4317+Q4317</f>
        <v>9921119.8000000007</v>
      </c>
      <c r="M4316" s="690">
        <v>3058000</v>
      </c>
      <c r="N4316" s="597">
        <v>35000</v>
      </c>
      <c r="O4316" s="598"/>
      <c r="P4316" s="586"/>
      <c r="Q4316" s="597">
        <v>65441</v>
      </c>
      <c r="R4316" s="582">
        <v>17625.899280575541</v>
      </c>
      <c r="S4316" s="575">
        <f t="shared" si="663"/>
        <v>6762678.8000000007</v>
      </c>
      <c r="T4316" s="588"/>
      <c r="U4316" s="589"/>
      <c r="V4316" s="589"/>
      <c r="W4316" s="600"/>
    </row>
    <row r="4317" spans="1:26" hidden="1">
      <c r="A4317" s="714"/>
      <c r="B4317" s="592"/>
      <c r="C4317" s="593"/>
      <c r="D4317" s="582"/>
      <c r="E4317" s="582"/>
      <c r="F4317" s="594"/>
      <c r="G4317" s="582"/>
      <c r="H4317" s="582"/>
      <c r="I4317" s="582"/>
      <c r="J4317" s="582"/>
      <c r="K4317" s="588" t="s">
        <v>33</v>
      </c>
      <c r="L4317" s="1348"/>
      <c r="M4317" s="611">
        <v>6601600</v>
      </c>
      <c r="N4317" s="586"/>
      <c r="O4317" s="598">
        <v>19804.8</v>
      </c>
      <c r="P4317" s="586"/>
      <c r="Q4317" s="597">
        <v>141274</v>
      </c>
      <c r="R4317" s="599">
        <f>M4317/G4316</f>
        <v>3335.8261748357754</v>
      </c>
      <c r="S4317" s="575">
        <f t="shared" si="663"/>
        <v>-6762678.7999999998</v>
      </c>
      <c r="T4317" s="588"/>
      <c r="U4317" s="560"/>
      <c r="V4317" s="589"/>
      <c r="W4317" s="600"/>
    </row>
    <row r="4318" spans="1:26" s="75" customFormat="1" ht="37.5" hidden="1">
      <c r="A4318" s="709">
        <v>68</v>
      </c>
      <c r="B4318" s="592" t="s">
        <v>3866</v>
      </c>
      <c r="C4318" s="593" t="s">
        <v>217</v>
      </c>
      <c r="D4318" s="594">
        <v>25544</v>
      </c>
      <c r="E4318" s="594">
        <v>4032</v>
      </c>
      <c r="F4318" s="594" t="s">
        <v>233</v>
      </c>
      <c r="G4318" s="594">
        <v>826</v>
      </c>
      <c r="H4318" s="594">
        <v>12</v>
      </c>
      <c r="I4318" s="594">
        <v>2</v>
      </c>
      <c r="J4318" s="594">
        <v>96</v>
      </c>
      <c r="K4318" s="588" t="s">
        <v>30</v>
      </c>
      <c r="L4318" s="584">
        <f t="shared" ref="L4318:L4324" si="665">M4318+N4318+O4318+P4318+Q4318</f>
        <v>3121216</v>
      </c>
      <c r="M4318" s="596">
        <v>3072000</v>
      </c>
      <c r="N4318" s="597"/>
      <c r="O4318" s="598">
        <v>9216</v>
      </c>
      <c r="P4318" s="597"/>
      <c r="Q4318" s="597">
        <v>40000</v>
      </c>
      <c r="R4318" s="582">
        <f>M4318/J4318</f>
        <v>32000</v>
      </c>
      <c r="S4318" s="586">
        <f t="shared" si="663"/>
        <v>0</v>
      </c>
      <c r="T4318" s="600"/>
      <c r="U4318" s="709"/>
      <c r="V4318" s="601"/>
      <c r="W4318" s="600"/>
      <c r="X4318" s="601"/>
      <c r="Y4318" s="601"/>
      <c r="Z4318" s="601"/>
    </row>
    <row r="4319" spans="1:26" s="31" customFormat="1" hidden="1">
      <c r="A4319" s="1189">
        <f t="shared" ref="A4319:A4324" si="666">A4318+1</f>
        <v>69</v>
      </c>
      <c r="B4319" s="592" t="s">
        <v>4006</v>
      </c>
      <c r="C4319" s="593" t="s">
        <v>217</v>
      </c>
      <c r="D4319" s="582">
        <v>17085</v>
      </c>
      <c r="E4319" s="582">
        <v>2703</v>
      </c>
      <c r="F4319" s="582" t="s">
        <v>222</v>
      </c>
      <c r="G4319" s="582">
        <v>1139</v>
      </c>
      <c r="H4319" s="582">
        <v>5</v>
      </c>
      <c r="I4319" s="582">
        <v>4</v>
      </c>
      <c r="J4319" s="582">
        <v>71</v>
      </c>
      <c r="K4319" s="667" t="s">
        <v>226</v>
      </c>
      <c r="L4319" s="967">
        <f t="shared" si="665"/>
        <v>11157300</v>
      </c>
      <c r="M4319" s="775">
        <f>E4319*4100</f>
        <v>11082300</v>
      </c>
      <c r="N4319" s="597">
        <v>35000</v>
      </c>
      <c r="O4319" s="1191"/>
      <c r="P4319" s="597"/>
      <c r="Q4319" s="1184">
        <v>40000</v>
      </c>
      <c r="R4319" s="599">
        <f>M4319/E4319</f>
        <v>4100</v>
      </c>
      <c r="S4319" s="1256"/>
      <c r="T4319" s="601"/>
      <c r="U4319" s="601"/>
      <c r="V4319" s="601"/>
      <c r="W4319" s="601"/>
      <c r="X4319" s="601"/>
      <c r="Y4319" s="601"/>
      <c r="Z4319" s="601"/>
    </row>
    <row r="4320" spans="1:26" s="31" customFormat="1" hidden="1">
      <c r="A4320" s="1189">
        <f t="shared" si="666"/>
        <v>70</v>
      </c>
      <c r="B4320" s="592" t="s">
        <v>4007</v>
      </c>
      <c r="C4320" s="602" t="s">
        <v>217</v>
      </c>
      <c r="D4320" s="594">
        <v>23141</v>
      </c>
      <c r="E4320" s="619">
        <v>5697</v>
      </c>
      <c r="F4320" s="684" t="s">
        <v>233</v>
      </c>
      <c r="G4320" s="619">
        <v>1230</v>
      </c>
      <c r="H4320" s="594">
        <v>9</v>
      </c>
      <c r="I4320" s="594">
        <v>3</v>
      </c>
      <c r="J4320" s="594">
        <v>144</v>
      </c>
      <c r="K4320" s="667" t="s">
        <v>33</v>
      </c>
      <c r="L4320" s="967">
        <f t="shared" si="665"/>
        <v>2615749</v>
      </c>
      <c r="M4320" s="775">
        <f>G4320*2100</f>
        <v>2583000</v>
      </c>
      <c r="N4320" s="597"/>
      <c r="O4320" s="1191">
        <f>M4320*0.3%</f>
        <v>7749</v>
      </c>
      <c r="P4320" s="597"/>
      <c r="Q4320" s="1184">
        <v>25000</v>
      </c>
      <c r="R4320" s="599">
        <f>M4320/G4320</f>
        <v>2100</v>
      </c>
      <c r="S4320" s="1256"/>
      <c r="T4320" s="601"/>
      <c r="U4320" s="601"/>
      <c r="V4320" s="601"/>
      <c r="W4320" s="601"/>
      <c r="X4320" s="601"/>
      <c r="Y4320" s="601"/>
      <c r="Z4320" s="601"/>
    </row>
    <row r="4321" spans="1:220" s="31" customFormat="1" hidden="1">
      <c r="A4321" s="1189">
        <f t="shared" si="666"/>
        <v>71</v>
      </c>
      <c r="B4321" s="592" t="s">
        <v>4008</v>
      </c>
      <c r="C4321" s="561" t="s">
        <v>217</v>
      </c>
      <c r="D4321" s="561">
        <v>23564</v>
      </c>
      <c r="E4321" s="561">
        <v>4080</v>
      </c>
      <c r="F4321" s="561" t="s">
        <v>233</v>
      </c>
      <c r="G4321" s="561">
        <v>1020</v>
      </c>
      <c r="H4321" s="561">
        <v>9</v>
      </c>
      <c r="I4321" s="561">
        <v>3</v>
      </c>
      <c r="J4321" s="561">
        <v>108</v>
      </c>
      <c r="K4321" s="667" t="s">
        <v>33</v>
      </c>
      <c r="L4321" s="967">
        <f t="shared" si="665"/>
        <v>2173426</v>
      </c>
      <c r="M4321" s="775">
        <f>G4321*2100</f>
        <v>2142000</v>
      </c>
      <c r="N4321" s="597"/>
      <c r="O4321" s="1191">
        <f>M4321*0.3%</f>
        <v>6426</v>
      </c>
      <c r="P4321" s="597"/>
      <c r="Q4321" s="1184">
        <v>25000</v>
      </c>
      <c r="R4321" s="599">
        <f>M4321/G4321</f>
        <v>2100</v>
      </c>
      <c r="S4321" s="1256"/>
      <c r="T4321" s="601"/>
      <c r="U4321" s="601"/>
      <c r="V4321" s="601"/>
      <c r="W4321" s="601"/>
      <c r="X4321" s="601"/>
      <c r="Y4321" s="601"/>
      <c r="Z4321" s="601"/>
    </row>
    <row r="4322" spans="1:220" s="31" customFormat="1" hidden="1">
      <c r="A4322" s="1189">
        <f t="shared" si="666"/>
        <v>72</v>
      </c>
      <c r="B4322" s="592" t="s">
        <v>4009</v>
      </c>
      <c r="C4322" s="592" t="s">
        <v>271</v>
      </c>
      <c r="D4322" s="581">
        <v>6320</v>
      </c>
      <c r="E4322" s="581">
        <v>1006</v>
      </c>
      <c r="F4322" s="707" t="s">
        <v>230</v>
      </c>
      <c r="G4322" s="581">
        <v>1080</v>
      </c>
      <c r="H4322" s="581">
        <v>3</v>
      </c>
      <c r="I4322" s="581">
        <v>3</v>
      </c>
      <c r="J4322" s="581">
        <v>18</v>
      </c>
      <c r="K4322" s="667" t="s">
        <v>33</v>
      </c>
      <c r="L4322" s="967">
        <f t="shared" si="665"/>
        <v>3491368</v>
      </c>
      <c r="M4322" s="775">
        <f>G4322*3200</f>
        <v>3456000</v>
      </c>
      <c r="N4322" s="597"/>
      <c r="O4322" s="1191">
        <f>M4322*0.3%</f>
        <v>10368</v>
      </c>
      <c r="P4322" s="597"/>
      <c r="Q4322" s="1184">
        <v>25000</v>
      </c>
      <c r="R4322" s="599">
        <f>M4322/G4322</f>
        <v>3200</v>
      </c>
      <c r="S4322" s="1256"/>
      <c r="T4322" s="601"/>
      <c r="U4322" s="601"/>
      <c r="V4322" s="601"/>
      <c r="W4322" s="601"/>
      <c r="X4322" s="601"/>
      <c r="Y4322" s="601"/>
      <c r="Z4322" s="601"/>
    </row>
    <row r="4323" spans="1:220" s="31" customFormat="1" hidden="1">
      <c r="A4323" s="1189">
        <f t="shared" si="666"/>
        <v>73</v>
      </c>
      <c r="B4323" s="592" t="s">
        <v>4010</v>
      </c>
      <c r="C4323" s="602" t="s">
        <v>217</v>
      </c>
      <c r="D4323" s="594">
        <v>30483</v>
      </c>
      <c r="E4323" s="619">
        <v>6780</v>
      </c>
      <c r="F4323" s="684" t="s">
        <v>233</v>
      </c>
      <c r="G4323" s="619">
        <v>1316.4</v>
      </c>
      <c r="H4323" s="594">
        <v>9</v>
      </c>
      <c r="I4323" s="594">
        <v>4</v>
      </c>
      <c r="J4323" s="594">
        <v>345</v>
      </c>
      <c r="K4323" s="667" t="s">
        <v>33</v>
      </c>
      <c r="L4323" s="967">
        <f t="shared" si="665"/>
        <v>2797733.32</v>
      </c>
      <c r="M4323" s="775">
        <f>G4323*2100</f>
        <v>2764440</v>
      </c>
      <c r="N4323" s="597"/>
      <c r="O4323" s="1191">
        <f>M4323*0.3%</f>
        <v>8293.32</v>
      </c>
      <c r="P4323" s="597"/>
      <c r="Q4323" s="1184">
        <v>25000</v>
      </c>
      <c r="R4323" s="599">
        <f>M4323/G4323</f>
        <v>2100</v>
      </c>
      <c r="S4323" s="1256"/>
      <c r="T4323" s="601"/>
      <c r="U4323" s="601"/>
      <c r="V4323" s="601"/>
      <c r="W4323" s="601"/>
      <c r="X4323" s="601"/>
      <c r="Y4323" s="601"/>
      <c r="Z4323" s="601"/>
    </row>
    <row r="4324" spans="1:220" s="31" customFormat="1" hidden="1">
      <c r="A4324" s="1189">
        <f t="shared" si="666"/>
        <v>74</v>
      </c>
      <c r="B4324" s="592" t="s">
        <v>4072</v>
      </c>
      <c r="C4324" s="592" t="s">
        <v>217</v>
      </c>
      <c r="D4324" s="592">
        <v>2176</v>
      </c>
      <c r="E4324" s="592">
        <v>2330</v>
      </c>
      <c r="F4324" s="593" t="s">
        <v>233</v>
      </c>
      <c r="G4324" s="592">
        <v>521</v>
      </c>
      <c r="H4324" s="592">
        <v>9</v>
      </c>
      <c r="I4324" s="592">
        <v>1</v>
      </c>
      <c r="J4324" s="592">
        <v>72</v>
      </c>
      <c r="K4324" s="667" t="s">
        <v>33</v>
      </c>
      <c r="L4324" s="967">
        <f t="shared" si="665"/>
        <v>1122382.3</v>
      </c>
      <c r="M4324" s="775">
        <f>G4324*2100</f>
        <v>1094100</v>
      </c>
      <c r="N4324" s="597"/>
      <c r="O4324" s="1191">
        <f>M4324*0.3%</f>
        <v>3282.3</v>
      </c>
      <c r="P4324" s="597"/>
      <c r="Q4324" s="1184">
        <v>25000</v>
      </c>
      <c r="R4324" s="599">
        <f>M4324/G4324</f>
        <v>2100</v>
      </c>
      <c r="S4324" s="1256"/>
      <c r="T4324" s="601"/>
      <c r="U4324" s="601"/>
      <c r="V4324" s="601"/>
      <c r="W4324" s="601"/>
      <c r="X4324" s="601"/>
      <c r="Y4324" s="601"/>
      <c r="Z4324" s="601"/>
    </row>
    <row r="4325" spans="1:220" s="92" customFormat="1" hidden="1">
      <c r="A4325" s="1349" t="s">
        <v>208</v>
      </c>
      <c r="B4325" s="1349"/>
      <c r="C4325" s="582" t="s">
        <v>28</v>
      </c>
      <c r="D4325" s="728">
        <f>SUM(D4239:D4324)</f>
        <v>1353162</v>
      </c>
      <c r="E4325" s="728">
        <f>SUM(E4239:E4324)</f>
        <v>226758.60000000003</v>
      </c>
      <c r="F4325" s="582" t="s">
        <v>28</v>
      </c>
      <c r="G4325" s="728">
        <f>SUM(G4239:G4324)</f>
        <v>87978.7</v>
      </c>
      <c r="H4325" s="582" t="s">
        <v>28</v>
      </c>
      <c r="I4325" s="582" t="s">
        <v>28</v>
      </c>
      <c r="J4325" s="728">
        <f>SUM(J4239:J4324)</f>
        <v>6686</v>
      </c>
      <c r="K4325" s="590" t="s">
        <v>28</v>
      </c>
      <c r="L4325" s="730">
        <f t="shared" ref="L4325:Q4325" si="667">SUM(L4239:L4324)</f>
        <v>356773915.19000006</v>
      </c>
      <c r="M4325" s="731">
        <f t="shared" si="667"/>
        <v>349538705</v>
      </c>
      <c r="N4325" s="728">
        <f t="shared" si="667"/>
        <v>1508250</v>
      </c>
      <c r="O4325" s="732">
        <f t="shared" si="667"/>
        <v>422658.19</v>
      </c>
      <c r="P4325" s="728">
        <f t="shared" si="667"/>
        <v>0</v>
      </c>
      <c r="Q4325" s="728">
        <f t="shared" si="667"/>
        <v>5304302</v>
      </c>
      <c r="R4325" s="561" t="s">
        <v>28</v>
      </c>
      <c r="S4325" s="586">
        <f>L4325-M4325-N4325-O4325-P4325-Q4325</f>
        <v>5.6810677051544189E-8</v>
      </c>
      <c r="T4325" s="577" t="e">
        <f>'1.перечень МКД'!#REF!</f>
        <v>#REF!</v>
      </c>
      <c r="U4325" s="589" t="e">
        <f>L4325-T4325</f>
        <v>#REF!</v>
      </c>
      <c r="V4325" s="588"/>
      <c r="W4325" s="733"/>
      <c r="X4325" s="733"/>
      <c r="Y4325" s="734"/>
      <c r="Z4325" s="734"/>
      <c r="AA4325" s="523"/>
      <c r="AB4325" s="523"/>
      <c r="AC4325" s="524"/>
      <c r="AD4325" s="525"/>
      <c r="AE4325" s="525"/>
      <c r="AF4325" s="525"/>
      <c r="AG4325" s="526"/>
      <c r="AH4325" s="526"/>
      <c r="AI4325" s="526"/>
      <c r="AJ4325" s="527"/>
      <c r="AK4325" s="439"/>
      <c r="AL4325" s="123"/>
      <c r="AM4325" s="528"/>
      <c r="AN4325" s="522"/>
      <c r="AO4325" s="522"/>
      <c r="AP4325" s="522"/>
      <c r="AQ4325" s="523"/>
      <c r="AR4325" s="523"/>
      <c r="AS4325" s="523"/>
      <c r="AT4325" s="523"/>
      <c r="AU4325" s="524"/>
      <c r="AV4325" s="525"/>
      <c r="AW4325" s="525"/>
      <c r="AX4325" s="525"/>
      <c r="AY4325" s="526"/>
      <c r="AZ4325" s="526"/>
      <c r="BA4325" s="526"/>
      <c r="BB4325" s="527"/>
      <c r="BC4325" s="439"/>
      <c r="BD4325" s="123"/>
      <c r="BE4325" s="528"/>
      <c r="BF4325" s="522"/>
      <c r="BG4325" s="522"/>
      <c r="BH4325" s="522"/>
      <c r="BI4325" s="523"/>
      <c r="BJ4325" s="523"/>
      <c r="BK4325" s="523"/>
      <c r="BL4325" s="523"/>
      <c r="BM4325" s="524"/>
      <c r="BN4325" s="525"/>
      <c r="BO4325" s="525"/>
      <c r="BP4325" s="525"/>
      <c r="BQ4325" s="526"/>
      <c r="BR4325" s="526"/>
      <c r="BS4325" s="526"/>
      <c r="BT4325" s="527"/>
      <c r="BU4325" s="439"/>
      <c r="BV4325" s="123"/>
      <c r="BW4325" s="528"/>
      <c r="BX4325" s="522"/>
      <c r="BY4325" s="522"/>
      <c r="BZ4325" s="522"/>
      <c r="CA4325" s="523"/>
      <c r="CB4325" s="523"/>
      <c r="CC4325" s="523"/>
      <c r="CD4325" s="523"/>
      <c r="CE4325" s="524"/>
      <c r="CF4325" s="525"/>
      <c r="CG4325" s="525"/>
      <c r="CH4325" s="525"/>
      <c r="CI4325" s="526"/>
      <c r="CJ4325" s="526"/>
      <c r="CK4325" s="526"/>
      <c r="CL4325" s="527"/>
      <c r="CM4325" s="439"/>
      <c r="CN4325" s="123"/>
      <c r="CO4325" s="528"/>
      <c r="CP4325" s="522"/>
      <c r="CQ4325" s="522"/>
      <c r="CR4325" s="522"/>
      <c r="CS4325" s="523"/>
      <c r="CT4325" s="523"/>
      <c r="CU4325" s="523"/>
      <c r="CV4325" s="523"/>
      <c r="CW4325" s="524"/>
      <c r="CX4325" s="525"/>
      <c r="CY4325" s="525"/>
      <c r="CZ4325" s="525"/>
      <c r="DA4325" s="526"/>
      <c r="DB4325" s="526"/>
      <c r="DC4325" s="526"/>
      <c r="DD4325" s="527"/>
      <c r="DE4325" s="439"/>
      <c r="DF4325" s="123"/>
      <c r="DG4325" s="528"/>
      <c r="DH4325" s="522"/>
      <c r="DI4325" s="522"/>
      <c r="DJ4325" s="522"/>
      <c r="DK4325" s="523"/>
      <c r="DL4325" s="523"/>
      <c r="DM4325" s="523"/>
      <c r="DN4325" s="523"/>
      <c r="DO4325" s="524"/>
      <c r="DP4325" s="525"/>
      <c r="DQ4325" s="525"/>
      <c r="DR4325" s="525"/>
      <c r="DS4325" s="526"/>
      <c r="DT4325" s="526"/>
      <c r="DU4325" s="526"/>
      <c r="DV4325" s="527"/>
      <c r="DW4325" s="439"/>
      <c r="DX4325" s="123"/>
      <c r="DY4325" s="528"/>
      <c r="DZ4325" s="522"/>
      <c r="EA4325" s="522"/>
      <c r="EB4325" s="522"/>
      <c r="EC4325" s="523"/>
      <c r="ED4325" s="523"/>
      <c r="EE4325" s="523"/>
      <c r="EF4325" s="523"/>
      <c r="EG4325" s="524"/>
      <c r="EH4325" s="525"/>
      <c r="EI4325" s="525"/>
      <c r="EJ4325" s="525"/>
      <c r="EK4325" s="526"/>
      <c r="EL4325" s="526"/>
      <c r="EM4325" s="526"/>
      <c r="EN4325" s="527"/>
      <c r="EO4325" s="439"/>
      <c r="EP4325" s="123"/>
      <c r="EQ4325" s="528"/>
      <c r="ER4325" s="522"/>
      <c r="ES4325" s="522"/>
      <c r="ET4325" s="522"/>
      <c r="EU4325" s="523"/>
      <c r="EV4325" s="523"/>
      <c r="EW4325" s="523"/>
      <c r="EX4325" s="523"/>
      <c r="EY4325" s="524"/>
      <c r="EZ4325" s="525"/>
      <c r="FA4325" s="525"/>
      <c r="FB4325" s="525"/>
      <c r="FC4325" s="526"/>
      <c r="FD4325" s="526"/>
      <c r="FE4325" s="526"/>
      <c r="FF4325" s="527"/>
      <c r="FG4325" s="439"/>
      <c r="FH4325" s="123"/>
      <c r="FI4325" s="528"/>
      <c r="FJ4325" s="522"/>
      <c r="FK4325" s="522"/>
      <c r="FL4325" s="522"/>
      <c r="FM4325" s="523"/>
      <c r="FN4325" s="523"/>
      <c r="FO4325" s="523"/>
      <c r="FP4325" s="523"/>
      <c r="FQ4325" s="524"/>
      <c r="FR4325" s="525"/>
      <c r="FS4325" s="525"/>
      <c r="FT4325" s="525"/>
      <c r="FU4325" s="526"/>
      <c r="FV4325" s="526"/>
      <c r="FW4325" s="526"/>
      <c r="FX4325" s="527"/>
      <c r="FY4325" s="439"/>
      <c r="FZ4325" s="123"/>
      <c r="GA4325" s="528"/>
      <c r="GB4325" s="522"/>
      <c r="GC4325" s="522"/>
      <c r="GD4325" s="522"/>
      <c r="GE4325" s="523"/>
      <c r="GF4325" s="523"/>
      <c r="GG4325" s="523"/>
      <c r="GH4325" s="523"/>
      <c r="GI4325" s="524"/>
      <c r="GJ4325" s="525"/>
      <c r="GK4325" s="525"/>
      <c r="GL4325" s="525"/>
      <c r="GM4325" s="526"/>
      <c r="GN4325" s="526"/>
      <c r="GO4325" s="526"/>
      <c r="GP4325" s="527"/>
      <c r="GQ4325" s="439"/>
      <c r="GR4325" s="123"/>
      <c r="GS4325" s="528"/>
      <c r="GT4325" s="522"/>
      <c r="GU4325" s="522"/>
      <c r="GV4325" s="522"/>
      <c r="GW4325" s="523"/>
      <c r="GX4325" s="523"/>
      <c r="GY4325" s="523"/>
      <c r="GZ4325" s="523"/>
      <c r="HA4325" s="524"/>
      <c r="HB4325" s="525"/>
      <c r="HC4325" s="525"/>
      <c r="HD4325" s="525"/>
      <c r="HE4325" s="526"/>
      <c r="HF4325" s="526"/>
      <c r="HG4325" s="526"/>
      <c r="HH4325" s="527"/>
      <c r="HI4325" s="439"/>
      <c r="HJ4325" s="123"/>
      <c r="HK4325" s="528"/>
      <c r="HL4325" s="522"/>
    </row>
    <row r="4326" spans="1:220" s="92" customFormat="1" hidden="1">
      <c r="A4326" s="1345" t="s">
        <v>138</v>
      </c>
      <c r="B4326" s="1345"/>
      <c r="C4326" s="1345"/>
      <c r="D4326" s="1345"/>
      <c r="E4326" s="1345"/>
      <c r="F4326" s="1345"/>
      <c r="G4326" s="1345"/>
      <c r="H4326" s="1345"/>
      <c r="I4326" s="1345"/>
      <c r="J4326" s="1345"/>
      <c r="K4326" s="1345"/>
      <c r="L4326" s="1345"/>
      <c r="M4326" s="1345"/>
      <c r="N4326" s="1345"/>
      <c r="O4326" s="1345"/>
      <c r="P4326" s="1345"/>
      <c r="Q4326" s="1345"/>
      <c r="R4326" s="570"/>
      <c r="S4326" s="586">
        <f>L4326-M4326-N4326-O4326-P4326-Q4326</f>
        <v>0</v>
      </c>
      <c r="T4326" s="577"/>
      <c r="U4326" s="591"/>
      <c r="V4326" s="588"/>
      <c r="W4326" s="733"/>
      <c r="X4326" s="733"/>
      <c r="Y4326" s="734"/>
      <c r="Z4326" s="734"/>
      <c r="AA4326" s="523"/>
      <c r="AB4326" s="523"/>
      <c r="AC4326" s="524"/>
      <c r="AD4326" s="525"/>
      <c r="AE4326" s="525"/>
      <c r="AF4326" s="525"/>
      <c r="AG4326" s="526"/>
      <c r="AH4326" s="526"/>
      <c r="AI4326" s="526"/>
      <c r="AJ4326" s="527"/>
      <c r="AK4326" s="439"/>
      <c r="AL4326" s="123"/>
      <c r="AM4326" s="528"/>
      <c r="AN4326" s="522"/>
      <c r="AO4326" s="522"/>
      <c r="AP4326" s="522"/>
      <c r="AQ4326" s="523"/>
      <c r="AR4326" s="523"/>
      <c r="AS4326" s="523"/>
      <c r="AT4326" s="523"/>
      <c r="AU4326" s="524"/>
      <c r="AV4326" s="525"/>
      <c r="AW4326" s="525"/>
      <c r="AX4326" s="525"/>
      <c r="AY4326" s="526"/>
      <c r="AZ4326" s="526"/>
      <c r="BA4326" s="526"/>
      <c r="BB4326" s="527"/>
      <c r="BC4326" s="439"/>
      <c r="BD4326" s="123"/>
      <c r="BE4326" s="528"/>
      <c r="BF4326" s="522"/>
      <c r="BG4326" s="522"/>
      <c r="BH4326" s="522"/>
      <c r="BI4326" s="523"/>
      <c r="BJ4326" s="523"/>
      <c r="BK4326" s="523"/>
      <c r="BL4326" s="523"/>
      <c r="BM4326" s="524"/>
      <c r="BN4326" s="525"/>
      <c r="BO4326" s="525"/>
      <c r="BP4326" s="525"/>
      <c r="BQ4326" s="526"/>
      <c r="BR4326" s="526"/>
      <c r="BS4326" s="526"/>
      <c r="BT4326" s="527"/>
      <c r="BU4326" s="439"/>
      <c r="BV4326" s="123"/>
      <c r="BW4326" s="528"/>
      <c r="BX4326" s="522"/>
      <c r="BY4326" s="522"/>
      <c r="BZ4326" s="522"/>
      <c r="CA4326" s="523"/>
      <c r="CB4326" s="523"/>
      <c r="CC4326" s="523"/>
      <c r="CD4326" s="523"/>
      <c r="CE4326" s="524"/>
      <c r="CF4326" s="525"/>
      <c r="CG4326" s="525"/>
      <c r="CH4326" s="525"/>
      <c r="CI4326" s="526"/>
      <c r="CJ4326" s="526"/>
      <c r="CK4326" s="526"/>
      <c r="CL4326" s="527"/>
      <c r="CM4326" s="439"/>
      <c r="CN4326" s="123"/>
      <c r="CO4326" s="528"/>
      <c r="CP4326" s="522"/>
      <c r="CQ4326" s="522"/>
      <c r="CR4326" s="522"/>
      <c r="CS4326" s="523"/>
      <c r="CT4326" s="523"/>
      <c r="CU4326" s="523"/>
      <c r="CV4326" s="523"/>
      <c r="CW4326" s="524"/>
      <c r="CX4326" s="525"/>
      <c r="CY4326" s="525"/>
      <c r="CZ4326" s="525"/>
      <c r="DA4326" s="526"/>
      <c r="DB4326" s="526"/>
      <c r="DC4326" s="526"/>
      <c r="DD4326" s="527"/>
      <c r="DE4326" s="439"/>
      <c r="DF4326" s="123"/>
      <c r="DG4326" s="528"/>
      <c r="DH4326" s="522"/>
      <c r="DI4326" s="522"/>
      <c r="DJ4326" s="522"/>
      <c r="DK4326" s="523"/>
      <c r="DL4326" s="523"/>
      <c r="DM4326" s="523"/>
      <c r="DN4326" s="523"/>
      <c r="DO4326" s="524"/>
      <c r="DP4326" s="525"/>
      <c r="DQ4326" s="525"/>
      <c r="DR4326" s="525"/>
      <c r="DS4326" s="526"/>
      <c r="DT4326" s="526"/>
      <c r="DU4326" s="526"/>
      <c r="DV4326" s="527"/>
      <c r="DW4326" s="439"/>
      <c r="DX4326" s="123"/>
      <c r="DY4326" s="528"/>
      <c r="DZ4326" s="522"/>
      <c r="EA4326" s="522"/>
      <c r="EB4326" s="522"/>
      <c r="EC4326" s="523"/>
      <c r="ED4326" s="523"/>
      <c r="EE4326" s="523"/>
      <c r="EF4326" s="523"/>
      <c r="EG4326" s="524"/>
      <c r="EH4326" s="525"/>
      <c r="EI4326" s="525"/>
      <c r="EJ4326" s="525"/>
      <c r="EK4326" s="526"/>
      <c r="EL4326" s="526"/>
      <c r="EM4326" s="526"/>
      <c r="EN4326" s="527"/>
      <c r="EO4326" s="439"/>
      <c r="EP4326" s="123"/>
      <c r="EQ4326" s="528"/>
      <c r="ER4326" s="522"/>
      <c r="ES4326" s="522"/>
      <c r="ET4326" s="522"/>
      <c r="EU4326" s="523"/>
      <c r="EV4326" s="523"/>
      <c r="EW4326" s="523"/>
      <c r="EX4326" s="523"/>
      <c r="EY4326" s="524"/>
      <c r="EZ4326" s="525"/>
      <c r="FA4326" s="525"/>
      <c r="FB4326" s="525"/>
      <c r="FC4326" s="526"/>
      <c r="FD4326" s="526"/>
      <c r="FE4326" s="526"/>
      <c r="FF4326" s="527"/>
      <c r="FG4326" s="439"/>
      <c r="FH4326" s="123"/>
      <c r="FI4326" s="528"/>
      <c r="FJ4326" s="522"/>
      <c r="FK4326" s="522"/>
      <c r="FL4326" s="522"/>
      <c r="FM4326" s="523"/>
      <c r="FN4326" s="523"/>
      <c r="FO4326" s="523"/>
      <c r="FP4326" s="523"/>
      <c r="FQ4326" s="524"/>
      <c r="FR4326" s="525"/>
      <c r="FS4326" s="525"/>
      <c r="FT4326" s="525"/>
      <c r="FU4326" s="526"/>
      <c r="FV4326" s="526"/>
      <c r="FW4326" s="526"/>
      <c r="FX4326" s="527"/>
      <c r="FY4326" s="439"/>
      <c r="FZ4326" s="123"/>
      <c r="GA4326" s="528"/>
      <c r="GB4326" s="522"/>
      <c r="GC4326" s="522"/>
      <c r="GD4326" s="522"/>
      <c r="GE4326" s="523"/>
      <c r="GF4326" s="523"/>
      <c r="GG4326" s="523"/>
      <c r="GH4326" s="523"/>
      <c r="GI4326" s="524"/>
      <c r="GJ4326" s="525"/>
      <c r="GK4326" s="525"/>
      <c r="GL4326" s="525"/>
      <c r="GM4326" s="526"/>
      <c r="GN4326" s="526"/>
      <c r="GO4326" s="526"/>
      <c r="GP4326" s="527"/>
      <c r="GQ4326" s="439"/>
      <c r="GR4326" s="123"/>
      <c r="GS4326" s="528"/>
      <c r="GT4326" s="522"/>
      <c r="GU4326" s="522"/>
      <c r="GV4326" s="522"/>
      <c r="GW4326" s="523"/>
      <c r="GX4326" s="523"/>
      <c r="GY4326" s="523"/>
      <c r="GZ4326" s="523"/>
      <c r="HA4326" s="524"/>
      <c r="HB4326" s="525"/>
      <c r="HC4326" s="525"/>
      <c r="HD4326" s="525"/>
      <c r="HE4326" s="526"/>
      <c r="HF4326" s="526"/>
      <c r="HG4326" s="526"/>
      <c r="HH4326" s="527"/>
      <c r="HI4326" s="439"/>
      <c r="HJ4326" s="123"/>
      <c r="HK4326" s="528"/>
      <c r="HL4326" s="522"/>
    </row>
    <row r="4327" spans="1:220" s="92" customFormat="1" hidden="1">
      <c r="A4327" s="1358" t="s">
        <v>137</v>
      </c>
      <c r="B4327" s="1358"/>
      <c r="C4327" s="561" t="s">
        <v>28</v>
      </c>
      <c r="D4327" s="564">
        <f>D4332+D4379+D4391+D4395+D4398+D4402+D4412+D4418+D4422+D4437+D4440+D4458+D4465+D4471+D4477+D4482+D4487+D4491+D4497+D4504+D4511+D4516+D4521+D4525+D4528+D4536+D4540+D4546+D4569+D4572+D4581+D4508+D4578</f>
        <v>1515875.11415</v>
      </c>
      <c r="E4327" s="564">
        <f>E4332+E4379+E4391+E4395+E4398+E4402+E4412+E4418+E4422+E4437+E4440+E4458+E4465+E4471+E4477+E4482+E4487+E4491+E4497+E4504+E4511+E4516+E4521+E4525+E4528+E4536+E4540+E4546+E4569+E4572+E4581+E4508+E4578</f>
        <v>350556.38500000001</v>
      </c>
      <c r="F4327" s="561" t="s">
        <v>28</v>
      </c>
      <c r="G4327" s="564">
        <f>G4332+G4379+G4391+G4395+G4398+G4402+G4412+G4418+G4422+G4437+G4440+G4458+G4465+G4471+G4477+G4482+G4487+G4491+G4497+G4504+G4511+G4516+G4521+G4525+G4528+G4536+G4540+G4546+G4569+G4572+G4581+G4508+G4578</f>
        <v>173956.47405199998</v>
      </c>
      <c r="H4327" s="561" t="s">
        <v>28</v>
      </c>
      <c r="I4327" s="561" t="s">
        <v>28</v>
      </c>
      <c r="J4327" s="564">
        <f>J4332+J4379+J4391+J4395+J4398+J4402+J4412+J4418+J4422+J4437+J4440+J4458+J4465+J4471+J4477+J4482+J4487+J4491+J4497+J4504+J4511+J4516+J4521+J4525+J4528+J4536+J4540+J4546+J4569+J4572+J4581+J4508+J4578</f>
        <v>8200</v>
      </c>
      <c r="K4327" s="577" t="s">
        <v>28</v>
      </c>
      <c r="L4327" s="562">
        <f t="shared" ref="L4327:Q4327" si="668">L4332+L4379+L4391+L4395+L4398+L4402+L4412+L4418+L4422+L4437+L4440+L4458+L4465+L4471+L4477+L4482+L4487+L4491+L4497+L4504+L4511+L4516+L4521+L4525+L4528+L4536+L4540+L4546+L4569+L4572+L4581+L4508+L4578</f>
        <v>420173096.85000002</v>
      </c>
      <c r="M4327" s="563">
        <f t="shared" si="668"/>
        <v>409096814</v>
      </c>
      <c r="N4327" s="564">
        <f t="shared" si="668"/>
        <v>3680816.5</v>
      </c>
      <c r="O4327" s="565">
        <f t="shared" si="668"/>
        <v>491662</v>
      </c>
      <c r="P4327" s="564">
        <f t="shared" si="668"/>
        <v>0</v>
      </c>
      <c r="Q4327" s="564">
        <f t="shared" si="668"/>
        <v>6903804.3499999996</v>
      </c>
      <c r="R4327" s="582" t="s">
        <v>28</v>
      </c>
      <c r="S4327" s="586">
        <f>L4327-M4327-N4327-O4327-P4327-Q4327</f>
        <v>2.4214386940002441E-8</v>
      </c>
      <c r="T4327" s="577" t="e">
        <f>'1.перечень МКД'!#REF!</f>
        <v>#REF!</v>
      </c>
      <c r="U4327" s="589" t="e">
        <f>L4327-T4327</f>
        <v>#REF!</v>
      </c>
      <c r="V4327" s="588"/>
      <c r="W4327" s="733"/>
      <c r="X4327" s="733"/>
      <c r="Y4327" s="734"/>
      <c r="Z4327" s="734"/>
      <c r="AA4327" s="523"/>
      <c r="AB4327" s="523"/>
      <c r="AC4327" s="524"/>
      <c r="AD4327" s="525"/>
      <c r="AE4327" s="525"/>
      <c r="AF4327" s="525"/>
      <c r="AG4327" s="526"/>
      <c r="AH4327" s="526"/>
      <c r="AI4327" s="526"/>
      <c r="AJ4327" s="527"/>
      <c r="AK4327" s="439"/>
      <c r="AL4327" s="123"/>
      <c r="AM4327" s="528"/>
      <c r="AN4327" s="522"/>
      <c r="AO4327" s="522"/>
      <c r="AP4327" s="522"/>
      <c r="AQ4327" s="523"/>
      <c r="AR4327" s="523"/>
      <c r="AS4327" s="523"/>
      <c r="AT4327" s="523"/>
      <c r="AU4327" s="524"/>
      <c r="AV4327" s="525"/>
      <c r="AW4327" s="525"/>
      <c r="AX4327" s="525"/>
      <c r="AY4327" s="526"/>
      <c r="AZ4327" s="526"/>
      <c r="BA4327" s="526"/>
      <c r="BB4327" s="527"/>
      <c r="BC4327" s="439"/>
      <c r="BD4327" s="123"/>
      <c r="BE4327" s="528"/>
      <c r="BF4327" s="522"/>
      <c r="BG4327" s="522"/>
      <c r="BH4327" s="522"/>
      <c r="BI4327" s="523"/>
      <c r="BJ4327" s="523"/>
      <c r="BK4327" s="523"/>
      <c r="BL4327" s="523"/>
      <c r="BM4327" s="524"/>
      <c r="BN4327" s="525"/>
      <c r="BO4327" s="525"/>
      <c r="BP4327" s="525"/>
      <c r="BQ4327" s="526"/>
      <c r="BR4327" s="526"/>
      <c r="BS4327" s="526"/>
      <c r="BT4327" s="527"/>
      <c r="BU4327" s="439"/>
      <c r="BV4327" s="123"/>
      <c r="BW4327" s="528"/>
      <c r="BX4327" s="522"/>
      <c r="BY4327" s="522"/>
      <c r="BZ4327" s="522"/>
      <c r="CA4327" s="523"/>
      <c r="CB4327" s="523"/>
      <c r="CC4327" s="523"/>
      <c r="CD4327" s="523"/>
      <c r="CE4327" s="524"/>
      <c r="CF4327" s="525"/>
      <c r="CG4327" s="525"/>
      <c r="CH4327" s="525"/>
      <c r="CI4327" s="526"/>
      <c r="CJ4327" s="526"/>
      <c r="CK4327" s="526"/>
      <c r="CL4327" s="527"/>
      <c r="CM4327" s="439"/>
      <c r="CN4327" s="123"/>
      <c r="CO4327" s="528"/>
      <c r="CP4327" s="522"/>
      <c r="CQ4327" s="522"/>
      <c r="CR4327" s="522"/>
      <c r="CS4327" s="523"/>
      <c r="CT4327" s="523"/>
      <c r="CU4327" s="523"/>
      <c r="CV4327" s="523"/>
      <c r="CW4327" s="524"/>
      <c r="CX4327" s="525"/>
      <c r="CY4327" s="525"/>
      <c r="CZ4327" s="525"/>
      <c r="DA4327" s="526"/>
      <c r="DB4327" s="526"/>
      <c r="DC4327" s="526"/>
      <c r="DD4327" s="527"/>
      <c r="DE4327" s="439"/>
      <c r="DF4327" s="123"/>
      <c r="DG4327" s="528"/>
      <c r="DH4327" s="522"/>
      <c r="DI4327" s="522"/>
      <c r="DJ4327" s="522"/>
      <c r="DK4327" s="523"/>
      <c r="DL4327" s="523"/>
      <c r="DM4327" s="523"/>
      <c r="DN4327" s="523"/>
      <c r="DO4327" s="524"/>
      <c r="DP4327" s="525"/>
      <c r="DQ4327" s="525"/>
      <c r="DR4327" s="525"/>
      <c r="DS4327" s="526"/>
      <c r="DT4327" s="526"/>
      <c r="DU4327" s="526"/>
      <c r="DV4327" s="527"/>
      <c r="DW4327" s="439"/>
      <c r="DX4327" s="123"/>
      <c r="DY4327" s="528"/>
      <c r="DZ4327" s="522"/>
      <c r="EA4327" s="522"/>
      <c r="EB4327" s="522"/>
      <c r="EC4327" s="523"/>
      <c r="ED4327" s="523"/>
      <c r="EE4327" s="523"/>
      <c r="EF4327" s="523"/>
      <c r="EG4327" s="524"/>
      <c r="EH4327" s="525"/>
      <c r="EI4327" s="525"/>
      <c r="EJ4327" s="525"/>
      <c r="EK4327" s="526"/>
      <c r="EL4327" s="526"/>
      <c r="EM4327" s="526"/>
      <c r="EN4327" s="527"/>
      <c r="EO4327" s="439"/>
      <c r="EP4327" s="123"/>
      <c r="EQ4327" s="528"/>
      <c r="ER4327" s="522"/>
      <c r="ES4327" s="522"/>
      <c r="ET4327" s="522"/>
      <c r="EU4327" s="523"/>
      <c r="EV4327" s="523"/>
      <c r="EW4327" s="523"/>
      <c r="EX4327" s="523"/>
      <c r="EY4327" s="524"/>
      <c r="EZ4327" s="525"/>
      <c r="FA4327" s="525"/>
      <c r="FB4327" s="525"/>
      <c r="FC4327" s="526"/>
      <c r="FD4327" s="526"/>
      <c r="FE4327" s="526"/>
      <c r="FF4327" s="527"/>
      <c r="FG4327" s="439"/>
      <c r="FH4327" s="123"/>
      <c r="FI4327" s="528"/>
      <c r="FJ4327" s="522"/>
      <c r="FK4327" s="522"/>
      <c r="FL4327" s="522"/>
      <c r="FM4327" s="523"/>
      <c r="FN4327" s="523"/>
      <c r="FO4327" s="523"/>
      <c r="FP4327" s="523"/>
      <c r="FQ4327" s="524"/>
      <c r="FR4327" s="525"/>
      <c r="FS4327" s="525"/>
      <c r="FT4327" s="525"/>
      <c r="FU4327" s="526"/>
      <c r="FV4327" s="526"/>
      <c r="FW4327" s="526"/>
      <c r="FX4327" s="527"/>
      <c r="FY4327" s="439"/>
      <c r="FZ4327" s="123"/>
      <c r="GA4327" s="528"/>
      <c r="GB4327" s="522"/>
      <c r="GC4327" s="522"/>
      <c r="GD4327" s="522"/>
      <c r="GE4327" s="523"/>
      <c r="GF4327" s="523"/>
      <c r="GG4327" s="523"/>
      <c r="GH4327" s="523"/>
      <c r="GI4327" s="524"/>
      <c r="GJ4327" s="525"/>
      <c r="GK4327" s="525"/>
      <c r="GL4327" s="525"/>
      <c r="GM4327" s="526"/>
      <c r="GN4327" s="526"/>
      <c r="GO4327" s="526"/>
      <c r="GP4327" s="527"/>
      <c r="GQ4327" s="439"/>
      <c r="GR4327" s="123"/>
      <c r="GS4327" s="528"/>
      <c r="GT4327" s="522"/>
      <c r="GU4327" s="522"/>
      <c r="GV4327" s="522"/>
      <c r="GW4327" s="523"/>
      <c r="GX4327" s="523"/>
      <c r="GY4327" s="523"/>
      <c r="GZ4327" s="523"/>
      <c r="HA4327" s="524"/>
      <c r="HB4327" s="525"/>
      <c r="HC4327" s="525"/>
      <c r="HD4327" s="525"/>
      <c r="HE4327" s="526"/>
      <c r="HF4327" s="526"/>
      <c r="HG4327" s="526"/>
      <c r="HH4327" s="527"/>
      <c r="HI4327" s="439"/>
      <c r="HJ4327" s="123"/>
      <c r="HK4327" s="528"/>
      <c r="HL4327" s="522"/>
    </row>
    <row r="4328" spans="1:220" s="92" customFormat="1" hidden="1">
      <c r="A4328" s="1368" t="s">
        <v>29</v>
      </c>
      <c r="B4328" s="1368"/>
      <c r="C4328" s="1368"/>
      <c r="D4328" s="1368"/>
      <c r="E4328" s="1368"/>
      <c r="F4328" s="1368"/>
      <c r="G4328" s="1368"/>
      <c r="H4328" s="1368"/>
      <c r="I4328" s="1368"/>
      <c r="J4328" s="1368"/>
      <c r="K4328" s="1368"/>
      <c r="L4328" s="1368"/>
      <c r="M4328" s="1368"/>
      <c r="N4328" s="1368"/>
      <c r="O4328" s="1368"/>
      <c r="P4328" s="1368"/>
      <c r="Q4328" s="1368"/>
      <c r="R4328" s="556"/>
      <c r="S4328" s="564"/>
      <c r="T4328" s="577"/>
      <c r="U4328" s="591"/>
      <c r="V4328" s="588"/>
      <c r="W4328" s="733"/>
      <c r="X4328" s="733"/>
      <c r="Y4328" s="734"/>
      <c r="Z4328" s="734"/>
      <c r="AA4328" s="523"/>
      <c r="AB4328" s="523"/>
      <c r="AC4328" s="524"/>
      <c r="AD4328" s="525"/>
      <c r="AE4328" s="525"/>
      <c r="AF4328" s="525"/>
      <c r="AG4328" s="526"/>
      <c r="AH4328" s="526"/>
      <c r="AI4328" s="526"/>
      <c r="AJ4328" s="527"/>
      <c r="AK4328" s="439"/>
      <c r="AL4328" s="123"/>
      <c r="AM4328" s="528"/>
      <c r="AN4328" s="522"/>
      <c r="AO4328" s="522"/>
      <c r="AP4328" s="522"/>
      <c r="AQ4328" s="523"/>
      <c r="AR4328" s="523"/>
      <c r="AS4328" s="523"/>
      <c r="AT4328" s="523"/>
      <c r="AU4328" s="524"/>
      <c r="AV4328" s="525"/>
      <c r="AW4328" s="525"/>
      <c r="AX4328" s="525"/>
      <c r="AY4328" s="526"/>
      <c r="AZ4328" s="526"/>
      <c r="BA4328" s="526"/>
      <c r="BB4328" s="527"/>
      <c r="BC4328" s="439"/>
      <c r="BD4328" s="123"/>
      <c r="BE4328" s="528"/>
      <c r="BF4328" s="522"/>
      <c r="BG4328" s="522"/>
      <c r="BH4328" s="522"/>
      <c r="BI4328" s="523"/>
      <c r="BJ4328" s="523"/>
      <c r="BK4328" s="523"/>
      <c r="BL4328" s="523"/>
      <c r="BM4328" s="524"/>
      <c r="BN4328" s="525"/>
      <c r="BO4328" s="525"/>
      <c r="BP4328" s="525"/>
      <c r="BQ4328" s="526"/>
      <c r="BR4328" s="526"/>
      <c r="BS4328" s="526"/>
      <c r="BT4328" s="527"/>
      <c r="BU4328" s="439"/>
      <c r="BV4328" s="123"/>
      <c r="BW4328" s="528"/>
      <c r="BX4328" s="522"/>
      <c r="BY4328" s="522"/>
      <c r="BZ4328" s="522"/>
      <c r="CA4328" s="523"/>
      <c r="CB4328" s="523"/>
      <c r="CC4328" s="523"/>
      <c r="CD4328" s="523"/>
      <c r="CE4328" s="524"/>
      <c r="CF4328" s="525"/>
      <c r="CG4328" s="525"/>
      <c r="CH4328" s="525"/>
      <c r="CI4328" s="526"/>
      <c r="CJ4328" s="526"/>
      <c r="CK4328" s="526"/>
      <c r="CL4328" s="527"/>
      <c r="CM4328" s="439"/>
      <c r="CN4328" s="123"/>
      <c r="CO4328" s="528"/>
      <c r="CP4328" s="522"/>
      <c r="CQ4328" s="522"/>
      <c r="CR4328" s="522"/>
      <c r="CS4328" s="523"/>
      <c r="CT4328" s="523"/>
      <c r="CU4328" s="523"/>
      <c r="CV4328" s="523"/>
      <c r="CW4328" s="524"/>
      <c r="CX4328" s="525"/>
      <c r="CY4328" s="525"/>
      <c r="CZ4328" s="525"/>
      <c r="DA4328" s="526"/>
      <c r="DB4328" s="526"/>
      <c r="DC4328" s="526"/>
      <c r="DD4328" s="527"/>
      <c r="DE4328" s="439"/>
      <c r="DF4328" s="123"/>
      <c r="DG4328" s="528"/>
      <c r="DH4328" s="522"/>
      <c r="DI4328" s="522"/>
      <c r="DJ4328" s="522"/>
      <c r="DK4328" s="523"/>
      <c r="DL4328" s="523"/>
      <c r="DM4328" s="523"/>
      <c r="DN4328" s="523"/>
      <c r="DO4328" s="524"/>
      <c r="DP4328" s="525"/>
      <c r="DQ4328" s="525"/>
      <c r="DR4328" s="525"/>
      <c r="DS4328" s="526"/>
      <c r="DT4328" s="526"/>
      <c r="DU4328" s="526"/>
      <c r="DV4328" s="527"/>
      <c r="DW4328" s="439"/>
      <c r="DX4328" s="123"/>
      <c r="DY4328" s="528"/>
      <c r="DZ4328" s="522"/>
      <c r="EA4328" s="522"/>
      <c r="EB4328" s="522"/>
      <c r="EC4328" s="523"/>
      <c r="ED4328" s="523"/>
      <c r="EE4328" s="523"/>
      <c r="EF4328" s="523"/>
      <c r="EG4328" s="524"/>
      <c r="EH4328" s="525"/>
      <c r="EI4328" s="525"/>
      <c r="EJ4328" s="525"/>
      <c r="EK4328" s="526"/>
      <c r="EL4328" s="526"/>
      <c r="EM4328" s="526"/>
      <c r="EN4328" s="527"/>
      <c r="EO4328" s="439"/>
      <c r="EP4328" s="123"/>
      <c r="EQ4328" s="528"/>
      <c r="ER4328" s="522"/>
      <c r="ES4328" s="522"/>
      <c r="ET4328" s="522"/>
      <c r="EU4328" s="523"/>
      <c r="EV4328" s="523"/>
      <c r="EW4328" s="523"/>
      <c r="EX4328" s="523"/>
      <c r="EY4328" s="524"/>
      <c r="EZ4328" s="525"/>
      <c r="FA4328" s="525"/>
      <c r="FB4328" s="525"/>
      <c r="FC4328" s="526"/>
      <c r="FD4328" s="526"/>
      <c r="FE4328" s="526"/>
      <c r="FF4328" s="527"/>
      <c r="FG4328" s="439"/>
      <c r="FH4328" s="123"/>
      <c r="FI4328" s="528"/>
      <c r="FJ4328" s="522"/>
      <c r="FK4328" s="522"/>
      <c r="FL4328" s="522"/>
      <c r="FM4328" s="523"/>
      <c r="FN4328" s="523"/>
      <c r="FO4328" s="523"/>
      <c r="FP4328" s="523"/>
      <c r="FQ4328" s="524"/>
      <c r="FR4328" s="525"/>
      <c r="FS4328" s="525"/>
      <c r="FT4328" s="525"/>
      <c r="FU4328" s="526"/>
      <c r="FV4328" s="526"/>
      <c r="FW4328" s="526"/>
      <c r="FX4328" s="527"/>
      <c r="FY4328" s="439"/>
      <c r="FZ4328" s="123"/>
      <c r="GA4328" s="528"/>
      <c r="GB4328" s="522"/>
      <c r="GC4328" s="522"/>
      <c r="GD4328" s="522"/>
      <c r="GE4328" s="523"/>
      <c r="GF4328" s="523"/>
      <c r="GG4328" s="523"/>
      <c r="GH4328" s="523"/>
      <c r="GI4328" s="524"/>
      <c r="GJ4328" s="525"/>
      <c r="GK4328" s="525"/>
      <c r="GL4328" s="525"/>
      <c r="GM4328" s="526"/>
      <c r="GN4328" s="526"/>
      <c r="GO4328" s="526"/>
      <c r="GP4328" s="527"/>
      <c r="GQ4328" s="439"/>
      <c r="GR4328" s="123"/>
      <c r="GS4328" s="528"/>
      <c r="GT4328" s="522"/>
      <c r="GU4328" s="522"/>
      <c r="GV4328" s="522"/>
      <c r="GW4328" s="523"/>
      <c r="GX4328" s="523"/>
      <c r="GY4328" s="523"/>
      <c r="GZ4328" s="523"/>
      <c r="HA4328" s="524"/>
      <c r="HB4328" s="525"/>
      <c r="HC4328" s="525"/>
      <c r="HD4328" s="525"/>
      <c r="HE4328" s="526"/>
      <c r="HF4328" s="526"/>
      <c r="HG4328" s="526"/>
      <c r="HH4328" s="527"/>
      <c r="HI4328" s="439"/>
      <c r="HJ4328" s="123"/>
      <c r="HK4328" s="528"/>
      <c r="HL4328" s="522"/>
    </row>
    <row r="4329" spans="1:220" s="90" customFormat="1" hidden="1">
      <c r="A4329" s="590">
        <v>1</v>
      </c>
      <c r="B4329" s="592" t="s">
        <v>3643</v>
      </c>
      <c r="C4329" s="582" t="s">
        <v>217</v>
      </c>
      <c r="D4329" s="646">
        <v>36552.060000000005</v>
      </c>
      <c r="E4329" s="646">
        <v>2984.04</v>
      </c>
      <c r="F4329" s="815" t="s">
        <v>233</v>
      </c>
      <c r="G4329" s="646">
        <v>1504.2</v>
      </c>
      <c r="H4329" s="582">
        <v>9</v>
      </c>
      <c r="I4329" s="582">
        <v>4</v>
      </c>
      <c r="J4329" s="582">
        <v>135</v>
      </c>
      <c r="K4329" s="590" t="s">
        <v>33</v>
      </c>
      <c r="L4329" s="584">
        <f>M4329+N4329+O4329+P4329+Q4329</f>
        <v>3852257</v>
      </c>
      <c r="M4329" s="585">
        <v>3760500</v>
      </c>
      <c r="N4329" s="586"/>
      <c r="O4329" s="736">
        <v>11282</v>
      </c>
      <c r="P4329" s="586"/>
      <c r="Q4329" s="586">
        <v>80475</v>
      </c>
      <c r="R4329" s="599">
        <f>M4329/G4329</f>
        <v>2500</v>
      </c>
      <c r="S4329" s="748"/>
      <c r="T4329" s="738">
        <f>L4329-M4329-N4329-O4329-Q4329</f>
        <v>0</v>
      </c>
      <c r="U4329" s="738"/>
      <c r="V4329" s="748"/>
      <c r="W4329" s="748"/>
      <c r="X4329" s="748"/>
      <c r="Y4329" s="748"/>
      <c r="Z4329" s="748"/>
    </row>
    <row r="4330" spans="1:220" s="86" customFormat="1" ht="37.5" hidden="1">
      <c r="A4330" s="792">
        <f>A4329+1</f>
        <v>2</v>
      </c>
      <c r="B4330" s="592" t="s">
        <v>3415</v>
      </c>
      <c r="C4330" s="582" t="s">
        <v>217</v>
      </c>
      <c r="D4330" s="646">
        <v>31682.5</v>
      </c>
      <c r="E4330" s="619">
        <v>2973.5</v>
      </c>
      <c r="F4330" s="646" t="s">
        <v>233</v>
      </c>
      <c r="G4330" s="646">
        <v>1667.5</v>
      </c>
      <c r="H4330" s="582">
        <v>5</v>
      </c>
      <c r="I4330" s="582">
        <v>7</v>
      </c>
      <c r="J4330" s="582">
        <v>108</v>
      </c>
      <c r="K4330" s="735" t="s">
        <v>30</v>
      </c>
      <c r="L4330" s="584">
        <f>M4330+N4330+O4330+P4330+Q4330</f>
        <v>3319056</v>
      </c>
      <c r="M4330" s="585">
        <v>3240000</v>
      </c>
      <c r="N4330" s="597"/>
      <c r="O4330" s="736">
        <v>9720</v>
      </c>
      <c r="P4330" s="586"/>
      <c r="Q4330" s="586">
        <v>69336</v>
      </c>
      <c r="R4330" s="582">
        <f>M4330/J4330</f>
        <v>30000</v>
      </c>
      <c r="S4330" s="737"/>
      <c r="T4330" s="738">
        <f>L4330-M4330-N4330-O4330-Q4330</f>
        <v>0</v>
      </c>
      <c r="U4330" s="737"/>
      <c r="V4330" s="737"/>
      <c r="W4330" s="737"/>
      <c r="X4330" s="737"/>
      <c r="Y4330" s="737"/>
      <c r="Z4330" s="737"/>
    </row>
    <row r="4331" spans="1:220" s="86" customFormat="1" ht="37.5" hidden="1">
      <c r="A4331" s="792">
        <f>A4330+1</f>
        <v>3</v>
      </c>
      <c r="B4331" s="592" t="s">
        <v>4316</v>
      </c>
      <c r="C4331" s="582" t="s">
        <v>217</v>
      </c>
      <c r="D4331" s="646">
        <v>15180</v>
      </c>
      <c r="E4331" s="619">
        <v>3090</v>
      </c>
      <c r="F4331" s="646" t="s">
        <v>223</v>
      </c>
      <c r="G4331" s="646">
        <v>1012</v>
      </c>
      <c r="H4331" s="582">
        <v>5</v>
      </c>
      <c r="I4331" s="582">
        <v>6</v>
      </c>
      <c r="J4331" s="582">
        <v>90</v>
      </c>
      <c r="K4331" s="735" t="s">
        <v>30</v>
      </c>
      <c r="L4331" s="584">
        <f>M4331+N4331+O4331+P4331+Q4331</f>
        <v>2765880</v>
      </c>
      <c r="M4331" s="585">
        <v>2700000</v>
      </c>
      <c r="N4331" s="586"/>
      <c r="O4331" s="736">
        <v>8100</v>
      </c>
      <c r="P4331" s="586"/>
      <c r="Q4331" s="586">
        <v>57780</v>
      </c>
      <c r="R4331" s="582">
        <f>M4331/J4331</f>
        <v>30000</v>
      </c>
      <c r="S4331" s="737"/>
      <c r="T4331" s="738"/>
      <c r="U4331" s="737"/>
      <c r="V4331" s="737"/>
      <c r="W4331" s="737"/>
      <c r="X4331" s="737"/>
      <c r="Y4331" s="737"/>
      <c r="Z4331" s="737"/>
    </row>
    <row r="4332" spans="1:220" s="437" customFormat="1" hidden="1">
      <c r="A4332" s="1349" t="s">
        <v>31</v>
      </c>
      <c r="B4332" s="1349"/>
      <c r="C4332" s="593" t="s">
        <v>28</v>
      </c>
      <c r="D4332" s="646">
        <f>SUM(D4329:D4331)</f>
        <v>83414.559999999998</v>
      </c>
      <c r="E4332" s="646">
        <f>SUM(E4329:E4331)</f>
        <v>9047.5400000000009</v>
      </c>
      <c r="F4332" s="646" t="s">
        <v>28</v>
      </c>
      <c r="G4332" s="646">
        <f>SUM(G4329:G4331)</f>
        <v>4183.7</v>
      </c>
      <c r="H4332" s="582" t="s">
        <v>28</v>
      </c>
      <c r="I4332" s="582" t="s">
        <v>28</v>
      </c>
      <c r="J4332" s="646">
        <f>SUM(J4329:J4331)</f>
        <v>333</v>
      </c>
      <c r="K4332" s="590" t="s">
        <v>28</v>
      </c>
      <c r="L4332" s="584">
        <f t="shared" ref="L4332:Q4332" si="669">SUM(L4329:L4331)</f>
        <v>9937193</v>
      </c>
      <c r="M4332" s="585">
        <f t="shared" si="669"/>
        <v>9700500</v>
      </c>
      <c r="N4332" s="586">
        <f t="shared" si="669"/>
        <v>0</v>
      </c>
      <c r="O4332" s="587">
        <f t="shared" si="669"/>
        <v>29102</v>
      </c>
      <c r="P4332" s="646">
        <f t="shared" si="669"/>
        <v>0</v>
      </c>
      <c r="Q4332" s="646">
        <f t="shared" si="669"/>
        <v>207591</v>
      </c>
      <c r="R4332" s="582" t="s">
        <v>28</v>
      </c>
      <c r="S4332" s="785"/>
      <c r="T4332" s="738">
        <f t="shared" ref="T4332:T4344" si="670">L4332-M4332-N4332-O4332-Q4332</f>
        <v>0</v>
      </c>
      <c r="U4332" s="702"/>
      <c r="V4332" s="785"/>
      <c r="W4332" s="785"/>
      <c r="X4332" s="785"/>
      <c r="Y4332" s="785"/>
      <c r="Z4332" s="785"/>
    </row>
    <row r="4333" spans="1:220" s="28" customFormat="1" hidden="1">
      <c r="A4333" s="1347" t="s">
        <v>35</v>
      </c>
      <c r="B4333" s="1347"/>
      <c r="C4333" s="1347"/>
      <c r="D4333" s="1347"/>
      <c r="E4333" s="1347"/>
      <c r="F4333" s="1347"/>
      <c r="G4333" s="1347"/>
      <c r="H4333" s="1347"/>
      <c r="I4333" s="1347"/>
      <c r="J4333" s="1347"/>
      <c r="K4333" s="1347"/>
      <c r="L4333" s="1347"/>
      <c r="M4333" s="1347"/>
      <c r="N4333" s="1347"/>
      <c r="O4333" s="1347"/>
      <c r="P4333" s="1347"/>
      <c r="Q4333" s="1347"/>
      <c r="R4333" s="590"/>
      <c r="S4333" s="592"/>
      <c r="T4333" s="738">
        <f t="shared" si="670"/>
        <v>0</v>
      </c>
      <c r="U4333" s="591"/>
      <c r="V4333" s="592"/>
      <c r="W4333" s="592"/>
      <c r="X4333" s="592"/>
      <c r="Y4333" s="592"/>
      <c r="Z4333" s="592"/>
    </row>
    <row r="4334" spans="1:220" s="71" customFormat="1" ht="37.5" hidden="1">
      <c r="A4334" s="667">
        <v>1</v>
      </c>
      <c r="B4334" s="592" t="s">
        <v>3416</v>
      </c>
      <c r="C4334" s="744" t="s">
        <v>221</v>
      </c>
      <c r="D4334" s="646">
        <v>16358</v>
      </c>
      <c r="E4334" s="619">
        <v>2139.37</v>
      </c>
      <c r="F4334" s="619" t="s">
        <v>222</v>
      </c>
      <c r="G4334" s="739">
        <f>(20*I4334)*12*1.2</f>
        <v>576</v>
      </c>
      <c r="H4334" s="582">
        <v>5</v>
      </c>
      <c r="I4334" s="582">
        <v>2</v>
      </c>
      <c r="J4334" s="599">
        <v>159</v>
      </c>
      <c r="K4334" s="735" t="s">
        <v>30</v>
      </c>
      <c r="L4334" s="584">
        <f t="shared" ref="L4334:L4367" si="671">M4334+N4334+O4334+P4334+Q4334</f>
        <v>4071990</v>
      </c>
      <c r="M4334" s="596">
        <f>J4334*25000</f>
        <v>3975000</v>
      </c>
      <c r="N4334" s="597"/>
      <c r="O4334" s="736">
        <f>ROUND(M4334*0.3%,0)</f>
        <v>11925</v>
      </c>
      <c r="P4334" s="597"/>
      <c r="Q4334" s="586">
        <f t="shared" ref="Q4334:Q4344" si="672">ROUND(M4334*2.14%,0)</f>
        <v>85065</v>
      </c>
      <c r="R4334" s="582">
        <f>M4334/J4334</f>
        <v>25000</v>
      </c>
      <c r="S4334" s="592"/>
      <c r="T4334" s="738">
        <f t="shared" si="670"/>
        <v>0</v>
      </c>
      <c r="U4334" s="737"/>
      <c r="V4334" s="737"/>
      <c r="W4334" s="737"/>
      <c r="X4334" s="737"/>
      <c r="Y4334" s="737"/>
      <c r="Z4334" s="737"/>
    </row>
    <row r="4335" spans="1:220" s="71" customFormat="1" hidden="1">
      <c r="A4335" s="667">
        <f t="shared" ref="A4335:A4378" si="673">A4334+1</f>
        <v>2</v>
      </c>
      <c r="B4335" s="592" t="s">
        <v>3417</v>
      </c>
      <c r="C4335" s="582" t="s">
        <v>221</v>
      </c>
      <c r="D4335" s="619">
        <v>9935</v>
      </c>
      <c r="E4335" s="619">
        <v>2068.1999999999998</v>
      </c>
      <c r="F4335" s="619" t="s">
        <v>223</v>
      </c>
      <c r="G4335" s="619">
        <v>1296.9000000000001</v>
      </c>
      <c r="H4335" s="599">
        <v>9</v>
      </c>
      <c r="I4335" s="599">
        <v>1</v>
      </c>
      <c r="J4335" s="599">
        <v>53</v>
      </c>
      <c r="K4335" s="590" t="s">
        <v>38</v>
      </c>
      <c r="L4335" s="746">
        <f t="shared" si="671"/>
        <v>3813594.9999999995</v>
      </c>
      <c r="M4335" s="745">
        <f>E4335*1800</f>
        <v>3722759.9999999995</v>
      </c>
      <c r="N4335" s="747"/>
      <c r="O4335" s="736">
        <f>ROUND(M4335*0.3%,0)</f>
        <v>11168</v>
      </c>
      <c r="P4335" s="747"/>
      <c r="Q4335" s="586">
        <f t="shared" si="672"/>
        <v>79667</v>
      </c>
      <c r="R4335" s="599">
        <f>M4335/E4335</f>
        <v>1800</v>
      </c>
      <c r="S4335" s="592"/>
      <c r="T4335" s="738">
        <f t="shared" si="670"/>
        <v>0</v>
      </c>
      <c r="U4335" s="737"/>
      <c r="V4335" s="737"/>
      <c r="W4335" s="737"/>
      <c r="X4335" s="737"/>
      <c r="Y4335" s="737"/>
      <c r="Z4335" s="737"/>
    </row>
    <row r="4336" spans="1:220" s="71" customFormat="1" hidden="1">
      <c r="A4336" s="667">
        <f t="shared" si="673"/>
        <v>3</v>
      </c>
      <c r="B4336" s="592" t="s">
        <v>3418</v>
      </c>
      <c r="C4336" s="1056" t="s">
        <v>217</v>
      </c>
      <c r="D4336" s="619">
        <v>9941</v>
      </c>
      <c r="E4336" s="619">
        <v>2068.1999999999998</v>
      </c>
      <c r="F4336" s="619" t="s">
        <v>223</v>
      </c>
      <c r="G4336" s="619">
        <v>1396</v>
      </c>
      <c r="H4336" s="599">
        <v>9</v>
      </c>
      <c r="I4336" s="599">
        <v>1</v>
      </c>
      <c r="J4336" s="599">
        <v>53</v>
      </c>
      <c r="K4336" s="590" t="s">
        <v>38</v>
      </c>
      <c r="L4336" s="746">
        <f t="shared" si="671"/>
        <v>3813594.9999999995</v>
      </c>
      <c r="M4336" s="745">
        <f>E4336*1800</f>
        <v>3722759.9999999995</v>
      </c>
      <c r="N4336" s="747"/>
      <c r="O4336" s="736">
        <f>ROUND(M4336*0.3%,0)</f>
        <v>11168</v>
      </c>
      <c r="P4336" s="747"/>
      <c r="Q4336" s="586">
        <f t="shared" si="672"/>
        <v>79667</v>
      </c>
      <c r="R4336" s="599">
        <f>M4336/E4336</f>
        <v>1800</v>
      </c>
      <c r="S4336" s="592"/>
      <c r="T4336" s="738">
        <f t="shared" si="670"/>
        <v>0</v>
      </c>
      <c r="U4336" s="737"/>
      <c r="V4336" s="737"/>
      <c r="W4336" s="737"/>
      <c r="X4336" s="737"/>
      <c r="Y4336" s="737"/>
      <c r="Z4336" s="737"/>
    </row>
    <row r="4337" spans="1:26" s="71" customFormat="1" hidden="1">
      <c r="A4337" s="667">
        <f t="shared" si="673"/>
        <v>4</v>
      </c>
      <c r="B4337" s="592" t="s">
        <v>3419</v>
      </c>
      <c r="C4337" s="1056" t="s">
        <v>217</v>
      </c>
      <c r="D4337" s="619">
        <v>15045</v>
      </c>
      <c r="E4337" s="619">
        <v>2637.38</v>
      </c>
      <c r="F4337" s="619" t="s">
        <v>222</v>
      </c>
      <c r="G4337" s="619">
        <v>1372.8</v>
      </c>
      <c r="H4337" s="599">
        <v>5</v>
      </c>
      <c r="I4337" s="599">
        <v>6</v>
      </c>
      <c r="J4337" s="599">
        <v>90</v>
      </c>
      <c r="K4337" s="590" t="s">
        <v>38</v>
      </c>
      <c r="L4337" s="746">
        <f t="shared" si="671"/>
        <v>4863118</v>
      </c>
      <c r="M4337" s="745">
        <f>E4337*1800</f>
        <v>4747284</v>
      </c>
      <c r="N4337" s="747"/>
      <c r="O4337" s="736">
        <f>ROUND(M4337*0.3%,0)</f>
        <v>14242</v>
      </c>
      <c r="P4337" s="747"/>
      <c r="Q4337" s="586">
        <f t="shared" si="672"/>
        <v>101592</v>
      </c>
      <c r="R4337" s="599">
        <f>M4337/E4337</f>
        <v>1800</v>
      </c>
      <c r="S4337" s="592"/>
      <c r="T4337" s="738">
        <f t="shared" si="670"/>
        <v>0</v>
      </c>
      <c r="U4337" s="737"/>
      <c r="V4337" s="737"/>
      <c r="W4337" s="737"/>
      <c r="X4337" s="737"/>
      <c r="Y4337" s="737"/>
      <c r="Z4337" s="737"/>
    </row>
    <row r="4338" spans="1:26" s="71" customFormat="1" hidden="1">
      <c r="A4338" s="667">
        <f t="shared" si="673"/>
        <v>5</v>
      </c>
      <c r="B4338" s="592" t="s">
        <v>3420</v>
      </c>
      <c r="C4338" s="561" t="s">
        <v>221</v>
      </c>
      <c r="D4338" s="619">
        <v>22854</v>
      </c>
      <c r="E4338" s="619">
        <v>2871</v>
      </c>
      <c r="F4338" s="619" t="s">
        <v>222</v>
      </c>
      <c r="G4338" s="619">
        <v>2112</v>
      </c>
      <c r="H4338" s="599">
        <v>5</v>
      </c>
      <c r="I4338" s="599">
        <v>8</v>
      </c>
      <c r="J4338" s="599">
        <v>127</v>
      </c>
      <c r="K4338" s="590" t="s">
        <v>33</v>
      </c>
      <c r="L4338" s="584">
        <f t="shared" si="671"/>
        <v>5429952</v>
      </c>
      <c r="M4338" s="585">
        <f>G4338*2500</f>
        <v>5280000</v>
      </c>
      <c r="N4338" s="586">
        <f>M4338*0.007</f>
        <v>36960</v>
      </c>
      <c r="O4338" s="587"/>
      <c r="P4338" s="586"/>
      <c r="Q4338" s="586">
        <f t="shared" si="672"/>
        <v>112992</v>
      </c>
      <c r="R4338" s="582">
        <f>M4338/G4338</f>
        <v>2500</v>
      </c>
      <c r="S4338" s="592"/>
      <c r="T4338" s="738">
        <f t="shared" si="670"/>
        <v>0</v>
      </c>
      <c r="U4338" s="737"/>
      <c r="V4338" s="737"/>
      <c r="W4338" s="737"/>
      <c r="X4338" s="737"/>
      <c r="Y4338" s="737"/>
      <c r="Z4338" s="737"/>
    </row>
    <row r="4339" spans="1:26" s="71" customFormat="1" hidden="1">
      <c r="A4339" s="667">
        <f t="shared" si="673"/>
        <v>6</v>
      </c>
      <c r="B4339" s="592" t="s">
        <v>3421</v>
      </c>
      <c r="C4339" s="561" t="s">
        <v>221</v>
      </c>
      <c r="D4339" s="619">
        <v>28995</v>
      </c>
      <c r="E4339" s="619">
        <v>2870</v>
      </c>
      <c r="F4339" s="619" t="s">
        <v>223</v>
      </c>
      <c r="G4339" s="619">
        <v>2681.5</v>
      </c>
      <c r="H4339" s="599">
        <v>5</v>
      </c>
      <c r="I4339" s="599">
        <v>8</v>
      </c>
      <c r="J4339" s="599">
        <v>32</v>
      </c>
      <c r="K4339" s="590" t="s">
        <v>33</v>
      </c>
      <c r="L4339" s="584">
        <f t="shared" si="671"/>
        <v>5768550</v>
      </c>
      <c r="M4339" s="585">
        <f>G4339*2100</f>
        <v>5631150</v>
      </c>
      <c r="N4339" s="586"/>
      <c r="O4339" s="736">
        <f>ROUND(M4339*0.3%,0)</f>
        <v>16893</v>
      </c>
      <c r="P4339" s="586"/>
      <c r="Q4339" s="586">
        <f t="shared" si="672"/>
        <v>120507</v>
      </c>
      <c r="R4339" s="582">
        <f>M4339/G4339</f>
        <v>2100</v>
      </c>
      <c r="S4339" s="592"/>
      <c r="T4339" s="738">
        <f t="shared" si="670"/>
        <v>0</v>
      </c>
      <c r="U4339" s="737"/>
      <c r="V4339" s="737"/>
      <c r="W4339" s="737"/>
      <c r="X4339" s="737"/>
      <c r="Y4339" s="737"/>
      <c r="Z4339" s="737"/>
    </row>
    <row r="4340" spans="1:26" s="71" customFormat="1" hidden="1">
      <c r="A4340" s="667">
        <f t="shared" si="673"/>
        <v>7</v>
      </c>
      <c r="B4340" s="592" t="s">
        <v>3422</v>
      </c>
      <c r="C4340" s="744" t="s">
        <v>221</v>
      </c>
      <c r="D4340" s="646">
        <v>45515</v>
      </c>
      <c r="E4340" s="619">
        <v>5640</v>
      </c>
      <c r="F4340" s="619" t="s">
        <v>223</v>
      </c>
      <c r="G4340" s="739">
        <f>(20*I4340)*12*1.2</f>
        <v>1440</v>
      </c>
      <c r="H4340" s="582">
        <v>9</v>
      </c>
      <c r="I4340" s="582">
        <v>5</v>
      </c>
      <c r="J4340" s="599">
        <v>159</v>
      </c>
      <c r="K4340" s="590" t="s">
        <v>224</v>
      </c>
      <c r="L4340" s="740">
        <f t="shared" si="671"/>
        <v>3607837</v>
      </c>
      <c r="M4340" s="741">
        <f>J4340*22000</f>
        <v>3498000</v>
      </c>
      <c r="N4340" s="742">
        <f>M4340*0.01</f>
        <v>34980</v>
      </c>
      <c r="O4340" s="743"/>
      <c r="P4340" s="742"/>
      <c r="Q4340" s="586">
        <f t="shared" si="672"/>
        <v>74857</v>
      </c>
      <c r="R4340" s="744">
        <f>M4340/J4340</f>
        <v>22000</v>
      </c>
      <c r="S4340" s="592"/>
      <c r="T4340" s="738">
        <f t="shared" si="670"/>
        <v>0</v>
      </c>
      <c r="U4340" s="737"/>
      <c r="V4340" s="737"/>
      <c r="W4340" s="737"/>
      <c r="X4340" s="737"/>
      <c r="Y4340" s="737"/>
      <c r="Z4340" s="737"/>
    </row>
    <row r="4341" spans="1:26" s="90" customFormat="1" ht="37.5" hidden="1">
      <c r="A4341" s="667">
        <f t="shared" si="673"/>
        <v>8</v>
      </c>
      <c r="B4341" s="592" t="s">
        <v>3423</v>
      </c>
      <c r="C4341" s="593" t="s">
        <v>217</v>
      </c>
      <c r="D4341" s="646">
        <v>27438</v>
      </c>
      <c r="E4341" s="619">
        <v>4681.4799999999996</v>
      </c>
      <c r="F4341" s="619" t="s">
        <v>223</v>
      </c>
      <c r="G4341" s="739">
        <f>(20*I4341)*12*1.2</f>
        <v>2880</v>
      </c>
      <c r="H4341" s="582">
        <v>5</v>
      </c>
      <c r="I4341" s="582">
        <v>10</v>
      </c>
      <c r="J4341" s="599">
        <v>157</v>
      </c>
      <c r="K4341" s="735" t="s">
        <v>30</v>
      </c>
      <c r="L4341" s="584">
        <f t="shared" si="671"/>
        <v>4020770</v>
      </c>
      <c r="M4341" s="596">
        <f>J4341*25000</f>
        <v>3925000</v>
      </c>
      <c r="N4341" s="597"/>
      <c r="O4341" s="736">
        <f>ROUND(M4341*0.3%,0)</f>
        <v>11775</v>
      </c>
      <c r="P4341" s="597"/>
      <c r="Q4341" s="586">
        <f t="shared" si="672"/>
        <v>83995</v>
      </c>
      <c r="R4341" s="582">
        <f>M4341/J4341</f>
        <v>25000</v>
      </c>
      <c r="S4341" s="592"/>
      <c r="T4341" s="738">
        <f t="shared" si="670"/>
        <v>0</v>
      </c>
      <c r="U4341" s="589"/>
      <c r="V4341" s="748"/>
      <c r="W4341" s="748"/>
      <c r="X4341" s="748"/>
      <c r="Y4341" s="748"/>
      <c r="Z4341" s="748"/>
    </row>
    <row r="4342" spans="1:26" s="90" customFormat="1" hidden="1">
      <c r="A4342" s="667">
        <f t="shared" si="673"/>
        <v>9</v>
      </c>
      <c r="B4342" s="592" t="s">
        <v>3424</v>
      </c>
      <c r="C4342" s="1056" t="s">
        <v>217</v>
      </c>
      <c r="D4342" s="619">
        <v>31363</v>
      </c>
      <c r="E4342" s="619">
        <v>4504.55</v>
      </c>
      <c r="F4342" s="619" t="s">
        <v>223</v>
      </c>
      <c r="G4342" s="619">
        <v>2521.9</v>
      </c>
      <c r="H4342" s="599">
        <v>5</v>
      </c>
      <c r="I4342" s="599">
        <v>11</v>
      </c>
      <c r="J4342" s="599">
        <v>189</v>
      </c>
      <c r="K4342" s="590" t="s">
        <v>38</v>
      </c>
      <c r="L4342" s="746">
        <f t="shared" si="671"/>
        <v>8306030</v>
      </c>
      <c r="M4342" s="745">
        <f>E4342*1800</f>
        <v>8108190</v>
      </c>
      <c r="N4342" s="747"/>
      <c r="O4342" s="736">
        <f>ROUND(M4342*0.3%,0)</f>
        <v>24325</v>
      </c>
      <c r="P4342" s="747"/>
      <c r="Q4342" s="586">
        <f t="shared" si="672"/>
        <v>173515</v>
      </c>
      <c r="R4342" s="599">
        <f>M4342/E4342</f>
        <v>1800</v>
      </c>
      <c r="S4342" s="748"/>
      <c r="T4342" s="738">
        <f t="shared" si="670"/>
        <v>0</v>
      </c>
      <c r="U4342" s="589"/>
      <c r="V4342" s="748"/>
      <c r="W4342" s="748"/>
      <c r="X4342" s="748"/>
      <c r="Y4342" s="748"/>
      <c r="Z4342" s="748"/>
    </row>
    <row r="4343" spans="1:26" s="90" customFormat="1" hidden="1">
      <c r="A4343" s="667">
        <f>A4342+1</f>
        <v>10</v>
      </c>
      <c r="B4343" s="592" t="s">
        <v>3426</v>
      </c>
      <c r="C4343" s="744" t="s">
        <v>221</v>
      </c>
      <c r="D4343" s="646">
        <v>19563</v>
      </c>
      <c r="E4343" s="619">
        <v>2000</v>
      </c>
      <c r="F4343" s="619" t="s">
        <v>223</v>
      </c>
      <c r="G4343" s="739">
        <f>(20*I4343)*12*1.2</f>
        <v>1440</v>
      </c>
      <c r="H4343" s="582">
        <v>5</v>
      </c>
      <c r="I4343" s="582">
        <v>5</v>
      </c>
      <c r="J4343" s="599">
        <v>163</v>
      </c>
      <c r="K4343" s="590" t="s">
        <v>224</v>
      </c>
      <c r="L4343" s="740">
        <f t="shared" si="671"/>
        <v>3698600</v>
      </c>
      <c r="M4343" s="741">
        <f>J4343*22000</f>
        <v>3586000</v>
      </c>
      <c r="N4343" s="742">
        <f>M4343*0.01</f>
        <v>35860</v>
      </c>
      <c r="O4343" s="743"/>
      <c r="P4343" s="742"/>
      <c r="Q4343" s="586">
        <f t="shared" si="672"/>
        <v>76740</v>
      </c>
      <c r="R4343" s="744">
        <f>M4343/J4343</f>
        <v>22000</v>
      </c>
      <c r="S4343" s="592"/>
      <c r="T4343" s="738">
        <f t="shared" si="670"/>
        <v>0</v>
      </c>
      <c r="U4343" s="737"/>
      <c r="V4343" s="748"/>
      <c r="W4343" s="748"/>
      <c r="X4343" s="748"/>
      <c r="Y4343" s="748"/>
      <c r="Z4343" s="748"/>
    </row>
    <row r="4344" spans="1:26" s="90" customFormat="1" hidden="1">
      <c r="A4344" s="667">
        <f t="shared" si="673"/>
        <v>11</v>
      </c>
      <c r="B4344" s="592" t="s">
        <v>3430</v>
      </c>
      <c r="C4344" s="561" t="s">
        <v>217</v>
      </c>
      <c r="D4344" s="619">
        <v>17015</v>
      </c>
      <c r="E4344" s="619">
        <v>2175</v>
      </c>
      <c r="F4344" s="619" t="s">
        <v>223</v>
      </c>
      <c r="G4344" s="619">
        <v>1416</v>
      </c>
      <c r="H4344" s="599">
        <v>5</v>
      </c>
      <c r="I4344" s="599">
        <v>6</v>
      </c>
      <c r="J4344" s="599">
        <v>90</v>
      </c>
      <c r="K4344" s="590" t="s">
        <v>33</v>
      </c>
      <c r="L4344" s="746">
        <f t="shared" si="671"/>
        <v>3626376</v>
      </c>
      <c r="M4344" s="585">
        <f>G4344*2500</f>
        <v>3540000</v>
      </c>
      <c r="N4344" s="747"/>
      <c r="O4344" s="736">
        <f>ROUND(M4344*0.3%,0)</f>
        <v>10620</v>
      </c>
      <c r="P4344" s="586"/>
      <c r="Q4344" s="586">
        <f t="shared" si="672"/>
        <v>75756</v>
      </c>
      <c r="R4344" s="582">
        <f>M4344/G4344</f>
        <v>2500</v>
      </c>
      <c r="S4344" s="592"/>
      <c r="T4344" s="738">
        <f t="shared" si="670"/>
        <v>0</v>
      </c>
      <c r="U4344" s="737"/>
      <c r="V4344" s="748"/>
      <c r="W4344" s="748"/>
      <c r="X4344" s="748"/>
      <c r="Y4344" s="748"/>
      <c r="Z4344" s="748"/>
    </row>
    <row r="4345" spans="1:26" s="98" customFormat="1" hidden="1">
      <c r="A4345" s="667">
        <f t="shared" si="673"/>
        <v>12</v>
      </c>
      <c r="B4345" s="581" t="s">
        <v>3427</v>
      </c>
      <c r="C4345" s="592" t="s">
        <v>217</v>
      </c>
      <c r="D4345" s="752">
        <v>49471</v>
      </c>
      <c r="E4345" s="750">
        <f>(149+12.3)*2*9*2.7</f>
        <v>7839.1800000000012</v>
      </c>
      <c r="F4345" s="619" t="s">
        <v>223</v>
      </c>
      <c r="G4345" s="739">
        <f>149*12.3</f>
        <v>1832.7</v>
      </c>
      <c r="H4345" s="582">
        <v>9</v>
      </c>
      <c r="I4345" s="582">
        <v>6</v>
      </c>
      <c r="J4345" s="599">
        <v>216</v>
      </c>
      <c r="K4345" s="590" t="s">
        <v>224</v>
      </c>
      <c r="L4345" s="746">
        <f t="shared" si="671"/>
        <v>4815860</v>
      </c>
      <c r="M4345" s="741">
        <f>J4345*22000</f>
        <v>4752000</v>
      </c>
      <c r="N4345" s="742">
        <v>43860</v>
      </c>
      <c r="O4345" s="743"/>
      <c r="P4345" s="742"/>
      <c r="Q4345" s="586">
        <v>20000</v>
      </c>
      <c r="R4345" s="582">
        <f>M4345/J4345</f>
        <v>22000</v>
      </c>
      <c r="S4345" s="589"/>
      <c r="T4345" s="1184"/>
      <c r="U4345" s="601"/>
      <c r="V4345" s="748"/>
      <c r="W4345" s="748"/>
      <c r="X4345" s="748"/>
      <c r="Y4345" s="748"/>
      <c r="Z4345" s="748"/>
    </row>
    <row r="4346" spans="1:26" s="98" customFormat="1" hidden="1">
      <c r="A4346" s="667">
        <f t="shared" si="673"/>
        <v>13</v>
      </c>
      <c r="B4346" s="581" t="s">
        <v>3428</v>
      </c>
      <c r="C4346" s="592" t="s">
        <v>217</v>
      </c>
      <c r="D4346" s="752">
        <v>41226</v>
      </c>
      <c r="E4346" s="750">
        <f>(123+11.1)*2*9*2.7</f>
        <v>6517.2599999999993</v>
      </c>
      <c r="F4346" s="619" t="s">
        <v>223</v>
      </c>
      <c r="G4346" s="739">
        <f>123*11.1</f>
        <v>1365.3</v>
      </c>
      <c r="H4346" s="582">
        <v>9</v>
      </c>
      <c r="I4346" s="582">
        <v>5</v>
      </c>
      <c r="J4346" s="599">
        <v>179</v>
      </c>
      <c r="K4346" s="590" t="s">
        <v>224</v>
      </c>
      <c r="L4346" s="746">
        <f t="shared" si="671"/>
        <v>3998955</v>
      </c>
      <c r="M4346" s="741">
        <f>J4346*22000</f>
        <v>3938000</v>
      </c>
      <c r="N4346" s="742">
        <v>40955</v>
      </c>
      <c r="O4346" s="743"/>
      <c r="P4346" s="742"/>
      <c r="Q4346" s="586">
        <v>20000</v>
      </c>
      <c r="R4346" s="582">
        <f>M4346/J4346</f>
        <v>22000</v>
      </c>
      <c r="S4346" s="589"/>
      <c r="T4346" s="1184"/>
      <c r="U4346" s="601"/>
      <c r="V4346" s="748"/>
      <c r="W4346" s="748"/>
      <c r="X4346" s="748"/>
      <c r="Y4346" s="748"/>
      <c r="Z4346" s="748"/>
    </row>
    <row r="4347" spans="1:26" s="91" customFormat="1" hidden="1">
      <c r="A4347" s="667">
        <f t="shared" si="673"/>
        <v>14</v>
      </c>
      <c r="B4347" s="592" t="s">
        <v>3948</v>
      </c>
      <c r="C4347" s="561" t="s">
        <v>221</v>
      </c>
      <c r="D4347" s="619">
        <v>19459.440000000002</v>
      </c>
      <c r="E4347" s="619">
        <v>3295.08</v>
      </c>
      <c r="F4347" s="619" t="s">
        <v>223</v>
      </c>
      <c r="G4347" s="619">
        <v>720.72</v>
      </c>
      <c r="H4347" s="599">
        <v>9</v>
      </c>
      <c r="I4347" s="599">
        <v>2</v>
      </c>
      <c r="J4347" s="599">
        <v>104</v>
      </c>
      <c r="K4347" s="590" t="s">
        <v>226</v>
      </c>
      <c r="L4347" s="746">
        <f t="shared" si="671"/>
        <v>2974468</v>
      </c>
      <c r="M4347" s="585">
        <v>2870000</v>
      </c>
      <c r="N4347" s="747">
        <v>43050</v>
      </c>
      <c r="O4347" s="736"/>
      <c r="P4347" s="586"/>
      <c r="Q4347" s="586">
        <v>61418</v>
      </c>
      <c r="R4347" s="582"/>
      <c r="S4347" s="592"/>
      <c r="T4347" s="738"/>
      <c r="U4347" s="737"/>
      <c r="V4347" s="748"/>
      <c r="W4347" s="748"/>
      <c r="X4347" s="748"/>
      <c r="Y4347" s="748"/>
      <c r="Z4347" s="748"/>
    </row>
    <row r="4348" spans="1:26" s="91" customFormat="1" hidden="1">
      <c r="A4348" s="667">
        <f t="shared" si="673"/>
        <v>15</v>
      </c>
      <c r="B4348" s="592" t="s">
        <v>1823</v>
      </c>
      <c r="C4348" s="582" t="s">
        <v>221</v>
      </c>
      <c r="D4348" s="619">
        <v>26639</v>
      </c>
      <c r="E4348" s="619">
        <v>3988.94</v>
      </c>
      <c r="F4348" s="619" t="s">
        <v>222</v>
      </c>
      <c r="G4348" s="619">
        <v>2328.6</v>
      </c>
      <c r="H4348" s="599">
        <v>5</v>
      </c>
      <c r="I4348" s="599">
        <v>8</v>
      </c>
      <c r="J4348" s="599">
        <v>140</v>
      </c>
      <c r="K4348" s="590" t="s">
        <v>33</v>
      </c>
      <c r="L4348" s="584">
        <f t="shared" si="671"/>
        <v>5873058</v>
      </c>
      <c r="M4348" s="585">
        <v>5821500</v>
      </c>
      <c r="N4348" s="630">
        <v>31658</v>
      </c>
      <c r="O4348" s="631"/>
      <c r="P4348" s="630"/>
      <c r="Q4348" s="586">
        <v>19900</v>
      </c>
      <c r="R4348" s="582">
        <f>M4348/G4348</f>
        <v>2500</v>
      </c>
      <c r="S4348" s="575">
        <f t="shared" ref="S4348:S4357" si="674">L4348-M4348-N4348-O4348-P4348-Q4348</f>
        <v>0</v>
      </c>
      <c r="T4348" s="645"/>
      <c r="U4348" s="737"/>
      <c r="V4348" s="589"/>
      <c r="W4348" s="748"/>
      <c r="X4348" s="748"/>
      <c r="Y4348" s="748"/>
      <c r="Z4348" s="748"/>
    </row>
    <row r="4349" spans="1:26" s="91" customFormat="1" ht="37.5" hidden="1">
      <c r="A4349" s="667">
        <f t="shared" si="673"/>
        <v>16</v>
      </c>
      <c r="B4349" s="592" t="s">
        <v>1826</v>
      </c>
      <c r="C4349" s="582" t="s">
        <v>221</v>
      </c>
      <c r="D4349" s="619">
        <v>7140</v>
      </c>
      <c r="E4349" s="646">
        <v>1675.2</v>
      </c>
      <c r="F4349" s="646" t="s">
        <v>228</v>
      </c>
      <c r="G4349" s="646">
        <v>637.5</v>
      </c>
      <c r="H4349" s="599">
        <v>5</v>
      </c>
      <c r="I4349" s="599">
        <v>2</v>
      </c>
      <c r="J4349" s="599">
        <v>40</v>
      </c>
      <c r="K4349" s="590" t="s">
        <v>237</v>
      </c>
      <c r="L4349" s="584">
        <f t="shared" si="671"/>
        <v>1035555.4</v>
      </c>
      <c r="M4349" s="596">
        <v>1000000</v>
      </c>
      <c r="N4349" s="675"/>
      <c r="O4349" s="1054">
        <v>14222</v>
      </c>
      <c r="P4349" s="675"/>
      <c r="Q4349" s="586">
        <v>21333.4</v>
      </c>
      <c r="R4349" s="582">
        <f>M4349/J4349</f>
        <v>25000</v>
      </c>
      <c r="S4349" s="575">
        <f t="shared" si="674"/>
        <v>0</v>
      </c>
      <c r="T4349" s="645"/>
      <c r="U4349" s="737"/>
      <c r="V4349" s="589"/>
      <c r="W4349" s="748"/>
      <c r="X4349" s="748"/>
      <c r="Y4349" s="748"/>
      <c r="Z4349" s="748"/>
    </row>
    <row r="4350" spans="1:26" s="91" customFormat="1" hidden="1">
      <c r="A4350" s="667">
        <f t="shared" si="673"/>
        <v>17</v>
      </c>
      <c r="B4350" s="592" t="s">
        <v>1827</v>
      </c>
      <c r="C4350" s="582" t="s">
        <v>221</v>
      </c>
      <c r="D4350" s="619">
        <v>17867</v>
      </c>
      <c r="E4350" s="619">
        <v>2660</v>
      </c>
      <c r="F4350" s="619" t="s">
        <v>222</v>
      </c>
      <c r="G4350" s="619">
        <v>1584</v>
      </c>
      <c r="H4350" s="599">
        <v>5</v>
      </c>
      <c r="I4350" s="599">
        <v>6</v>
      </c>
      <c r="J4350" s="599">
        <v>100</v>
      </c>
      <c r="K4350" s="590" t="s">
        <v>33</v>
      </c>
      <c r="L4350" s="584">
        <f t="shared" si="671"/>
        <v>4028891</v>
      </c>
      <c r="M4350" s="585">
        <v>3960000</v>
      </c>
      <c r="N4350" s="630">
        <v>29091</v>
      </c>
      <c r="O4350" s="631"/>
      <c r="P4350" s="630"/>
      <c r="Q4350" s="586">
        <v>39800</v>
      </c>
      <c r="R4350" s="582">
        <f>M4350/G4350</f>
        <v>2500</v>
      </c>
      <c r="S4350" s="575">
        <f t="shared" si="674"/>
        <v>0</v>
      </c>
      <c r="T4350" s="645"/>
      <c r="U4350" s="737"/>
      <c r="V4350" s="589"/>
      <c r="W4350" s="748"/>
      <c r="X4350" s="748"/>
      <c r="Y4350" s="748"/>
      <c r="Z4350" s="748"/>
    </row>
    <row r="4351" spans="1:26" s="91" customFormat="1" hidden="1">
      <c r="A4351" s="667">
        <f t="shared" si="673"/>
        <v>18</v>
      </c>
      <c r="B4351" s="592" t="s">
        <v>1840</v>
      </c>
      <c r="C4351" s="1056" t="s">
        <v>217</v>
      </c>
      <c r="D4351" s="619">
        <v>17076</v>
      </c>
      <c r="E4351" s="619">
        <v>2829.95</v>
      </c>
      <c r="F4351" s="619" t="s">
        <v>223</v>
      </c>
      <c r="G4351" s="619">
        <v>1426.3</v>
      </c>
      <c r="H4351" s="599">
        <v>5</v>
      </c>
      <c r="I4351" s="599">
        <v>6</v>
      </c>
      <c r="J4351" s="599">
        <v>90</v>
      </c>
      <c r="K4351" s="590" t="s">
        <v>33</v>
      </c>
      <c r="L4351" s="584">
        <f t="shared" si="671"/>
        <v>2895119</v>
      </c>
      <c r="M4351" s="596">
        <v>2852600</v>
      </c>
      <c r="N4351" s="630"/>
      <c r="O4351" s="1054">
        <v>22519</v>
      </c>
      <c r="P4351" s="630"/>
      <c r="Q4351" s="586">
        <v>20000</v>
      </c>
      <c r="R4351" s="582">
        <f>M4351/J4351</f>
        <v>31695.555555555555</v>
      </c>
      <c r="S4351" s="575">
        <f t="shared" si="674"/>
        <v>0</v>
      </c>
      <c r="T4351" s="645"/>
      <c r="U4351" s="737"/>
      <c r="V4351" s="589"/>
      <c r="W4351" s="748"/>
      <c r="X4351" s="748"/>
      <c r="Y4351" s="748"/>
      <c r="Z4351" s="748"/>
    </row>
    <row r="4352" spans="1:26" s="91" customFormat="1" hidden="1">
      <c r="A4352" s="667">
        <f t="shared" si="673"/>
        <v>19</v>
      </c>
      <c r="B4352" s="592" t="s">
        <v>1845</v>
      </c>
      <c r="C4352" s="582" t="s">
        <v>221</v>
      </c>
      <c r="D4352" s="619">
        <v>7739</v>
      </c>
      <c r="E4352" s="619">
        <v>1266</v>
      </c>
      <c r="F4352" s="619" t="s">
        <v>230</v>
      </c>
      <c r="G4352" s="619">
        <v>868.4</v>
      </c>
      <c r="H4352" s="599">
        <v>4</v>
      </c>
      <c r="I4352" s="599">
        <v>3</v>
      </c>
      <c r="J4352" s="599">
        <v>48</v>
      </c>
      <c r="K4352" s="590" t="s">
        <v>33</v>
      </c>
      <c r="L4352" s="584">
        <f t="shared" si="671"/>
        <v>2221772.17</v>
      </c>
      <c r="M4352" s="585">
        <v>2171000</v>
      </c>
      <c r="N4352" s="630">
        <v>26912</v>
      </c>
      <c r="O4352" s="587"/>
      <c r="P4352" s="586"/>
      <c r="Q4352" s="586">
        <v>23860.17</v>
      </c>
      <c r="R4352" s="582">
        <f>M4352/G4352</f>
        <v>2500</v>
      </c>
      <c r="S4352" s="575">
        <f t="shared" si="674"/>
        <v>-7.2759576141834259E-11</v>
      </c>
      <c r="T4352" s="645"/>
      <c r="U4352" s="737"/>
      <c r="V4352" s="589"/>
      <c r="W4352" s="748"/>
      <c r="X4352" s="748"/>
      <c r="Y4352" s="748"/>
      <c r="Z4352" s="748"/>
    </row>
    <row r="4353" spans="1:26" s="91" customFormat="1" ht="37.5" hidden="1">
      <c r="A4353" s="667">
        <f t="shared" si="673"/>
        <v>20</v>
      </c>
      <c r="B4353" s="592" t="s">
        <v>1857</v>
      </c>
      <c r="C4353" s="1056" t="s">
        <v>217</v>
      </c>
      <c r="D4353" s="619">
        <v>2100</v>
      </c>
      <c r="E4353" s="619">
        <v>468</v>
      </c>
      <c r="F4353" s="619" t="s">
        <v>222</v>
      </c>
      <c r="G4353" s="619">
        <v>515</v>
      </c>
      <c r="H4353" s="599">
        <v>2</v>
      </c>
      <c r="I4353" s="599">
        <v>1</v>
      </c>
      <c r="J4353" s="599">
        <v>8</v>
      </c>
      <c r="K4353" s="590" t="s">
        <v>240</v>
      </c>
      <c r="L4353" s="746">
        <f t="shared" si="671"/>
        <v>1480568</v>
      </c>
      <c r="M4353" s="745">
        <v>1442000</v>
      </c>
      <c r="N4353" s="762">
        <v>28285</v>
      </c>
      <c r="O4353" s="1054"/>
      <c r="P4353" s="762"/>
      <c r="Q4353" s="586">
        <v>10283</v>
      </c>
      <c r="R4353" s="599">
        <f>M4353/E4353</f>
        <v>3081.1965811965811</v>
      </c>
      <c r="S4353" s="575">
        <f t="shared" si="674"/>
        <v>0</v>
      </c>
      <c r="T4353" s="645"/>
      <c r="U4353" s="709"/>
      <c r="V4353" s="589"/>
      <c r="W4353" s="601"/>
      <c r="X4353" s="601"/>
      <c r="Y4353" s="601"/>
      <c r="Z4353" s="748"/>
    </row>
    <row r="4354" spans="1:26" s="91" customFormat="1" hidden="1">
      <c r="A4354" s="667">
        <f t="shared" si="673"/>
        <v>21</v>
      </c>
      <c r="B4354" s="592" t="s">
        <v>3622</v>
      </c>
      <c r="C4354" s="561" t="s">
        <v>221</v>
      </c>
      <c r="D4354" s="619">
        <v>39194</v>
      </c>
      <c r="E4354" s="619">
        <v>2606</v>
      </c>
      <c r="F4354" s="619" t="s">
        <v>223</v>
      </c>
      <c r="G4354" s="619">
        <v>1564.1</v>
      </c>
      <c r="H4354" s="599">
        <v>9</v>
      </c>
      <c r="I4354" s="599">
        <v>2</v>
      </c>
      <c r="J4354" s="599">
        <v>148</v>
      </c>
      <c r="K4354" s="590" t="s">
        <v>259</v>
      </c>
      <c r="L4354" s="584">
        <f t="shared" si="671"/>
        <v>9191089</v>
      </c>
      <c r="M4354" s="745">
        <v>9121000</v>
      </c>
      <c r="N4354" s="762">
        <v>40239</v>
      </c>
      <c r="O4354" s="743"/>
      <c r="P4354" s="747"/>
      <c r="Q4354" s="586">
        <v>29850</v>
      </c>
      <c r="R4354" s="599">
        <f>M4354/E4354</f>
        <v>3500</v>
      </c>
      <c r="S4354" s="575">
        <f t="shared" si="674"/>
        <v>0</v>
      </c>
      <c r="T4354" s="738"/>
      <c r="U4354" s="737"/>
      <c r="V4354" s="748"/>
      <c r="W4354" s="748"/>
      <c r="X4354" s="748"/>
      <c r="Y4354" s="748"/>
      <c r="Z4354" s="748"/>
    </row>
    <row r="4355" spans="1:26" s="91" customFormat="1" hidden="1">
      <c r="A4355" s="667">
        <f t="shared" si="673"/>
        <v>22</v>
      </c>
      <c r="B4355" s="592" t="s">
        <v>3620</v>
      </c>
      <c r="C4355" s="1056" t="s">
        <v>221</v>
      </c>
      <c r="D4355" s="619">
        <v>10044.960000000001</v>
      </c>
      <c r="E4355" s="619">
        <v>3348.32</v>
      </c>
      <c r="F4355" s="619" t="s">
        <v>222</v>
      </c>
      <c r="G4355" s="619">
        <v>2126</v>
      </c>
      <c r="H4355" s="599">
        <v>5</v>
      </c>
      <c r="I4355" s="599">
        <v>8</v>
      </c>
      <c r="J4355" s="599">
        <v>127</v>
      </c>
      <c r="K4355" s="590" t="s">
        <v>33</v>
      </c>
      <c r="L4355" s="584">
        <f t="shared" si="671"/>
        <v>5373707.6799999997</v>
      </c>
      <c r="M4355" s="596">
        <v>5315000</v>
      </c>
      <c r="N4355" s="753">
        <v>27738</v>
      </c>
      <c r="O4355" s="743"/>
      <c r="P4355" s="742"/>
      <c r="Q4355" s="586">
        <v>30969.68</v>
      </c>
      <c r="R4355" s="599">
        <f t="shared" ref="R4355:R4362" si="675">M4355/G4355</f>
        <v>2500</v>
      </c>
      <c r="S4355" s="575">
        <f t="shared" si="674"/>
        <v>-2.9831426218152046E-10</v>
      </c>
      <c r="T4355" s="645"/>
      <c r="U4355" s="737"/>
      <c r="V4355" s="589"/>
      <c r="W4355" s="748"/>
      <c r="X4355" s="748"/>
      <c r="Y4355" s="748"/>
      <c r="Z4355" s="748"/>
    </row>
    <row r="4356" spans="1:26" s="91" customFormat="1" hidden="1">
      <c r="A4356" s="667">
        <f t="shared" si="673"/>
        <v>23</v>
      </c>
      <c r="B4356" s="592" t="s">
        <v>3623</v>
      </c>
      <c r="C4356" s="1056" t="s">
        <v>221</v>
      </c>
      <c r="D4356" s="619">
        <v>9494</v>
      </c>
      <c r="E4356" s="619">
        <v>1505</v>
      </c>
      <c r="F4356" s="619" t="s">
        <v>222</v>
      </c>
      <c r="G4356" s="619">
        <v>848</v>
      </c>
      <c r="H4356" s="599">
        <v>5</v>
      </c>
      <c r="I4356" s="599">
        <v>3</v>
      </c>
      <c r="J4356" s="599">
        <v>57</v>
      </c>
      <c r="K4356" s="590" t="s">
        <v>33</v>
      </c>
      <c r="L4356" s="584">
        <f t="shared" si="671"/>
        <v>2176735.02</v>
      </c>
      <c r="M4356" s="596">
        <v>2120000</v>
      </c>
      <c r="N4356" s="630">
        <v>27464</v>
      </c>
      <c r="O4356" s="587"/>
      <c r="P4356" s="586"/>
      <c r="Q4356" s="586">
        <v>29271.02</v>
      </c>
      <c r="R4356" s="599">
        <f t="shared" si="675"/>
        <v>2500</v>
      </c>
      <c r="S4356" s="575">
        <f t="shared" si="674"/>
        <v>0</v>
      </c>
      <c r="T4356" s="645"/>
      <c r="U4356" s="737"/>
      <c r="V4356" s="589"/>
      <c r="W4356" s="748"/>
      <c r="X4356" s="748"/>
      <c r="Y4356" s="748"/>
      <c r="Z4356" s="748"/>
    </row>
    <row r="4357" spans="1:26" s="91" customFormat="1" hidden="1">
      <c r="A4357" s="667">
        <f t="shared" si="673"/>
        <v>24</v>
      </c>
      <c r="B4357" s="592" t="s">
        <v>4068</v>
      </c>
      <c r="C4357" s="1056" t="s">
        <v>221</v>
      </c>
      <c r="D4357" s="619">
        <v>3862</v>
      </c>
      <c r="E4357" s="619">
        <v>677</v>
      </c>
      <c r="F4357" s="619" t="s">
        <v>222</v>
      </c>
      <c r="G4357" s="619">
        <v>668</v>
      </c>
      <c r="H4357" s="599">
        <v>3</v>
      </c>
      <c r="I4357" s="599">
        <v>2</v>
      </c>
      <c r="J4357" s="599">
        <v>24</v>
      </c>
      <c r="K4357" s="590" t="s">
        <v>33</v>
      </c>
      <c r="L4357" s="584">
        <f t="shared" si="671"/>
        <v>1709485.96</v>
      </c>
      <c r="M4357" s="596">
        <v>1670000</v>
      </c>
      <c r="N4357" s="630">
        <v>27579</v>
      </c>
      <c r="O4357" s="587"/>
      <c r="P4357" s="586"/>
      <c r="Q4357" s="586">
        <v>11906.96</v>
      </c>
      <c r="R4357" s="599">
        <f t="shared" si="675"/>
        <v>2500</v>
      </c>
      <c r="S4357" s="575">
        <f t="shared" si="674"/>
        <v>-3.637978807091713E-11</v>
      </c>
      <c r="T4357" s="645"/>
      <c r="U4357" s="737"/>
      <c r="V4357" s="589"/>
      <c r="W4357" s="748"/>
      <c r="X4357" s="748"/>
      <c r="Y4357" s="748"/>
      <c r="Z4357" s="748"/>
    </row>
    <row r="4358" spans="1:26" s="91" customFormat="1" ht="37.5" hidden="1">
      <c r="A4358" s="667">
        <f t="shared" si="673"/>
        <v>25</v>
      </c>
      <c r="B4358" s="592" t="s">
        <v>3918</v>
      </c>
      <c r="C4358" s="1056" t="s">
        <v>221</v>
      </c>
      <c r="D4358" s="619">
        <v>4446</v>
      </c>
      <c r="E4358" s="619">
        <v>840</v>
      </c>
      <c r="F4358" s="619" t="s">
        <v>222</v>
      </c>
      <c r="G4358" s="619">
        <v>983</v>
      </c>
      <c r="H4358" s="599">
        <v>2</v>
      </c>
      <c r="I4358" s="599">
        <v>3</v>
      </c>
      <c r="J4358" s="599">
        <v>22</v>
      </c>
      <c r="K4358" s="590" t="s">
        <v>240</v>
      </c>
      <c r="L4358" s="584">
        <f t="shared" si="671"/>
        <v>2806654</v>
      </c>
      <c r="M4358" s="745">
        <v>2752400</v>
      </c>
      <c r="N4358" s="747">
        <v>32483</v>
      </c>
      <c r="O4358" s="736"/>
      <c r="P4358" s="747"/>
      <c r="Q4358" s="586">
        <v>21771</v>
      </c>
      <c r="R4358" s="599">
        <f t="shared" si="675"/>
        <v>2800</v>
      </c>
      <c r="S4358" s="575"/>
      <c r="T4358" s="645"/>
      <c r="U4358" s="737"/>
      <c r="V4358" s="589"/>
      <c r="W4358" s="748"/>
      <c r="X4358" s="748"/>
      <c r="Y4358" s="748"/>
      <c r="Z4358" s="748"/>
    </row>
    <row r="4359" spans="1:26" s="91" customFormat="1" ht="37.5" hidden="1">
      <c r="A4359" s="667">
        <f t="shared" si="673"/>
        <v>26</v>
      </c>
      <c r="B4359" s="592" t="s">
        <v>3919</v>
      </c>
      <c r="C4359" s="1056" t="s">
        <v>217</v>
      </c>
      <c r="D4359" s="619">
        <v>3744</v>
      </c>
      <c r="E4359" s="619">
        <v>742</v>
      </c>
      <c r="F4359" s="619" t="s">
        <v>222</v>
      </c>
      <c r="G4359" s="619">
        <v>905</v>
      </c>
      <c r="H4359" s="599">
        <v>2</v>
      </c>
      <c r="I4359" s="599">
        <v>3</v>
      </c>
      <c r="J4359" s="599">
        <v>18</v>
      </c>
      <c r="K4359" s="590" t="s">
        <v>240</v>
      </c>
      <c r="L4359" s="584">
        <f t="shared" si="671"/>
        <v>2576102</v>
      </c>
      <c r="M4359" s="596">
        <v>2534000</v>
      </c>
      <c r="N4359" s="586">
        <v>31209</v>
      </c>
      <c r="O4359" s="587"/>
      <c r="P4359" s="586"/>
      <c r="Q4359" s="586">
        <v>10893</v>
      </c>
      <c r="R4359" s="599">
        <f t="shared" si="675"/>
        <v>2800</v>
      </c>
      <c r="S4359" s="564"/>
      <c r="T4359" s="645"/>
      <c r="U4359" s="737"/>
      <c r="V4359" s="589"/>
      <c r="W4359" s="748"/>
      <c r="X4359" s="748"/>
      <c r="Y4359" s="748"/>
      <c r="Z4359" s="748"/>
    </row>
    <row r="4360" spans="1:26" s="91" customFormat="1" ht="37.5" hidden="1">
      <c r="A4360" s="667">
        <f t="shared" si="673"/>
        <v>27</v>
      </c>
      <c r="B4360" s="592" t="s">
        <v>3921</v>
      </c>
      <c r="C4360" s="1056" t="s">
        <v>221</v>
      </c>
      <c r="D4360" s="619">
        <v>16219</v>
      </c>
      <c r="E4360" s="619">
        <v>3840</v>
      </c>
      <c r="F4360" s="619" t="s">
        <v>230</v>
      </c>
      <c r="G4360" s="619">
        <v>2678.6</v>
      </c>
      <c r="H4360" s="599">
        <v>5</v>
      </c>
      <c r="I4360" s="599">
        <v>4</v>
      </c>
      <c r="J4360" s="599">
        <v>120</v>
      </c>
      <c r="K4360" s="590" t="s">
        <v>240</v>
      </c>
      <c r="L4360" s="584">
        <f t="shared" si="671"/>
        <v>6766070</v>
      </c>
      <c r="M4360" s="596">
        <v>6696500</v>
      </c>
      <c r="N4360" s="586">
        <v>29570</v>
      </c>
      <c r="O4360" s="587"/>
      <c r="P4360" s="586"/>
      <c r="Q4360" s="586">
        <v>40000</v>
      </c>
      <c r="R4360" s="599">
        <f t="shared" si="675"/>
        <v>2500</v>
      </c>
      <c r="S4360" s="564"/>
      <c r="T4360" s="645"/>
      <c r="U4360" s="737"/>
      <c r="V4360" s="589"/>
      <c r="W4360" s="748"/>
      <c r="X4360" s="748"/>
      <c r="Y4360" s="748"/>
      <c r="Z4360" s="748"/>
    </row>
    <row r="4361" spans="1:26" s="91" customFormat="1" ht="37.5" hidden="1">
      <c r="A4361" s="667">
        <f t="shared" si="673"/>
        <v>28</v>
      </c>
      <c r="B4361" s="592" t="s">
        <v>2781</v>
      </c>
      <c r="C4361" s="1056" t="s">
        <v>221</v>
      </c>
      <c r="D4361" s="619">
        <v>3577</v>
      </c>
      <c r="E4361" s="619">
        <v>817.43200000000002</v>
      </c>
      <c r="F4361" s="619" t="s">
        <v>222</v>
      </c>
      <c r="G4361" s="597">
        <v>451.52000000000004</v>
      </c>
      <c r="H4361" s="599">
        <v>4</v>
      </c>
      <c r="I4361" s="599">
        <v>1</v>
      </c>
      <c r="J4361" s="599">
        <v>16</v>
      </c>
      <c r="K4361" s="590" t="s">
        <v>240</v>
      </c>
      <c r="L4361" s="584">
        <f t="shared" si="671"/>
        <v>1166268</v>
      </c>
      <c r="M4361" s="596">
        <v>1128800</v>
      </c>
      <c r="N4361" s="586">
        <v>26384</v>
      </c>
      <c r="O4361" s="587"/>
      <c r="P4361" s="586"/>
      <c r="Q4361" s="586">
        <v>11084</v>
      </c>
      <c r="R4361" s="599">
        <f t="shared" si="675"/>
        <v>2500</v>
      </c>
      <c r="S4361" s="564"/>
      <c r="T4361" s="645"/>
      <c r="U4361" s="737"/>
      <c r="V4361" s="589"/>
      <c r="W4361" s="748"/>
      <c r="X4361" s="748"/>
      <c r="Y4361" s="748"/>
      <c r="Z4361" s="748"/>
    </row>
    <row r="4362" spans="1:26" s="91" customFormat="1" hidden="1">
      <c r="A4362" s="667">
        <f t="shared" si="673"/>
        <v>29</v>
      </c>
      <c r="B4362" s="592" t="s">
        <v>1819</v>
      </c>
      <c r="C4362" s="1056" t="s">
        <v>217</v>
      </c>
      <c r="D4362" s="619">
        <f>E4362*2.9</f>
        <v>3863.0609999999997</v>
      </c>
      <c r="E4362" s="619">
        <v>1332.09</v>
      </c>
      <c r="F4362" s="619" t="s">
        <v>223</v>
      </c>
      <c r="G4362" s="619">
        <v>601.5</v>
      </c>
      <c r="H4362" s="599">
        <v>5</v>
      </c>
      <c r="I4362" s="599">
        <v>1</v>
      </c>
      <c r="J4362" s="599">
        <v>82</v>
      </c>
      <c r="K4362" s="590" t="s">
        <v>33</v>
      </c>
      <c r="L4362" s="584">
        <f t="shared" si="671"/>
        <v>1235549.3500000001</v>
      </c>
      <c r="M4362" s="585">
        <v>1203000</v>
      </c>
      <c r="N4362" s="630"/>
      <c r="O4362" s="1054">
        <v>20639</v>
      </c>
      <c r="P4362" s="630"/>
      <c r="Q4362" s="586">
        <v>11910.35</v>
      </c>
      <c r="R4362" s="582">
        <f t="shared" si="675"/>
        <v>2000</v>
      </c>
      <c r="S4362" s="575">
        <f>L4362-M4362-N4362-O4362-P4362-Q4362</f>
        <v>9.276845958083868E-11</v>
      </c>
      <c r="T4362" s="575"/>
      <c r="U4362" s="709"/>
      <c r="V4362" s="589"/>
      <c r="W4362" s="601"/>
      <c r="X4362" s="601"/>
      <c r="Y4362" s="601"/>
      <c r="Z4362" s="748"/>
    </row>
    <row r="4363" spans="1:26" s="91" customFormat="1" ht="37.5" hidden="1">
      <c r="A4363" s="667">
        <f t="shared" si="673"/>
        <v>30</v>
      </c>
      <c r="B4363" s="592" t="s">
        <v>1829</v>
      </c>
      <c r="C4363" s="1056" t="s">
        <v>217</v>
      </c>
      <c r="D4363" s="619">
        <v>16998</v>
      </c>
      <c r="E4363" s="619">
        <v>2605</v>
      </c>
      <c r="F4363" s="619" t="s">
        <v>223</v>
      </c>
      <c r="G4363" s="619">
        <v>1395</v>
      </c>
      <c r="H4363" s="599">
        <v>5</v>
      </c>
      <c r="I4363" s="599">
        <v>6</v>
      </c>
      <c r="J4363" s="599">
        <v>86</v>
      </c>
      <c r="K4363" s="590" t="s">
        <v>237</v>
      </c>
      <c r="L4363" s="584">
        <f t="shared" si="671"/>
        <v>2205087</v>
      </c>
      <c r="M4363" s="596">
        <v>2150000</v>
      </c>
      <c r="N4363" s="675"/>
      <c r="O4363" s="1054">
        <v>15287</v>
      </c>
      <c r="P4363" s="675"/>
      <c r="Q4363" s="586">
        <v>39800</v>
      </c>
      <c r="R4363" s="582">
        <f>M4363/J4363</f>
        <v>25000</v>
      </c>
      <c r="S4363" s="575">
        <f>L4363-M4363-N4363-O4363-P4363-Q4363</f>
        <v>0</v>
      </c>
      <c r="T4363" s="645"/>
      <c r="U4363" s="737"/>
      <c r="V4363" s="589"/>
      <c r="W4363" s="748"/>
      <c r="X4363" s="748"/>
      <c r="Y4363" s="748"/>
      <c r="Z4363" s="748"/>
    </row>
    <row r="4364" spans="1:26" s="91" customFormat="1" hidden="1">
      <c r="A4364" s="667">
        <f t="shared" si="673"/>
        <v>31</v>
      </c>
      <c r="B4364" s="592" t="s">
        <v>1830</v>
      </c>
      <c r="C4364" s="1056" t="s">
        <v>217</v>
      </c>
      <c r="D4364" s="619">
        <v>16612</v>
      </c>
      <c r="E4364" s="619">
        <v>830</v>
      </c>
      <c r="F4364" s="619" t="s">
        <v>223</v>
      </c>
      <c r="G4364" s="619">
        <v>1397.8</v>
      </c>
      <c r="H4364" s="599">
        <v>5</v>
      </c>
      <c r="I4364" s="599">
        <v>6</v>
      </c>
      <c r="J4364" s="599">
        <v>89</v>
      </c>
      <c r="K4364" s="590" t="s">
        <v>33</v>
      </c>
      <c r="L4364" s="584">
        <f t="shared" si="671"/>
        <v>2837155</v>
      </c>
      <c r="M4364" s="585">
        <v>2795600</v>
      </c>
      <c r="N4364" s="586"/>
      <c r="O4364" s="1054">
        <v>21655</v>
      </c>
      <c r="P4364" s="586"/>
      <c r="Q4364" s="586">
        <v>19900</v>
      </c>
      <c r="R4364" s="582">
        <f>M4364/G4364</f>
        <v>2000</v>
      </c>
      <c r="S4364" s="575">
        <f>L4364-M4364-N4364-O4364-P4364-Q4364</f>
        <v>0</v>
      </c>
      <c r="T4364" s="645"/>
      <c r="U4364" s="737"/>
      <c r="V4364" s="589"/>
      <c r="W4364" s="748"/>
      <c r="X4364" s="748"/>
      <c r="Y4364" s="748"/>
      <c r="Z4364" s="748"/>
    </row>
    <row r="4365" spans="1:26" s="91" customFormat="1" hidden="1">
      <c r="A4365" s="667">
        <f t="shared" si="673"/>
        <v>32</v>
      </c>
      <c r="B4365" s="592" t="s">
        <v>1850</v>
      </c>
      <c r="C4365" s="582" t="s">
        <v>221</v>
      </c>
      <c r="D4365" s="619">
        <v>1209</v>
      </c>
      <c r="E4365" s="619">
        <v>308.25</v>
      </c>
      <c r="F4365" s="619" t="s">
        <v>222</v>
      </c>
      <c r="G4365" s="619">
        <v>268.5</v>
      </c>
      <c r="H4365" s="599">
        <v>2</v>
      </c>
      <c r="I4365" s="599">
        <v>1</v>
      </c>
      <c r="J4365" s="599">
        <v>6</v>
      </c>
      <c r="K4365" s="590" t="s">
        <v>33</v>
      </c>
      <c r="L4365" s="584">
        <f t="shared" si="671"/>
        <v>704168.51</v>
      </c>
      <c r="M4365" s="585">
        <v>671250</v>
      </c>
      <c r="N4365" s="630">
        <v>27028</v>
      </c>
      <c r="O4365" s="587"/>
      <c r="P4365" s="586"/>
      <c r="Q4365" s="586">
        <v>5890.51</v>
      </c>
      <c r="R4365" s="582">
        <f>M4365/G4365</f>
        <v>2500</v>
      </c>
      <c r="S4365" s="575">
        <f>L4365-M4365-N4365-O4365-P4365-Q4365</f>
        <v>9.0949470177292824E-12</v>
      </c>
      <c r="T4365" s="645"/>
      <c r="U4365" s="709"/>
      <c r="V4365" s="589"/>
      <c r="W4365" s="601"/>
      <c r="X4365" s="601"/>
      <c r="Y4365" s="601"/>
      <c r="Z4365" s="748"/>
    </row>
    <row r="4366" spans="1:26" s="115" customFormat="1" ht="37.5" hidden="1">
      <c r="A4366" s="667">
        <f t="shared" si="673"/>
        <v>33</v>
      </c>
      <c r="B4366" s="592" t="s">
        <v>2773</v>
      </c>
      <c r="C4366" s="582" t="s">
        <v>221</v>
      </c>
      <c r="D4366" s="619">
        <v>17945</v>
      </c>
      <c r="E4366" s="619">
        <v>2370</v>
      </c>
      <c r="F4366" s="619" t="s">
        <v>223</v>
      </c>
      <c r="G4366" s="619">
        <v>1576</v>
      </c>
      <c r="H4366" s="599">
        <v>5</v>
      </c>
      <c r="I4366" s="599">
        <v>6</v>
      </c>
      <c r="J4366" s="599">
        <v>100</v>
      </c>
      <c r="K4366" s="590" t="s">
        <v>30</v>
      </c>
      <c r="L4366" s="584">
        <f t="shared" si="671"/>
        <v>2555518</v>
      </c>
      <c r="M4366" s="596">
        <v>2500000</v>
      </c>
      <c r="N4366" s="597"/>
      <c r="O4366" s="736">
        <v>15518</v>
      </c>
      <c r="P4366" s="597"/>
      <c r="Q4366" s="586">
        <v>40000</v>
      </c>
      <c r="R4366" s="582">
        <f>M4366/J4366</f>
        <v>25000</v>
      </c>
      <c r="S4366" s="592" t="s">
        <v>427</v>
      </c>
      <c r="T4366" s="645"/>
      <c r="U4366" s="1059"/>
      <c r="V4366" s="601"/>
      <c r="W4366" s="601"/>
      <c r="X4366" s="601"/>
      <c r="Y4366" s="601"/>
      <c r="Z4366" s="601"/>
    </row>
    <row r="4367" spans="1:26" s="86" customFormat="1" ht="37.5" hidden="1">
      <c r="A4367" s="667">
        <f t="shared" si="673"/>
        <v>34</v>
      </c>
      <c r="B4367" s="592" t="s">
        <v>3638</v>
      </c>
      <c r="C4367" s="593" t="s">
        <v>217</v>
      </c>
      <c r="D4367" s="646">
        <v>11312</v>
      </c>
      <c r="E4367" s="619">
        <v>4040</v>
      </c>
      <c r="F4367" s="619" t="s">
        <v>223</v>
      </c>
      <c r="G4367" s="739">
        <v>1404.7</v>
      </c>
      <c r="H4367" s="582">
        <v>9</v>
      </c>
      <c r="I4367" s="582">
        <v>4</v>
      </c>
      <c r="J4367" s="599">
        <v>144</v>
      </c>
      <c r="K4367" s="590" t="s">
        <v>30</v>
      </c>
      <c r="L4367" s="584">
        <f t="shared" si="671"/>
        <v>3647414</v>
      </c>
      <c r="M4367" s="585">
        <v>3600000</v>
      </c>
      <c r="N4367" s="586"/>
      <c r="O4367" s="736">
        <v>19914</v>
      </c>
      <c r="P4367" s="586"/>
      <c r="Q4367" s="586">
        <v>27500</v>
      </c>
      <c r="R4367" s="582">
        <f>M4367/J4367</f>
        <v>25000</v>
      </c>
      <c r="S4367" s="592"/>
      <c r="T4367" s="645"/>
      <c r="U4367" s="737"/>
      <c r="V4367" s="737"/>
      <c r="W4367" s="737"/>
      <c r="X4367" s="737"/>
      <c r="Y4367" s="737"/>
      <c r="Z4367" s="737"/>
    </row>
    <row r="4368" spans="1:26" s="86" customFormat="1" ht="37.5" hidden="1">
      <c r="A4368" s="667">
        <f t="shared" si="673"/>
        <v>35</v>
      </c>
      <c r="B4368" s="592" t="s">
        <v>849</v>
      </c>
      <c r="C4368" s="744" t="s">
        <v>217</v>
      </c>
      <c r="D4368" s="646">
        <v>47262</v>
      </c>
      <c r="E4368" s="619">
        <v>5140</v>
      </c>
      <c r="F4368" s="619" t="s">
        <v>223</v>
      </c>
      <c r="G4368" s="739">
        <v>2085.1</v>
      </c>
      <c r="H4368" s="582">
        <v>9</v>
      </c>
      <c r="I4368" s="582">
        <v>5</v>
      </c>
      <c r="J4368" s="599">
        <v>180</v>
      </c>
      <c r="K4368" s="735" t="s">
        <v>30</v>
      </c>
      <c r="L4368" s="746">
        <v>4563079</v>
      </c>
      <c r="M4368" s="745">
        <v>4500000</v>
      </c>
      <c r="N4368" s="747"/>
      <c r="O4368" s="743">
        <v>23079</v>
      </c>
      <c r="P4368" s="747"/>
      <c r="Q4368" s="586">
        <v>40000</v>
      </c>
      <c r="R4368" s="582">
        <f>M4368/J4368</f>
        <v>25000</v>
      </c>
      <c r="S4368" s="592"/>
      <c r="T4368" s="645"/>
      <c r="U4368" s="737"/>
      <c r="V4368" s="589"/>
      <c r="W4368" s="737"/>
      <c r="X4368" s="737"/>
      <c r="Y4368" s="737"/>
      <c r="Z4368" s="737"/>
    </row>
    <row r="4369" spans="1:26" s="91" customFormat="1" hidden="1">
      <c r="A4369" s="667">
        <f t="shared" si="673"/>
        <v>36</v>
      </c>
      <c r="B4369" s="592" t="s">
        <v>1834</v>
      </c>
      <c r="C4369" s="582" t="s">
        <v>221</v>
      </c>
      <c r="D4369" s="619">
        <v>7283</v>
      </c>
      <c r="E4369" s="619">
        <v>1513.48</v>
      </c>
      <c r="F4369" s="619" t="s">
        <v>222</v>
      </c>
      <c r="G4369" s="619">
        <v>830</v>
      </c>
      <c r="H4369" s="599">
        <v>4</v>
      </c>
      <c r="I4369" s="599">
        <v>3</v>
      </c>
      <c r="J4369" s="599">
        <v>48</v>
      </c>
      <c r="K4369" s="590" t="s">
        <v>33</v>
      </c>
      <c r="L4369" s="1354">
        <f>M4369+N4369+O4369+P4369+Q4369+M4370+N4370+O4370+Q4370</f>
        <v>4927517.26</v>
      </c>
      <c r="M4369" s="585">
        <v>2075000</v>
      </c>
      <c r="N4369" s="630">
        <v>26614</v>
      </c>
      <c r="O4369" s="587"/>
      <c r="P4369" s="586"/>
      <c r="Q4369" s="586">
        <v>22454.26</v>
      </c>
      <c r="R4369" s="582">
        <f>M4369/G4369</f>
        <v>2500</v>
      </c>
      <c r="S4369" s="575">
        <f>L4369-M4369-N4369-O4369-P4369-Q4369</f>
        <v>2803449</v>
      </c>
      <c r="T4369" s="645"/>
      <c r="U4369" s="737"/>
      <c r="V4369" s="589"/>
      <c r="W4369" s="748"/>
      <c r="X4369" s="748"/>
      <c r="Y4369" s="748"/>
      <c r="Z4369" s="748"/>
    </row>
    <row r="4370" spans="1:26" s="91" customFormat="1" hidden="1">
      <c r="A4370" s="667"/>
      <c r="B4370" s="592"/>
      <c r="C4370" s="582"/>
      <c r="D4370" s="619"/>
      <c r="E4370" s="619"/>
      <c r="F4370" s="619"/>
      <c r="G4370" s="619"/>
      <c r="H4370" s="599"/>
      <c r="I4370" s="599"/>
      <c r="J4370" s="599"/>
      <c r="K4370" s="590" t="s">
        <v>38</v>
      </c>
      <c r="L4370" s="1354"/>
      <c r="M4370" s="745">
        <v>2724264</v>
      </c>
      <c r="N4370" s="747">
        <v>50092</v>
      </c>
      <c r="O4370" s="1080"/>
      <c r="P4370" s="747"/>
      <c r="Q4370" s="747">
        <v>29093</v>
      </c>
      <c r="R4370" s="864">
        <v>1800</v>
      </c>
      <c r="S4370" s="575"/>
      <c r="T4370" s="645"/>
      <c r="U4370" s="737"/>
      <c r="V4370" s="589"/>
      <c r="W4370" s="748"/>
      <c r="X4370" s="748"/>
      <c r="Y4370" s="748"/>
      <c r="Z4370" s="748"/>
    </row>
    <row r="4371" spans="1:26" s="91" customFormat="1" hidden="1">
      <c r="A4371" s="667">
        <v>37</v>
      </c>
      <c r="B4371" s="592" t="s">
        <v>1841</v>
      </c>
      <c r="C4371" s="582" t="s">
        <v>221</v>
      </c>
      <c r="D4371" s="619">
        <v>22458</v>
      </c>
      <c r="E4371" s="619">
        <v>4407.68</v>
      </c>
      <c r="F4371" s="619" t="s">
        <v>223</v>
      </c>
      <c r="G4371" s="619">
        <v>1950</v>
      </c>
      <c r="H4371" s="599">
        <v>5</v>
      </c>
      <c r="I4371" s="599">
        <v>8</v>
      </c>
      <c r="J4371" s="599">
        <v>80</v>
      </c>
      <c r="K4371" s="590" t="s">
        <v>38</v>
      </c>
      <c r="L4371" s="746">
        <f t="shared" ref="L4371:L4378" si="676">M4371+N4371+O4371+P4371+Q4371</f>
        <v>7981244.0000000009</v>
      </c>
      <c r="M4371" s="745">
        <v>7933824.0000000009</v>
      </c>
      <c r="N4371" s="762"/>
      <c r="O4371" s="1054">
        <v>17570</v>
      </c>
      <c r="P4371" s="762"/>
      <c r="Q4371" s="586">
        <v>29850</v>
      </c>
      <c r="R4371" s="599">
        <f>M4371/E4371</f>
        <v>1800</v>
      </c>
      <c r="S4371" s="575">
        <f>L4371-M4371-N4371-O4371-P4371-Q4371</f>
        <v>0</v>
      </c>
      <c r="T4371" s="645"/>
      <c r="U4371" s="709"/>
      <c r="V4371" s="589"/>
      <c r="W4371" s="601"/>
      <c r="X4371" s="601"/>
      <c r="Y4371" s="601"/>
      <c r="Z4371" s="748"/>
    </row>
    <row r="4372" spans="1:26" s="91" customFormat="1" hidden="1">
      <c r="A4372" s="667">
        <f t="shared" si="673"/>
        <v>38</v>
      </c>
      <c r="B4372" s="592" t="s">
        <v>3621</v>
      </c>
      <c r="C4372" s="1056" t="s">
        <v>221</v>
      </c>
      <c r="D4372" s="619">
        <v>11593</v>
      </c>
      <c r="E4372" s="619">
        <v>3272</v>
      </c>
      <c r="F4372" s="619" t="s">
        <v>223</v>
      </c>
      <c r="G4372" s="619">
        <v>1932</v>
      </c>
      <c r="H4372" s="599">
        <v>5</v>
      </c>
      <c r="I4372" s="599">
        <v>8</v>
      </c>
      <c r="J4372" s="599">
        <v>128</v>
      </c>
      <c r="K4372" s="590" t="s">
        <v>38</v>
      </c>
      <c r="L4372" s="584">
        <f t="shared" si="676"/>
        <v>5936152</v>
      </c>
      <c r="M4372" s="596">
        <v>5889600</v>
      </c>
      <c r="N4372" s="747"/>
      <c r="O4372" s="1054">
        <v>16702</v>
      </c>
      <c r="P4372" s="747"/>
      <c r="Q4372" s="586">
        <v>29850</v>
      </c>
      <c r="R4372" s="599">
        <f>M4372/E4372</f>
        <v>1800</v>
      </c>
      <c r="S4372" s="575">
        <f>L4372-M4372-N4372-O4372-P4372-Q4372</f>
        <v>0</v>
      </c>
      <c r="T4372" s="645"/>
      <c r="U4372" s="737"/>
      <c r="V4372" s="589"/>
      <c r="W4372" s="748"/>
      <c r="X4372" s="748"/>
      <c r="Y4372" s="748"/>
      <c r="Z4372" s="748"/>
    </row>
    <row r="4373" spans="1:26" s="219" customFormat="1" hidden="1">
      <c r="A4373" s="667">
        <f t="shared" si="673"/>
        <v>39</v>
      </c>
      <c r="B4373" s="592" t="s">
        <v>3917</v>
      </c>
      <c r="C4373" s="1056" t="s">
        <v>217</v>
      </c>
      <c r="D4373" s="619">
        <v>16938</v>
      </c>
      <c r="E4373" s="619">
        <v>2604.88</v>
      </c>
      <c r="F4373" s="619" t="s">
        <v>223</v>
      </c>
      <c r="G4373" s="619">
        <v>1414.5</v>
      </c>
      <c r="H4373" s="599">
        <v>5</v>
      </c>
      <c r="I4373" s="599">
        <v>6</v>
      </c>
      <c r="J4373" s="599">
        <v>90</v>
      </c>
      <c r="K4373" s="720" t="s">
        <v>339</v>
      </c>
      <c r="L4373" s="584">
        <f t="shared" si="676"/>
        <v>2729843</v>
      </c>
      <c r="M4373" s="962">
        <v>2700000</v>
      </c>
      <c r="N4373" s="722">
        <v>29843</v>
      </c>
      <c r="O4373" s="1211"/>
      <c r="P4373" s="722"/>
      <c r="Q4373" s="1029"/>
      <c r="R4373" s="1035"/>
      <c r="S4373" s="725"/>
      <c r="T4373" s="1204"/>
      <c r="U4373" s="1257"/>
      <c r="V4373" s="965"/>
      <c r="W4373" s="1213"/>
      <c r="X4373" s="1213"/>
      <c r="Y4373" s="1213"/>
      <c r="Z4373" s="1213"/>
    </row>
    <row r="4374" spans="1:26" s="91" customFormat="1" hidden="1">
      <c r="A4374" s="667">
        <f t="shared" si="673"/>
        <v>40</v>
      </c>
      <c r="B4374" s="592" t="s">
        <v>1825</v>
      </c>
      <c r="C4374" s="1056" t="s">
        <v>217</v>
      </c>
      <c r="D4374" s="619">
        <v>15805</v>
      </c>
      <c r="E4374" s="619">
        <v>2631.61</v>
      </c>
      <c r="F4374" s="619" t="s">
        <v>223</v>
      </c>
      <c r="G4374" s="619">
        <v>1280</v>
      </c>
      <c r="H4374" s="599">
        <v>5</v>
      </c>
      <c r="I4374" s="599">
        <v>6</v>
      </c>
      <c r="J4374" s="599">
        <v>79</v>
      </c>
      <c r="K4374" s="720" t="s">
        <v>339</v>
      </c>
      <c r="L4374" s="584">
        <f t="shared" si="676"/>
        <v>2399304</v>
      </c>
      <c r="M4374" s="962">
        <v>2370000</v>
      </c>
      <c r="N4374" s="722">
        <v>29304</v>
      </c>
      <c r="O4374" s="1211"/>
      <c r="P4374" s="722"/>
      <c r="Q4374" s="1029"/>
      <c r="R4374" s="582"/>
      <c r="S4374" s="575"/>
      <c r="T4374" s="645"/>
      <c r="U4374" s="737"/>
      <c r="V4374" s="589"/>
      <c r="W4374" s="748"/>
      <c r="X4374" s="748"/>
      <c r="Y4374" s="748"/>
      <c r="Z4374" s="748"/>
    </row>
    <row r="4375" spans="1:26" s="91" customFormat="1" hidden="1">
      <c r="A4375" s="667">
        <f t="shared" si="673"/>
        <v>41</v>
      </c>
      <c r="B4375" s="592" t="s">
        <v>1836</v>
      </c>
      <c r="C4375" s="1056" t="s">
        <v>217</v>
      </c>
      <c r="D4375" s="619">
        <v>16608</v>
      </c>
      <c r="E4375" s="619">
        <v>3266.1</v>
      </c>
      <c r="F4375" s="619" t="s">
        <v>223</v>
      </c>
      <c r="G4375" s="619">
        <v>1441</v>
      </c>
      <c r="H4375" s="599">
        <v>5</v>
      </c>
      <c r="I4375" s="599">
        <v>6</v>
      </c>
      <c r="J4375" s="599">
        <v>78</v>
      </c>
      <c r="K4375" s="720" t="s">
        <v>339</v>
      </c>
      <c r="L4375" s="584">
        <f t="shared" si="676"/>
        <v>2369686</v>
      </c>
      <c r="M4375" s="962">
        <v>2340000</v>
      </c>
      <c r="N4375" s="722">
        <v>29686</v>
      </c>
      <c r="O4375" s="1211"/>
      <c r="P4375" s="748"/>
      <c r="Q4375" s="722"/>
      <c r="R4375" s="582"/>
      <c r="S4375" s="575"/>
      <c r="T4375" s="645"/>
      <c r="U4375" s="709"/>
      <c r="V4375" s="589"/>
      <c r="W4375" s="601"/>
      <c r="X4375" s="601"/>
      <c r="Y4375" s="601"/>
      <c r="Z4375" s="748"/>
    </row>
    <row r="4376" spans="1:26" s="91" customFormat="1" hidden="1">
      <c r="A4376" s="667">
        <f t="shared" si="673"/>
        <v>42</v>
      </c>
      <c r="B4376" s="592" t="s">
        <v>1843</v>
      </c>
      <c r="C4376" s="1056" t="s">
        <v>217</v>
      </c>
      <c r="D4376" s="619">
        <v>33815</v>
      </c>
      <c r="E4376" s="619">
        <v>6915.92</v>
      </c>
      <c r="F4376" s="619" t="s">
        <v>223</v>
      </c>
      <c r="G4376" s="619">
        <v>1410.5</v>
      </c>
      <c r="H4376" s="599">
        <v>9</v>
      </c>
      <c r="I4376" s="599">
        <v>3</v>
      </c>
      <c r="J4376" s="599">
        <v>144</v>
      </c>
      <c r="K4376" s="720" t="s">
        <v>339</v>
      </c>
      <c r="L4376" s="584">
        <f t="shared" si="676"/>
        <v>4353474</v>
      </c>
      <c r="M4376" s="962">
        <v>4320000</v>
      </c>
      <c r="N4376" s="722">
        <v>33474</v>
      </c>
      <c r="O4376" s="1211"/>
      <c r="P4376" s="748"/>
      <c r="Q4376" s="722"/>
      <c r="R4376" s="582"/>
      <c r="S4376" s="575"/>
      <c r="T4376" s="645"/>
      <c r="U4376" s="737"/>
      <c r="V4376" s="589"/>
      <c r="W4376" s="748"/>
      <c r="X4376" s="748"/>
      <c r="Y4376" s="748"/>
      <c r="Z4376" s="748"/>
    </row>
    <row r="4377" spans="1:26" s="91" customFormat="1" hidden="1">
      <c r="A4377" s="667">
        <f t="shared" si="673"/>
        <v>43</v>
      </c>
      <c r="B4377" s="592" t="s">
        <v>1847</v>
      </c>
      <c r="C4377" s="1056" t="s">
        <v>217</v>
      </c>
      <c r="D4377" s="619">
        <v>19081</v>
      </c>
      <c r="E4377" s="619">
        <v>2862.04</v>
      </c>
      <c r="F4377" s="619" t="s">
        <v>223</v>
      </c>
      <c r="G4377" s="619">
        <v>1573</v>
      </c>
      <c r="H4377" s="599">
        <v>5</v>
      </c>
      <c r="I4377" s="599">
        <v>8</v>
      </c>
      <c r="J4377" s="599">
        <v>117</v>
      </c>
      <c r="K4377" s="720" t="s">
        <v>339</v>
      </c>
      <c r="L4377" s="584">
        <f t="shared" si="676"/>
        <v>3540862</v>
      </c>
      <c r="M4377" s="962">
        <v>3510000</v>
      </c>
      <c r="N4377" s="722">
        <v>30862</v>
      </c>
      <c r="O4377" s="1211"/>
      <c r="P4377" s="722"/>
      <c r="Q4377" s="1029"/>
      <c r="R4377" s="582"/>
      <c r="S4377" s="575"/>
      <c r="T4377" s="645"/>
      <c r="U4377" s="709"/>
      <c r="V4377" s="589"/>
      <c r="W4377" s="601"/>
      <c r="X4377" s="601"/>
      <c r="Y4377" s="601"/>
      <c r="Z4377" s="748"/>
    </row>
    <row r="4378" spans="1:26" s="91" customFormat="1" hidden="1">
      <c r="A4378" s="667">
        <f t="shared" si="673"/>
        <v>44</v>
      </c>
      <c r="B4378" s="592" t="s">
        <v>4083</v>
      </c>
      <c r="C4378" s="1056" t="s">
        <v>217</v>
      </c>
      <c r="D4378" s="619">
        <v>16422</v>
      </c>
      <c r="E4378" s="619">
        <v>2880.9</v>
      </c>
      <c r="F4378" s="619" t="s">
        <v>227</v>
      </c>
      <c r="G4378" s="619">
        <v>1094.8</v>
      </c>
      <c r="H4378" s="599">
        <v>5</v>
      </c>
      <c r="I4378" s="599">
        <v>6</v>
      </c>
      <c r="J4378" s="599">
        <v>90</v>
      </c>
      <c r="K4378" s="590" t="s">
        <v>259</v>
      </c>
      <c r="L4378" s="584">
        <f t="shared" si="676"/>
        <v>8704039</v>
      </c>
      <c r="M4378" s="596">
        <v>8642700</v>
      </c>
      <c r="N4378" s="586">
        <v>31339</v>
      </c>
      <c r="O4378" s="587"/>
      <c r="P4378" s="586"/>
      <c r="Q4378" s="586">
        <v>30000</v>
      </c>
      <c r="R4378" s="582"/>
      <c r="S4378" s="564"/>
      <c r="T4378" s="645"/>
      <c r="U4378" s="737"/>
      <c r="V4378" s="589"/>
      <c r="W4378" s="748"/>
      <c r="X4378" s="748"/>
      <c r="Y4378" s="748"/>
      <c r="Z4378" s="748"/>
    </row>
    <row r="4379" spans="1:26" s="28" customFormat="1" hidden="1">
      <c r="A4379" s="1349" t="s">
        <v>91</v>
      </c>
      <c r="B4379" s="1349"/>
      <c r="C4379" s="593" t="s">
        <v>28</v>
      </c>
      <c r="D4379" s="646">
        <f>SUM(D4334:D4378)</f>
        <v>798524.46100000001</v>
      </c>
      <c r="E4379" s="646">
        <f>SUM(E4334:E4378)</f>
        <v>125550.49200000001</v>
      </c>
      <c r="F4379" s="646" t="s">
        <v>28</v>
      </c>
      <c r="G4379" s="646">
        <f>SUM(G4334:G4378)</f>
        <v>62290.239999999998</v>
      </c>
      <c r="H4379" s="582" t="s">
        <v>28</v>
      </c>
      <c r="I4379" s="582" t="s">
        <v>28</v>
      </c>
      <c r="J4379" s="582">
        <f>SUM(J4334:J4378)</f>
        <v>4270</v>
      </c>
      <c r="K4379" s="590" t="s">
        <v>28</v>
      </c>
      <c r="L4379" s="584">
        <f>SUM(L4334:L4378)</f>
        <v>172800863.34999999</v>
      </c>
      <c r="M4379" s="585">
        <f>SUM(M4334:M4378)</f>
        <v>169806182</v>
      </c>
      <c r="N4379" s="586">
        <f>SUM(N4334:N4378)</f>
        <v>882519</v>
      </c>
      <c r="O4379" s="587">
        <f>SUM(O4334:O4378)</f>
        <v>299221</v>
      </c>
      <c r="P4379" s="586"/>
      <c r="Q4379" s="586">
        <f>SUM(Q4334:Q4378)</f>
        <v>1812941.3499999999</v>
      </c>
      <c r="R4379" s="582" t="s">
        <v>28</v>
      </c>
      <c r="S4379" s="592"/>
      <c r="T4379" s="738">
        <f>L4379-M4379-N4379-O4379-Q4379</f>
        <v>-5.8207660913467407E-9</v>
      </c>
      <c r="U4379" s="591"/>
      <c r="V4379" s="592"/>
      <c r="W4379" s="592"/>
      <c r="X4379" s="592"/>
      <c r="Y4379" s="592"/>
      <c r="Z4379" s="592"/>
    </row>
    <row r="4380" spans="1:26" s="28" customFormat="1" hidden="1">
      <c r="A4380" s="1347" t="s">
        <v>37</v>
      </c>
      <c r="B4380" s="1347"/>
      <c r="C4380" s="1347"/>
      <c r="D4380" s="1347"/>
      <c r="E4380" s="1347"/>
      <c r="F4380" s="1347"/>
      <c r="G4380" s="1347"/>
      <c r="H4380" s="1347"/>
      <c r="I4380" s="1347"/>
      <c r="J4380" s="1347"/>
      <c r="K4380" s="1347"/>
      <c r="L4380" s="1347"/>
      <c r="M4380" s="1347"/>
      <c r="N4380" s="1347"/>
      <c r="O4380" s="1347"/>
      <c r="P4380" s="1347"/>
      <c r="Q4380" s="1347"/>
      <c r="R4380" s="590"/>
      <c r="S4380" s="592"/>
      <c r="T4380" s="738"/>
      <c r="U4380" s="591"/>
      <c r="V4380" s="592"/>
      <c r="W4380" s="592"/>
      <c r="X4380" s="592"/>
      <c r="Y4380" s="592"/>
      <c r="Z4380" s="592"/>
    </row>
    <row r="4381" spans="1:26" s="75" customFormat="1" ht="37.5" hidden="1">
      <c r="A4381" s="764">
        <v>1</v>
      </c>
      <c r="B4381" s="592" t="s">
        <v>3431</v>
      </c>
      <c r="C4381" s="594" t="s">
        <v>217</v>
      </c>
      <c r="D4381" s="619">
        <v>18364</v>
      </c>
      <c r="E4381" s="619">
        <v>3420</v>
      </c>
      <c r="F4381" s="594" t="s">
        <v>233</v>
      </c>
      <c r="G4381" s="619">
        <v>1226</v>
      </c>
      <c r="H4381" s="599">
        <v>5</v>
      </c>
      <c r="I4381" s="599">
        <v>6</v>
      </c>
      <c r="J4381" s="599">
        <v>90</v>
      </c>
      <c r="K4381" s="590" t="s">
        <v>236</v>
      </c>
      <c r="L4381" s="584">
        <f t="shared" ref="L4381:L4390" si="677">M4381+N4381+O4381+P4381+Q4381</f>
        <v>3139786</v>
      </c>
      <c r="M4381" s="585">
        <f>G4381*2500</f>
        <v>3065000</v>
      </c>
      <c r="N4381" s="586"/>
      <c r="O4381" s="736">
        <f t="shared" ref="O4381:O4387" si="678">ROUND(M4381*0.3%,0)</f>
        <v>9195</v>
      </c>
      <c r="P4381" s="586"/>
      <c r="Q4381" s="586">
        <f t="shared" ref="Q4381:Q4387" si="679">ROUND(M4381*2.14%,0)</f>
        <v>65591</v>
      </c>
      <c r="R4381" s="582">
        <f>M4381/G4381</f>
        <v>2500</v>
      </c>
      <c r="S4381" s="601"/>
      <c r="T4381" s="738">
        <f t="shared" ref="T4381:T4387" si="680">L4381-M4381-N4381-O4381-Q4381</f>
        <v>0</v>
      </c>
      <c r="U4381" s="709"/>
      <c r="V4381" s="601"/>
      <c r="W4381" s="601"/>
      <c r="X4381" s="601"/>
      <c r="Y4381" s="601"/>
      <c r="Z4381" s="601"/>
    </row>
    <row r="4382" spans="1:26" s="75" customFormat="1" ht="37.5" hidden="1">
      <c r="A4382" s="764">
        <f>A4381+1</f>
        <v>2</v>
      </c>
      <c r="B4382" s="592" t="s">
        <v>3432</v>
      </c>
      <c r="C4382" s="744" t="s">
        <v>221</v>
      </c>
      <c r="D4382" s="619">
        <v>11106</v>
      </c>
      <c r="E4382" s="619">
        <v>3148</v>
      </c>
      <c r="F4382" s="594" t="s">
        <v>233</v>
      </c>
      <c r="G4382" s="619">
        <v>853</v>
      </c>
      <c r="H4382" s="599">
        <v>5</v>
      </c>
      <c r="I4382" s="599">
        <v>4</v>
      </c>
      <c r="J4382" s="599">
        <v>58</v>
      </c>
      <c r="K4382" s="590" t="s">
        <v>236</v>
      </c>
      <c r="L4382" s="584">
        <f t="shared" si="677"/>
        <v>2184534</v>
      </c>
      <c r="M4382" s="585">
        <f>G4382*2500</f>
        <v>2132500</v>
      </c>
      <c r="N4382" s="586"/>
      <c r="O4382" s="736">
        <f t="shared" si="678"/>
        <v>6398</v>
      </c>
      <c r="P4382" s="586"/>
      <c r="Q4382" s="586">
        <f t="shared" si="679"/>
        <v>45636</v>
      </c>
      <c r="R4382" s="582">
        <f>M4382/G4382</f>
        <v>2500</v>
      </c>
      <c r="S4382" s="601"/>
      <c r="T4382" s="738">
        <f t="shared" si="680"/>
        <v>0</v>
      </c>
      <c r="U4382" s="709"/>
      <c r="V4382" s="601"/>
      <c r="W4382" s="601"/>
      <c r="X4382" s="601"/>
      <c r="Y4382" s="601"/>
      <c r="Z4382" s="601"/>
    </row>
    <row r="4383" spans="1:26" s="530" customFormat="1" ht="37.5" hidden="1">
      <c r="A4383" s="764">
        <f t="shared" ref="A4383:A4390" si="681">A4382+1</f>
        <v>3</v>
      </c>
      <c r="B4383" s="1258" t="s">
        <v>3433</v>
      </c>
      <c r="C4383" s="744" t="s">
        <v>239</v>
      </c>
      <c r="D4383" s="770">
        <v>4495</v>
      </c>
      <c r="E4383" s="770">
        <v>676</v>
      </c>
      <c r="F4383" s="744" t="s">
        <v>222</v>
      </c>
      <c r="G4383" s="770">
        <v>474</v>
      </c>
      <c r="H4383" s="770">
        <v>3</v>
      </c>
      <c r="I4383" s="770">
        <v>1</v>
      </c>
      <c r="J4383" s="770">
        <v>9</v>
      </c>
      <c r="K4383" s="735" t="s">
        <v>237</v>
      </c>
      <c r="L4383" s="584">
        <f t="shared" si="677"/>
        <v>230490</v>
      </c>
      <c r="M4383" s="585">
        <f>J4383*25000</f>
        <v>225000</v>
      </c>
      <c r="N4383" s="586"/>
      <c r="O4383" s="736">
        <f t="shared" si="678"/>
        <v>675</v>
      </c>
      <c r="P4383" s="586"/>
      <c r="Q4383" s="586">
        <f t="shared" si="679"/>
        <v>4815</v>
      </c>
      <c r="R4383" s="582">
        <f>M4383/J4383</f>
        <v>25000</v>
      </c>
      <c r="S4383" s="788"/>
      <c r="T4383" s="738">
        <f t="shared" si="680"/>
        <v>0</v>
      </c>
      <c r="U4383" s="793"/>
      <c r="V4383" s="792"/>
      <c r="W4383" s="788"/>
      <c r="X4383" s="788"/>
      <c r="Y4383" s="788"/>
      <c r="Z4383" s="788"/>
    </row>
    <row r="4384" spans="1:26" s="530" customFormat="1" hidden="1">
      <c r="A4384" s="764">
        <f t="shared" si="681"/>
        <v>4</v>
      </c>
      <c r="B4384" s="1258" t="s">
        <v>3434</v>
      </c>
      <c r="C4384" s="744" t="s">
        <v>239</v>
      </c>
      <c r="D4384" s="770">
        <v>749.07</v>
      </c>
      <c r="E4384" s="770">
        <v>258.3</v>
      </c>
      <c r="F4384" s="744" t="s">
        <v>222</v>
      </c>
      <c r="G4384" s="770">
        <v>481</v>
      </c>
      <c r="H4384" s="770">
        <v>2</v>
      </c>
      <c r="I4384" s="770">
        <v>1</v>
      </c>
      <c r="J4384" s="770">
        <v>8</v>
      </c>
      <c r="K4384" s="792" t="s">
        <v>38</v>
      </c>
      <c r="L4384" s="740">
        <f t="shared" si="677"/>
        <v>529205</v>
      </c>
      <c r="M4384" s="741">
        <f>E4384*2000</f>
        <v>516600</v>
      </c>
      <c r="N4384" s="742"/>
      <c r="O4384" s="736">
        <f t="shared" si="678"/>
        <v>1550</v>
      </c>
      <c r="P4384" s="742"/>
      <c r="Q4384" s="586">
        <f t="shared" si="679"/>
        <v>11055</v>
      </c>
      <c r="R4384" s="599">
        <f>M4384/E4384</f>
        <v>2000</v>
      </c>
      <c r="S4384" s="788"/>
      <c r="T4384" s="738">
        <f t="shared" si="680"/>
        <v>0</v>
      </c>
      <c r="U4384" s="793"/>
      <c r="V4384" s="792"/>
      <c r="W4384" s="788"/>
      <c r="X4384" s="788"/>
      <c r="Y4384" s="788"/>
      <c r="Z4384" s="788"/>
    </row>
    <row r="4385" spans="1:215" s="530" customFormat="1" hidden="1">
      <c r="A4385" s="764">
        <f t="shared" si="681"/>
        <v>5</v>
      </c>
      <c r="B4385" s="1258" t="s">
        <v>3435</v>
      </c>
      <c r="C4385" s="744" t="s">
        <v>239</v>
      </c>
      <c r="D4385" s="770">
        <v>348</v>
      </c>
      <c r="E4385" s="770">
        <v>258.3</v>
      </c>
      <c r="F4385" s="744" t="s">
        <v>222</v>
      </c>
      <c r="G4385" s="770">
        <v>473</v>
      </c>
      <c r="H4385" s="770">
        <v>2</v>
      </c>
      <c r="I4385" s="770">
        <v>1</v>
      </c>
      <c r="J4385" s="770">
        <v>8</v>
      </c>
      <c r="K4385" s="792" t="s">
        <v>38</v>
      </c>
      <c r="L4385" s="740">
        <f t="shared" si="677"/>
        <v>529205</v>
      </c>
      <c r="M4385" s="741">
        <f>E4385*2000</f>
        <v>516600</v>
      </c>
      <c r="N4385" s="742"/>
      <c r="O4385" s="736">
        <f t="shared" si="678"/>
        <v>1550</v>
      </c>
      <c r="P4385" s="742"/>
      <c r="Q4385" s="586">
        <f t="shared" si="679"/>
        <v>11055</v>
      </c>
      <c r="R4385" s="599">
        <f>M4385/E4385</f>
        <v>2000</v>
      </c>
      <c r="S4385" s="788"/>
      <c r="T4385" s="738">
        <f t="shared" si="680"/>
        <v>0</v>
      </c>
      <c r="U4385" s="793"/>
      <c r="V4385" s="792"/>
      <c r="W4385" s="788"/>
      <c r="X4385" s="788"/>
      <c r="Y4385" s="788"/>
      <c r="Z4385" s="788"/>
    </row>
    <row r="4386" spans="1:215" s="75" customFormat="1" ht="37.5" hidden="1">
      <c r="A4386" s="764">
        <f t="shared" si="681"/>
        <v>6</v>
      </c>
      <c r="B4386" s="592" t="s">
        <v>3436</v>
      </c>
      <c r="C4386" s="744" t="s">
        <v>221</v>
      </c>
      <c r="D4386" s="619">
        <v>2340</v>
      </c>
      <c r="E4386" s="619">
        <v>509</v>
      </c>
      <c r="F4386" s="594" t="s">
        <v>222</v>
      </c>
      <c r="G4386" s="619">
        <v>478</v>
      </c>
      <c r="H4386" s="599">
        <v>2</v>
      </c>
      <c r="I4386" s="599">
        <v>1</v>
      </c>
      <c r="J4386" s="599">
        <v>8</v>
      </c>
      <c r="K4386" s="590" t="s">
        <v>30</v>
      </c>
      <c r="L4386" s="584">
        <f t="shared" si="677"/>
        <v>204880</v>
      </c>
      <c r="M4386" s="585">
        <f>J4386*25000</f>
        <v>200000</v>
      </c>
      <c r="N4386" s="586"/>
      <c r="O4386" s="736">
        <f t="shared" si="678"/>
        <v>600</v>
      </c>
      <c r="P4386" s="586"/>
      <c r="Q4386" s="586">
        <f t="shared" si="679"/>
        <v>4280</v>
      </c>
      <c r="R4386" s="582">
        <f>M4386/J4386</f>
        <v>25000</v>
      </c>
      <c r="S4386" s="601"/>
      <c r="T4386" s="738">
        <f t="shared" si="680"/>
        <v>0</v>
      </c>
      <c r="U4386" s="709"/>
      <c r="V4386" s="601"/>
      <c r="W4386" s="601"/>
      <c r="X4386" s="601"/>
      <c r="Y4386" s="601"/>
      <c r="Z4386" s="601"/>
    </row>
    <row r="4387" spans="1:215" s="75" customFormat="1" ht="37.5" hidden="1">
      <c r="A4387" s="764">
        <f t="shared" si="681"/>
        <v>7</v>
      </c>
      <c r="B4387" s="592" t="s">
        <v>3437</v>
      </c>
      <c r="C4387" s="744" t="s">
        <v>221</v>
      </c>
      <c r="D4387" s="619">
        <v>17876</v>
      </c>
      <c r="E4387" s="619">
        <v>3418</v>
      </c>
      <c r="F4387" s="594" t="s">
        <v>233</v>
      </c>
      <c r="G4387" s="619">
        <v>1440</v>
      </c>
      <c r="H4387" s="599">
        <v>5</v>
      </c>
      <c r="I4387" s="599">
        <v>6</v>
      </c>
      <c r="J4387" s="599">
        <v>91</v>
      </c>
      <c r="K4387" s="590" t="s">
        <v>236</v>
      </c>
      <c r="L4387" s="584">
        <f t="shared" si="677"/>
        <v>3687840</v>
      </c>
      <c r="M4387" s="585">
        <f>G4387*2500</f>
        <v>3600000</v>
      </c>
      <c r="N4387" s="586"/>
      <c r="O4387" s="736">
        <f t="shared" si="678"/>
        <v>10800</v>
      </c>
      <c r="P4387" s="586"/>
      <c r="Q4387" s="586">
        <f t="shared" si="679"/>
        <v>77040</v>
      </c>
      <c r="R4387" s="582">
        <f>M4387/G4387</f>
        <v>2500</v>
      </c>
      <c r="S4387" s="601"/>
      <c r="T4387" s="738">
        <f t="shared" si="680"/>
        <v>0</v>
      </c>
      <c r="U4387" s="709"/>
      <c r="V4387" s="601"/>
      <c r="W4387" s="601"/>
      <c r="X4387" s="601"/>
      <c r="Y4387" s="601"/>
      <c r="Z4387" s="601"/>
    </row>
    <row r="4388" spans="1:215" s="75" customFormat="1" hidden="1">
      <c r="A4388" s="764">
        <f t="shared" si="681"/>
        <v>8</v>
      </c>
      <c r="B4388" s="581" t="s">
        <v>3627</v>
      </c>
      <c r="C4388" s="593" t="s">
        <v>221</v>
      </c>
      <c r="D4388" s="619">
        <v>29057</v>
      </c>
      <c r="E4388" s="619">
        <v>4192</v>
      </c>
      <c r="F4388" s="619" t="s">
        <v>222</v>
      </c>
      <c r="G4388" s="619">
        <v>1692</v>
      </c>
      <c r="H4388" s="599">
        <v>5</v>
      </c>
      <c r="I4388" s="599">
        <v>8</v>
      </c>
      <c r="J4388" s="599">
        <v>129</v>
      </c>
      <c r="K4388" s="590" t="s">
        <v>224</v>
      </c>
      <c r="L4388" s="584">
        <f t="shared" si="677"/>
        <v>2927113</v>
      </c>
      <c r="M4388" s="585">
        <v>2838000</v>
      </c>
      <c r="N4388" s="586">
        <v>28380</v>
      </c>
      <c r="O4388" s="736"/>
      <c r="P4388" s="586"/>
      <c r="Q4388" s="586">
        <v>60733</v>
      </c>
      <c r="R4388" s="582">
        <f>M4388/J4388</f>
        <v>22000</v>
      </c>
      <c r="S4388" s="601"/>
      <c r="T4388" s="738"/>
      <c r="U4388" s="709"/>
      <c r="V4388" s="601"/>
      <c r="W4388" s="601"/>
      <c r="X4388" s="601"/>
      <c r="Y4388" s="601"/>
      <c r="Z4388" s="601"/>
    </row>
    <row r="4389" spans="1:215" s="75" customFormat="1" hidden="1">
      <c r="A4389" s="764">
        <f t="shared" si="681"/>
        <v>9</v>
      </c>
      <c r="B4389" s="581" t="s">
        <v>908</v>
      </c>
      <c r="C4389" s="593" t="s">
        <v>221</v>
      </c>
      <c r="D4389" s="619">
        <v>35104</v>
      </c>
      <c r="E4389" s="619" t="s">
        <v>3821</v>
      </c>
      <c r="F4389" s="619" t="s">
        <v>222</v>
      </c>
      <c r="G4389" s="619">
        <v>1918</v>
      </c>
      <c r="H4389" s="599">
        <v>5</v>
      </c>
      <c r="I4389" s="599">
        <v>5</v>
      </c>
      <c r="J4389" s="599">
        <v>68</v>
      </c>
      <c r="K4389" s="590" t="s">
        <v>100</v>
      </c>
      <c r="L4389" s="584">
        <f t="shared" si="677"/>
        <v>1958796</v>
      </c>
      <c r="M4389" s="585">
        <v>1890000</v>
      </c>
      <c r="N4389" s="586">
        <v>28350</v>
      </c>
      <c r="O4389" s="736"/>
      <c r="P4389" s="586"/>
      <c r="Q4389" s="586">
        <v>40446</v>
      </c>
      <c r="R4389" s="582">
        <f>M4389/G4389</f>
        <v>985.40145985401455</v>
      </c>
      <c r="S4389" s="601"/>
      <c r="T4389" s="738"/>
      <c r="U4389" s="709"/>
      <c r="V4389" s="601"/>
      <c r="W4389" s="601"/>
      <c r="X4389" s="601"/>
      <c r="Y4389" s="601"/>
      <c r="Z4389" s="601"/>
    </row>
    <row r="4390" spans="1:215" s="75" customFormat="1" hidden="1">
      <c r="A4390" s="764">
        <f t="shared" si="681"/>
        <v>10</v>
      </c>
      <c r="B4390" s="592" t="s">
        <v>860</v>
      </c>
      <c r="C4390" s="744" t="s">
        <v>221</v>
      </c>
      <c r="D4390" s="619">
        <v>15306</v>
      </c>
      <c r="E4390" s="619">
        <v>2904</v>
      </c>
      <c r="F4390" s="594" t="s">
        <v>233</v>
      </c>
      <c r="G4390" s="619">
        <v>1026</v>
      </c>
      <c r="H4390" s="599">
        <v>5</v>
      </c>
      <c r="I4390" s="599">
        <v>4</v>
      </c>
      <c r="J4390" s="599">
        <v>68</v>
      </c>
      <c r="K4390" s="590" t="s">
        <v>234</v>
      </c>
      <c r="L4390" s="584">
        <f t="shared" si="677"/>
        <v>2312276</v>
      </c>
      <c r="M4390" s="585">
        <v>2257200</v>
      </c>
      <c r="N4390" s="586"/>
      <c r="O4390" s="736">
        <v>6772</v>
      </c>
      <c r="P4390" s="586"/>
      <c r="Q4390" s="586">
        <v>48304</v>
      </c>
      <c r="R4390" s="582">
        <f>M4390/G4390</f>
        <v>2200</v>
      </c>
      <c r="S4390" s="601"/>
      <c r="T4390" s="738"/>
      <c r="U4390" s="709"/>
      <c r="V4390" s="601"/>
      <c r="W4390" s="601"/>
      <c r="X4390" s="601"/>
      <c r="Y4390" s="601"/>
      <c r="Z4390" s="601"/>
    </row>
    <row r="4391" spans="1:215" s="28" customFormat="1" hidden="1">
      <c r="A4391" s="1349" t="s">
        <v>39</v>
      </c>
      <c r="B4391" s="1349"/>
      <c r="C4391" s="593" t="s">
        <v>28</v>
      </c>
      <c r="D4391" s="646">
        <f>SUM(D4381:D4390)</f>
        <v>134745.07</v>
      </c>
      <c r="E4391" s="646">
        <f>SUM(E4381:E4390)</f>
        <v>18783.599999999999</v>
      </c>
      <c r="F4391" s="646" t="s">
        <v>28</v>
      </c>
      <c r="G4391" s="646">
        <f>SUM(G4381:G4390)</f>
        <v>10061</v>
      </c>
      <c r="H4391" s="582" t="s">
        <v>28</v>
      </c>
      <c r="I4391" s="582" t="s">
        <v>28</v>
      </c>
      <c r="J4391" s="582">
        <f>SUM(J4381:J4390)</f>
        <v>537</v>
      </c>
      <c r="K4391" s="588" t="s">
        <v>28</v>
      </c>
      <c r="L4391" s="584">
        <f>SUM(L4381:L4390)</f>
        <v>17704125</v>
      </c>
      <c r="M4391" s="585">
        <f>SUM(M4381:M4390)</f>
        <v>17240900</v>
      </c>
      <c r="N4391" s="586">
        <f>SUM(N4381:N4390)</f>
        <v>56730</v>
      </c>
      <c r="O4391" s="587">
        <f>SUM(O4381:O4390)</f>
        <v>37540</v>
      </c>
      <c r="P4391" s="586"/>
      <c r="Q4391" s="586">
        <f>SUM(Q4381:Q4390)</f>
        <v>368955</v>
      </c>
      <c r="R4391" s="582" t="s">
        <v>28</v>
      </c>
      <c r="S4391" s="592"/>
      <c r="T4391" s="738">
        <f>L4391-M4391-N4391-O4391-Q4391</f>
        <v>0</v>
      </c>
      <c r="U4391" s="589"/>
      <c r="V4391" s="592"/>
      <c r="W4391" s="592"/>
      <c r="X4391" s="592"/>
      <c r="Y4391" s="592"/>
      <c r="Z4391" s="592"/>
    </row>
    <row r="4392" spans="1:215" s="102" customFormat="1" hidden="1">
      <c r="A4392" s="1352" t="s">
        <v>42</v>
      </c>
      <c r="B4392" s="1352"/>
      <c r="C4392" s="1352"/>
      <c r="D4392" s="1352"/>
      <c r="E4392" s="1352"/>
      <c r="F4392" s="1352"/>
      <c r="G4392" s="1352"/>
      <c r="H4392" s="1352"/>
      <c r="I4392" s="1352"/>
      <c r="J4392" s="1352"/>
      <c r="K4392" s="1352"/>
      <c r="L4392" s="1352"/>
      <c r="M4392" s="1352"/>
      <c r="N4392" s="1352"/>
      <c r="O4392" s="1352"/>
      <c r="P4392" s="1352"/>
      <c r="Q4392" s="1352"/>
      <c r="R4392" s="590"/>
      <c r="S4392" s="785"/>
      <c r="T4392" s="738">
        <f>L4392-M4392-N4392-O4392-Q4392</f>
        <v>0</v>
      </c>
      <c r="U4392" s="702"/>
      <c r="V4392" s="785"/>
      <c r="W4392" s="785"/>
      <c r="X4392" s="785"/>
      <c r="Y4392" s="785"/>
      <c r="Z4392" s="785"/>
      <c r="AA4392" s="437"/>
      <c r="AB4392" s="437"/>
      <c r="AC4392" s="437"/>
      <c r="AD4392" s="437"/>
      <c r="AE4392" s="437"/>
      <c r="AF4392" s="437"/>
      <c r="AG4392" s="437"/>
      <c r="AH4392" s="437"/>
      <c r="AI4392" s="437"/>
      <c r="AJ4392" s="437"/>
      <c r="AK4392" s="437"/>
      <c r="AL4392" s="437"/>
      <c r="AM4392" s="437"/>
      <c r="AN4392" s="437"/>
      <c r="AO4392" s="437"/>
      <c r="AP4392" s="437"/>
      <c r="AQ4392" s="437"/>
      <c r="AR4392" s="437"/>
      <c r="AS4392" s="437"/>
      <c r="AT4392" s="437"/>
      <c r="AU4392" s="437"/>
      <c r="AV4392" s="437"/>
      <c r="AW4392" s="437"/>
      <c r="AX4392" s="437"/>
      <c r="AY4392" s="437"/>
      <c r="AZ4392" s="437"/>
      <c r="BA4392" s="437"/>
      <c r="BB4392" s="437"/>
      <c r="BC4392" s="437"/>
      <c r="BD4392" s="437"/>
      <c r="BE4392" s="437"/>
      <c r="BF4392" s="437"/>
      <c r="BG4392" s="437"/>
      <c r="BH4392" s="437"/>
      <c r="BI4392" s="437"/>
      <c r="BJ4392" s="437"/>
      <c r="BK4392" s="437"/>
      <c r="BL4392" s="437"/>
      <c r="BM4392" s="437"/>
      <c r="BN4392" s="437"/>
      <c r="BO4392" s="437"/>
      <c r="BP4392" s="437"/>
      <c r="BQ4392" s="437"/>
      <c r="BR4392" s="437"/>
      <c r="BS4392" s="437"/>
      <c r="BT4392" s="437"/>
      <c r="BU4392" s="437"/>
      <c r="BV4392" s="437"/>
      <c r="BW4392" s="437"/>
      <c r="BX4392" s="437"/>
      <c r="BY4392" s="437"/>
      <c r="BZ4392" s="437"/>
      <c r="CA4392" s="437"/>
      <c r="CB4392" s="437"/>
      <c r="CC4392" s="437"/>
      <c r="CD4392" s="437"/>
      <c r="CE4392" s="437"/>
      <c r="CF4392" s="437"/>
      <c r="CG4392" s="437"/>
      <c r="CH4392" s="437"/>
      <c r="CI4392" s="437"/>
      <c r="CJ4392" s="437"/>
      <c r="CK4392" s="437"/>
      <c r="CL4392" s="437"/>
      <c r="CM4392" s="437"/>
      <c r="CN4392" s="437"/>
      <c r="CO4392" s="437"/>
      <c r="CP4392" s="437"/>
      <c r="CQ4392" s="437"/>
      <c r="CR4392" s="437"/>
      <c r="CS4392" s="437"/>
      <c r="CT4392" s="437"/>
      <c r="CU4392" s="437"/>
      <c r="CV4392" s="437"/>
      <c r="CW4392" s="437"/>
      <c r="CX4392" s="437"/>
      <c r="CY4392" s="437"/>
      <c r="CZ4392" s="437"/>
      <c r="DA4392" s="437"/>
      <c r="DB4392" s="437"/>
      <c r="DC4392" s="437"/>
      <c r="DD4392" s="437"/>
      <c r="DE4392" s="437"/>
      <c r="DF4392" s="437"/>
      <c r="DG4392" s="437"/>
      <c r="DH4392" s="437"/>
      <c r="DI4392" s="437"/>
      <c r="DJ4392" s="437"/>
      <c r="DK4392" s="437"/>
      <c r="DL4392" s="437"/>
      <c r="DM4392" s="437"/>
      <c r="DN4392" s="437"/>
      <c r="DO4392" s="437"/>
      <c r="DP4392" s="437"/>
      <c r="DQ4392" s="437"/>
      <c r="DR4392" s="437"/>
      <c r="DS4392" s="437"/>
      <c r="DT4392" s="437"/>
      <c r="DU4392" s="437"/>
      <c r="DV4392" s="437"/>
      <c r="DW4392" s="437"/>
      <c r="DX4392" s="437"/>
      <c r="DY4392" s="437"/>
      <c r="DZ4392" s="437"/>
      <c r="EA4392" s="437"/>
      <c r="EB4392" s="437"/>
      <c r="EC4392" s="437"/>
      <c r="ED4392" s="437"/>
      <c r="EE4392" s="437"/>
      <c r="EF4392" s="437"/>
      <c r="EG4392" s="437"/>
      <c r="EH4392" s="437"/>
      <c r="EI4392" s="437"/>
      <c r="EJ4392" s="437"/>
      <c r="EK4392" s="437"/>
      <c r="EL4392" s="437"/>
      <c r="EM4392" s="437"/>
      <c r="EN4392" s="437"/>
      <c r="EO4392" s="437"/>
      <c r="EP4392" s="437"/>
      <c r="EQ4392" s="437"/>
      <c r="ER4392" s="437"/>
      <c r="ES4392" s="437"/>
      <c r="ET4392" s="437"/>
      <c r="EU4392" s="437"/>
      <c r="EV4392" s="437"/>
      <c r="EW4392" s="437"/>
      <c r="EX4392" s="437"/>
      <c r="EY4392" s="437"/>
      <c r="EZ4392" s="437"/>
      <c r="FA4392" s="437"/>
      <c r="FB4392" s="437"/>
      <c r="FC4392" s="437"/>
      <c r="FD4392" s="437"/>
      <c r="FE4392" s="437"/>
      <c r="FF4392" s="437"/>
      <c r="FG4392" s="437"/>
      <c r="FH4392" s="437"/>
      <c r="FI4392" s="437"/>
      <c r="FJ4392" s="437"/>
      <c r="FK4392" s="437"/>
      <c r="FL4392" s="437"/>
      <c r="FM4392" s="437"/>
      <c r="FN4392" s="437"/>
      <c r="FO4392" s="437"/>
      <c r="FP4392" s="437"/>
      <c r="FQ4392" s="437"/>
      <c r="FR4392" s="437"/>
      <c r="FS4392" s="437"/>
      <c r="FT4392" s="437"/>
      <c r="FU4392" s="437"/>
      <c r="FV4392" s="437"/>
      <c r="FW4392" s="437"/>
      <c r="FX4392" s="437"/>
      <c r="FY4392" s="437"/>
      <c r="FZ4392" s="437"/>
      <c r="GA4392" s="437"/>
      <c r="GB4392" s="437"/>
      <c r="GC4392" s="437"/>
      <c r="GD4392" s="437"/>
      <c r="GE4392" s="437"/>
      <c r="GF4392" s="437"/>
      <c r="GG4392" s="437"/>
      <c r="GH4392" s="437"/>
      <c r="GI4392" s="437"/>
      <c r="GJ4392" s="437"/>
      <c r="GK4392" s="437"/>
      <c r="GL4392" s="437"/>
      <c r="GM4392" s="437"/>
      <c r="GN4392" s="437"/>
      <c r="GO4392" s="437"/>
      <c r="GP4392" s="437"/>
      <c r="GQ4392" s="437"/>
      <c r="GR4392" s="437"/>
      <c r="GS4392" s="437"/>
      <c r="GT4392" s="437"/>
      <c r="GU4392" s="437"/>
      <c r="GV4392" s="437"/>
      <c r="GW4392" s="437"/>
      <c r="GX4392" s="437"/>
      <c r="GY4392" s="437"/>
      <c r="GZ4392" s="437"/>
      <c r="HA4392" s="437"/>
      <c r="HB4392" s="437"/>
      <c r="HC4392" s="437"/>
      <c r="HD4392" s="437"/>
      <c r="HE4392" s="437"/>
      <c r="HF4392" s="437"/>
      <c r="HG4392" s="437"/>
    </row>
    <row r="4393" spans="1:215" s="90" customFormat="1" ht="75" hidden="1">
      <c r="A4393" s="590">
        <v>1</v>
      </c>
      <c r="B4393" s="592" t="s">
        <v>914</v>
      </c>
      <c r="C4393" s="593" t="s">
        <v>221</v>
      </c>
      <c r="D4393" s="646">
        <v>864</v>
      </c>
      <c r="E4393" s="646">
        <v>288</v>
      </c>
      <c r="F4393" s="646" t="s">
        <v>241</v>
      </c>
      <c r="G4393" s="646">
        <v>428</v>
      </c>
      <c r="H4393" s="582">
        <v>2</v>
      </c>
      <c r="I4393" s="582">
        <v>1</v>
      </c>
      <c r="J4393" s="582">
        <v>8</v>
      </c>
      <c r="K4393" s="590" t="s">
        <v>242</v>
      </c>
      <c r="L4393" s="584">
        <f>M4393+N4393+O4393+P4393+Q4393</f>
        <v>1337158</v>
      </c>
      <c r="M4393" s="585">
        <f>G4393*3000</f>
        <v>1284000</v>
      </c>
      <c r="N4393" s="586">
        <f>M4393*0.02</f>
        <v>25680</v>
      </c>
      <c r="O4393" s="587"/>
      <c r="P4393" s="586"/>
      <c r="Q4393" s="586">
        <f>ROUND(M4393*2.14%,0)</f>
        <v>27478</v>
      </c>
      <c r="R4393" s="582">
        <f>M4393/G4393</f>
        <v>3000</v>
      </c>
      <c r="S4393" s="785"/>
      <c r="T4393" s="738">
        <f>L4393-M4393-N4393-O4393-Q4393</f>
        <v>0</v>
      </c>
      <c r="U4393" s="737"/>
      <c r="V4393" s="748"/>
      <c r="W4393" s="748"/>
      <c r="X4393" s="748"/>
      <c r="Y4393" s="748"/>
      <c r="Z4393" s="748"/>
    </row>
    <row r="4394" spans="1:215" s="90" customFormat="1" hidden="1">
      <c r="A4394" s="590">
        <v>2</v>
      </c>
      <c r="B4394" s="592" t="s">
        <v>3644</v>
      </c>
      <c r="C4394" s="593" t="s">
        <v>221</v>
      </c>
      <c r="D4394" s="646">
        <v>3499.2000000000003</v>
      </c>
      <c r="E4394" s="646">
        <v>1296</v>
      </c>
      <c r="F4394" s="646" t="s">
        <v>223</v>
      </c>
      <c r="G4394" s="646">
        <v>893.5</v>
      </c>
      <c r="H4394" s="582">
        <v>2</v>
      </c>
      <c r="I4394" s="582">
        <v>3</v>
      </c>
      <c r="J4394" s="582">
        <v>22</v>
      </c>
      <c r="K4394" s="590" t="s">
        <v>261</v>
      </c>
      <c r="L4394" s="584">
        <f>M4394+N4394+O4394+P4394+Q4394</f>
        <v>2958835</v>
      </c>
      <c r="M4394" s="585">
        <v>2859200</v>
      </c>
      <c r="N4394" s="586">
        <v>38448</v>
      </c>
      <c r="O4394" s="587"/>
      <c r="P4394" s="586"/>
      <c r="Q4394" s="586">
        <v>61187</v>
      </c>
      <c r="R4394" s="582">
        <f>M4394/G4394</f>
        <v>3200</v>
      </c>
      <c r="S4394" s="785"/>
      <c r="T4394" s="738"/>
      <c r="U4394" s="737"/>
      <c r="V4394" s="748"/>
      <c r="W4394" s="748"/>
      <c r="X4394" s="748"/>
      <c r="Y4394" s="748"/>
      <c r="Z4394" s="748"/>
    </row>
    <row r="4395" spans="1:215" s="28" customFormat="1" hidden="1">
      <c r="A4395" s="1367" t="s">
        <v>43</v>
      </c>
      <c r="B4395" s="1367"/>
      <c r="C4395" s="593" t="s">
        <v>28</v>
      </c>
      <c r="D4395" s="849">
        <f>SUM(D4393:D4394)</f>
        <v>4363.2000000000007</v>
      </c>
      <c r="E4395" s="849">
        <f>SUM(E4393:E4394)</f>
        <v>1584</v>
      </c>
      <c r="F4395" s="646" t="s">
        <v>28</v>
      </c>
      <c r="G4395" s="849">
        <f>SUM(G4393:G4394)</f>
        <v>1321.5</v>
      </c>
      <c r="H4395" s="582" t="s">
        <v>28</v>
      </c>
      <c r="I4395" s="582" t="s">
        <v>28</v>
      </c>
      <c r="J4395" s="849">
        <f>SUM(J4393:J4394)</f>
        <v>30</v>
      </c>
      <c r="K4395" s="588" t="s">
        <v>28</v>
      </c>
      <c r="L4395" s="1259">
        <f t="shared" ref="L4395:Q4395" si="682">SUM(L4393:L4394)</f>
        <v>4295993</v>
      </c>
      <c r="M4395" s="1260">
        <f t="shared" si="682"/>
        <v>4143200</v>
      </c>
      <c r="N4395" s="1261">
        <f t="shared" si="682"/>
        <v>64128</v>
      </c>
      <c r="O4395" s="1262">
        <f t="shared" si="682"/>
        <v>0</v>
      </c>
      <c r="P4395" s="849">
        <f t="shared" si="682"/>
        <v>0</v>
      </c>
      <c r="Q4395" s="1261">
        <f t="shared" si="682"/>
        <v>88665</v>
      </c>
      <c r="R4395" s="582" t="s">
        <v>28</v>
      </c>
      <c r="S4395" s="592"/>
      <c r="T4395" s="738">
        <f t="shared" ref="T4395:T4406" si="683">L4395-M4395-N4395-O4395-Q4395</f>
        <v>0</v>
      </c>
      <c r="U4395" s="591"/>
      <c r="V4395" s="592"/>
      <c r="W4395" s="592"/>
      <c r="X4395" s="592"/>
      <c r="Y4395" s="592"/>
      <c r="Z4395" s="592"/>
    </row>
    <row r="4396" spans="1:215" s="28" customFormat="1" hidden="1">
      <c r="A4396" s="1347" t="s">
        <v>45</v>
      </c>
      <c r="B4396" s="1347"/>
      <c r="C4396" s="1347"/>
      <c r="D4396" s="1347"/>
      <c r="E4396" s="1347"/>
      <c r="F4396" s="1347"/>
      <c r="G4396" s="1347"/>
      <c r="H4396" s="1347"/>
      <c r="I4396" s="1347"/>
      <c r="J4396" s="1347"/>
      <c r="K4396" s="1347"/>
      <c r="L4396" s="1347"/>
      <c r="M4396" s="1347"/>
      <c r="N4396" s="1347"/>
      <c r="O4396" s="1347"/>
      <c r="P4396" s="1347"/>
      <c r="Q4396" s="1347"/>
      <c r="R4396" s="590"/>
      <c r="S4396" s="592"/>
      <c r="T4396" s="738">
        <f t="shared" si="683"/>
        <v>0</v>
      </c>
      <c r="U4396" s="591"/>
      <c r="V4396" s="592"/>
      <c r="W4396" s="592"/>
      <c r="X4396" s="592"/>
      <c r="Y4396" s="592"/>
      <c r="Z4396" s="592"/>
    </row>
    <row r="4397" spans="1:215" s="28" customFormat="1" hidden="1">
      <c r="A4397" s="590">
        <v>1</v>
      </c>
      <c r="B4397" s="592" t="s">
        <v>3438</v>
      </c>
      <c r="C4397" s="593" t="s">
        <v>221</v>
      </c>
      <c r="D4397" s="646">
        <f>E4397*3</f>
        <v>1873.8000000000002</v>
      </c>
      <c r="E4397" s="646">
        <v>624.6</v>
      </c>
      <c r="F4397" s="646" t="s">
        <v>222</v>
      </c>
      <c r="G4397" s="646">
        <v>642.70000000000005</v>
      </c>
      <c r="H4397" s="582">
        <v>2</v>
      </c>
      <c r="I4397" s="582">
        <v>2</v>
      </c>
      <c r="J4397" s="582">
        <v>13</v>
      </c>
      <c r="K4397" s="1055" t="s">
        <v>33</v>
      </c>
      <c r="L4397" s="595">
        <f>M4397+N4397+O4397+P4397+Q4397</f>
        <v>1164578</v>
      </c>
      <c r="M4397" s="585">
        <v>1112938</v>
      </c>
      <c r="N4397" s="586">
        <v>27823</v>
      </c>
      <c r="O4397" s="587"/>
      <c r="P4397" s="586"/>
      <c r="Q4397" s="586">
        <f>ROUND(M4397*2.14%,0)</f>
        <v>23817</v>
      </c>
      <c r="R4397" s="582">
        <f>M4397/G4397</f>
        <v>1731.6601836004356</v>
      </c>
      <c r="S4397" s="592"/>
      <c r="T4397" s="738">
        <f t="shared" si="683"/>
        <v>0</v>
      </c>
      <c r="U4397" s="589"/>
      <c r="V4397" s="592"/>
      <c r="W4397" s="592"/>
      <c r="X4397" s="592"/>
      <c r="Y4397" s="592"/>
      <c r="Z4397" s="592"/>
    </row>
    <row r="4398" spans="1:215" s="28" customFormat="1" hidden="1">
      <c r="A4398" s="1349" t="s">
        <v>47</v>
      </c>
      <c r="B4398" s="1349"/>
      <c r="C4398" s="593" t="s">
        <v>28</v>
      </c>
      <c r="D4398" s="646">
        <f>SUM(D4397:D4397)</f>
        <v>1873.8000000000002</v>
      </c>
      <c r="E4398" s="646">
        <f>SUM(E4397:E4397)</f>
        <v>624.6</v>
      </c>
      <c r="F4398" s="646" t="s">
        <v>28</v>
      </c>
      <c r="G4398" s="646">
        <f>SUM(G4397:G4397)</f>
        <v>642.70000000000005</v>
      </c>
      <c r="H4398" s="582" t="s">
        <v>28</v>
      </c>
      <c r="I4398" s="582" t="s">
        <v>28</v>
      </c>
      <c r="J4398" s="582">
        <f>SUM(J4397)</f>
        <v>13</v>
      </c>
      <c r="K4398" s="590" t="s">
        <v>28</v>
      </c>
      <c r="L4398" s="584">
        <f>SUM(L4397:L4397)</f>
        <v>1164578</v>
      </c>
      <c r="M4398" s="585">
        <f>SUM(M4397:M4397)</f>
        <v>1112938</v>
      </c>
      <c r="N4398" s="586">
        <f>SUM(N4397:N4397)</f>
        <v>27823</v>
      </c>
      <c r="O4398" s="587"/>
      <c r="P4398" s="586"/>
      <c r="Q4398" s="586">
        <f>SUM(Q4397:Q4397)</f>
        <v>23817</v>
      </c>
      <c r="R4398" s="582" t="s">
        <v>28</v>
      </c>
      <c r="S4398" s="592"/>
      <c r="T4398" s="738">
        <f t="shared" si="683"/>
        <v>0</v>
      </c>
      <c r="U4398" s="591"/>
      <c r="V4398" s="592"/>
      <c r="W4398" s="592"/>
      <c r="X4398" s="592"/>
      <c r="Y4398" s="592"/>
      <c r="Z4398" s="592"/>
    </row>
    <row r="4399" spans="1:215" s="28" customFormat="1" hidden="1">
      <c r="A4399" s="1347" t="s">
        <v>48</v>
      </c>
      <c r="B4399" s="1347"/>
      <c r="C4399" s="1347"/>
      <c r="D4399" s="1347"/>
      <c r="E4399" s="1347"/>
      <c r="F4399" s="1347"/>
      <c r="G4399" s="1347"/>
      <c r="H4399" s="1347"/>
      <c r="I4399" s="1347"/>
      <c r="J4399" s="1347"/>
      <c r="K4399" s="1347"/>
      <c r="L4399" s="1347"/>
      <c r="M4399" s="1347"/>
      <c r="N4399" s="1347"/>
      <c r="O4399" s="1347"/>
      <c r="P4399" s="1347"/>
      <c r="Q4399" s="1347"/>
      <c r="R4399" s="590"/>
      <c r="S4399" s="592"/>
      <c r="T4399" s="738">
        <f t="shared" si="683"/>
        <v>0</v>
      </c>
      <c r="U4399" s="591"/>
      <c r="V4399" s="592"/>
      <c r="W4399" s="592"/>
      <c r="X4399" s="592"/>
      <c r="Y4399" s="592"/>
      <c r="Z4399" s="592"/>
    </row>
    <row r="4400" spans="1:215" s="89" customFormat="1" hidden="1">
      <c r="A4400" s="590">
        <v>1</v>
      </c>
      <c r="B4400" s="592" t="s">
        <v>4309</v>
      </c>
      <c r="C4400" s="593" t="s">
        <v>221</v>
      </c>
      <c r="D4400" s="646">
        <v>2918.4</v>
      </c>
      <c r="E4400" s="646">
        <v>609.59999999999991</v>
      </c>
      <c r="F4400" s="646" t="s">
        <v>230</v>
      </c>
      <c r="G4400" s="646">
        <v>632.32000000000005</v>
      </c>
      <c r="H4400" s="582">
        <v>2</v>
      </c>
      <c r="I4400" s="582">
        <v>2</v>
      </c>
      <c r="J4400" s="582">
        <v>8</v>
      </c>
      <c r="K4400" s="590" t="s">
        <v>226</v>
      </c>
      <c r="L4400" s="584">
        <f>M4400+N4400+O4400+P4400+Q4400</f>
        <v>2211262.9999999995</v>
      </c>
      <c r="M4400" s="585">
        <v>2133599.9999999995</v>
      </c>
      <c r="N4400" s="586">
        <v>32003.999999999993</v>
      </c>
      <c r="O4400" s="587"/>
      <c r="P4400" s="586"/>
      <c r="Q4400" s="586">
        <v>45659</v>
      </c>
      <c r="R4400" s="582">
        <f>M4400/E4400</f>
        <v>3499.9999999999995</v>
      </c>
      <c r="S4400" s="591"/>
      <c r="T4400" s="738">
        <f t="shared" si="683"/>
        <v>0</v>
      </c>
      <c r="U4400" s="591"/>
      <c r="V4400" s="592"/>
      <c r="W4400" s="592"/>
      <c r="X4400" s="592"/>
      <c r="Y4400" s="592"/>
      <c r="Z4400" s="592"/>
    </row>
    <row r="4401" spans="1:26" s="89" customFormat="1" hidden="1">
      <c r="A4401" s="590">
        <v>2</v>
      </c>
      <c r="B4401" s="592" t="s">
        <v>922</v>
      </c>
      <c r="C4401" s="593" t="s">
        <v>221</v>
      </c>
      <c r="D4401" s="646">
        <v>2955</v>
      </c>
      <c r="E4401" s="646">
        <v>611</v>
      </c>
      <c r="F4401" s="646" t="s">
        <v>228</v>
      </c>
      <c r="G4401" s="646">
        <v>509.44</v>
      </c>
      <c r="H4401" s="582">
        <v>2</v>
      </c>
      <c r="I4401" s="582">
        <v>2</v>
      </c>
      <c r="J4401" s="582">
        <v>19</v>
      </c>
      <c r="K4401" s="590" t="s">
        <v>245</v>
      </c>
      <c r="L4401" s="584">
        <f>M4401+N4401+O4401+P4401+Q4401</f>
        <v>389272</v>
      </c>
      <c r="M4401" s="585">
        <v>380000</v>
      </c>
      <c r="N4401" s="586"/>
      <c r="O4401" s="587">
        <v>1140</v>
      </c>
      <c r="P4401" s="586"/>
      <c r="Q4401" s="586">
        <v>8132</v>
      </c>
      <c r="R4401" s="599">
        <f>M4401/J4401</f>
        <v>20000</v>
      </c>
      <c r="S4401" s="591"/>
      <c r="T4401" s="738">
        <f t="shared" si="683"/>
        <v>0</v>
      </c>
      <c r="U4401" s="591"/>
      <c r="V4401" s="592"/>
      <c r="W4401" s="592"/>
      <c r="X4401" s="592"/>
      <c r="Y4401" s="592"/>
      <c r="Z4401" s="592"/>
    </row>
    <row r="4402" spans="1:26" s="28" customFormat="1" hidden="1">
      <c r="A4402" s="1349" t="s">
        <v>119</v>
      </c>
      <c r="B4402" s="1349"/>
      <c r="C4402" s="593" t="s">
        <v>28</v>
      </c>
      <c r="D4402" s="646">
        <f>SUM(D4400:D4401)</f>
        <v>5873.4</v>
      </c>
      <c r="E4402" s="646">
        <f>SUM(E4400:E4401)</f>
        <v>1220.5999999999999</v>
      </c>
      <c r="F4402" s="646" t="s">
        <v>28</v>
      </c>
      <c r="G4402" s="646">
        <f>SUM(G4400:G4401)</f>
        <v>1141.76</v>
      </c>
      <c r="H4402" s="582" t="s">
        <v>28</v>
      </c>
      <c r="I4402" s="582" t="s">
        <v>28</v>
      </c>
      <c r="J4402" s="646">
        <f>SUM(J4400:J4401)</f>
        <v>27</v>
      </c>
      <c r="K4402" s="590" t="s">
        <v>28</v>
      </c>
      <c r="L4402" s="585">
        <f t="shared" ref="L4402:Q4402" si="684">SUM(L4400:L4401)</f>
        <v>2600534.9999999995</v>
      </c>
      <c r="M4402" s="585">
        <f t="shared" si="684"/>
        <v>2513599.9999999995</v>
      </c>
      <c r="N4402" s="586">
        <f t="shared" si="684"/>
        <v>32003.999999999993</v>
      </c>
      <c r="O4402" s="587">
        <f t="shared" si="684"/>
        <v>1140</v>
      </c>
      <c r="P4402" s="586">
        <f t="shared" si="684"/>
        <v>0</v>
      </c>
      <c r="Q4402" s="586">
        <f t="shared" si="684"/>
        <v>53791</v>
      </c>
      <c r="R4402" s="582" t="s">
        <v>28</v>
      </c>
      <c r="S4402" s="592"/>
      <c r="T4402" s="738">
        <f t="shared" si="683"/>
        <v>0</v>
      </c>
      <c r="U4402" s="591"/>
      <c r="V4402" s="592"/>
      <c r="W4402" s="592"/>
      <c r="X4402" s="592"/>
      <c r="Y4402" s="592"/>
      <c r="Z4402" s="592"/>
    </row>
    <row r="4403" spans="1:26" s="28" customFormat="1" hidden="1">
      <c r="A4403" s="1347" t="s">
        <v>49</v>
      </c>
      <c r="B4403" s="1347"/>
      <c r="C4403" s="1347"/>
      <c r="D4403" s="1347"/>
      <c r="E4403" s="1347"/>
      <c r="F4403" s="1347"/>
      <c r="G4403" s="1347"/>
      <c r="H4403" s="1347"/>
      <c r="I4403" s="1347"/>
      <c r="J4403" s="1347"/>
      <c r="K4403" s="1347"/>
      <c r="L4403" s="1347"/>
      <c r="M4403" s="1347"/>
      <c r="N4403" s="1347"/>
      <c r="O4403" s="1347"/>
      <c r="P4403" s="1347"/>
      <c r="Q4403" s="1347"/>
      <c r="R4403" s="590"/>
      <c r="S4403" s="592"/>
      <c r="T4403" s="738">
        <f t="shared" si="683"/>
        <v>0</v>
      </c>
      <c r="U4403" s="591"/>
      <c r="V4403" s="592"/>
      <c r="W4403" s="592"/>
      <c r="X4403" s="592"/>
      <c r="Y4403" s="592"/>
      <c r="Z4403" s="592"/>
    </row>
    <row r="4404" spans="1:26" s="28" customFormat="1" ht="56.25" hidden="1">
      <c r="A4404" s="679">
        <v>1</v>
      </c>
      <c r="B4404" s="592" t="s">
        <v>3440</v>
      </c>
      <c r="C4404" s="593" t="s">
        <v>239</v>
      </c>
      <c r="D4404" s="789">
        <v>1739</v>
      </c>
      <c r="E4404" s="789">
        <v>658.7</v>
      </c>
      <c r="F4404" s="593" t="s">
        <v>222</v>
      </c>
      <c r="G4404" s="789">
        <v>690</v>
      </c>
      <c r="H4404" s="582">
        <v>2</v>
      </c>
      <c r="I4404" s="582">
        <v>2</v>
      </c>
      <c r="J4404" s="744">
        <v>8</v>
      </c>
      <c r="K4404" s="590" t="s">
        <v>248</v>
      </c>
      <c r="L4404" s="584">
        <f>M4404+N4404+O4404+Q4404</f>
        <v>2288371</v>
      </c>
      <c r="M4404" s="585">
        <f>G4404*3200</f>
        <v>2208000</v>
      </c>
      <c r="N4404" s="586">
        <f>M4404*0.015</f>
        <v>33120</v>
      </c>
      <c r="O4404" s="587"/>
      <c r="P4404" s="586"/>
      <c r="Q4404" s="586">
        <f t="shared" ref="Q4404:Q4411" si="685">ROUND(M4404*2.14%,0)</f>
        <v>47251</v>
      </c>
      <c r="R4404" s="582">
        <f>M4404/G4404</f>
        <v>3200</v>
      </c>
      <c r="S4404" s="592"/>
      <c r="T4404" s="738">
        <f t="shared" si="683"/>
        <v>0</v>
      </c>
      <c r="U4404" s="793"/>
      <c r="V4404" s="590"/>
      <c r="W4404" s="592"/>
      <c r="X4404" s="592"/>
      <c r="Y4404" s="592"/>
      <c r="Z4404" s="592"/>
    </row>
    <row r="4405" spans="1:26" s="28" customFormat="1" ht="37.5" hidden="1">
      <c r="A4405" s="679">
        <f t="shared" ref="A4405:A4411" si="686">A4404+1</f>
        <v>2</v>
      </c>
      <c r="B4405" s="592" t="s">
        <v>3441</v>
      </c>
      <c r="C4405" s="593" t="s">
        <v>221</v>
      </c>
      <c r="D4405" s="789">
        <v>3974</v>
      </c>
      <c r="E4405" s="789">
        <v>994</v>
      </c>
      <c r="F4405" s="593" t="s">
        <v>223</v>
      </c>
      <c r="G4405" s="789">
        <v>596</v>
      </c>
      <c r="H4405" s="582">
        <v>3</v>
      </c>
      <c r="I4405" s="582">
        <v>2</v>
      </c>
      <c r="J4405" s="744">
        <v>20</v>
      </c>
      <c r="K4405" s="590" t="s">
        <v>247</v>
      </c>
      <c r="L4405" s="584">
        <f>M4405+N4405+O4405+Q4405</f>
        <v>1404247</v>
      </c>
      <c r="M4405" s="585">
        <f>G4405*2300</f>
        <v>1370800</v>
      </c>
      <c r="N4405" s="586"/>
      <c r="O4405" s="736">
        <f>ROUND(M4405*0.3%,0)</f>
        <v>4112</v>
      </c>
      <c r="P4405" s="742"/>
      <c r="Q4405" s="586">
        <f t="shared" si="685"/>
        <v>29335</v>
      </c>
      <c r="R4405" s="582">
        <f>M4405/G4405</f>
        <v>2300</v>
      </c>
      <c r="S4405" s="592"/>
      <c r="T4405" s="738">
        <f t="shared" si="683"/>
        <v>0</v>
      </c>
      <c r="U4405" s="793"/>
      <c r="V4405" s="590"/>
      <c r="W4405" s="592"/>
      <c r="X4405" s="592"/>
      <c r="Y4405" s="592"/>
      <c r="Z4405" s="592"/>
    </row>
    <row r="4406" spans="1:26" s="28" customFormat="1" ht="37.5" hidden="1">
      <c r="A4406" s="679">
        <f t="shared" si="686"/>
        <v>3</v>
      </c>
      <c r="B4406" s="592" t="s">
        <v>3442</v>
      </c>
      <c r="C4406" s="593" t="s">
        <v>221</v>
      </c>
      <c r="D4406" s="789">
        <v>2079</v>
      </c>
      <c r="E4406" s="789">
        <v>525.29999999999995</v>
      </c>
      <c r="F4406" s="593" t="s">
        <v>223</v>
      </c>
      <c r="G4406" s="789">
        <v>396</v>
      </c>
      <c r="H4406" s="582">
        <v>3</v>
      </c>
      <c r="I4406" s="582">
        <v>1</v>
      </c>
      <c r="J4406" s="744">
        <v>42</v>
      </c>
      <c r="K4406" s="794" t="s">
        <v>421</v>
      </c>
      <c r="L4406" s="584">
        <f>M4406+N4406+O4406+P4406+Q4406</f>
        <v>946546</v>
      </c>
      <c r="M4406" s="585">
        <f>J4406*22000</f>
        <v>924000</v>
      </c>
      <c r="N4406" s="586"/>
      <c r="O4406" s="736">
        <f>ROUND(M4406*0.3%,0)</f>
        <v>2772</v>
      </c>
      <c r="P4406" s="586"/>
      <c r="Q4406" s="586">
        <f t="shared" si="685"/>
        <v>19774</v>
      </c>
      <c r="R4406" s="582">
        <f>M4406/J4406</f>
        <v>22000</v>
      </c>
      <c r="S4406" s="592"/>
      <c r="T4406" s="738">
        <f t="shared" si="683"/>
        <v>0</v>
      </c>
      <c r="U4406" s="589"/>
      <c r="V4406" s="590"/>
      <c r="W4406" s="592"/>
      <c r="X4406" s="592"/>
      <c r="Y4406" s="592"/>
      <c r="Z4406" s="592"/>
    </row>
    <row r="4407" spans="1:26" s="246" customFormat="1" ht="37.5" hidden="1">
      <c r="A4407" s="679">
        <f t="shared" si="686"/>
        <v>4</v>
      </c>
      <c r="B4407" s="592" t="s">
        <v>4138</v>
      </c>
      <c r="C4407" s="593" t="s">
        <v>221</v>
      </c>
      <c r="D4407" s="646">
        <v>20995</v>
      </c>
      <c r="E4407" s="646">
        <v>3127.8</v>
      </c>
      <c r="F4407" s="593" t="s">
        <v>223</v>
      </c>
      <c r="G4407" s="646">
        <v>1403.2</v>
      </c>
      <c r="H4407" s="582">
        <v>5</v>
      </c>
      <c r="I4407" s="582">
        <v>6</v>
      </c>
      <c r="J4407" s="582">
        <v>105</v>
      </c>
      <c r="K4407" s="590" t="s">
        <v>247</v>
      </c>
      <c r="L4407" s="584">
        <f>M4407+N4407+O4407+Q4407</f>
        <v>3306108</v>
      </c>
      <c r="M4407" s="585">
        <f>G4407*2300</f>
        <v>3227360</v>
      </c>
      <c r="N4407" s="586"/>
      <c r="O4407" s="736">
        <f>ROUND(M4407*0.3%,0)</f>
        <v>9682</v>
      </c>
      <c r="P4407" s="586"/>
      <c r="Q4407" s="586">
        <f t="shared" si="685"/>
        <v>69066</v>
      </c>
      <c r="R4407" s="582">
        <f>M4407/G4407</f>
        <v>2300</v>
      </c>
      <c r="S4407" s="591"/>
      <c r="T4407" s="592"/>
      <c r="U4407" s="793"/>
      <c r="V4407" s="588"/>
      <c r="W4407" s="591"/>
      <c r="X4407" s="591"/>
      <c r="Y4407" s="591"/>
      <c r="Z4407" s="591"/>
    </row>
    <row r="4408" spans="1:26" ht="56.25" hidden="1">
      <c r="A4408" s="679">
        <f t="shared" si="686"/>
        <v>5</v>
      </c>
      <c r="B4408" s="788" t="s">
        <v>4139</v>
      </c>
      <c r="C4408" s="593" t="s">
        <v>221</v>
      </c>
      <c r="D4408" s="646">
        <v>2457</v>
      </c>
      <c r="E4408" s="646">
        <v>596</v>
      </c>
      <c r="F4408" s="593" t="s">
        <v>222</v>
      </c>
      <c r="G4408" s="646">
        <v>647.29999999999995</v>
      </c>
      <c r="H4408" s="582">
        <v>2</v>
      </c>
      <c r="I4408" s="582">
        <v>2</v>
      </c>
      <c r="J4408" s="582">
        <v>8</v>
      </c>
      <c r="K4408" s="590" t="s">
        <v>248</v>
      </c>
      <c r="L4408" s="584">
        <f>M4408+N4408+O4408+Q4408</f>
        <v>2146757</v>
      </c>
      <c r="M4408" s="585">
        <f>G4408*3200</f>
        <v>2071359.9999999998</v>
      </c>
      <c r="N4408" s="586">
        <v>31070</v>
      </c>
      <c r="O4408" s="587"/>
      <c r="P4408" s="586"/>
      <c r="Q4408" s="586">
        <f t="shared" si="685"/>
        <v>44327</v>
      </c>
      <c r="R4408" s="582">
        <f>M4408/G4408</f>
        <v>3200</v>
      </c>
      <c r="S4408" s="560"/>
      <c r="T4408" s="738">
        <f t="shared" ref="T4408:T4439" si="687">L4408-M4408-N4408-O4408-Q4408</f>
        <v>2.3283064365386963E-10</v>
      </c>
      <c r="U4408" s="589"/>
      <c r="V4408" s="590"/>
    </row>
    <row r="4409" spans="1:26" s="28" customFormat="1" ht="37.5" hidden="1">
      <c r="A4409" s="679">
        <f t="shared" si="686"/>
        <v>6</v>
      </c>
      <c r="B4409" s="788" t="s">
        <v>4140</v>
      </c>
      <c r="C4409" s="593" t="s">
        <v>221</v>
      </c>
      <c r="D4409" s="789">
        <v>1996</v>
      </c>
      <c r="E4409" s="789">
        <v>514.5</v>
      </c>
      <c r="F4409" s="593" t="s">
        <v>222</v>
      </c>
      <c r="G4409" s="789">
        <v>681</v>
      </c>
      <c r="H4409" s="744">
        <v>2</v>
      </c>
      <c r="I4409" s="744">
        <v>2</v>
      </c>
      <c r="J4409" s="744">
        <v>8</v>
      </c>
      <c r="K4409" s="794" t="s">
        <v>421</v>
      </c>
      <c r="L4409" s="584">
        <f>M4409+N4409+O4409+Q4409</f>
        <v>180294</v>
      </c>
      <c r="M4409" s="585">
        <f>J4409*22000</f>
        <v>176000</v>
      </c>
      <c r="N4409" s="586"/>
      <c r="O4409" s="736">
        <f>ROUND(M4409*0.3%,0)</f>
        <v>528</v>
      </c>
      <c r="P4409" s="586"/>
      <c r="Q4409" s="586">
        <f t="shared" si="685"/>
        <v>3766</v>
      </c>
      <c r="R4409" s="582">
        <f>M4409/J4409</f>
        <v>22000</v>
      </c>
      <c r="S4409" s="592"/>
      <c r="T4409" s="738">
        <f t="shared" si="687"/>
        <v>0</v>
      </c>
      <c r="U4409" s="589"/>
      <c r="V4409" s="590"/>
      <c r="W4409" s="592"/>
      <c r="X4409" s="592"/>
      <c r="Y4409" s="592"/>
      <c r="Z4409" s="592"/>
    </row>
    <row r="4410" spans="1:26" s="246" customFormat="1" ht="37.5" hidden="1">
      <c r="A4410" s="679">
        <f t="shared" si="686"/>
        <v>7</v>
      </c>
      <c r="B4410" s="592" t="s">
        <v>4141</v>
      </c>
      <c r="C4410" s="593" t="s">
        <v>221</v>
      </c>
      <c r="D4410" s="646">
        <v>2731.7</v>
      </c>
      <c r="E4410" s="586">
        <v>582.6</v>
      </c>
      <c r="F4410" s="593" t="s">
        <v>222</v>
      </c>
      <c r="G4410" s="920">
        <v>662.5</v>
      </c>
      <c r="H4410" s="593">
        <v>2</v>
      </c>
      <c r="I4410" s="593">
        <v>2</v>
      </c>
      <c r="J4410" s="593">
        <v>16</v>
      </c>
      <c r="K4410" s="794" t="s">
        <v>421</v>
      </c>
      <c r="L4410" s="584">
        <f>M4410+N4410+O4410+Q4410</f>
        <v>360589</v>
      </c>
      <c r="M4410" s="585">
        <f>J4410*22000</f>
        <v>352000</v>
      </c>
      <c r="N4410" s="586"/>
      <c r="O4410" s="736">
        <f>ROUND(M4410*0.3%,0)</f>
        <v>1056</v>
      </c>
      <c r="P4410" s="586"/>
      <c r="Q4410" s="586">
        <f t="shared" si="685"/>
        <v>7533</v>
      </c>
      <c r="R4410" s="582">
        <f>M4410/J4410</f>
        <v>22000</v>
      </c>
      <c r="S4410" s="591"/>
      <c r="T4410" s="738">
        <f t="shared" si="687"/>
        <v>0</v>
      </c>
      <c r="U4410" s="557"/>
      <c r="V4410" s="588"/>
      <c r="W4410" s="591"/>
      <c r="X4410" s="591"/>
      <c r="Y4410" s="591"/>
      <c r="Z4410" s="591"/>
    </row>
    <row r="4411" spans="1:26" s="28" customFormat="1" ht="37.5" hidden="1">
      <c r="A4411" s="679">
        <f t="shared" si="686"/>
        <v>8</v>
      </c>
      <c r="B4411" s="788" t="s">
        <v>4142</v>
      </c>
      <c r="C4411" s="593" t="s">
        <v>221</v>
      </c>
      <c r="D4411" s="646">
        <v>11602</v>
      </c>
      <c r="E4411" s="646">
        <v>2160</v>
      </c>
      <c r="F4411" s="593" t="s">
        <v>223</v>
      </c>
      <c r="G4411" s="646">
        <v>952</v>
      </c>
      <c r="H4411" s="582">
        <v>5</v>
      </c>
      <c r="I4411" s="582">
        <v>1</v>
      </c>
      <c r="J4411" s="582">
        <v>70</v>
      </c>
      <c r="K4411" s="590" t="s">
        <v>247</v>
      </c>
      <c r="L4411" s="584">
        <f>M4411+N4411+O4411+Q4411</f>
        <v>3120732</v>
      </c>
      <c r="M4411" s="585">
        <f>G4411*3200</f>
        <v>3046400</v>
      </c>
      <c r="N4411" s="586"/>
      <c r="O4411" s="736">
        <f>ROUND(M4411*0.3%,0)</f>
        <v>9139</v>
      </c>
      <c r="P4411" s="742"/>
      <c r="Q4411" s="586">
        <f t="shared" si="685"/>
        <v>65193</v>
      </c>
      <c r="R4411" s="582">
        <f>M4411/G4411</f>
        <v>3200</v>
      </c>
      <c r="S4411" s="592"/>
      <c r="T4411" s="738">
        <f t="shared" si="687"/>
        <v>0</v>
      </c>
      <c r="U4411" s="557"/>
      <c r="V4411" s="590"/>
      <c r="W4411" s="592"/>
      <c r="X4411" s="592"/>
      <c r="Y4411" s="592"/>
      <c r="Z4411" s="592"/>
    </row>
    <row r="4412" spans="1:26" s="553" customFormat="1" hidden="1">
      <c r="A4412" s="1361" t="s">
        <v>50</v>
      </c>
      <c r="B4412" s="1361"/>
      <c r="C4412" s="602" t="s">
        <v>277</v>
      </c>
      <c r="D4412" s="646">
        <f>SUM(D4404:D4411)</f>
        <v>47573.7</v>
      </c>
      <c r="E4412" s="646">
        <f>SUM(E4404:E4411)</f>
        <v>9158.9000000000015</v>
      </c>
      <c r="F4412" s="646" t="s">
        <v>277</v>
      </c>
      <c r="G4412" s="646">
        <f>SUM(G4404:G4411)</f>
        <v>6028</v>
      </c>
      <c r="H4412" s="582" t="s">
        <v>277</v>
      </c>
      <c r="I4412" s="582" t="s">
        <v>277</v>
      </c>
      <c r="J4412" s="582">
        <f>SUM(J4404:J4411)</f>
        <v>277</v>
      </c>
      <c r="K4412" s="590" t="s">
        <v>28</v>
      </c>
      <c r="L4412" s="584">
        <f>SUM(L4404:L4411)</f>
        <v>13753644</v>
      </c>
      <c r="M4412" s="585">
        <f>SUM(M4404:M4411)</f>
        <v>13375920</v>
      </c>
      <c r="N4412" s="586">
        <f>SUM(N4404:N4411)</f>
        <v>64190</v>
      </c>
      <c r="O4412" s="587">
        <f>SUM(O4404:O4411)</f>
        <v>27289</v>
      </c>
      <c r="P4412" s="586"/>
      <c r="Q4412" s="586">
        <f>SUM(Q4404:Q4411)</f>
        <v>286245</v>
      </c>
      <c r="R4412" s="582" t="s">
        <v>28</v>
      </c>
      <c r="S4412" s="1263"/>
      <c r="T4412" s="738">
        <f t="shared" si="687"/>
        <v>0</v>
      </c>
      <c r="U4412" s="1264"/>
      <c r="V4412" s="1263"/>
      <c r="W4412" s="1263"/>
      <c r="X4412" s="1263"/>
      <c r="Y4412" s="1263"/>
      <c r="Z4412" s="1263"/>
    </row>
    <row r="4413" spans="1:26" s="28" customFormat="1" hidden="1">
      <c r="A4413" s="1347" t="s">
        <v>51</v>
      </c>
      <c r="B4413" s="1347"/>
      <c r="C4413" s="1347"/>
      <c r="D4413" s="1347"/>
      <c r="E4413" s="1347"/>
      <c r="F4413" s="1347"/>
      <c r="G4413" s="1347"/>
      <c r="H4413" s="1347"/>
      <c r="I4413" s="1347"/>
      <c r="J4413" s="1347"/>
      <c r="K4413" s="1347"/>
      <c r="L4413" s="1347"/>
      <c r="M4413" s="1347"/>
      <c r="N4413" s="1347"/>
      <c r="O4413" s="1347"/>
      <c r="P4413" s="1347"/>
      <c r="Q4413" s="1347"/>
      <c r="R4413" s="590"/>
      <c r="S4413" s="592"/>
      <c r="T4413" s="738">
        <f t="shared" si="687"/>
        <v>0</v>
      </c>
      <c r="U4413" s="591"/>
      <c r="V4413" s="592"/>
      <c r="W4413" s="592"/>
      <c r="X4413" s="592"/>
      <c r="Y4413" s="592"/>
      <c r="Z4413" s="592"/>
    </row>
    <row r="4414" spans="1:26" s="544" customFormat="1" hidden="1">
      <c r="A4414" s="606">
        <v>1</v>
      </c>
      <c r="B4414" s="581" t="s">
        <v>3443</v>
      </c>
      <c r="C4414" s="593" t="s">
        <v>221</v>
      </c>
      <c r="D4414" s="646">
        <v>1686</v>
      </c>
      <c r="E4414" s="646">
        <v>497</v>
      </c>
      <c r="F4414" s="646" t="s">
        <v>228</v>
      </c>
      <c r="G4414" s="646">
        <v>497</v>
      </c>
      <c r="H4414" s="582">
        <v>2</v>
      </c>
      <c r="I4414" s="582">
        <v>2</v>
      </c>
      <c r="J4414" s="582">
        <v>12</v>
      </c>
      <c r="K4414" s="590" t="s">
        <v>268</v>
      </c>
      <c r="L4414" s="584">
        <f>M4414+N4414+O4414+P4414+Q4414</f>
        <v>245856</v>
      </c>
      <c r="M4414" s="585">
        <f>J4414*20000</f>
        <v>240000</v>
      </c>
      <c r="N4414" s="586"/>
      <c r="O4414" s="587">
        <f>M4414*0.003</f>
        <v>720</v>
      </c>
      <c r="P4414" s="586"/>
      <c r="Q4414" s="586">
        <f>ROUND(M4414*2.14%,0)</f>
        <v>5136</v>
      </c>
      <c r="R4414" s="582">
        <f>M4414/J4414</f>
        <v>20000</v>
      </c>
      <c r="S4414" s="1072"/>
      <c r="T4414" s="738">
        <f t="shared" si="687"/>
        <v>0</v>
      </c>
      <c r="U4414" s="1072"/>
      <c r="V4414" s="1072"/>
      <c r="W4414" s="1072"/>
      <c r="X4414" s="1072"/>
      <c r="Y4414" s="1072"/>
      <c r="Z4414" s="1072"/>
    </row>
    <row r="4415" spans="1:26" s="28" customFormat="1" hidden="1">
      <c r="A4415" s="606">
        <v>2</v>
      </c>
      <c r="B4415" s="581" t="s">
        <v>3444</v>
      </c>
      <c r="C4415" s="593" t="s">
        <v>239</v>
      </c>
      <c r="D4415" s="646">
        <v>2154</v>
      </c>
      <c r="E4415" s="646">
        <v>591</v>
      </c>
      <c r="F4415" s="646" t="s">
        <v>222</v>
      </c>
      <c r="G4415" s="646">
        <v>589</v>
      </c>
      <c r="H4415" s="582">
        <v>2</v>
      </c>
      <c r="I4415" s="582">
        <v>2</v>
      </c>
      <c r="J4415" s="582">
        <v>16</v>
      </c>
      <c r="K4415" s="590" t="s">
        <v>268</v>
      </c>
      <c r="L4415" s="584">
        <f>M4415+N4415+O4415+P4415+Q4415</f>
        <v>327808</v>
      </c>
      <c r="M4415" s="585">
        <f>J4415*20000</f>
        <v>320000</v>
      </c>
      <c r="N4415" s="586"/>
      <c r="O4415" s="587">
        <f>M4415*0.003</f>
        <v>960</v>
      </c>
      <c r="P4415" s="586"/>
      <c r="Q4415" s="586">
        <f>ROUND(M4415*2.14%,0)</f>
        <v>6848</v>
      </c>
      <c r="R4415" s="582">
        <f>M4415/J4415</f>
        <v>20000</v>
      </c>
      <c r="S4415" s="592"/>
      <c r="T4415" s="738">
        <f t="shared" si="687"/>
        <v>0</v>
      </c>
      <c r="U4415" s="589"/>
      <c r="V4415" s="592"/>
      <c r="W4415" s="592"/>
      <c r="X4415" s="592"/>
      <c r="Y4415" s="592"/>
      <c r="Z4415" s="592"/>
    </row>
    <row r="4416" spans="1:26" s="90" customFormat="1" hidden="1">
      <c r="A4416" s="606">
        <f>A4415+1</f>
        <v>3</v>
      </c>
      <c r="B4416" s="592" t="s">
        <v>3445</v>
      </c>
      <c r="C4416" s="593" t="s">
        <v>229</v>
      </c>
      <c r="D4416" s="646">
        <v>1236</v>
      </c>
      <c r="E4416" s="646">
        <v>378</v>
      </c>
      <c r="F4416" s="646" t="s">
        <v>228</v>
      </c>
      <c r="G4416" s="646">
        <v>285</v>
      </c>
      <c r="H4416" s="582">
        <v>2</v>
      </c>
      <c r="I4416" s="582">
        <v>2</v>
      </c>
      <c r="J4416" s="582">
        <v>8</v>
      </c>
      <c r="K4416" s="590" t="s">
        <v>268</v>
      </c>
      <c r="L4416" s="584">
        <f>M4416+N4416+O4416+P4416+Q4416</f>
        <v>163904</v>
      </c>
      <c r="M4416" s="596">
        <f>J4416*20000</f>
        <v>160000</v>
      </c>
      <c r="N4416" s="597"/>
      <c r="O4416" s="587">
        <f>M4416*0.003</f>
        <v>480</v>
      </c>
      <c r="P4416" s="597"/>
      <c r="Q4416" s="586">
        <f>ROUND(M4416*2.14%,0)</f>
        <v>3424</v>
      </c>
      <c r="R4416" s="582">
        <f>M4416/J4416</f>
        <v>20000</v>
      </c>
      <c r="S4416" s="748"/>
      <c r="T4416" s="738">
        <f t="shared" si="687"/>
        <v>0</v>
      </c>
      <c r="U4416" s="737"/>
      <c r="V4416" s="748"/>
      <c r="W4416" s="748"/>
      <c r="X4416" s="748"/>
      <c r="Y4416" s="748"/>
      <c r="Z4416" s="748"/>
    </row>
    <row r="4417" spans="1:26" s="90" customFormat="1" hidden="1">
      <c r="A4417" s="606">
        <f>A4416+1</f>
        <v>4</v>
      </c>
      <c r="B4417" s="581" t="s">
        <v>3446</v>
      </c>
      <c r="C4417" s="593" t="s">
        <v>229</v>
      </c>
      <c r="D4417" s="646">
        <v>1208</v>
      </c>
      <c r="E4417" s="646">
        <v>368</v>
      </c>
      <c r="F4417" s="646" t="s">
        <v>228</v>
      </c>
      <c r="G4417" s="646">
        <v>293</v>
      </c>
      <c r="H4417" s="582">
        <v>2</v>
      </c>
      <c r="I4417" s="582">
        <v>2</v>
      </c>
      <c r="J4417" s="582">
        <v>8</v>
      </c>
      <c r="K4417" s="590" t="s">
        <v>268</v>
      </c>
      <c r="L4417" s="584">
        <f>M4417+N4417+O4417+P4417+Q4417</f>
        <v>163904</v>
      </c>
      <c r="M4417" s="596">
        <f>J4417*20000</f>
        <v>160000</v>
      </c>
      <c r="N4417" s="597"/>
      <c r="O4417" s="587">
        <f>M4417*0.003</f>
        <v>480</v>
      </c>
      <c r="P4417" s="597"/>
      <c r="Q4417" s="586">
        <f>ROUND(M4417*2.14%,0)</f>
        <v>3424</v>
      </c>
      <c r="R4417" s="582">
        <f>M4417/J4417</f>
        <v>20000</v>
      </c>
      <c r="S4417" s="748"/>
      <c r="T4417" s="738">
        <f t="shared" si="687"/>
        <v>0</v>
      </c>
      <c r="U4417" s="737"/>
      <c r="V4417" s="748"/>
      <c r="W4417" s="748"/>
      <c r="X4417" s="748"/>
      <c r="Y4417" s="748"/>
      <c r="Z4417" s="748"/>
    </row>
    <row r="4418" spans="1:26" s="28" customFormat="1" hidden="1">
      <c r="A4418" s="1349" t="s">
        <v>120</v>
      </c>
      <c r="B4418" s="1349"/>
      <c r="C4418" s="602" t="s">
        <v>277</v>
      </c>
      <c r="D4418" s="646">
        <f>SUM(D4414:D4417)</f>
        <v>6284</v>
      </c>
      <c r="E4418" s="646">
        <f>SUM(E4414:E4417)</f>
        <v>1834</v>
      </c>
      <c r="F4418" s="646" t="s">
        <v>28</v>
      </c>
      <c r="G4418" s="646">
        <f>SUM(G4414:G4417)</f>
        <v>1664</v>
      </c>
      <c r="H4418" s="582" t="s">
        <v>28</v>
      </c>
      <c r="I4418" s="582" t="s">
        <v>28</v>
      </c>
      <c r="J4418" s="582">
        <f>SUM(J4414:J4417)</f>
        <v>44</v>
      </c>
      <c r="K4418" s="590" t="s">
        <v>28</v>
      </c>
      <c r="L4418" s="584">
        <f>SUM(L4414:L4417)</f>
        <v>901472</v>
      </c>
      <c r="M4418" s="585">
        <f>SUM(M4414:M4417)</f>
        <v>880000</v>
      </c>
      <c r="N4418" s="586"/>
      <c r="O4418" s="587">
        <f>SUM(O4414:O4417)</f>
        <v>2640</v>
      </c>
      <c r="P4418" s="586"/>
      <c r="Q4418" s="586">
        <f>SUM(Q4414:Q4417)</f>
        <v>18832</v>
      </c>
      <c r="R4418" s="582" t="s">
        <v>28</v>
      </c>
      <c r="S4418" s="592"/>
      <c r="T4418" s="738">
        <f t="shared" si="687"/>
        <v>0</v>
      </c>
      <c r="U4418" s="591"/>
      <c r="V4418" s="592"/>
      <c r="W4418" s="592"/>
      <c r="X4418" s="592"/>
      <c r="Y4418" s="592"/>
      <c r="Z4418" s="592"/>
    </row>
    <row r="4419" spans="1:26" s="28" customFormat="1" hidden="1">
      <c r="A4419" s="1347" t="s">
        <v>52</v>
      </c>
      <c r="B4419" s="1347"/>
      <c r="C4419" s="1347"/>
      <c r="D4419" s="1347"/>
      <c r="E4419" s="1347"/>
      <c r="F4419" s="1347"/>
      <c r="G4419" s="1347"/>
      <c r="H4419" s="1347"/>
      <c r="I4419" s="1347"/>
      <c r="J4419" s="1347"/>
      <c r="K4419" s="1347"/>
      <c r="L4419" s="1347"/>
      <c r="M4419" s="1347"/>
      <c r="N4419" s="1347"/>
      <c r="O4419" s="1347"/>
      <c r="P4419" s="1347"/>
      <c r="Q4419" s="1347"/>
      <c r="R4419" s="590"/>
      <c r="S4419" s="592"/>
      <c r="T4419" s="738">
        <f t="shared" si="687"/>
        <v>0</v>
      </c>
      <c r="U4419" s="591"/>
      <c r="V4419" s="592"/>
      <c r="W4419" s="592"/>
      <c r="X4419" s="592"/>
      <c r="Y4419" s="592"/>
      <c r="Z4419" s="592"/>
    </row>
    <row r="4420" spans="1:26" s="92" customFormat="1" hidden="1">
      <c r="A4420" s="590">
        <v>1</v>
      </c>
      <c r="B4420" s="592" t="s">
        <v>3447</v>
      </c>
      <c r="C4420" s="594" t="s">
        <v>239</v>
      </c>
      <c r="D4420" s="619">
        <v>2743</v>
      </c>
      <c r="E4420" s="619">
        <v>842.7</v>
      </c>
      <c r="F4420" s="646" t="s">
        <v>228</v>
      </c>
      <c r="G4420" s="619">
        <v>661.4</v>
      </c>
      <c r="H4420" s="599">
        <v>2</v>
      </c>
      <c r="I4420" s="599">
        <v>2</v>
      </c>
      <c r="J4420" s="599">
        <v>16</v>
      </c>
      <c r="K4420" s="735" t="s">
        <v>226</v>
      </c>
      <c r="L4420" s="746">
        <f>M4420+N4420+O4420+P4420+Q4420</f>
        <v>3042063</v>
      </c>
      <c r="M4420" s="745">
        <f>E4420*3500</f>
        <v>2949450</v>
      </c>
      <c r="N4420" s="747">
        <v>29495</v>
      </c>
      <c r="O4420" s="743"/>
      <c r="P4420" s="747"/>
      <c r="Q4420" s="586">
        <f>ROUND(M4420*2.14%,0)</f>
        <v>63118</v>
      </c>
      <c r="R4420" s="599">
        <f>M4420/E4420</f>
        <v>3500</v>
      </c>
      <c r="S4420" s="799"/>
      <c r="T4420" s="738">
        <f t="shared" si="687"/>
        <v>0</v>
      </c>
      <c r="U4420" s="800"/>
      <c r="V4420" s="799"/>
      <c r="W4420" s="799"/>
      <c r="X4420" s="799"/>
      <c r="Y4420" s="799"/>
      <c r="Z4420" s="799"/>
    </row>
    <row r="4421" spans="1:26" s="92" customFormat="1" ht="37.5" hidden="1">
      <c r="A4421" s="590">
        <v>2</v>
      </c>
      <c r="B4421" s="592" t="s">
        <v>3448</v>
      </c>
      <c r="C4421" s="593" t="s">
        <v>221</v>
      </c>
      <c r="D4421" s="619">
        <v>4026</v>
      </c>
      <c r="E4421" s="619">
        <v>1069.5999999999999</v>
      </c>
      <c r="F4421" s="805" t="s">
        <v>222</v>
      </c>
      <c r="G4421" s="619">
        <v>950.5</v>
      </c>
      <c r="H4421" s="599">
        <v>2</v>
      </c>
      <c r="I4421" s="599">
        <v>3</v>
      </c>
      <c r="J4421" s="599">
        <v>18</v>
      </c>
      <c r="K4421" s="590" t="s">
        <v>274</v>
      </c>
      <c r="L4421" s="746">
        <f>M4421+N4421+O4421+P4421+Q4421</f>
        <v>2462746</v>
      </c>
      <c r="M4421" s="585">
        <f>G4421*2500</f>
        <v>2376250</v>
      </c>
      <c r="N4421" s="586">
        <v>35644</v>
      </c>
      <c r="O4421" s="587"/>
      <c r="P4421" s="586"/>
      <c r="Q4421" s="586">
        <f>ROUND(M4421*2.14%,0)</f>
        <v>50852</v>
      </c>
      <c r="R4421" s="582">
        <f>M4421/G4421</f>
        <v>2500</v>
      </c>
      <c r="S4421" s="799"/>
      <c r="T4421" s="738">
        <f t="shared" si="687"/>
        <v>0</v>
      </c>
      <c r="U4421" s="800"/>
      <c r="V4421" s="799"/>
      <c r="W4421" s="799"/>
      <c r="X4421" s="799"/>
      <c r="Y4421" s="799"/>
      <c r="Z4421" s="799"/>
    </row>
    <row r="4422" spans="1:26" s="28" customFormat="1" hidden="1">
      <c r="A4422" s="1349" t="s">
        <v>53</v>
      </c>
      <c r="B4422" s="1349"/>
      <c r="C4422" s="593" t="s">
        <v>28</v>
      </c>
      <c r="D4422" s="646">
        <f>SUM(D4420:D4421)</f>
        <v>6769</v>
      </c>
      <c r="E4422" s="646">
        <f>SUM(E4420:E4421)</f>
        <v>1912.3</v>
      </c>
      <c r="F4422" s="646" t="s">
        <v>28</v>
      </c>
      <c r="G4422" s="646">
        <f>SUM(G4420:G4421)</f>
        <v>1611.9</v>
      </c>
      <c r="H4422" s="582" t="s">
        <v>28</v>
      </c>
      <c r="I4422" s="582" t="s">
        <v>28</v>
      </c>
      <c r="J4422" s="582">
        <f>SUM(J4420:J4421)</f>
        <v>34</v>
      </c>
      <c r="K4422" s="590" t="s">
        <v>28</v>
      </c>
      <c r="L4422" s="584">
        <f>SUM(L4420:L4421)</f>
        <v>5504809</v>
      </c>
      <c r="M4422" s="585">
        <f>SUM(M4420:M4421)</f>
        <v>5325700</v>
      </c>
      <c r="N4422" s="586">
        <f>SUM(N4420:N4421)</f>
        <v>65139</v>
      </c>
      <c r="O4422" s="587">
        <f>SUM(O4420:O4421)</f>
        <v>0</v>
      </c>
      <c r="P4422" s="586"/>
      <c r="Q4422" s="586">
        <f>SUM(Q4420:Q4421)</f>
        <v>113970</v>
      </c>
      <c r="R4422" s="582" t="s">
        <v>28</v>
      </c>
      <c r="S4422" s="592"/>
      <c r="T4422" s="738">
        <f t="shared" si="687"/>
        <v>0</v>
      </c>
      <c r="U4422" s="591"/>
      <c r="V4422" s="592"/>
      <c r="W4422" s="592"/>
      <c r="X4422" s="592"/>
      <c r="Y4422" s="592"/>
      <c r="Z4422" s="592"/>
    </row>
    <row r="4423" spans="1:26" s="28" customFormat="1" hidden="1">
      <c r="A4423" s="1347" t="s">
        <v>54</v>
      </c>
      <c r="B4423" s="1347"/>
      <c r="C4423" s="1347"/>
      <c r="D4423" s="1347"/>
      <c r="E4423" s="1347"/>
      <c r="F4423" s="1347"/>
      <c r="G4423" s="1347"/>
      <c r="H4423" s="1347"/>
      <c r="I4423" s="1347"/>
      <c r="J4423" s="1347"/>
      <c r="K4423" s="1347"/>
      <c r="L4423" s="1347"/>
      <c r="M4423" s="1347"/>
      <c r="N4423" s="1347"/>
      <c r="O4423" s="1347"/>
      <c r="P4423" s="1347"/>
      <c r="Q4423" s="1347"/>
      <c r="R4423" s="590"/>
      <c r="S4423" s="592"/>
      <c r="T4423" s="738">
        <f t="shared" si="687"/>
        <v>0</v>
      </c>
      <c r="U4423" s="591"/>
      <c r="V4423" s="592"/>
      <c r="W4423" s="592"/>
      <c r="X4423" s="592"/>
      <c r="Y4423" s="592"/>
      <c r="Z4423" s="592"/>
    </row>
    <row r="4424" spans="1:26" s="28" customFormat="1" hidden="1">
      <c r="A4424" s="590">
        <v>1</v>
      </c>
      <c r="B4424" s="592" t="s">
        <v>3449</v>
      </c>
      <c r="C4424" s="593" t="s">
        <v>221</v>
      </c>
      <c r="D4424" s="646">
        <v>2634</v>
      </c>
      <c r="E4424" s="646">
        <v>570</v>
      </c>
      <c r="F4424" s="646" t="s">
        <v>222</v>
      </c>
      <c r="G4424" s="646">
        <v>610</v>
      </c>
      <c r="H4424" s="582">
        <v>2</v>
      </c>
      <c r="I4424" s="582">
        <v>2</v>
      </c>
      <c r="J4424" s="582">
        <v>14</v>
      </c>
      <c r="K4424" s="590" t="s">
        <v>33</v>
      </c>
      <c r="L4424" s="595">
        <f t="shared" ref="L4424:L4436" si="688">M4424+N4424+O4424+P4424+Q4424</f>
        <v>1588135</v>
      </c>
      <c r="M4424" s="585">
        <v>1525000</v>
      </c>
      <c r="N4424" s="586">
        <f>M4424*0.02</f>
        <v>30500</v>
      </c>
      <c r="O4424" s="587"/>
      <c r="P4424" s="586"/>
      <c r="Q4424" s="586">
        <f t="shared" ref="Q4424:Q4434" si="689">ROUND(M4424*2.14%,0)</f>
        <v>32635</v>
      </c>
      <c r="R4424" s="582">
        <f>M4424/G4424</f>
        <v>2500</v>
      </c>
      <c r="S4424" s="592"/>
      <c r="T4424" s="738">
        <f t="shared" si="687"/>
        <v>0</v>
      </c>
      <c r="U4424" s="591"/>
      <c r="V4424" s="592"/>
      <c r="W4424" s="592"/>
      <c r="X4424" s="592"/>
      <c r="Y4424" s="592"/>
      <c r="Z4424" s="592"/>
    </row>
    <row r="4425" spans="1:26" s="71" customFormat="1" hidden="1">
      <c r="A4425" s="590">
        <f t="shared" ref="A4425:A4436" si="690">A4424+1</f>
        <v>2</v>
      </c>
      <c r="B4425" s="592" t="s">
        <v>3450</v>
      </c>
      <c r="C4425" s="593" t="s">
        <v>221</v>
      </c>
      <c r="D4425" s="646">
        <v>12295</v>
      </c>
      <c r="E4425" s="646">
        <v>2190</v>
      </c>
      <c r="F4425" s="646" t="s">
        <v>227</v>
      </c>
      <c r="G4425" s="646">
        <v>960</v>
      </c>
      <c r="H4425" s="582">
        <v>5</v>
      </c>
      <c r="I4425" s="582">
        <v>4</v>
      </c>
      <c r="J4425" s="582">
        <v>60</v>
      </c>
      <c r="K4425" s="590" t="s">
        <v>33</v>
      </c>
      <c r="L4425" s="595">
        <f t="shared" si="688"/>
        <v>1966848</v>
      </c>
      <c r="M4425" s="745">
        <v>1920000</v>
      </c>
      <c r="N4425" s="802"/>
      <c r="O4425" s="736">
        <f>ROUND(M4425*0.3%,0)</f>
        <v>5760</v>
      </c>
      <c r="P4425" s="802"/>
      <c r="Q4425" s="586">
        <f t="shared" si="689"/>
        <v>41088</v>
      </c>
      <c r="R4425" s="803">
        <f>M4425/G4425</f>
        <v>2000</v>
      </c>
      <c r="S4425" s="591"/>
      <c r="T4425" s="738">
        <f t="shared" si="687"/>
        <v>0</v>
      </c>
      <c r="U4425" s="589"/>
      <c r="V4425" s="737"/>
      <c r="W4425" s="737"/>
      <c r="X4425" s="737"/>
      <c r="Y4425" s="737"/>
      <c r="Z4425" s="737"/>
    </row>
    <row r="4426" spans="1:26" s="71" customFormat="1" hidden="1">
      <c r="A4426" s="590">
        <f t="shared" si="690"/>
        <v>3</v>
      </c>
      <c r="B4426" s="592" t="s">
        <v>3451</v>
      </c>
      <c r="C4426" s="593" t="s">
        <v>221</v>
      </c>
      <c r="D4426" s="646">
        <v>3513</v>
      </c>
      <c r="E4426" s="646">
        <v>620</v>
      </c>
      <c r="F4426" s="646" t="s">
        <v>222</v>
      </c>
      <c r="G4426" s="646">
        <v>690</v>
      </c>
      <c r="H4426" s="582">
        <v>3</v>
      </c>
      <c r="I4426" s="582">
        <v>2</v>
      </c>
      <c r="J4426" s="582">
        <v>18</v>
      </c>
      <c r="K4426" s="590" t="s">
        <v>33</v>
      </c>
      <c r="L4426" s="595">
        <f t="shared" si="688"/>
        <v>1787790</v>
      </c>
      <c r="M4426" s="585">
        <v>1725000</v>
      </c>
      <c r="N4426" s="586">
        <f>M4426*0.015</f>
        <v>25875</v>
      </c>
      <c r="O4426" s="587"/>
      <c r="P4426" s="586"/>
      <c r="Q4426" s="586">
        <f t="shared" si="689"/>
        <v>36915</v>
      </c>
      <c r="R4426" s="582">
        <f>M4426/G4426</f>
        <v>2500</v>
      </c>
      <c r="S4426" s="591"/>
      <c r="T4426" s="738">
        <f t="shared" si="687"/>
        <v>0</v>
      </c>
      <c r="U4426" s="589"/>
      <c r="V4426" s="737"/>
      <c r="W4426" s="737"/>
      <c r="X4426" s="737"/>
      <c r="Y4426" s="737"/>
      <c r="Z4426" s="737"/>
    </row>
    <row r="4427" spans="1:26" s="71" customFormat="1" hidden="1">
      <c r="A4427" s="590">
        <f t="shared" si="690"/>
        <v>4</v>
      </c>
      <c r="B4427" s="592" t="s">
        <v>3452</v>
      </c>
      <c r="C4427" s="593" t="s">
        <v>221</v>
      </c>
      <c r="D4427" s="646">
        <v>28823</v>
      </c>
      <c r="E4427" s="646">
        <v>4043</v>
      </c>
      <c r="F4427" s="646" t="s">
        <v>227</v>
      </c>
      <c r="G4427" s="646">
        <v>1294</v>
      </c>
      <c r="H4427" s="582">
        <v>5</v>
      </c>
      <c r="I4427" s="582">
        <v>7</v>
      </c>
      <c r="J4427" s="582">
        <v>93</v>
      </c>
      <c r="K4427" s="590" t="s">
        <v>238</v>
      </c>
      <c r="L4427" s="595">
        <f t="shared" si="688"/>
        <v>2877606</v>
      </c>
      <c r="M4427" s="585">
        <v>2790000</v>
      </c>
      <c r="N4427" s="586">
        <f>M4427*0.01</f>
        <v>27900</v>
      </c>
      <c r="O4427" s="587"/>
      <c r="P4427" s="586"/>
      <c r="Q4427" s="586">
        <f t="shared" si="689"/>
        <v>59706</v>
      </c>
      <c r="R4427" s="582">
        <f>M4427/J4427</f>
        <v>30000</v>
      </c>
      <c r="S4427" s="591"/>
      <c r="T4427" s="738">
        <f t="shared" si="687"/>
        <v>0</v>
      </c>
      <c r="U4427" s="589"/>
      <c r="V4427" s="737"/>
      <c r="W4427" s="737"/>
      <c r="X4427" s="737"/>
      <c r="Y4427" s="737"/>
      <c r="Z4427" s="737"/>
    </row>
    <row r="4428" spans="1:26" s="71" customFormat="1" hidden="1">
      <c r="A4428" s="590">
        <f t="shared" si="690"/>
        <v>5</v>
      </c>
      <c r="B4428" s="592" t="s">
        <v>3454</v>
      </c>
      <c r="C4428" s="593" t="s">
        <v>221</v>
      </c>
      <c r="D4428" s="646">
        <v>833</v>
      </c>
      <c r="E4428" s="646">
        <v>285</v>
      </c>
      <c r="F4428" s="646" t="s">
        <v>230</v>
      </c>
      <c r="G4428" s="646">
        <v>940</v>
      </c>
      <c r="H4428" s="582">
        <v>2</v>
      </c>
      <c r="I4428" s="582">
        <v>3</v>
      </c>
      <c r="J4428" s="582">
        <v>9</v>
      </c>
      <c r="K4428" s="590" t="s">
        <v>33</v>
      </c>
      <c r="L4428" s="595">
        <f t="shared" si="688"/>
        <v>2435540</v>
      </c>
      <c r="M4428" s="585">
        <v>2350000</v>
      </c>
      <c r="N4428" s="586">
        <f>M4428*0.015</f>
        <v>35250</v>
      </c>
      <c r="O4428" s="587"/>
      <c r="P4428" s="586"/>
      <c r="Q4428" s="586">
        <f t="shared" si="689"/>
        <v>50290</v>
      </c>
      <c r="R4428" s="582">
        <f t="shared" ref="R4428:R4436" si="691">M4428/G4428</f>
        <v>2500</v>
      </c>
      <c r="S4428" s="591"/>
      <c r="T4428" s="738">
        <f t="shared" si="687"/>
        <v>0</v>
      </c>
      <c r="U4428" s="737"/>
      <c r="V4428" s="737"/>
      <c r="W4428" s="737"/>
      <c r="X4428" s="737"/>
      <c r="Y4428" s="737"/>
      <c r="Z4428" s="737"/>
    </row>
    <row r="4429" spans="1:26" s="71" customFormat="1" hidden="1">
      <c r="A4429" s="590">
        <f t="shared" si="690"/>
        <v>6</v>
      </c>
      <c r="B4429" s="616" t="s">
        <v>3455</v>
      </c>
      <c r="C4429" s="593" t="s">
        <v>221</v>
      </c>
      <c r="D4429" s="646">
        <v>2666</v>
      </c>
      <c r="E4429" s="646">
        <v>574</v>
      </c>
      <c r="F4429" s="646" t="s">
        <v>222</v>
      </c>
      <c r="G4429" s="646">
        <v>690</v>
      </c>
      <c r="H4429" s="582">
        <v>2</v>
      </c>
      <c r="I4429" s="582">
        <v>2</v>
      </c>
      <c r="J4429" s="582">
        <v>16</v>
      </c>
      <c r="K4429" s="590" t="s">
        <v>33</v>
      </c>
      <c r="L4429" s="595">
        <f t="shared" si="688"/>
        <v>1573255</v>
      </c>
      <c r="M4429" s="585">
        <v>1518000</v>
      </c>
      <c r="N4429" s="586">
        <f>M4429*0.015</f>
        <v>22770</v>
      </c>
      <c r="O4429" s="587"/>
      <c r="P4429" s="586"/>
      <c r="Q4429" s="586">
        <f t="shared" si="689"/>
        <v>32485</v>
      </c>
      <c r="R4429" s="582">
        <f t="shared" si="691"/>
        <v>2200</v>
      </c>
      <c r="S4429" s="591"/>
      <c r="T4429" s="738">
        <f t="shared" si="687"/>
        <v>0</v>
      </c>
      <c r="U4429" s="737"/>
      <c r="V4429" s="737"/>
      <c r="W4429" s="737"/>
      <c r="X4429" s="737"/>
      <c r="Y4429" s="737"/>
      <c r="Z4429" s="737"/>
    </row>
    <row r="4430" spans="1:26" s="71" customFormat="1" hidden="1">
      <c r="A4430" s="590">
        <f t="shared" si="690"/>
        <v>7</v>
      </c>
      <c r="B4430" s="592" t="s">
        <v>3456</v>
      </c>
      <c r="C4430" s="593" t="s">
        <v>229</v>
      </c>
      <c r="D4430" s="646">
        <v>1974</v>
      </c>
      <c r="E4430" s="646">
        <v>403</v>
      </c>
      <c r="F4430" s="646" t="s">
        <v>222</v>
      </c>
      <c r="G4430" s="646">
        <v>936</v>
      </c>
      <c r="H4430" s="582">
        <v>1</v>
      </c>
      <c r="I4430" s="582">
        <v>3</v>
      </c>
      <c r="J4430" s="582">
        <v>14</v>
      </c>
      <c r="K4430" s="590" t="s">
        <v>33</v>
      </c>
      <c r="L4430" s="595">
        <f t="shared" si="688"/>
        <v>2425176</v>
      </c>
      <c r="M4430" s="585">
        <v>2340000</v>
      </c>
      <c r="N4430" s="586">
        <f>M4430*0.015</f>
        <v>35100</v>
      </c>
      <c r="O4430" s="587"/>
      <c r="P4430" s="586"/>
      <c r="Q4430" s="586">
        <f t="shared" si="689"/>
        <v>50076</v>
      </c>
      <c r="R4430" s="582">
        <f t="shared" si="691"/>
        <v>2500</v>
      </c>
      <c r="S4430" s="591"/>
      <c r="T4430" s="738">
        <f t="shared" si="687"/>
        <v>0</v>
      </c>
      <c r="U4430" s="737"/>
      <c r="V4430" s="737"/>
      <c r="W4430" s="737"/>
      <c r="X4430" s="737"/>
      <c r="Y4430" s="737"/>
      <c r="Z4430" s="737"/>
    </row>
    <row r="4431" spans="1:26" s="28" customFormat="1" hidden="1">
      <c r="A4431" s="590">
        <f t="shared" si="690"/>
        <v>8</v>
      </c>
      <c r="B4431" s="592" t="s">
        <v>3457</v>
      </c>
      <c r="C4431" s="593" t="s">
        <v>221</v>
      </c>
      <c r="D4431" s="646">
        <v>2650</v>
      </c>
      <c r="E4431" s="646">
        <v>620</v>
      </c>
      <c r="F4431" s="646" t="s">
        <v>222</v>
      </c>
      <c r="G4431" s="646">
        <v>660</v>
      </c>
      <c r="H4431" s="582">
        <v>2</v>
      </c>
      <c r="I4431" s="582">
        <v>2</v>
      </c>
      <c r="J4431" s="582">
        <v>16</v>
      </c>
      <c r="K4431" s="590" t="s">
        <v>33</v>
      </c>
      <c r="L4431" s="595">
        <f t="shared" si="688"/>
        <v>1718310</v>
      </c>
      <c r="M4431" s="585">
        <v>1650000</v>
      </c>
      <c r="N4431" s="586">
        <f>M4431*0.02</f>
        <v>33000</v>
      </c>
      <c r="O4431" s="587"/>
      <c r="P4431" s="586"/>
      <c r="Q4431" s="586">
        <f t="shared" si="689"/>
        <v>35310</v>
      </c>
      <c r="R4431" s="582">
        <f t="shared" si="691"/>
        <v>2500</v>
      </c>
      <c r="S4431" s="592"/>
      <c r="T4431" s="738">
        <f t="shared" si="687"/>
        <v>0</v>
      </c>
      <c r="U4431" s="591"/>
      <c r="V4431" s="592"/>
      <c r="W4431" s="592"/>
      <c r="X4431" s="592"/>
      <c r="Y4431" s="592"/>
      <c r="Z4431" s="592"/>
    </row>
    <row r="4432" spans="1:26" s="28" customFormat="1" hidden="1">
      <c r="A4432" s="590">
        <f t="shared" si="690"/>
        <v>9</v>
      </c>
      <c r="B4432" s="592" t="s">
        <v>3458</v>
      </c>
      <c r="C4432" s="593" t="s">
        <v>221</v>
      </c>
      <c r="D4432" s="646">
        <v>2650</v>
      </c>
      <c r="E4432" s="646">
        <v>620</v>
      </c>
      <c r="F4432" s="646" t="s">
        <v>222</v>
      </c>
      <c r="G4432" s="646">
        <v>660</v>
      </c>
      <c r="H4432" s="582">
        <v>2</v>
      </c>
      <c r="I4432" s="582">
        <v>2</v>
      </c>
      <c r="J4432" s="582">
        <v>12</v>
      </c>
      <c r="K4432" s="590" t="s">
        <v>33</v>
      </c>
      <c r="L4432" s="595">
        <f t="shared" si="688"/>
        <v>1718310</v>
      </c>
      <c r="M4432" s="585">
        <v>1650000</v>
      </c>
      <c r="N4432" s="586">
        <f>M4432*0.02</f>
        <v>33000</v>
      </c>
      <c r="O4432" s="587"/>
      <c r="P4432" s="586"/>
      <c r="Q4432" s="586">
        <f t="shared" si="689"/>
        <v>35310</v>
      </c>
      <c r="R4432" s="582">
        <f t="shared" si="691"/>
        <v>2500</v>
      </c>
      <c r="S4432" s="592"/>
      <c r="T4432" s="738">
        <f t="shared" si="687"/>
        <v>0</v>
      </c>
      <c r="U4432" s="591"/>
      <c r="V4432" s="592"/>
      <c r="W4432" s="592"/>
      <c r="X4432" s="592"/>
      <c r="Y4432" s="592"/>
      <c r="Z4432" s="592"/>
    </row>
    <row r="4433" spans="1:222" s="71" customFormat="1" hidden="1">
      <c r="A4433" s="590">
        <f t="shared" si="690"/>
        <v>10</v>
      </c>
      <c r="B4433" s="616" t="s">
        <v>3459</v>
      </c>
      <c r="C4433" s="593" t="s">
        <v>221</v>
      </c>
      <c r="D4433" s="646">
        <v>2210</v>
      </c>
      <c r="E4433" s="646">
        <v>721</v>
      </c>
      <c r="F4433" s="646" t="s">
        <v>222</v>
      </c>
      <c r="G4433" s="646">
        <v>680</v>
      </c>
      <c r="H4433" s="582">
        <v>2</v>
      </c>
      <c r="I4433" s="582">
        <v>2</v>
      </c>
      <c r="J4433" s="582">
        <v>12</v>
      </c>
      <c r="K4433" s="590" t="s">
        <v>33</v>
      </c>
      <c r="L4433" s="595">
        <f t="shared" si="688"/>
        <v>1761880</v>
      </c>
      <c r="M4433" s="585">
        <v>1700000</v>
      </c>
      <c r="N4433" s="586">
        <f>M4433*0.015</f>
        <v>25500</v>
      </c>
      <c r="O4433" s="587"/>
      <c r="P4433" s="586"/>
      <c r="Q4433" s="586">
        <f t="shared" si="689"/>
        <v>36380</v>
      </c>
      <c r="R4433" s="582">
        <f t="shared" si="691"/>
        <v>2500</v>
      </c>
      <c r="S4433" s="591"/>
      <c r="T4433" s="738">
        <f t="shared" si="687"/>
        <v>0</v>
      </c>
      <c r="U4433" s="737"/>
      <c r="V4433" s="737"/>
      <c r="W4433" s="737"/>
      <c r="X4433" s="737"/>
      <c r="Y4433" s="737"/>
      <c r="Z4433" s="737"/>
    </row>
    <row r="4434" spans="1:222" s="71" customFormat="1" hidden="1">
      <c r="A4434" s="590">
        <f t="shared" si="690"/>
        <v>11</v>
      </c>
      <c r="B4434" s="592" t="s">
        <v>3460</v>
      </c>
      <c r="C4434" s="593" t="s">
        <v>221</v>
      </c>
      <c r="D4434" s="646">
        <v>2820</v>
      </c>
      <c r="E4434" s="646">
        <v>884</v>
      </c>
      <c r="F4434" s="646" t="s">
        <v>222</v>
      </c>
      <c r="G4434" s="646">
        <v>921.04399999999998</v>
      </c>
      <c r="H4434" s="582">
        <v>2</v>
      </c>
      <c r="I4434" s="582">
        <v>3</v>
      </c>
      <c r="J4434" s="582">
        <v>19</v>
      </c>
      <c r="K4434" s="590" t="s">
        <v>33</v>
      </c>
      <c r="L4434" s="595">
        <f t="shared" si="688"/>
        <v>2386425</v>
      </c>
      <c r="M4434" s="585">
        <v>2302610</v>
      </c>
      <c r="N4434" s="586">
        <v>34539</v>
      </c>
      <c r="O4434" s="587"/>
      <c r="P4434" s="586"/>
      <c r="Q4434" s="586">
        <f t="shared" si="689"/>
        <v>49276</v>
      </c>
      <c r="R4434" s="582">
        <f t="shared" si="691"/>
        <v>2500</v>
      </c>
      <c r="S4434" s="591"/>
      <c r="T4434" s="738">
        <f t="shared" si="687"/>
        <v>0</v>
      </c>
      <c r="U4434" s="737"/>
      <c r="V4434" s="737"/>
      <c r="W4434" s="737"/>
      <c r="X4434" s="737"/>
      <c r="Y4434" s="737"/>
      <c r="Z4434" s="737"/>
    </row>
    <row r="4435" spans="1:222" s="86" customFormat="1" hidden="1">
      <c r="A4435" s="590">
        <f t="shared" si="690"/>
        <v>12</v>
      </c>
      <c r="B4435" s="592" t="s">
        <v>955</v>
      </c>
      <c r="C4435" s="593" t="s">
        <v>221</v>
      </c>
      <c r="D4435" s="646">
        <v>5177</v>
      </c>
      <c r="E4435" s="646">
        <v>920</v>
      </c>
      <c r="F4435" s="646" t="s">
        <v>222</v>
      </c>
      <c r="G4435" s="646">
        <v>1200</v>
      </c>
      <c r="H4435" s="582">
        <v>2</v>
      </c>
      <c r="I4435" s="582">
        <v>4</v>
      </c>
      <c r="J4435" s="582">
        <v>24</v>
      </c>
      <c r="K4435" s="590" t="s">
        <v>33</v>
      </c>
      <c r="L4435" s="595">
        <f t="shared" si="688"/>
        <v>3094200</v>
      </c>
      <c r="M4435" s="585">
        <v>3000000</v>
      </c>
      <c r="N4435" s="586">
        <v>30000</v>
      </c>
      <c r="O4435" s="587"/>
      <c r="P4435" s="586"/>
      <c r="Q4435" s="586">
        <v>64200</v>
      </c>
      <c r="R4435" s="582">
        <f t="shared" si="691"/>
        <v>2500</v>
      </c>
      <c r="S4435" s="591"/>
      <c r="T4435" s="738">
        <f t="shared" si="687"/>
        <v>0</v>
      </c>
      <c r="U4435" s="737"/>
      <c r="V4435" s="737"/>
      <c r="W4435" s="737"/>
      <c r="X4435" s="737"/>
      <c r="Y4435" s="737"/>
      <c r="Z4435" s="737"/>
    </row>
    <row r="4436" spans="1:222" s="87" customFormat="1" hidden="1">
      <c r="A4436" s="590">
        <f t="shared" si="690"/>
        <v>13</v>
      </c>
      <c r="B4436" s="580" t="s">
        <v>4307</v>
      </c>
      <c r="C4436" s="593" t="s">
        <v>221</v>
      </c>
      <c r="D4436" s="646">
        <v>3970.2</v>
      </c>
      <c r="E4436" s="646">
        <v>345.06</v>
      </c>
      <c r="F4436" s="646" t="s">
        <v>222</v>
      </c>
      <c r="G4436" s="646">
        <v>827.125</v>
      </c>
      <c r="H4436" s="582">
        <v>2</v>
      </c>
      <c r="I4436" s="582">
        <v>3</v>
      </c>
      <c r="J4436" s="582">
        <v>22</v>
      </c>
      <c r="K4436" s="590" t="s">
        <v>33</v>
      </c>
      <c r="L4436" s="595">
        <f t="shared" si="688"/>
        <v>2143081</v>
      </c>
      <c r="M4436" s="585">
        <v>2067813</v>
      </c>
      <c r="N4436" s="586">
        <v>31017</v>
      </c>
      <c r="O4436" s="587"/>
      <c r="P4436" s="586"/>
      <c r="Q4436" s="586">
        <f>ROUND(M4436*2.14%,0)</f>
        <v>44251</v>
      </c>
      <c r="R4436" s="582">
        <f t="shared" si="691"/>
        <v>2500.0006045035516</v>
      </c>
      <c r="S4436" s="645"/>
      <c r="T4436" s="738">
        <f t="shared" si="687"/>
        <v>0</v>
      </c>
      <c r="U4436" s="592"/>
      <c r="V4436" s="592"/>
      <c r="W4436" s="748">
        <f>COUNTIF($B$12:$B$4333,B4436)</f>
        <v>0</v>
      </c>
      <c r="X4436" s="592"/>
      <c r="Y4436" s="592"/>
      <c r="Z4436" s="592"/>
    </row>
    <row r="4437" spans="1:222" s="28" customFormat="1" hidden="1">
      <c r="A4437" s="1349" t="s">
        <v>121</v>
      </c>
      <c r="B4437" s="1349"/>
      <c r="C4437" s="593" t="s">
        <v>28</v>
      </c>
      <c r="D4437" s="646">
        <f>SUM(D4424:D4436)</f>
        <v>72215.199999999997</v>
      </c>
      <c r="E4437" s="646">
        <f>SUM(E4424:E4436)</f>
        <v>12795.06</v>
      </c>
      <c r="F4437" s="646" t="s">
        <v>28</v>
      </c>
      <c r="G4437" s="646">
        <f>SUM(G4424:G4436)</f>
        <v>11068.169</v>
      </c>
      <c r="H4437" s="582" t="s">
        <v>28</v>
      </c>
      <c r="I4437" s="582" t="s">
        <v>28</v>
      </c>
      <c r="J4437" s="582">
        <f>SUM(J4424:J4436)</f>
        <v>329</v>
      </c>
      <c r="K4437" s="590" t="s">
        <v>28</v>
      </c>
      <c r="L4437" s="584">
        <f>SUM(L4424:L4436)</f>
        <v>27476556</v>
      </c>
      <c r="M4437" s="585">
        <f>SUM(M4424:M4436)</f>
        <v>26538423</v>
      </c>
      <c r="N4437" s="586">
        <f>SUM(N4424:N4436)</f>
        <v>364451</v>
      </c>
      <c r="O4437" s="587">
        <f>SUM(O4424:O4436)</f>
        <v>5760</v>
      </c>
      <c r="P4437" s="586"/>
      <c r="Q4437" s="586">
        <f>SUM(Q4424:Q4436)</f>
        <v>567922</v>
      </c>
      <c r="R4437" s="582" t="s">
        <v>28</v>
      </c>
      <c r="S4437" s="592"/>
      <c r="T4437" s="738">
        <f t="shared" si="687"/>
        <v>0</v>
      </c>
      <c r="U4437" s="591"/>
      <c r="V4437" s="592"/>
      <c r="W4437" s="592"/>
      <c r="X4437" s="592"/>
      <c r="Y4437" s="592"/>
      <c r="Z4437" s="592"/>
    </row>
    <row r="4438" spans="1:222" s="28" customFormat="1" hidden="1">
      <c r="A4438" s="1347" t="s">
        <v>55</v>
      </c>
      <c r="B4438" s="1347"/>
      <c r="C4438" s="1347"/>
      <c r="D4438" s="1347"/>
      <c r="E4438" s="1347"/>
      <c r="F4438" s="1347"/>
      <c r="G4438" s="1347"/>
      <c r="H4438" s="1347"/>
      <c r="I4438" s="1347"/>
      <c r="J4438" s="1347"/>
      <c r="K4438" s="1347"/>
      <c r="L4438" s="1347"/>
      <c r="M4438" s="1347"/>
      <c r="N4438" s="1347"/>
      <c r="O4438" s="1347"/>
      <c r="P4438" s="1347"/>
      <c r="Q4438" s="1347"/>
      <c r="R4438" s="590"/>
      <c r="S4438" s="592"/>
      <c r="T4438" s="738">
        <f t="shared" si="687"/>
        <v>0</v>
      </c>
      <c r="U4438" s="591"/>
      <c r="V4438" s="592"/>
      <c r="W4438" s="592"/>
      <c r="X4438" s="592"/>
      <c r="Y4438" s="592"/>
      <c r="Z4438" s="592"/>
    </row>
    <row r="4439" spans="1:222" s="545" customFormat="1" ht="37.5" hidden="1">
      <c r="A4439" s="590">
        <v>1</v>
      </c>
      <c r="B4439" s="621" t="s">
        <v>3461</v>
      </c>
      <c r="C4439" s="593" t="s">
        <v>221</v>
      </c>
      <c r="D4439" s="1073">
        <v>2630</v>
      </c>
      <c r="E4439" s="1073">
        <v>487</v>
      </c>
      <c r="F4439" s="1073" t="s">
        <v>222</v>
      </c>
      <c r="G4439" s="1073">
        <v>660</v>
      </c>
      <c r="H4439" s="1074">
        <v>2</v>
      </c>
      <c r="I4439" s="1074">
        <v>2</v>
      </c>
      <c r="J4439" s="1074">
        <v>12</v>
      </c>
      <c r="K4439" s="1075" t="s">
        <v>274</v>
      </c>
      <c r="L4439" s="595">
        <f>M4439+N4439+O4439+P4439+Q4439</f>
        <v>1718310</v>
      </c>
      <c r="M4439" s="585">
        <f>G4439*2500</f>
        <v>1650000</v>
      </c>
      <c r="N4439" s="586">
        <f>M4439*0.02</f>
        <v>33000</v>
      </c>
      <c r="O4439" s="587"/>
      <c r="P4439" s="586"/>
      <c r="Q4439" s="586">
        <f>ROUND(M4439*2.14%,0)</f>
        <v>35310</v>
      </c>
      <c r="R4439" s="582">
        <f>M4439/G4439</f>
        <v>2500</v>
      </c>
      <c r="S4439" s="1077"/>
      <c r="T4439" s="738">
        <f t="shared" si="687"/>
        <v>0</v>
      </c>
      <c r="U4439" s="589"/>
      <c r="V4439" s="1077"/>
      <c r="W4439" s="1077"/>
      <c r="X4439" s="1077"/>
      <c r="Y4439" s="1077"/>
      <c r="Z4439" s="1077"/>
    </row>
    <row r="4440" spans="1:222" s="28" customFormat="1" hidden="1">
      <c r="A4440" s="1349" t="s">
        <v>56</v>
      </c>
      <c r="B4440" s="1349"/>
      <c r="C4440" s="593" t="s">
        <v>28</v>
      </c>
      <c r="D4440" s="646">
        <f>SUM(D4439:D4439)</f>
        <v>2630</v>
      </c>
      <c r="E4440" s="646">
        <f>SUM(E4439:E4439)</f>
        <v>487</v>
      </c>
      <c r="F4440" s="646" t="s">
        <v>28</v>
      </c>
      <c r="G4440" s="646">
        <f>SUM(G4439:G4439)</f>
        <v>660</v>
      </c>
      <c r="H4440" s="582" t="s">
        <v>28</v>
      </c>
      <c r="I4440" s="582" t="s">
        <v>28</v>
      </c>
      <c r="J4440" s="582">
        <f>SUM(J4439:J4439)</f>
        <v>12</v>
      </c>
      <c r="K4440" s="590" t="s">
        <v>28</v>
      </c>
      <c r="L4440" s="584">
        <f>SUM(L4439:L4439)</f>
        <v>1718310</v>
      </c>
      <c r="M4440" s="585">
        <f>SUM(M4439:M4439)</f>
        <v>1650000</v>
      </c>
      <c r="N4440" s="586">
        <f>SUM(N4439:N4439)</f>
        <v>33000</v>
      </c>
      <c r="O4440" s="587"/>
      <c r="P4440" s="586"/>
      <c r="Q4440" s="586">
        <f>SUM(Q4439:Q4439)</f>
        <v>35310</v>
      </c>
      <c r="R4440" s="582" t="s">
        <v>28</v>
      </c>
      <c r="S4440" s="592"/>
      <c r="T4440" s="738">
        <f t="shared" ref="T4440:T4471" si="692">L4440-M4440-N4440-O4440-Q4440</f>
        <v>0</v>
      </c>
      <c r="U4440" s="591"/>
      <c r="V4440" s="592"/>
      <c r="W4440" s="592"/>
      <c r="X4440" s="592"/>
      <c r="Y4440" s="592"/>
      <c r="Z4440" s="592"/>
    </row>
    <row r="4441" spans="1:222" s="28" customFormat="1" hidden="1">
      <c r="A4441" s="1347" t="s">
        <v>32</v>
      </c>
      <c r="B4441" s="1347"/>
      <c r="C4441" s="1347"/>
      <c r="D4441" s="1347"/>
      <c r="E4441" s="1347"/>
      <c r="F4441" s="1347"/>
      <c r="G4441" s="1347"/>
      <c r="H4441" s="1347"/>
      <c r="I4441" s="1347"/>
      <c r="J4441" s="1347"/>
      <c r="K4441" s="1347"/>
      <c r="L4441" s="1347"/>
      <c r="M4441" s="1347"/>
      <c r="N4441" s="1347"/>
      <c r="O4441" s="1347"/>
      <c r="P4441" s="1347"/>
      <c r="Q4441" s="1347"/>
      <c r="R4441" s="590"/>
      <c r="S4441" s="592"/>
      <c r="T4441" s="738">
        <f t="shared" si="692"/>
        <v>0</v>
      </c>
      <c r="U4441" s="591"/>
      <c r="V4441" s="592"/>
      <c r="W4441" s="592"/>
      <c r="X4441" s="592"/>
      <c r="Y4441" s="592"/>
      <c r="Z4441" s="592"/>
    </row>
    <row r="4442" spans="1:222" s="535" customFormat="1" hidden="1">
      <c r="A4442" s="812">
        <v>1</v>
      </c>
      <c r="B4442" s="813" t="s">
        <v>3462</v>
      </c>
      <c r="C4442" s="1265" t="s">
        <v>217</v>
      </c>
      <c r="D4442" s="815">
        <f>E4442*2.6</f>
        <v>1903.2</v>
      </c>
      <c r="E4442" s="816">
        <v>732</v>
      </c>
      <c r="F4442" s="815" t="s">
        <v>222</v>
      </c>
      <c r="G4442" s="816">
        <v>676.44</v>
      </c>
      <c r="H4442" s="819">
        <v>2</v>
      </c>
      <c r="I4442" s="819">
        <v>2</v>
      </c>
      <c r="J4442" s="803">
        <v>22</v>
      </c>
      <c r="K4442" s="812" t="s">
        <v>33</v>
      </c>
      <c r="L4442" s="746">
        <f t="shared" ref="L4442:L4457" si="693">M4442+N4442+O4442+P4442+Q4442</f>
        <v>1761112.0000000002</v>
      </c>
      <c r="M4442" s="745">
        <f>G4442*2500</f>
        <v>1691100.0000000002</v>
      </c>
      <c r="N4442" s="802">
        <f>M4442*0.02</f>
        <v>33822.000000000007</v>
      </c>
      <c r="O4442" s="822"/>
      <c r="P4442" s="802"/>
      <c r="Q4442" s="586">
        <f t="shared" ref="Q4442:Q4457" si="694">ROUND(M4442*2.14%,0)</f>
        <v>36190</v>
      </c>
      <c r="R4442" s="803">
        <f t="shared" ref="R4442:R4457" si="695">M4442/G4442</f>
        <v>2500</v>
      </c>
      <c r="S4442" s="823"/>
      <c r="T4442" s="738">
        <f t="shared" si="692"/>
        <v>0</v>
      </c>
      <c r="U4442" s="824"/>
      <c r="V4442" s="823"/>
      <c r="W4442" s="823"/>
      <c r="X4442" s="823"/>
      <c r="Y4442" s="823"/>
      <c r="Z4442" s="823"/>
    </row>
    <row r="4443" spans="1:222" s="535" customFormat="1" hidden="1">
      <c r="A4443" s="812">
        <f>A4442+1</f>
        <v>2</v>
      </c>
      <c r="B4443" s="813" t="s">
        <v>3463</v>
      </c>
      <c r="C4443" s="593" t="s">
        <v>221</v>
      </c>
      <c r="D4443" s="815">
        <f t="shared" ref="D4443:D4455" si="696">E4443*2.5</f>
        <v>1311</v>
      </c>
      <c r="E4443" s="815">
        <v>524.4</v>
      </c>
      <c r="F4443" s="815" t="s">
        <v>222</v>
      </c>
      <c r="G4443" s="816">
        <f>(20*I4443)*13*1.3</f>
        <v>676</v>
      </c>
      <c r="H4443" s="819">
        <v>2</v>
      </c>
      <c r="I4443" s="819">
        <v>2</v>
      </c>
      <c r="J4443" s="819">
        <v>12</v>
      </c>
      <c r="K4443" s="812" t="s">
        <v>33</v>
      </c>
      <c r="L4443" s="746">
        <f t="shared" si="693"/>
        <v>1751516</v>
      </c>
      <c r="M4443" s="745">
        <f>G4443*2500</f>
        <v>1690000</v>
      </c>
      <c r="N4443" s="802">
        <f>M4443*0.015</f>
        <v>25350</v>
      </c>
      <c r="O4443" s="822"/>
      <c r="P4443" s="747"/>
      <c r="Q4443" s="586">
        <f t="shared" si="694"/>
        <v>36166</v>
      </c>
      <c r="R4443" s="803">
        <f t="shared" si="695"/>
        <v>2500</v>
      </c>
      <c r="S4443" s="823"/>
      <c r="T4443" s="738">
        <f t="shared" si="692"/>
        <v>0</v>
      </c>
      <c r="U4443" s="824"/>
      <c r="V4443" s="823"/>
      <c r="W4443" s="823"/>
      <c r="X4443" s="823"/>
      <c r="Y4443" s="823"/>
      <c r="Z4443" s="823"/>
    </row>
    <row r="4444" spans="1:222" s="535" customFormat="1" hidden="1">
      <c r="A4444" s="812">
        <f t="shared" ref="A4444:A4457" si="697">A4443+1</f>
        <v>3</v>
      </c>
      <c r="B4444" s="813" t="s">
        <v>3464</v>
      </c>
      <c r="C4444" s="593" t="s">
        <v>221</v>
      </c>
      <c r="D4444" s="815">
        <f t="shared" si="696"/>
        <v>1395</v>
      </c>
      <c r="E4444" s="816">
        <v>558</v>
      </c>
      <c r="F4444" s="815" t="s">
        <v>227</v>
      </c>
      <c r="G4444" s="739">
        <f>(20*I4444)*12*1.2</f>
        <v>288</v>
      </c>
      <c r="H4444" s="803">
        <v>5</v>
      </c>
      <c r="I4444" s="803">
        <v>1</v>
      </c>
      <c r="J4444" s="803">
        <v>15</v>
      </c>
      <c r="K4444" s="812" t="s">
        <v>33</v>
      </c>
      <c r="L4444" s="746">
        <f t="shared" si="693"/>
        <v>708066</v>
      </c>
      <c r="M4444" s="745">
        <f>G4444*2400</f>
        <v>691200</v>
      </c>
      <c r="N4444" s="802"/>
      <c r="O4444" s="736">
        <f>ROUND(M4444*0.3%,0)</f>
        <v>2074</v>
      </c>
      <c r="P4444" s="802"/>
      <c r="Q4444" s="586">
        <f t="shared" si="694"/>
        <v>14792</v>
      </c>
      <c r="R4444" s="803">
        <f t="shared" si="695"/>
        <v>2400</v>
      </c>
      <c r="S4444" s="823"/>
      <c r="T4444" s="738">
        <f t="shared" si="692"/>
        <v>0</v>
      </c>
      <c r="U4444" s="824"/>
      <c r="V4444" s="823"/>
      <c r="W4444" s="823"/>
      <c r="X4444" s="823"/>
      <c r="Y4444" s="823"/>
      <c r="Z4444" s="823"/>
    </row>
    <row r="4445" spans="1:222" s="535" customFormat="1" hidden="1">
      <c r="A4445" s="812">
        <f t="shared" si="697"/>
        <v>4</v>
      </c>
      <c r="B4445" s="813" t="s">
        <v>3466</v>
      </c>
      <c r="C4445" s="814" t="s">
        <v>221</v>
      </c>
      <c r="D4445" s="815">
        <f t="shared" si="696"/>
        <v>1462.5</v>
      </c>
      <c r="E4445" s="815">
        <v>585</v>
      </c>
      <c r="F4445" s="815" t="s">
        <v>222</v>
      </c>
      <c r="G4445" s="815">
        <v>657.94</v>
      </c>
      <c r="H4445" s="819">
        <v>2</v>
      </c>
      <c r="I4445" s="819">
        <v>2</v>
      </c>
      <c r="J4445" s="819">
        <v>16</v>
      </c>
      <c r="K4445" s="812" t="s">
        <v>33</v>
      </c>
      <c r="L4445" s="746">
        <f t="shared" si="693"/>
        <v>1704723.0000000002</v>
      </c>
      <c r="M4445" s="585">
        <f>G4445*2500</f>
        <v>1644850.0000000002</v>
      </c>
      <c r="N4445" s="586">
        <v>24673</v>
      </c>
      <c r="O4445" s="587"/>
      <c r="P4445" s="586"/>
      <c r="Q4445" s="586">
        <f t="shared" si="694"/>
        <v>35200</v>
      </c>
      <c r="R4445" s="582">
        <f t="shared" si="695"/>
        <v>2500</v>
      </c>
      <c r="S4445" s="823"/>
      <c r="T4445" s="738">
        <f t="shared" si="692"/>
        <v>0</v>
      </c>
      <c r="U4445" s="824"/>
      <c r="V4445" s="823"/>
      <c r="W4445" s="823"/>
      <c r="X4445" s="823"/>
      <c r="Y4445" s="823"/>
      <c r="Z4445" s="823"/>
    </row>
    <row r="4446" spans="1:222" s="535" customFormat="1" hidden="1">
      <c r="A4446" s="812">
        <f t="shared" si="697"/>
        <v>5</v>
      </c>
      <c r="B4446" s="813" t="s">
        <v>3467</v>
      </c>
      <c r="C4446" s="814" t="s">
        <v>217</v>
      </c>
      <c r="D4446" s="815">
        <f t="shared" si="696"/>
        <v>1380</v>
      </c>
      <c r="E4446" s="815">
        <v>552</v>
      </c>
      <c r="F4446" s="815" t="s">
        <v>222</v>
      </c>
      <c r="G4446" s="815">
        <v>652.79999999999995</v>
      </c>
      <c r="H4446" s="819">
        <v>2</v>
      </c>
      <c r="I4446" s="819">
        <v>2</v>
      </c>
      <c r="J4446" s="819">
        <v>16</v>
      </c>
      <c r="K4446" s="812" t="s">
        <v>33</v>
      </c>
      <c r="L4446" s="746">
        <f t="shared" si="693"/>
        <v>1691405</v>
      </c>
      <c r="M4446" s="585">
        <f>G4446*2500</f>
        <v>1632000</v>
      </c>
      <c r="N4446" s="586">
        <f>M4446*0.015</f>
        <v>24480</v>
      </c>
      <c r="O4446" s="587"/>
      <c r="P4446" s="586"/>
      <c r="Q4446" s="586">
        <f t="shared" si="694"/>
        <v>34925</v>
      </c>
      <c r="R4446" s="582">
        <f t="shared" si="695"/>
        <v>2500</v>
      </c>
      <c r="S4446" s="823"/>
      <c r="T4446" s="738">
        <f t="shared" si="692"/>
        <v>0</v>
      </c>
      <c r="U4446" s="824"/>
      <c r="V4446" s="823"/>
      <c r="W4446" s="823"/>
      <c r="X4446" s="823"/>
      <c r="Y4446" s="823"/>
      <c r="Z4446" s="823"/>
    </row>
    <row r="4447" spans="1:222" s="90" customFormat="1" hidden="1">
      <c r="A4447" s="812">
        <f t="shared" si="697"/>
        <v>6</v>
      </c>
      <c r="B4447" s="813" t="s">
        <v>3468</v>
      </c>
      <c r="C4447" s="744" t="s">
        <v>221</v>
      </c>
      <c r="D4447" s="815">
        <f t="shared" si="696"/>
        <v>1305</v>
      </c>
      <c r="E4447" s="816">
        <v>522</v>
      </c>
      <c r="F4447" s="815" t="s">
        <v>222</v>
      </c>
      <c r="G4447" s="816">
        <v>425</v>
      </c>
      <c r="H4447" s="819">
        <v>2</v>
      </c>
      <c r="I4447" s="819">
        <v>1</v>
      </c>
      <c r="J4447" s="803">
        <v>12</v>
      </c>
      <c r="K4447" s="812" t="s">
        <v>33</v>
      </c>
      <c r="L4447" s="746">
        <f t="shared" si="693"/>
        <v>1106488</v>
      </c>
      <c r="M4447" s="585">
        <f>G4447*2500</f>
        <v>1062500</v>
      </c>
      <c r="N4447" s="586">
        <f>M4447*0.02</f>
        <v>21250</v>
      </c>
      <c r="O4447" s="587"/>
      <c r="P4447" s="586"/>
      <c r="Q4447" s="586">
        <f t="shared" si="694"/>
        <v>22738</v>
      </c>
      <c r="R4447" s="582">
        <f t="shared" si="695"/>
        <v>2500</v>
      </c>
      <c r="S4447" s="817"/>
      <c r="T4447" s="738">
        <f t="shared" si="692"/>
        <v>0</v>
      </c>
      <c r="U4447" s="589"/>
      <c r="V4447" s="817"/>
      <c r="W4447" s="817"/>
      <c r="X4447" s="817"/>
      <c r="Y4447" s="817"/>
      <c r="Z4447" s="817"/>
      <c r="AA4447" s="534"/>
      <c r="AB4447" s="534"/>
      <c r="AC4447" s="534"/>
      <c r="AD4447" s="534"/>
      <c r="AE4447" s="534"/>
      <c r="AF4447" s="534"/>
      <c r="AG4447" s="534"/>
      <c r="AH4447" s="534"/>
      <c r="AI4447" s="534"/>
      <c r="AJ4447" s="534"/>
      <c r="AK4447" s="534"/>
      <c r="AL4447" s="534"/>
      <c r="AM4447" s="534"/>
      <c r="AN4447" s="534"/>
      <c r="AO4447" s="534"/>
      <c r="AP4447" s="534"/>
      <c r="AQ4447" s="534"/>
      <c r="AR4447" s="534"/>
      <c r="AS4447" s="534"/>
      <c r="AT4447" s="534"/>
      <c r="AU4447" s="534"/>
      <c r="AV4447" s="534"/>
      <c r="AW4447" s="534"/>
      <c r="AX4447" s="534"/>
      <c r="AY4447" s="534"/>
      <c r="AZ4447" s="534"/>
      <c r="BA4447" s="534"/>
      <c r="BB4447" s="534"/>
      <c r="BC4447" s="534"/>
      <c r="BD4447" s="534"/>
      <c r="BE4447" s="534"/>
      <c r="BF4447" s="534"/>
      <c r="BG4447" s="534"/>
      <c r="BH4447" s="534"/>
      <c r="BI4447" s="534"/>
      <c r="BJ4447" s="534"/>
      <c r="BK4447" s="534"/>
      <c r="BL4447" s="534"/>
      <c r="BM4447" s="534"/>
      <c r="BN4447" s="534"/>
      <c r="BO4447" s="534"/>
      <c r="BP4447" s="534"/>
      <c r="BQ4447" s="534"/>
      <c r="BR4447" s="534"/>
      <c r="BS4447" s="534"/>
      <c r="BT4447" s="534"/>
      <c r="BU4447" s="534"/>
      <c r="BV4447" s="534"/>
      <c r="BW4447" s="534"/>
      <c r="BX4447" s="534"/>
      <c r="BY4447" s="534"/>
      <c r="BZ4447" s="534"/>
      <c r="CA4447" s="534"/>
      <c r="CB4447" s="534"/>
      <c r="CC4447" s="534"/>
      <c r="CD4447" s="534"/>
      <c r="CE4447" s="534"/>
      <c r="CF4447" s="534"/>
      <c r="CG4447" s="534"/>
      <c r="CH4447" s="534"/>
      <c r="CI4447" s="534"/>
      <c r="CJ4447" s="534"/>
      <c r="CK4447" s="534"/>
      <c r="CL4447" s="534"/>
      <c r="CM4447" s="534"/>
      <c r="CN4447" s="534"/>
      <c r="CO4447" s="534"/>
      <c r="CP4447" s="534"/>
      <c r="CQ4447" s="534"/>
      <c r="CR4447" s="534"/>
      <c r="CS4447" s="534"/>
      <c r="CT4447" s="534"/>
      <c r="CU4447" s="534"/>
      <c r="CV4447" s="534"/>
      <c r="CW4447" s="534"/>
      <c r="CX4447" s="534"/>
      <c r="CY4447" s="534"/>
      <c r="CZ4447" s="534"/>
      <c r="DA4447" s="534"/>
      <c r="DB4447" s="534"/>
      <c r="DC4447" s="534"/>
      <c r="DD4447" s="534"/>
      <c r="DE4447" s="534"/>
      <c r="DF4447" s="534"/>
      <c r="DG4447" s="534"/>
      <c r="DH4447" s="534"/>
      <c r="DI4447" s="534"/>
      <c r="DJ4447" s="534"/>
      <c r="DK4447" s="534"/>
      <c r="DL4447" s="534"/>
      <c r="DM4447" s="534"/>
      <c r="DN4447" s="534"/>
      <c r="DO4447" s="534"/>
      <c r="DP4447" s="534"/>
      <c r="DQ4447" s="534"/>
      <c r="DR4447" s="534"/>
      <c r="DS4447" s="534"/>
      <c r="DT4447" s="534"/>
      <c r="DU4447" s="534"/>
      <c r="DV4447" s="534"/>
      <c r="DW4447" s="534"/>
      <c r="DX4447" s="534"/>
      <c r="DY4447" s="534"/>
      <c r="DZ4447" s="534"/>
      <c r="EA4447" s="534"/>
      <c r="EB4447" s="534"/>
      <c r="EC4447" s="534"/>
      <c r="ED4447" s="534"/>
      <c r="EE4447" s="534"/>
      <c r="EF4447" s="534"/>
      <c r="EG4447" s="534"/>
      <c r="EH4447" s="534"/>
      <c r="EI4447" s="534"/>
      <c r="EJ4447" s="534"/>
      <c r="EK4447" s="534"/>
      <c r="EL4447" s="534"/>
      <c r="EM4447" s="534"/>
      <c r="EN4447" s="534"/>
      <c r="EO4447" s="534"/>
      <c r="EP4447" s="534"/>
      <c r="EQ4447" s="534"/>
      <c r="ER4447" s="534"/>
      <c r="ES4447" s="534"/>
      <c r="ET4447" s="534"/>
      <c r="EU4447" s="534"/>
      <c r="EV4447" s="534"/>
      <c r="EW4447" s="534"/>
      <c r="EX4447" s="534"/>
      <c r="EY4447" s="534"/>
      <c r="EZ4447" s="534"/>
      <c r="FA4447" s="534"/>
      <c r="FB4447" s="534"/>
      <c r="FC4447" s="534"/>
      <c r="FD4447" s="534"/>
      <c r="FE4447" s="534"/>
      <c r="FF4447" s="534"/>
      <c r="FG4447" s="534"/>
      <c r="FH4447" s="534"/>
      <c r="FI4447" s="534"/>
      <c r="FJ4447" s="534"/>
      <c r="FK4447" s="534"/>
      <c r="FL4447" s="534"/>
      <c r="FM4447" s="534"/>
      <c r="FN4447" s="534"/>
      <c r="FO4447" s="534"/>
      <c r="FP4447" s="534"/>
      <c r="FQ4447" s="534"/>
      <c r="FR4447" s="534"/>
      <c r="FS4447" s="534"/>
      <c r="FT4447" s="534"/>
      <c r="FU4447" s="534"/>
      <c r="FV4447" s="534"/>
      <c r="FW4447" s="534"/>
      <c r="FX4447" s="534"/>
      <c r="FY4447" s="534"/>
      <c r="FZ4447" s="534"/>
      <c r="GA4447" s="534"/>
      <c r="GB4447" s="534"/>
      <c r="GC4447" s="534"/>
      <c r="GD4447" s="534"/>
      <c r="GE4447" s="534"/>
      <c r="GF4447" s="534"/>
      <c r="GG4447" s="534"/>
      <c r="GH4447" s="534"/>
      <c r="GI4447" s="534"/>
      <c r="GJ4447" s="534"/>
      <c r="GK4447" s="534"/>
      <c r="GL4447" s="534"/>
      <c r="GM4447" s="534"/>
      <c r="GN4447" s="534"/>
      <c r="GO4447" s="534"/>
      <c r="GP4447" s="534"/>
      <c r="GQ4447" s="534"/>
      <c r="GR4447" s="534"/>
      <c r="GS4447" s="534"/>
      <c r="GT4447" s="534"/>
      <c r="GU4447" s="534"/>
      <c r="GV4447" s="534"/>
      <c r="GW4447" s="534"/>
      <c r="GX4447" s="534"/>
      <c r="GY4447" s="534"/>
      <c r="GZ4447" s="534"/>
      <c r="HA4447" s="534"/>
      <c r="HB4447" s="534"/>
      <c r="HC4447" s="534"/>
    </row>
    <row r="4448" spans="1:222" s="90" customFormat="1" hidden="1">
      <c r="A4448" s="812">
        <f t="shared" si="697"/>
        <v>7</v>
      </c>
      <c r="B4448" s="813" t="s">
        <v>3469</v>
      </c>
      <c r="C4448" s="593" t="s">
        <v>221</v>
      </c>
      <c r="D4448" s="815">
        <f t="shared" si="696"/>
        <v>1127.5</v>
      </c>
      <c r="E4448" s="816">
        <v>451</v>
      </c>
      <c r="F4448" s="815" t="s">
        <v>222</v>
      </c>
      <c r="G4448" s="816">
        <v>798</v>
      </c>
      <c r="H4448" s="803">
        <v>2</v>
      </c>
      <c r="I4448" s="803">
        <v>2</v>
      </c>
      <c r="J4448" s="803">
        <v>16</v>
      </c>
      <c r="K4448" s="812" t="s">
        <v>33</v>
      </c>
      <c r="L4448" s="746">
        <f t="shared" si="693"/>
        <v>2067618</v>
      </c>
      <c r="M4448" s="745">
        <f>G4448*2500</f>
        <v>1995000</v>
      </c>
      <c r="N4448" s="802">
        <f>M4448*0.015</f>
        <v>29925</v>
      </c>
      <c r="O4448" s="822"/>
      <c r="P4448" s="802"/>
      <c r="Q4448" s="586">
        <f t="shared" si="694"/>
        <v>42693</v>
      </c>
      <c r="R4448" s="803">
        <f t="shared" si="695"/>
        <v>2500</v>
      </c>
      <c r="S4448" s="817"/>
      <c r="T4448" s="738">
        <f t="shared" si="692"/>
        <v>0</v>
      </c>
      <c r="U4448" s="589"/>
      <c r="V4448" s="817"/>
      <c r="W4448" s="817"/>
      <c r="X4448" s="817"/>
      <c r="Y4448" s="817"/>
      <c r="Z4448" s="817"/>
      <c r="AA4448" s="534"/>
      <c r="AB4448" s="534"/>
      <c r="AC4448" s="534"/>
      <c r="AD4448" s="534"/>
      <c r="AE4448" s="534"/>
      <c r="AF4448" s="534"/>
      <c r="AG4448" s="534"/>
      <c r="AH4448" s="534"/>
      <c r="AI4448" s="534"/>
      <c r="AJ4448" s="534"/>
      <c r="AK4448" s="534"/>
      <c r="AL4448" s="534"/>
      <c r="AM4448" s="534"/>
      <c r="AN4448" s="534"/>
      <c r="AO4448" s="534"/>
      <c r="AP4448" s="534"/>
      <c r="AQ4448" s="534"/>
      <c r="AR4448" s="534"/>
      <c r="AS4448" s="534"/>
      <c r="AT4448" s="534"/>
      <c r="AU4448" s="534"/>
      <c r="AV4448" s="534"/>
      <c r="AW4448" s="534"/>
      <c r="AX4448" s="534"/>
      <c r="AY4448" s="534"/>
      <c r="AZ4448" s="534"/>
      <c r="BA4448" s="534"/>
      <c r="BB4448" s="534"/>
      <c r="BC4448" s="534"/>
      <c r="BD4448" s="534"/>
      <c r="BE4448" s="534"/>
      <c r="BF4448" s="534"/>
      <c r="BG4448" s="534"/>
      <c r="BH4448" s="534"/>
      <c r="BI4448" s="534"/>
      <c r="BJ4448" s="534"/>
      <c r="BK4448" s="534"/>
      <c r="BL4448" s="534"/>
      <c r="BM4448" s="534"/>
      <c r="BN4448" s="534"/>
      <c r="BO4448" s="534"/>
      <c r="BP4448" s="534"/>
      <c r="BQ4448" s="534"/>
      <c r="BR4448" s="534"/>
      <c r="BS4448" s="534"/>
      <c r="BT4448" s="534"/>
      <c r="BU4448" s="534"/>
      <c r="BV4448" s="534"/>
      <c r="BW4448" s="534"/>
      <c r="BX4448" s="534"/>
      <c r="BY4448" s="534"/>
      <c r="BZ4448" s="534"/>
      <c r="CA4448" s="534"/>
      <c r="CB4448" s="534"/>
      <c r="CC4448" s="534"/>
      <c r="CD4448" s="534"/>
      <c r="CE4448" s="534"/>
      <c r="CF4448" s="534"/>
      <c r="CG4448" s="534"/>
      <c r="CH4448" s="534"/>
      <c r="CI4448" s="534"/>
      <c r="CJ4448" s="534"/>
      <c r="CK4448" s="534"/>
      <c r="CL4448" s="534"/>
      <c r="CM4448" s="534"/>
      <c r="CN4448" s="534"/>
      <c r="CO4448" s="534"/>
      <c r="CP4448" s="534"/>
      <c r="CQ4448" s="534"/>
      <c r="CR4448" s="534"/>
      <c r="CS4448" s="534"/>
      <c r="CT4448" s="534"/>
      <c r="CU4448" s="534"/>
      <c r="CV4448" s="534"/>
      <c r="CW4448" s="534"/>
      <c r="CX4448" s="534"/>
      <c r="CY4448" s="534"/>
      <c r="CZ4448" s="534"/>
      <c r="DA4448" s="534"/>
      <c r="DB4448" s="534"/>
      <c r="DC4448" s="534"/>
      <c r="DD4448" s="534"/>
      <c r="DE4448" s="534"/>
      <c r="DF4448" s="534"/>
      <c r="DG4448" s="534"/>
      <c r="DH4448" s="534"/>
      <c r="DI4448" s="534"/>
      <c r="DJ4448" s="534"/>
      <c r="DK4448" s="534"/>
      <c r="DL4448" s="534"/>
      <c r="DM4448" s="534"/>
      <c r="DN4448" s="534"/>
      <c r="DO4448" s="534"/>
      <c r="DP4448" s="534"/>
      <c r="DQ4448" s="534"/>
      <c r="DR4448" s="534"/>
      <c r="DS4448" s="534"/>
      <c r="DT4448" s="534"/>
      <c r="DU4448" s="534"/>
      <c r="DV4448" s="534"/>
      <c r="DW4448" s="534"/>
      <c r="DX4448" s="534"/>
      <c r="DY4448" s="534"/>
      <c r="DZ4448" s="534"/>
      <c r="EA4448" s="534"/>
      <c r="EB4448" s="534"/>
      <c r="EC4448" s="534"/>
      <c r="ED4448" s="534"/>
      <c r="EE4448" s="534"/>
      <c r="EF4448" s="534"/>
      <c r="EG4448" s="534"/>
      <c r="EH4448" s="534"/>
      <c r="EI4448" s="534"/>
      <c r="EJ4448" s="534"/>
      <c r="EK4448" s="534"/>
      <c r="EL4448" s="534"/>
      <c r="EM4448" s="534"/>
      <c r="EN4448" s="534"/>
      <c r="EO4448" s="534"/>
      <c r="EP4448" s="534"/>
      <c r="EQ4448" s="534"/>
      <c r="ER4448" s="534"/>
      <c r="ES4448" s="534"/>
      <c r="ET4448" s="534"/>
      <c r="EU4448" s="534"/>
      <c r="EV4448" s="534"/>
      <c r="EW4448" s="534"/>
      <c r="EX4448" s="534"/>
      <c r="EY4448" s="534"/>
      <c r="EZ4448" s="534"/>
      <c r="FA4448" s="534"/>
      <c r="FB4448" s="534"/>
      <c r="FC4448" s="534"/>
      <c r="FD4448" s="534"/>
      <c r="FE4448" s="534"/>
      <c r="FF4448" s="534"/>
      <c r="FG4448" s="534"/>
      <c r="FH4448" s="534"/>
      <c r="FI4448" s="534"/>
      <c r="FJ4448" s="534"/>
      <c r="FK4448" s="534"/>
      <c r="FL4448" s="534"/>
      <c r="FM4448" s="534"/>
      <c r="FN4448" s="534"/>
      <c r="FO4448" s="534"/>
      <c r="FP4448" s="534"/>
      <c r="FQ4448" s="534"/>
      <c r="FR4448" s="534"/>
      <c r="FS4448" s="534"/>
      <c r="FT4448" s="534"/>
      <c r="FU4448" s="534"/>
      <c r="FV4448" s="534"/>
      <c r="FW4448" s="534"/>
      <c r="FX4448" s="534"/>
      <c r="FY4448" s="534"/>
      <c r="FZ4448" s="534"/>
      <c r="GA4448" s="534"/>
      <c r="GB4448" s="534"/>
      <c r="GC4448" s="534"/>
      <c r="GD4448" s="534"/>
      <c r="GE4448" s="534"/>
      <c r="GF4448" s="534"/>
      <c r="GG4448" s="534"/>
      <c r="GH4448" s="534"/>
      <c r="GI4448" s="534"/>
      <c r="GJ4448" s="534"/>
      <c r="GK4448" s="534"/>
      <c r="GL4448" s="534"/>
      <c r="GM4448" s="534"/>
      <c r="GN4448" s="534"/>
      <c r="GO4448" s="534"/>
      <c r="GP4448" s="534"/>
      <c r="GQ4448" s="534"/>
      <c r="GR4448" s="534"/>
      <c r="GS4448" s="534"/>
      <c r="GT4448" s="534"/>
      <c r="GU4448" s="534"/>
      <c r="GV4448" s="534"/>
      <c r="GW4448" s="534"/>
      <c r="GX4448" s="534"/>
      <c r="GY4448" s="534"/>
      <c r="GZ4448" s="534"/>
      <c r="HA4448" s="534"/>
      <c r="HB4448" s="534"/>
      <c r="HC4448" s="534"/>
      <c r="HD4448" s="534"/>
      <c r="HE4448" s="534"/>
      <c r="HF4448" s="534"/>
      <c r="HG4448" s="534"/>
      <c r="HH4448" s="534"/>
      <c r="HI4448" s="534"/>
      <c r="HJ4448" s="534"/>
      <c r="HK4448" s="534"/>
      <c r="HL4448" s="534"/>
      <c r="HM4448" s="534"/>
      <c r="HN4448" s="534"/>
    </row>
    <row r="4449" spans="1:222" s="547" customFormat="1" hidden="1">
      <c r="A4449" s="812">
        <f t="shared" si="697"/>
        <v>8</v>
      </c>
      <c r="B4449" s="813" t="s">
        <v>3470</v>
      </c>
      <c r="C4449" s="593" t="s">
        <v>221</v>
      </c>
      <c r="D4449" s="815">
        <f>E4449*2.7</f>
        <v>1717.2</v>
      </c>
      <c r="E4449" s="816">
        <v>636</v>
      </c>
      <c r="F4449" s="815" t="s">
        <v>222</v>
      </c>
      <c r="G4449" s="816">
        <v>820</v>
      </c>
      <c r="H4449" s="803">
        <v>2</v>
      </c>
      <c r="I4449" s="803">
        <v>2</v>
      </c>
      <c r="J4449" s="803">
        <v>16</v>
      </c>
      <c r="K4449" s="812" t="s">
        <v>33</v>
      </c>
      <c r="L4449" s="746">
        <f t="shared" si="693"/>
        <v>1699696</v>
      </c>
      <c r="M4449" s="745">
        <f>G4449*2000</f>
        <v>1640000</v>
      </c>
      <c r="N4449" s="802">
        <f>M4449*0.015</f>
        <v>24600</v>
      </c>
      <c r="O4449" s="822"/>
      <c r="P4449" s="802"/>
      <c r="Q4449" s="586">
        <f t="shared" si="694"/>
        <v>35096</v>
      </c>
      <c r="R4449" s="803">
        <f t="shared" si="695"/>
        <v>2000</v>
      </c>
      <c r="S4449" s="817"/>
      <c r="T4449" s="738">
        <f t="shared" si="692"/>
        <v>0</v>
      </c>
      <c r="U4449" s="1078"/>
      <c r="V4449" s="1079"/>
      <c r="W4449" s="1079"/>
      <c r="X4449" s="1079"/>
      <c r="Y4449" s="1079"/>
      <c r="Z4449" s="1079"/>
      <c r="AA4449" s="546"/>
      <c r="AB4449" s="546"/>
      <c r="AC4449" s="546"/>
      <c r="AD4449" s="546"/>
      <c r="AE4449" s="546"/>
      <c r="AF4449" s="546"/>
      <c r="AG4449" s="546"/>
      <c r="AH4449" s="546"/>
      <c r="AI4449" s="546"/>
      <c r="AJ4449" s="546"/>
      <c r="AK4449" s="546"/>
      <c r="AL4449" s="546"/>
      <c r="AM4449" s="546"/>
      <c r="AN4449" s="546"/>
      <c r="AO4449" s="546"/>
      <c r="AP4449" s="546"/>
      <c r="AQ4449" s="546"/>
      <c r="AR4449" s="546"/>
      <c r="AS4449" s="546"/>
      <c r="AT4449" s="546"/>
      <c r="AU4449" s="546"/>
      <c r="AV4449" s="546"/>
      <c r="AW4449" s="546"/>
      <c r="AX4449" s="546"/>
      <c r="AY4449" s="546"/>
      <c r="AZ4449" s="546"/>
      <c r="BA4449" s="546"/>
      <c r="BB4449" s="546"/>
      <c r="BC4449" s="546"/>
      <c r="BD4449" s="546"/>
      <c r="BE4449" s="546"/>
      <c r="BF4449" s="546"/>
      <c r="BG4449" s="546"/>
      <c r="BH4449" s="546"/>
      <c r="BI4449" s="546"/>
      <c r="BJ4449" s="546"/>
      <c r="BK4449" s="546"/>
      <c r="BL4449" s="546"/>
      <c r="BM4449" s="546"/>
      <c r="BN4449" s="546"/>
      <c r="BO4449" s="546"/>
      <c r="BP4449" s="546"/>
      <c r="BQ4449" s="546"/>
      <c r="BR4449" s="546"/>
      <c r="BS4449" s="546"/>
      <c r="BT4449" s="546"/>
      <c r="BU4449" s="546"/>
      <c r="BV4449" s="546"/>
      <c r="BW4449" s="546"/>
      <c r="BX4449" s="546"/>
      <c r="BY4449" s="546"/>
      <c r="BZ4449" s="546"/>
      <c r="CA4449" s="546"/>
      <c r="CB4449" s="546"/>
      <c r="CC4449" s="546"/>
      <c r="CD4449" s="546"/>
      <c r="CE4449" s="546"/>
      <c r="CF4449" s="546"/>
      <c r="CG4449" s="546"/>
      <c r="CH4449" s="546"/>
      <c r="CI4449" s="546"/>
      <c r="CJ4449" s="546"/>
      <c r="CK4449" s="546"/>
      <c r="CL4449" s="546"/>
      <c r="CM4449" s="546"/>
      <c r="CN4449" s="546"/>
      <c r="CO4449" s="546"/>
      <c r="CP4449" s="546"/>
      <c r="CQ4449" s="546"/>
      <c r="CR4449" s="546"/>
      <c r="CS4449" s="546"/>
      <c r="CT4449" s="546"/>
      <c r="CU4449" s="546"/>
      <c r="CV4449" s="546"/>
      <c r="CW4449" s="546"/>
      <c r="CX4449" s="546"/>
      <c r="CY4449" s="546"/>
      <c r="CZ4449" s="546"/>
      <c r="DA4449" s="546"/>
      <c r="DB4449" s="546"/>
      <c r="DC4449" s="546"/>
      <c r="DD4449" s="546"/>
      <c r="DE4449" s="546"/>
      <c r="DF4449" s="546"/>
      <c r="DG4449" s="546"/>
      <c r="DH4449" s="546"/>
      <c r="DI4449" s="546"/>
      <c r="DJ4449" s="546"/>
      <c r="DK4449" s="546"/>
      <c r="DL4449" s="546"/>
      <c r="DM4449" s="546"/>
      <c r="DN4449" s="546"/>
      <c r="DO4449" s="546"/>
      <c r="DP4449" s="546"/>
      <c r="DQ4449" s="546"/>
      <c r="DR4449" s="546"/>
      <c r="DS4449" s="546"/>
      <c r="DT4449" s="546"/>
      <c r="DU4449" s="546"/>
      <c r="DV4449" s="546"/>
      <c r="DW4449" s="546"/>
      <c r="DX4449" s="546"/>
      <c r="DY4449" s="546"/>
      <c r="DZ4449" s="546"/>
      <c r="EA4449" s="546"/>
      <c r="EB4449" s="546"/>
      <c r="EC4449" s="546"/>
      <c r="ED4449" s="546"/>
      <c r="EE4449" s="546"/>
      <c r="EF4449" s="546"/>
      <c r="EG4449" s="546"/>
      <c r="EH4449" s="546"/>
      <c r="EI4449" s="546"/>
      <c r="EJ4449" s="546"/>
      <c r="EK4449" s="546"/>
      <c r="EL4449" s="546"/>
      <c r="EM4449" s="546"/>
      <c r="EN4449" s="546"/>
      <c r="EO4449" s="546"/>
      <c r="EP4449" s="546"/>
      <c r="EQ4449" s="546"/>
      <c r="ER4449" s="546"/>
      <c r="ES4449" s="546"/>
      <c r="ET4449" s="546"/>
      <c r="EU4449" s="546"/>
      <c r="EV4449" s="546"/>
      <c r="EW4449" s="546"/>
      <c r="EX4449" s="546"/>
      <c r="EY4449" s="546"/>
      <c r="EZ4449" s="546"/>
      <c r="FA4449" s="546"/>
      <c r="FB4449" s="546"/>
      <c r="FC4449" s="546"/>
      <c r="FD4449" s="546"/>
      <c r="FE4449" s="546"/>
      <c r="FF4449" s="546"/>
      <c r="FG4449" s="546"/>
      <c r="FH4449" s="546"/>
      <c r="FI4449" s="546"/>
      <c r="FJ4449" s="546"/>
      <c r="FK4449" s="546"/>
      <c r="FL4449" s="546"/>
      <c r="FM4449" s="546"/>
      <c r="FN4449" s="546"/>
      <c r="FO4449" s="546"/>
      <c r="FP4449" s="546"/>
      <c r="FQ4449" s="546"/>
      <c r="FR4449" s="546"/>
      <c r="FS4449" s="546"/>
      <c r="FT4449" s="546"/>
      <c r="FU4449" s="546"/>
      <c r="FV4449" s="546"/>
      <c r="FW4449" s="546"/>
      <c r="FX4449" s="546"/>
      <c r="FY4449" s="546"/>
      <c r="FZ4449" s="546"/>
      <c r="GA4449" s="546"/>
      <c r="GB4449" s="546"/>
      <c r="GC4449" s="546"/>
      <c r="GD4449" s="546"/>
      <c r="GE4449" s="546"/>
      <c r="GF4449" s="546"/>
      <c r="GG4449" s="546"/>
      <c r="GH4449" s="546"/>
      <c r="GI4449" s="546"/>
      <c r="GJ4449" s="546"/>
      <c r="GK4449" s="546"/>
      <c r="GL4449" s="546"/>
      <c r="GM4449" s="546"/>
      <c r="GN4449" s="546"/>
      <c r="GO4449" s="546"/>
      <c r="GP4449" s="546"/>
      <c r="GQ4449" s="546"/>
      <c r="GR4449" s="546"/>
      <c r="GS4449" s="546"/>
      <c r="GT4449" s="546"/>
      <c r="GU4449" s="546"/>
      <c r="GV4449" s="546"/>
      <c r="GW4449" s="546"/>
      <c r="GX4449" s="546"/>
      <c r="GY4449" s="546"/>
      <c r="GZ4449" s="546"/>
      <c r="HA4449" s="546"/>
      <c r="HB4449" s="546"/>
      <c r="HC4449" s="546"/>
      <c r="HD4449" s="546"/>
      <c r="HE4449" s="546"/>
      <c r="HF4449" s="546"/>
      <c r="HG4449" s="546"/>
      <c r="HH4449" s="546"/>
      <c r="HI4449" s="546"/>
      <c r="HJ4449" s="546"/>
      <c r="HK4449" s="546"/>
      <c r="HL4449" s="546"/>
      <c r="HM4449" s="546"/>
      <c r="HN4449" s="546"/>
    </row>
    <row r="4450" spans="1:222" s="90" customFormat="1" hidden="1">
      <c r="A4450" s="812">
        <f t="shared" si="697"/>
        <v>9</v>
      </c>
      <c r="B4450" s="813" t="s">
        <v>3471</v>
      </c>
      <c r="C4450" s="814" t="s">
        <v>221</v>
      </c>
      <c r="D4450" s="815">
        <f t="shared" si="696"/>
        <v>1011</v>
      </c>
      <c r="E4450" s="815">
        <v>404.4</v>
      </c>
      <c r="F4450" s="815" t="s">
        <v>222</v>
      </c>
      <c r="G4450" s="815">
        <v>619.36</v>
      </c>
      <c r="H4450" s="819">
        <v>2</v>
      </c>
      <c r="I4450" s="819">
        <v>2</v>
      </c>
      <c r="J4450" s="819">
        <v>12</v>
      </c>
      <c r="K4450" s="812" t="s">
        <v>33</v>
      </c>
      <c r="L4450" s="746">
        <f t="shared" si="693"/>
        <v>1612504</v>
      </c>
      <c r="M4450" s="585">
        <f t="shared" ref="M4450:M4457" si="698">G4450*2500</f>
        <v>1548400</v>
      </c>
      <c r="N4450" s="586">
        <f>M4450*0.02</f>
        <v>30968</v>
      </c>
      <c r="O4450" s="587"/>
      <c r="P4450" s="586"/>
      <c r="Q4450" s="586">
        <f t="shared" si="694"/>
        <v>33136</v>
      </c>
      <c r="R4450" s="582">
        <f t="shared" si="695"/>
        <v>2500</v>
      </c>
      <c r="S4450" s="817"/>
      <c r="T4450" s="738">
        <f t="shared" si="692"/>
        <v>0</v>
      </c>
      <c r="U4450" s="589"/>
      <c r="V4450" s="817"/>
      <c r="W4450" s="817"/>
      <c r="X4450" s="817"/>
      <c r="Y4450" s="817"/>
      <c r="Z4450" s="817"/>
      <c r="AA4450" s="534"/>
      <c r="AB4450" s="534"/>
      <c r="AC4450" s="534"/>
      <c r="AD4450" s="534"/>
      <c r="AE4450" s="534"/>
      <c r="AF4450" s="534"/>
      <c r="AG4450" s="534"/>
      <c r="AH4450" s="534"/>
      <c r="AI4450" s="534"/>
      <c r="AJ4450" s="534"/>
      <c r="AK4450" s="534"/>
      <c r="AL4450" s="534"/>
      <c r="AM4450" s="534"/>
      <c r="AN4450" s="534"/>
      <c r="AO4450" s="534"/>
      <c r="AP4450" s="534"/>
      <c r="AQ4450" s="534"/>
      <c r="AR4450" s="534"/>
      <c r="AS4450" s="534"/>
      <c r="AT4450" s="534"/>
      <c r="AU4450" s="534"/>
      <c r="AV4450" s="534"/>
      <c r="AW4450" s="534"/>
      <c r="AX4450" s="534"/>
      <c r="AY4450" s="534"/>
      <c r="AZ4450" s="534"/>
      <c r="BA4450" s="534"/>
      <c r="BB4450" s="534"/>
      <c r="BC4450" s="534"/>
      <c r="BD4450" s="534"/>
      <c r="BE4450" s="534"/>
      <c r="BF4450" s="534"/>
      <c r="BG4450" s="534"/>
      <c r="BH4450" s="534"/>
      <c r="BI4450" s="534"/>
      <c r="BJ4450" s="534"/>
      <c r="BK4450" s="534"/>
      <c r="BL4450" s="534"/>
      <c r="BM4450" s="534"/>
      <c r="BN4450" s="534"/>
      <c r="BO4450" s="534"/>
      <c r="BP4450" s="534"/>
      <c r="BQ4450" s="534"/>
      <c r="BR4450" s="534"/>
      <c r="BS4450" s="534"/>
      <c r="BT4450" s="534"/>
      <c r="BU4450" s="534"/>
      <c r="BV4450" s="534"/>
      <c r="BW4450" s="534"/>
      <c r="BX4450" s="534"/>
      <c r="BY4450" s="534"/>
      <c r="BZ4450" s="534"/>
      <c r="CA4450" s="534"/>
      <c r="CB4450" s="534"/>
      <c r="CC4450" s="534"/>
      <c r="CD4450" s="534"/>
      <c r="CE4450" s="534"/>
      <c r="CF4450" s="534"/>
      <c r="CG4450" s="534"/>
      <c r="CH4450" s="534"/>
      <c r="CI4450" s="534"/>
      <c r="CJ4450" s="534"/>
      <c r="CK4450" s="534"/>
      <c r="CL4450" s="534"/>
      <c r="CM4450" s="534"/>
      <c r="CN4450" s="534"/>
      <c r="CO4450" s="534"/>
      <c r="CP4450" s="534"/>
      <c r="CQ4450" s="534"/>
      <c r="CR4450" s="534"/>
      <c r="CS4450" s="534"/>
      <c r="CT4450" s="534"/>
      <c r="CU4450" s="534"/>
      <c r="CV4450" s="534"/>
      <c r="CW4450" s="534"/>
      <c r="CX4450" s="534"/>
      <c r="CY4450" s="534"/>
      <c r="CZ4450" s="534"/>
      <c r="DA4450" s="534"/>
      <c r="DB4450" s="534"/>
      <c r="DC4450" s="534"/>
      <c r="DD4450" s="534"/>
      <c r="DE4450" s="534"/>
      <c r="DF4450" s="534"/>
      <c r="DG4450" s="534"/>
      <c r="DH4450" s="534"/>
      <c r="DI4450" s="534"/>
      <c r="DJ4450" s="534"/>
      <c r="DK4450" s="534"/>
      <c r="DL4450" s="534"/>
      <c r="DM4450" s="534"/>
      <c r="DN4450" s="534"/>
      <c r="DO4450" s="534"/>
      <c r="DP4450" s="534"/>
      <c r="DQ4450" s="534"/>
      <c r="DR4450" s="534"/>
      <c r="DS4450" s="534"/>
      <c r="DT4450" s="534"/>
      <c r="DU4450" s="534"/>
      <c r="DV4450" s="534"/>
      <c r="DW4450" s="534"/>
      <c r="DX4450" s="534"/>
      <c r="DY4450" s="534"/>
      <c r="DZ4450" s="534"/>
      <c r="EA4450" s="534"/>
      <c r="EB4450" s="534"/>
      <c r="EC4450" s="534"/>
      <c r="ED4450" s="534"/>
      <c r="EE4450" s="534"/>
      <c r="EF4450" s="534"/>
      <c r="EG4450" s="534"/>
      <c r="EH4450" s="534"/>
      <c r="EI4450" s="534"/>
      <c r="EJ4450" s="534"/>
      <c r="EK4450" s="534"/>
      <c r="EL4450" s="534"/>
      <c r="EM4450" s="534"/>
      <c r="EN4450" s="534"/>
      <c r="EO4450" s="534"/>
      <c r="EP4450" s="534"/>
      <c r="EQ4450" s="534"/>
      <c r="ER4450" s="534"/>
      <c r="ES4450" s="534"/>
      <c r="ET4450" s="534"/>
      <c r="EU4450" s="534"/>
      <c r="EV4450" s="534"/>
      <c r="EW4450" s="534"/>
      <c r="EX4450" s="534"/>
      <c r="EY4450" s="534"/>
      <c r="EZ4450" s="534"/>
      <c r="FA4450" s="534"/>
      <c r="FB4450" s="534"/>
      <c r="FC4450" s="534"/>
      <c r="FD4450" s="534"/>
      <c r="FE4450" s="534"/>
      <c r="FF4450" s="534"/>
      <c r="FG4450" s="534"/>
      <c r="FH4450" s="534"/>
      <c r="FI4450" s="534"/>
      <c r="FJ4450" s="534"/>
      <c r="FK4450" s="534"/>
      <c r="FL4450" s="534"/>
      <c r="FM4450" s="534"/>
      <c r="FN4450" s="534"/>
      <c r="FO4450" s="534"/>
      <c r="FP4450" s="534"/>
      <c r="FQ4450" s="534"/>
      <c r="FR4450" s="534"/>
      <c r="FS4450" s="534"/>
      <c r="FT4450" s="534"/>
      <c r="FU4450" s="534"/>
      <c r="FV4450" s="534"/>
      <c r="FW4450" s="534"/>
      <c r="FX4450" s="534"/>
      <c r="FY4450" s="534"/>
      <c r="FZ4450" s="534"/>
      <c r="GA4450" s="534"/>
      <c r="GB4450" s="534"/>
      <c r="GC4450" s="534"/>
      <c r="GD4450" s="534"/>
      <c r="GE4450" s="534"/>
      <c r="GF4450" s="534"/>
      <c r="GG4450" s="534"/>
      <c r="GH4450" s="534"/>
      <c r="GI4450" s="534"/>
      <c r="GJ4450" s="534"/>
      <c r="GK4450" s="534"/>
      <c r="GL4450" s="534"/>
      <c r="GM4450" s="534"/>
      <c r="GN4450" s="534"/>
      <c r="GO4450" s="534"/>
      <c r="GP4450" s="534"/>
      <c r="GQ4450" s="534"/>
      <c r="GR4450" s="534"/>
      <c r="GS4450" s="534"/>
      <c r="GT4450" s="534"/>
      <c r="GU4450" s="534"/>
      <c r="GV4450" s="534"/>
      <c r="GW4450" s="534"/>
      <c r="GX4450" s="534"/>
      <c r="GY4450" s="534"/>
      <c r="GZ4450" s="534"/>
      <c r="HA4450" s="534"/>
      <c r="HB4450" s="534"/>
      <c r="HC4450" s="534"/>
      <c r="HD4450" s="534"/>
      <c r="HE4450" s="534"/>
      <c r="HF4450" s="534"/>
      <c r="HG4450" s="534"/>
      <c r="HH4450" s="534"/>
      <c r="HI4450" s="534"/>
      <c r="HJ4450" s="534"/>
      <c r="HK4450" s="534"/>
      <c r="HL4450" s="534"/>
      <c r="HM4450" s="534"/>
      <c r="HN4450" s="534"/>
    </row>
    <row r="4451" spans="1:222" s="535" customFormat="1" hidden="1">
      <c r="A4451" s="812">
        <f t="shared" si="697"/>
        <v>10</v>
      </c>
      <c r="B4451" s="813" t="s">
        <v>3472</v>
      </c>
      <c r="C4451" s="814" t="s">
        <v>221</v>
      </c>
      <c r="D4451" s="815">
        <f t="shared" si="696"/>
        <v>933</v>
      </c>
      <c r="E4451" s="815">
        <v>373.2</v>
      </c>
      <c r="F4451" s="815" t="s">
        <v>222</v>
      </c>
      <c r="G4451" s="815">
        <v>353</v>
      </c>
      <c r="H4451" s="819">
        <v>2</v>
      </c>
      <c r="I4451" s="819">
        <v>1</v>
      </c>
      <c r="J4451" s="819">
        <v>8</v>
      </c>
      <c r="K4451" s="812" t="s">
        <v>33</v>
      </c>
      <c r="L4451" s="746">
        <f t="shared" si="693"/>
        <v>923449</v>
      </c>
      <c r="M4451" s="585">
        <f t="shared" si="698"/>
        <v>882500</v>
      </c>
      <c r="N4451" s="586">
        <v>22063</v>
      </c>
      <c r="O4451" s="587"/>
      <c r="P4451" s="586"/>
      <c r="Q4451" s="586">
        <f t="shared" si="694"/>
        <v>18886</v>
      </c>
      <c r="R4451" s="582">
        <f t="shared" si="695"/>
        <v>2500</v>
      </c>
      <c r="S4451" s="823"/>
      <c r="T4451" s="738">
        <f t="shared" si="692"/>
        <v>0</v>
      </c>
      <c r="U4451" s="824"/>
      <c r="V4451" s="823"/>
      <c r="W4451" s="823"/>
      <c r="X4451" s="823"/>
      <c r="Y4451" s="823"/>
      <c r="Z4451" s="823"/>
    </row>
    <row r="4452" spans="1:222" s="535" customFormat="1" hidden="1">
      <c r="A4452" s="812">
        <f t="shared" si="697"/>
        <v>11</v>
      </c>
      <c r="B4452" s="813" t="s">
        <v>3473</v>
      </c>
      <c r="C4452" s="700" t="s">
        <v>217</v>
      </c>
      <c r="D4452" s="815">
        <f t="shared" si="696"/>
        <v>825</v>
      </c>
      <c r="E4452" s="816">
        <f>(20+13)*2*2.5*2</f>
        <v>330</v>
      </c>
      <c r="F4452" s="815" t="s">
        <v>222</v>
      </c>
      <c r="G4452" s="816">
        <v>680</v>
      </c>
      <c r="H4452" s="819">
        <v>2</v>
      </c>
      <c r="I4452" s="819">
        <v>2</v>
      </c>
      <c r="J4452" s="803">
        <v>16</v>
      </c>
      <c r="K4452" s="812" t="s">
        <v>33</v>
      </c>
      <c r="L4452" s="746">
        <f t="shared" si="693"/>
        <v>1770380</v>
      </c>
      <c r="M4452" s="745">
        <f t="shared" si="698"/>
        <v>1700000</v>
      </c>
      <c r="N4452" s="802">
        <f>M4452*0.02</f>
        <v>34000</v>
      </c>
      <c r="O4452" s="822"/>
      <c r="P4452" s="802"/>
      <c r="Q4452" s="586">
        <f t="shared" si="694"/>
        <v>36380</v>
      </c>
      <c r="R4452" s="803">
        <f t="shared" si="695"/>
        <v>2500</v>
      </c>
      <c r="S4452" s="823"/>
      <c r="T4452" s="738">
        <f t="shared" si="692"/>
        <v>0</v>
      </c>
      <c r="U4452" s="589"/>
      <c r="V4452" s="823"/>
      <c r="W4452" s="823"/>
      <c r="X4452" s="823"/>
      <c r="Y4452" s="823"/>
      <c r="Z4452" s="823"/>
    </row>
    <row r="4453" spans="1:222" s="90" customFormat="1" hidden="1">
      <c r="A4453" s="812">
        <f t="shared" si="697"/>
        <v>12</v>
      </c>
      <c r="B4453" s="813" t="s">
        <v>3474</v>
      </c>
      <c r="C4453" s="814" t="s">
        <v>217</v>
      </c>
      <c r="D4453" s="815">
        <f t="shared" si="696"/>
        <v>1325</v>
      </c>
      <c r="E4453" s="815">
        <f>(40+13)*2*2.5*2</f>
        <v>530</v>
      </c>
      <c r="F4453" s="815" t="s">
        <v>222</v>
      </c>
      <c r="G4453" s="815">
        <v>880</v>
      </c>
      <c r="H4453" s="819">
        <v>2</v>
      </c>
      <c r="I4453" s="819">
        <v>2</v>
      </c>
      <c r="J4453" s="819">
        <v>16</v>
      </c>
      <c r="K4453" s="812" t="s">
        <v>33</v>
      </c>
      <c r="L4453" s="746">
        <f t="shared" si="693"/>
        <v>2280080</v>
      </c>
      <c r="M4453" s="585">
        <f t="shared" si="698"/>
        <v>2200000</v>
      </c>
      <c r="N4453" s="586">
        <f>M4453*0.015</f>
        <v>33000</v>
      </c>
      <c r="O4453" s="587"/>
      <c r="P4453" s="586"/>
      <c r="Q4453" s="586">
        <f t="shared" si="694"/>
        <v>47080</v>
      </c>
      <c r="R4453" s="582">
        <f t="shared" si="695"/>
        <v>2500</v>
      </c>
      <c r="S4453" s="817"/>
      <c r="T4453" s="738">
        <f t="shared" si="692"/>
        <v>0</v>
      </c>
      <c r="U4453" s="818"/>
      <c r="V4453" s="817"/>
      <c r="W4453" s="817"/>
      <c r="X4453" s="817"/>
      <c r="Y4453" s="817"/>
      <c r="Z4453" s="817"/>
      <c r="AA4453" s="534"/>
      <c r="AB4453" s="534"/>
      <c r="AC4453" s="534"/>
      <c r="AD4453" s="534"/>
      <c r="AE4453" s="534"/>
      <c r="AF4453" s="534"/>
      <c r="AG4453" s="534"/>
      <c r="AH4453" s="534"/>
      <c r="AI4453" s="534"/>
      <c r="AJ4453" s="534"/>
      <c r="AK4453" s="534"/>
      <c r="AL4453" s="534"/>
      <c r="AM4453" s="534"/>
      <c r="AN4453" s="534"/>
      <c r="AO4453" s="534"/>
      <c r="AP4453" s="534"/>
      <c r="AQ4453" s="534"/>
      <c r="AR4453" s="534"/>
      <c r="AS4453" s="534"/>
      <c r="AT4453" s="534"/>
      <c r="AU4453" s="534"/>
      <c r="AV4453" s="534"/>
      <c r="AW4453" s="534"/>
      <c r="AX4453" s="534"/>
      <c r="AY4453" s="534"/>
      <c r="AZ4453" s="534"/>
      <c r="BA4453" s="534"/>
      <c r="BB4453" s="534"/>
      <c r="BC4453" s="534"/>
      <c r="BD4453" s="534"/>
      <c r="BE4453" s="534"/>
      <c r="BF4453" s="534"/>
      <c r="BG4453" s="534"/>
      <c r="BH4453" s="534"/>
      <c r="BI4453" s="534"/>
      <c r="BJ4453" s="534"/>
      <c r="BK4453" s="534"/>
      <c r="BL4453" s="534"/>
      <c r="BM4453" s="534"/>
      <c r="BN4453" s="534"/>
      <c r="BO4453" s="534"/>
      <c r="BP4453" s="534"/>
      <c r="BQ4453" s="534"/>
      <c r="BR4453" s="534"/>
      <c r="BS4453" s="534"/>
      <c r="BT4453" s="534"/>
      <c r="BU4453" s="534"/>
      <c r="BV4453" s="534"/>
      <c r="BW4453" s="534"/>
      <c r="BX4453" s="534"/>
      <c r="BY4453" s="534"/>
      <c r="BZ4453" s="534"/>
      <c r="CA4453" s="534"/>
      <c r="CB4453" s="534"/>
      <c r="CC4453" s="534"/>
      <c r="CD4453" s="534"/>
      <c r="CE4453" s="534"/>
      <c r="CF4453" s="534"/>
      <c r="CG4453" s="534"/>
      <c r="CH4453" s="534"/>
      <c r="CI4453" s="534"/>
      <c r="CJ4453" s="534"/>
      <c r="CK4453" s="534"/>
      <c r="CL4453" s="534"/>
      <c r="CM4453" s="534"/>
      <c r="CN4453" s="534"/>
      <c r="CO4453" s="534"/>
      <c r="CP4453" s="534"/>
      <c r="CQ4453" s="534"/>
      <c r="CR4453" s="534"/>
      <c r="CS4453" s="534"/>
      <c r="CT4453" s="534"/>
      <c r="CU4453" s="534"/>
      <c r="CV4453" s="534"/>
      <c r="CW4453" s="534"/>
      <c r="CX4453" s="534"/>
      <c r="CY4453" s="534"/>
      <c r="CZ4453" s="534"/>
      <c r="DA4453" s="534"/>
      <c r="DB4453" s="534"/>
      <c r="DC4453" s="534"/>
      <c r="DD4453" s="534"/>
      <c r="DE4453" s="534"/>
      <c r="DF4453" s="534"/>
      <c r="DG4453" s="534"/>
      <c r="DH4453" s="534"/>
      <c r="DI4453" s="534"/>
      <c r="DJ4453" s="534"/>
      <c r="DK4453" s="534"/>
      <c r="DL4453" s="534"/>
      <c r="DM4453" s="534"/>
      <c r="DN4453" s="534"/>
      <c r="DO4453" s="534"/>
      <c r="DP4453" s="534"/>
      <c r="DQ4453" s="534"/>
      <c r="DR4453" s="534"/>
      <c r="DS4453" s="534"/>
      <c r="DT4453" s="534"/>
      <c r="DU4453" s="534"/>
      <c r="DV4453" s="534"/>
      <c r="DW4453" s="534"/>
      <c r="DX4453" s="534"/>
      <c r="DY4453" s="534"/>
      <c r="DZ4453" s="534"/>
      <c r="EA4453" s="534"/>
      <c r="EB4453" s="534"/>
      <c r="EC4453" s="534"/>
      <c r="ED4453" s="534"/>
      <c r="EE4453" s="534"/>
      <c r="EF4453" s="534"/>
      <c r="EG4453" s="534"/>
      <c r="EH4453" s="534"/>
      <c r="EI4453" s="534"/>
      <c r="EJ4453" s="534"/>
      <c r="EK4453" s="534"/>
      <c r="EL4453" s="534"/>
      <c r="EM4453" s="534"/>
      <c r="EN4453" s="534"/>
      <c r="EO4453" s="534"/>
      <c r="EP4453" s="534"/>
      <c r="EQ4453" s="534"/>
      <c r="ER4453" s="534"/>
      <c r="ES4453" s="534"/>
      <c r="ET4453" s="534"/>
      <c r="EU4453" s="534"/>
      <c r="EV4453" s="534"/>
      <c r="EW4453" s="534"/>
      <c r="EX4453" s="534"/>
      <c r="EY4453" s="534"/>
      <c r="EZ4453" s="534"/>
      <c r="FA4453" s="534"/>
      <c r="FB4453" s="534"/>
      <c r="FC4453" s="534"/>
      <c r="FD4453" s="534"/>
      <c r="FE4453" s="534"/>
      <c r="FF4453" s="534"/>
      <c r="FG4453" s="534"/>
      <c r="FH4453" s="534"/>
      <c r="FI4453" s="534"/>
      <c r="FJ4453" s="534"/>
      <c r="FK4453" s="534"/>
      <c r="FL4453" s="534"/>
      <c r="FM4453" s="534"/>
      <c r="FN4453" s="534"/>
      <c r="FO4453" s="534"/>
      <c r="FP4453" s="534"/>
      <c r="FQ4453" s="534"/>
      <c r="FR4453" s="534"/>
      <c r="FS4453" s="534"/>
      <c r="FT4453" s="534"/>
      <c r="FU4453" s="534"/>
      <c r="FV4453" s="534"/>
      <c r="FW4453" s="534"/>
      <c r="FX4453" s="534"/>
      <c r="FY4453" s="534"/>
      <c r="FZ4453" s="534"/>
      <c r="GA4453" s="534"/>
      <c r="GB4453" s="534"/>
      <c r="GC4453" s="534"/>
      <c r="GD4453" s="534"/>
      <c r="GE4453" s="534"/>
      <c r="GF4453" s="534"/>
      <c r="GG4453" s="534"/>
      <c r="GH4453" s="534"/>
      <c r="GI4453" s="534"/>
      <c r="GJ4453" s="534"/>
      <c r="GK4453" s="534"/>
      <c r="GL4453" s="534"/>
      <c r="GM4453" s="534"/>
      <c r="GN4453" s="534"/>
      <c r="GO4453" s="534"/>
      <c r="GP4453" s="534"/>
      <c r="GQ4453" s="534"/>
      <c r="GR4453" s="534"/>
      <c r="GS4453" s="534"/>
      <c r="GT4453" s="534"/>
      <c r="GU4453" s="534"/>
      <c r="GV4453" s="534"/>
      <c r="GW4453" s="534"/>
      <c r="GX4453" s="534"/>
      <c r="GY4453" s="534"/>
      <c r="GZ4453" s="534"/>
      <c r="HA4453" s="534"/>
      <c r="HB4453" s="534"/>
      <c r="HC4453" s="534"/>
    </row>
    <row r="4454" spans="1:222" s="92" customFormat="1" hidden="1">
      <c r="A4454" s="812">
        <f t="shared" si="697"/>
        <v>13</v>
      </c>
      <c r="B4454" s="813" t="s">
        <v>3475</v>
      </c>
      <c r="C4454" s="814" t="s">
        <v>217</v>
      </c>
      <c r="D4454" s="815">
        <f t="shared" si="696"/>
        <v>1325</v>
      </c>
      <c r="E4454" s="815">
        <f>(40+13)*2*2.5*2</f>
        <v>530</v>
      </c>
      <c r="F4454" s="815" t="s">
        <v>222</v>
      </c>
      <c r="G4454" s="815">
        <v>880</v>
      </c>
      <c r="H4454" s="819">
        <v>2</v>
      </c>
      <c r="I4454" s="819">
        <v>2</v>
      </c>
      <c r="J4454" s="819">
        <v>16</v>
      </c>
      <c r="K4454" s="812" t="s">
        <v>33</v>
      </c>
      <c r="L4454" s="746">
        <f t="shared" si="693"/>
        <v>2280080</v>
      </c>
      <c r="M4454" s="585">
        <f t="shared" si="698"/>
        <v>2200000</v>
      </c>
      <c r="N4454" s="586">
        <f>M4454*0.015</f>
        <v>33000</v>
      </c>
      <c r="O4454" s="587"/>
      <c r="P4454" s="586"/>
      <c r="Q4454" s="586">
        <f t="shared" si="694"/>
        <v>47080</v>
      </c>
      <c r="R4454" s="582">
        <f t="shared" si="695"/>
        <v>2500</v>
      </c>
      <c r="S4454" s="1266"/>
      <c r="T4454" s="738">
        <f t="shared" si="692"/>
        <v>0</v>
      </c>
      <c r="U4454" s="1267"/>
      <c r="V4454" s="1266"/>
      <c r="W4454" s="1266"/>
      <c r="X4454" s="1266"/>
      <c r="Y4454" s="1266"/>
      <c r="Z4454" s="1266"/>
      <c r="AA4454" s="554"/>
      <c r="AB4454" s="554"/>
      <c r="AC4454" s="554"/>
      <c r="AD4454" s="554"/>
      <c r="AE4454" s="554"/>
      <c r="AF4454" s="554"/>
      <c r="AG4454" s="554"/>
      <c r="AH4454" s="554"/>
      <c r="AI4454" s="554"/>
      <c r="AJ4454" s="554"/>
      <c r="AK4454" s="554"/>
      <c r="AL4454" s="554"/>
      <c r="AM4454" s="554"/>
      <c r="AN4454" s="554"/>
      <c r="AO4454" s="554"/>
      <c r="AP4454" s="554"/>
      <c r="AQ4454" s="554"/>
      <c r="AR4454" s="554"/>
      <c r="AS4454" s="554"/>
      <c r="AT4454" s="554"/>
      <c r="AU4454" s="554"/>
      <c r="AV4454" s="554"/>
      <c r="AW4454" s="554"/>
      <c r="AX4454" s="554"/>
      <c r="AY4454" s="554"/>
      <c r="AZ4454" s="554"/>
      <c r="BA4454" s="554"/>
      <c r="BB4454" s="554"/>
      <c r="BC4454" s="554"/>
      <c r="BD4454" s="554"/>
      <c r="BE4454" s="554"/>
      <c r="BF4454" s="554"/>
      <c r="BG4454" s="554"/>
      <c r="BH4454" s="554"/>
      <c r="BI4454" s="554"/>
      <c r="BJ4454" s="554"/>
      <c r="BK4454" s="554"/>
      <c r="BL4454" s="554"/>
      <c r="BM4454" s="554"/>
      <c r="BN4454" s="554"/>
      <c r="BO4454" s="554"/>
      <c r="BP4454" s="554"/>
      <c r="BQ4454" s="554"/>
      <c r="BR4454" s="554"/>
      <c r="BS4454" s="554"/>
      <c r="BT4454" s="554"/>
      <c r="BU4454" s="554"/>
      <c r="BV4454" s="554"/>
      <c r="BW4454" s="554"/>
      <c r="BX4454" s="554"/>
      <c r="BY4454" s="554"/>
      <c r="BZ4454" s="554"/>
      <c r="CA4454" s="554"/>
      <c r="CB4454" s="554"/>
      <c r="CC4454" s="554"/>
      <c r="CD4454" s="554"/>
      <c r="CE4454" s="554"/>
      <c r="CF4454" s="554"/>
      <c r="CG4454" s="554"/>
      <c r="CH4454" s="554"/>
      <c r="CI4454" s="554"/>
      <c r="CJ4454" s="554"/>
      <c r="CK4454" s="554"/>
      <c r="CL4454" s="554"/>
      <c r="CM4454" s="554"/>
      <c r="CN4454" s="554"/>
      <c r="CO4454" s="554"/>
      <c r="CP4454" s="554"/>
      <c r="CQ4454" s="554"/>
      <c r="CR4454" s="554"/>
      <c r="CS4454" s="554"/>
      <c r="CT4454" s="554"/>
      <c r="CU4454" s="554"/>
      <c r="CV4454" s="554"/>
      <c r="CW4454" s="554"/>
      <c r="CX4454" s="554"/>
      <c r="CY4454" s="554"/>
      <c r="CZ4454" s="554"/>
      <c r="DA4454" s="554"/>
      <c r="DB4454" s="554"/>
      <c r="DC4454" s="554"/>
      <c r="DD4454" s="554"/>
      <c r="DE4454" s="554"/>
      <c r="DF4454" s="554"/>
      <c r="DG4454" s="554"/>
      <c r="DH4454" s="554"/>
      <c r="DI4454" s="554"/>
      <c r="DJ4454" s="554"/>
      <c r="DK4454" s="554"/>
      <c r="DL4454" s="554"/>
      <c r="DM4454" s="554"/>
      <c r="DN4454" s="554"/>
      <c r="DO4454" s="554"/>
      <c r="DP4454" s="554"/>
      <c r="DQ4454" s="554"/>
      <c r="DR4454" s="554"/>
      <c r="DS4454" s="554"/>
      <c r="DT4454" s="554"/>
      <c r="DU4454" s="554"/>
      <c r="DV4454" s="554"/>
      <c r="DW4454" s="554"/>
      <c r="DX4454" s="554"/>
      <c r="DY4454" s="554"/>
      <c r="DZ4454" s="554"/>
      <c r="EA4454" s="554"/>
      <c r="EB4454" s="554"/>
      <c r="EC4454" s="554"/>
      <c r="ED4454" s="554"/>
      <c r="EE4454" s="554"/>
      <c r="EF4454" s="554"/>
      <c r="EG4454" s="554"/>
      <c r="EH4454" s="554"/>
      <c r="EI4454" s="554"/>
      <c r="EJ4454" s="554"/>
      <c r="EK4454" s="554"/>
      <c r="EL4454" s="554"/>
      <c r="EM4454" s="554"/>
      <c r="EN4454" s="554"/>
      <c r="EO4454" s="554"/>
      <c r="EP4454" s="554"/>
      <c r="EQ4454" s="554"/>
      <c r="ER4454" s="554"/>
      <c r="ES4454" s="554"/>
      <c r="ET4454" s="554"/>
      <c r="EU4454" s="554"/>
      <c r="EV4454" s="554"/>
      <c r="EW4454" s="554"/>
      <c r="EX4454" s="554"/>
      <c r="EY4454" s="554"/>
      <c r="EZ4454" s="554"/>
      <c r="FA4454" s="554"/>
      <c r="FB4454" s="554"/>
      <c r="FC4454" s="554"/>
      <c r="FD4454" s="554"/>
      <c r="FE4454" s="554"/>
      <c r="FF4454" s="554"/>
      <c r="FG4454" s="554"/>
      <c r="FH4454" s="554"/>
      <c r="FI4454" s="554"/>
      <c r="FJ4454" s="554"/>
      <c r="FK4454" s="554"/>
      <c r="FL4454" s="554"/>
      <c r="FM4454" s="554"/>
      <c r="FN4454" s="554"/>
      <c r="FO4454" s="554"/>
      <c r="FP4454" s="554"/>
      <c r="FQ4454" s="554"/>
      <c r="FR4454" s="554"/>
      <c r="FS4454" s="554"/>
      <c r="FT4454" s="554"/>
      <c r="FU4454" s="554"/>
      <c r="FV4454" s="554"/>
      <c r="FW4454" s="554"/>
      <c r="FX4454" s="554"/>
      <c r="FY4454" s="554"/>
      <c r="FZ4454" s="554"/>
      <c r="GA4454" s="554"/>
      <c r="GB4454" s="554"/>
      <c r="GC4454" s="554"/>
      <c r="GD4454" s="554"/>
      <c r="GE4454" s="554"/>
      <c r="GF4454" s="554"/>
      <c r="GG4454" s="554"/>
      <c r="GH4454" s="554"/>
      <c r="GI4454" s="554"/>
      <c r="GJ4454" s="554"/>
      <c r="GK4454" s="554"/>
      <c r="GL4454" s="554"/>
      <c r="GM4454" s="554"/>
      <c r="GN4454" s="554"/>
      <c r="GO4454" s="554"/>
      <c r="GP4454" s="554"/>
      <c r="GQ4454" s="554"/>
      <c r="GR4454" s="554"/>
      <c r="GS4454" s="554"/>
      <c r="GT4454" s="554"/>
      <c r="GU4454" s="554"/>
      <c r="GV4454" s="554"/>
      <c r="GW4454" s="554"/>
      <c r="GX4454" s="554"/>
      <c r="GY4454" s="554"/>
      <c r="GZ4454" s="554"/>
      <c r="HA4454" s="554"/>
      <c r="HB4454" s="554"/>
      <c r="HC4454" s="554"/>
    </row>
    <row r="4455" spans="1:222" s="90" customFormat="1" hidden="1">
      <c r="A4455" s="812">
        <f t="shared" si="697"/>
        <v>14</v>
      </c>
      <c r="B4455" s="813" t="s">
        <v>3476</v>
      </c>
      <c r="C4455" s="1268" t="s">
        <v>217</v>
      </c>
      <c r="D4455" s="815">
        <f t="shared" si="696"/>
        <v>1328.5</v>
      </c>
      <c r="E4455" s="815">
        <v>531.4</v>
      </c>
      <c r="F4455" s="815" t="s">
        <v>222</v>
      </c>
      <c r="G4455" s="816">
        <v>780</v>
      </c>
      <c r="H4455" s="819">
        <v>2</v>
      </c>
      <c r="I4455" s="819">
        <v>2</v>
      </c>
      <c r="J4455" s="819">
        <v>16</v>
      </c>
      <c r="K4455" s="812" t="s">
        <v>33</v>
      </c>
      <c r="L4455" s="746">
        <f t="shared" si="693"/>
        <v>2020980</v>
      </c>
      <c r="M4455" s="745">
        <f t="shared" si="698"/>
        <v>1950000</v>
      </c>
      <c r="N4455" s="802">
        <f>M4455*0.015</f>
        <v>29250</v>
      </c>
      <c r="O4455" s="822"/>
      <c r="P4455" s="747"/>
      <c r="Q4455" s="586">
        <f t="shared" si="694"/>
        <v>41730</v>
      </c>
      <c r="R4455" s="803">
        <f t="shared" si="695"/>
        <v>2500</v>
      </c>
      <c r="S4455" s="817"/>
      <c r="T4455" s="738">
        <f t="shared" si="692"/>
        <v>0</v>
      </c>
      <c r="U4455" s="818"/>
      <c r="V4455" s="817"/>
      <c r="W4455" s="817"/>
      <c r="X4455" s="817"/>
      <c r="Y4455" s="817"/>
      <c r="Z4455" s="817"/>
      <c r="AA4455" s="534"/>
      <c r="AB4455" s="534"/>
      <c r="AC4455" s="534"/>
      <c r="AD4455" s="534"/>
      <c r="AE4455" s="534"/>
      <c r="AF4455" s="534"/>
      <c r="AG4455" s="534"/>
      <c r="AH4455" s="534"/>
      <c r="AI4455" s="534"/>
      <c r="AJ4455" s="534"/>
      <c r="AK4455" s="534"/>
      <c r="AL4455" s="534"/>
      <c r="AM4455" s="534"/>
      <c r="AN4455" s="534"/>
      <c r="AO4455" s="534"/>
      <c r="AP4455" s="534"/>
      <c r="AQ4455" s="534"/>
      <c r="AR4455" s="534"/>
      <c r="AS4455" s="534"/>
      <c r="AT4455" s="534"/>
      <c r="AU4455" s="534"/>
      <c r="AV4455" s="534"/>
      <c r="AW4455" s="534"/>
      <c r="AX4455" s="534"/>
      <c r="AY4455" s="534"/>
      <c r="AZ4455" s="534"/>
      <c r="BA4455" s="534"/>
      <c r="BB4455" s="534"/>
      <c r="BC4455" s="534"/>
      <c r="BD4455" s="534"/>
      <c r="BE4455" s="534"/>
      <c r="BF4455" s="534"/>
      <c r="BG4455" s="534"/>
      <c r="BH4455" s="534"/>
      <c r="BI4455" s="534"/>
      <c r="BJ4455" s="534"/>
      <c r="BK4455" s="534"/>
      <c r="BL4455" s="534"/>
      <c r="BM4455" s="534"/>
      <c r="BN4455" s="534"/>
      <c r="BO4455" s="534"/>
      <c r="BP4455" s="534"/>
      <c r="BQ4455" s="534"/>
      <c r="BR4455" s="534"/>
      <c r="BS4455" s="534"/>
      <c r="BT4455" s="534"/>
      <c r="BU4455" s="534"/>
      <c r="BV4455" s="534"/>
      <c r="BW4455" s="534"/>
      <c r="BX4455" s="534"/>
      <c r="BY4455" s="534"/>
      <c r="BZ4455" s="534"/>
      <c r="CA4455" s="534"/>
      <c r="CB4455" s="534"/>
      <c r="CC4455" s="534"/>
      <c r="CD4455" s="534"/>
      <c r="CE4455" s="534"/>
      <c r="CF4455" s="534"/>
      <c r="CG4455" s="534"/>
      <c r="CH4455" s="534"/>
      <c r="CI4455" s="534"/>
      <c r="CJ4455" s="534"/>
      <c r="CK4455" s="534"/>
      <c r="CL4455" s="534"/>
      <c r="CM4455" s="534"/>
      <c r="CN4455" s="534"/>
      <c r="CO4455" s="534"/>
      <c r="CP4455" s="534"/>
      <c r="CQ4455" s="534"/>
      <c r="CR4455" s="534"/>
      <c r="CS4455" s="534"/>
      <c r="CT4455" s="534"/>
      <c r="CU4455" s="534"/>
      <c r="CV4455" s="534"/>
      <c r="CW4455" s="534"/>
      <c r="CX4455" s="534"/>
      <c r="CY4455" s="534"/>
      <c r="CZ4455" s="534"/>
      <c r="DA4455" s="534"/>
      <c r="DB4455" s="534"/>
      <c r="DC4455" s="534"/>
      <c r="DD4455" s="534"/>
      <c r="DE4455" s="534"/>
      <c r="DF4455" s="534"/>
      <c r="DG4455" s="534"/>
      <c r="DH4455" s="534"/>
      <c r="DI4455" s="534"/>
      <c r="DJ4455" s="534"/>
      <c r="DK4455" s="534"/>
      <c r="DL4455" s="534"/>
      <c r="DM4455" s="534"/>
      <c r="DN4455" s="534"/>
      <c r="DO4455" s="534"/>
      <c r="DP4455" s="534"/>
      <c r="DQ4455" s="534"/>
      <c r="DR4455" s="534"/>
      <c r="DS4455" s="534"/>
      <c r="DT4455" s="534"/>
      <c r="DU4455" s="534"/>
      <c r="DV4455" s="534"/>
      <c r="DW4455" s="534"/>
      <c r="DX4455" s="534"/>
      <c r="DY4455" s="534"/>
      <c r="DZ4455" s="534"/>
      <c r="EA4455" s="534"/>
      <c r="EB4455" s="534"/>
      <c r="EC4455" s="534"/>
      <c r="ED4455" s="534"/>
      <c r="EE4455" s="534"/>
      <c r="EF4455" s="534"/>
      <c r="EG4455" s="534"/>
      <c r="EH4455" s="534"/>
      <c r="EI4455" s="534"/>
      <c r="EJ4455" s="534"/>
      <c r="EK4455" s="534"/>
      <c r="EL4455" s="534"/>
      <c r="EM4455" s="534"/>
      <c r="EN4455" s="534"/>
      <c r="EO4455" s="534"/>
      <c r="EP4455" s="534"/>
      <c r="EQ4455" s="534"/>
      <c r="ER4455" s="534"/>
      <c r="ES4455" s="534"/>
      <c r="ET4455" s="534"/>
      <c r="EU4455" s="534"/>
      <c r="EV4455" s="534"/>
      <c r="EW4455" s="534"/>
      <c r="EX4455" s="534"/>
      <c r="EY4455" s="534"/>
      <c r="EZ4455" s="534"/>
      <c r="FA4455" s="534"/>
      <c r="FB4455" s="534"/>
      <c r="FC4455" s="534"/>
      <c r="FD4455" s="534"/>
      <c r="FE4455" s="534"/>
      <c r="FF4455" s="534"/>
      <c r="FG4455" s="534"/>
      <c r="FH4455" s="534"/>
      <c r="FI4455" s="534"/>
      <c r="FJ4455" s="534"/>
      <c r="FK4455" s="534"/>
      <c r="FL4455" s="534"/>
      <c r="FM4455" s="534"/>
      <c r="FN4455" s="534"/>
      <c r="FO4455" s="534"/>
      <c r="FP4455" s="534"/>
      <c r="FQ4455" s="534"/>
      <c r="FR4455" s="534"/>
      <c r="FS4455" s="534"/>
      <c r="FT4455" s="534"/>
      <c r="FU4455" s="534"/>
      <c r="FV4455" s="534"/>
      <c r="FW4455" s="534"/>
      <c r="FX4455" s="534"/>
      <c r="FY4455" s="534"/>
      <c r="FZ4455" s="534"/>
      <c r="GA4455" s="534"/>
      <c r="GB4455" s="534"/>
      <c r="GC4455" s="534"/>
      <c r="GD4455" s="534"/>
      <c r="GE4455" s="534"/>
      <c r="GF4455" s="534"/>
      <c r="GG4455" s="534"/>
      <c r="GH4455" s="534"/>
      <c r="GI4455" s="534"/>
      <c r="GJ4455" s="534"/>
      <c r="GK4455" s="534"/>
      <c r="GL4455" s="534"/>
      <c r="GM4455" s="534"/>
      <c r="GN4455" s="534"/>
      <c r="GO4455" s="534"/>
      <c r="GP4455" s="534"/>
      <c r="GQ4455" s="534"/>
      <c r="GR4455" s="534"/>
      <c r="GS4455" s="534"/>
      <c r="GT4455" s="534"/>
      <c r="GU4455" s="534"/>
      <c r="GV4455" s="534"/>
      <c r="GW4455" s="534"/>
      <c r="GX4455" s="534"/>
      <c r="GY4455" s="534"/>
      <c r="GZ4455" s="534"/>
      <c r="HA4455" s="534"/>
      <c r="HB4455" s="534"/>
      <c r="HC4455" s="534"/>
    </row>
    <row r="4456" spans="1:222" s="90" customFormat="1" hidden="1">
      <c r="A4456" s="812">
        <f t="shared" si="697"/>
        <v>15</v>
      </c>
      <c r="B4456" s="813" t="s">
        <v>3477</v>
      </c>
      <c r="C4456" s="1268" t="s">
        <v>217</v>
      </c>
      <c r="D4456" s="815">
        <f>E4456*2.5</f>
        <v>1361</v>
      </c>
      <c r="E4456" s="815">
        <v>544.4</v>
      </c>
      <c r="F4456" s="815" t="s">
        <v>222</v>
      </c>
      <c r="G4456" s="816">
        <v>880</v>
      </c>
      <c r="H4456" s="819">
        <v>2</v>
      </c>
      <c r="I4456" s="819">
        <v>2</v>
      </c>
      <c r="J4456" s="819">
        <v>16</v>
      </c>
      <c r="K4456" s="812" t="s">
        <v>33</v>
      </c>
      <c r="L4456" s="746">
        <f t="shared" si="693"/>
        <v>2280080</v>
      </c>
      <c r="M4456" s="745">
        <f t="shared" si="698"/>
        <v>2200000</v>
      </c>
      <c r="N4456" s="802">
        <f>M4456*0.015</f>
        <v>33000</v>
      </c>
      <c r="O4456" s="822"/>
      <c r="P4456" s="747"/>
      <c r="Q4456" s="586">
        <f t="shared" si="694"/>
        <v>47080</v>
      </c>
      <c r="R4456" s="803">
        <f t="shared" si="695"/>
        <v>2500</v>
      </c>
      <c r="S4456" s="817"/>
      <c r="T4456" s="738">
        <f t="shared" si="692"/>
        <v>0</v>
      </c>
      <c r="U4456" s="818"/>
      <c r="V4456" s="817"/>
      <c r="W4456" s="817"/>
      <c r="X4456" s="817"/>
      <c r="Y4456" s="817"/>
      <c r="Z4456" s="817"/>
      <c r="AA4456" s="534"/>
      <c r="AB4456" s="534"/>
      <c r="AC4456" s="534"/>
      <c r="AD4456" s="534"/>
      <c r="AE4456" s="534"/>
      <c r="AF4456" s="534"/>
      <c r="AG4456" s="534"/>
      <c r="AH4456" s="534"/>
      <c r="AI4456" s="534"/>
      <c r="AJ4456" s="534"/>
      <c r="AK4456" s="534"/>
      <c r="AL4456" s="534"/>
      <c r="AM4456" s="534"/>
      <c r="AN4456" s="534"/>
      <c r="AO4456" s="534"/>
      <c r="AP4456" s="534"/>
      <c r="AQ4456" s="534"/>
      <c r="AR4456" s="534"/>
      <c r="AS4456" s="534"/>
      <c r="AT4456" s="534"/>
      <c r="AU4456" s="534"/>
      <c r="AV4456" s="534"/>
      <c r="AW4456" s="534"/>
      <c r="AX4456" s="534"/>
      <c r="AY4456" s="534"/>
      <c r="AZ4456" s="534"/>
      <c r="BA4456" s="534"/>
      <c r="BB4456" s="534"/>
      <c r="BC4456" s="534"/>
      <c r="BD4456" s="534"/>
      <c r="BE4456" s="534"/>
      <c r="BF4456" s="534"/>
      <c r="BG4456" s="534"/>
      <c r="BH4456" s="534"/>
      <c r="BI4456" s="534"/>
      <c r="BJ4456" s="534"/>
      <c r="BK4456" s="534"/>
      <c r="BL4456" s="534"/>
      <c r="BM4456" s="534"/>
      <c r="BN4456" s="534"/>
      <c r="BO4456" s="534"/>
      <c r="BP4456" s="534"/>
      <c r="BQ4456" s="534"/>
      <c r="BR4456" s="534"/>
      <c r="BS4456" s="534"/>
      <c r="BT4456" s="534"/>
      <c r="BU4456" s="534"/>
      <c r="BV4456" s="534"/>
      <c r="BW4456" s="534"/>
      <c r="BX4456" s="534"/>
      <c r="BY4456" s="534"/>
      <c r="BZ4456" s="534"/>
      <c r="CA4456" s="534"/>
      <c r="CB4456" s="534"/>
      <c r="CC4456" s="534"/>
      <c r="CD4456" s="534"/>
      <c r="CE4456" s="534"/>
      <c r="CF4456" s="534"/>
      <c r="CG4456" s="534"/>
      <c r="CH4456" s="534"/>
      <c r="CI4456" s="534"/>
      <c r="CJ4456" s="534"/>
      <c r="CK4456" s="534"/>
      <c r="CL4456" s="534"/>
      <c r="CM4456" s="534"/>
      <c r="CN4456" s="534"/>
      <c r="CO4456" s="534"/>
      <c r="CP4456" s="534"/>
      <c r="CQ4456" s="534"/>
      <c r="CR4456" s="534"/>
      <c r="CS4456" s="534"/>
      <c r="CT4456" s="534"/>
      <c r="CU4456" s="534"/>
      <c r="CV4456" s="534"/>
      <c r="CW4456" s="534"/>
      <c r="CX4456" s="534"/>
      <c r="CY4456" s="534"/>
      <c r="CZ4456" s="534"/>
      <c r="DA4456" s="534"/>
      <c r="DB4456" s="534"/>
      <c r="DC4456" s="534"/>
      <c r="DD4456" s="534"/>
      <c r="DE4456" s="534"/>
      <c r="DF4456" s="534"/>
      <c r="DG4456" s="534"/>
      <c r="DH4456" s="534"/>
      <c r="DI4456" s="534"/>
      <c r="DJ4456" s="534"/>
      <c r="DK4456" s="534"/>
      <c r="DL4456" s="534"/>
      <c r="DM4456" s="534"/>
      <c r="DN4456" s="534"/>
      <c r="DO4456" s="534"/>
      <c r="DP4456" s="534"/>
      <c r="DQ4456" s="534"/>
      <c r="DR4456" s="534"/>
      <c r="DS4456" s="534"/>
      <c r="DT4456" s="534"/>
      <c r="DU4456" s="534"/>
      <c r="DV4456" s="534"/>
      <c r="DW4456" s="534"/>
      <c r="DX4456" s="534"/>
      <c r="DY4456" s="534"/>
      <c r="DZ4456" s="534"/>
      <c r="EA4456" s="534"/>
      <c r="EB4456" s="534"/>
      <c r="EC4456" s="534"/>
      <c r="ED4456" s="534"/>
      <c r="EE4456" s="534"/>
      <c r="EF4456" s="534"/>
      <c r="EG4456" s="534"/>
      <c r="EH4456" s="534"/>
      <c r="EI4456" s="534"/>
      <c r="EJ4456" s="534"/>
      <c r="EK4456" s="534"/>
      <c r="EL4456" s="534"/>
      <c r="EM4456" s="534"/>
      <c r="EN4456" s="534"/>
      <c r="EO4456" s="534"/>
      <c r="EP4456" s="534"/>
      <c r="EQ4456" s="534"/>
      <c r="ER4456" s="534"/>
      <c r="ES4456" s="534"/>
      <c r="ET4456" s="534"/>
      <c r="EU4456" s="534"/>
      <c r="EV4456" s="534"/>
      <c r="EW4456" s="534"/>
      <c r="EX4456" s="534"/>
      <c r="EY4456" s="534"/>
      <c r="EZ4456" s="534"/>
      <c r="FA4456" s="534"/>
      <c r="FB4456" s="534"/>
      <c r="FC4456" s="534"/>
      <c r="FD4456" s="534"/>
      <c r="FE4456" s="534"/>
      <c r="FF4456" s="534"/>
      <c r="FG4456" s="534"/>
      <c r="FH4456" s="534"/>
      <c r="FI4456" s="534"/>
      <c r="FJ4456" s="534"/>
      <c r="FK4456" s="534"/>
      <c r="FL4456" s="534"/>
      <c r="FM4456" s="534"/>
      <c r="FN4456" s="534"/>
      <c r="FO4456" s="534"/>
      <c r="FP4456" s="534"/>
      <c r="FQ4456" s="534"/>
      <c r="FR4456" s="534"/>
      <c r="FS4456" s="534"/>
      <c r="FT4456" s="534"/>
      <c r="FU4456" s="534"/>
      <c r="FV4456" s="534"/>
      <c r="FW4456" s="534"/>
      <c r="FX4456" s="534"/>
      <c r="FY4456" s="534"/>
      <c r="FZ4456" s="534"/>
      <c r="GA4456" s="534"/>
      <c r="GB4456" s="534"/>
      <c r="GC4456" s="534"/>
      <c r="GD4456" s="534"/>
      <c r="GE4456" s="534"/>
      <c r="GF4456" s="534"/>
      <c r="GG4456" s="534"/>
      <c r="GH4456" s="534"/>
      <c r="GI4456" s="534"/>
      <c r="GJ4456" s="534"/>
      <c r="GK4456" s="534"/>
      <c r="GL4456" s="534"/>
      <c r="GM4456" s="534"/>
      <c r="GN4456" s="534"/>
      <c r="GO4456" s="534"/>
      <c r="GP4456" s="534"/>
      <c r="GQ4456" s="534"/>
      <c r="GR4456" s="534"/>
      <c r="GS4456" s="534"/>
      <c r="GT4456" s="534"/>
      <c r="GU4456" s="534"/>
      <c r="GV4456" s="534"/>
      <c r="GW4456" s="534"/>
      <c r="GX4456" s="534"/>
      <c r="GY4456" s="534"/>
      <c r="GZ4456" s="534"/>
      <c r="HA4456" s="534"/>
      <c r="HB4456" s="534"/>
      <c r="HC4456" s="534"/>
    </row>
    <row r="4457" spans="1:222" s="98" customFormat="1" hidden="1">
      <c r="A4457" s="812">
        <f t="shared" si="697"/>
        <v>16</v>
      </c>
      <c r="B4457" s="1269" t="s">
        <v>3988</v>
      </c>
      <c r="C4457" s="1270" t="s">
        <v>217</v>
      </c>
      <c r="D4457" s="1271">
        <f>168*13*24</f>
        <v>52416</v>
      </c>
      <c r="E4457" s="1271">
        <f>(168+13)*2*24</f>
        <v>8688</v>
      </c>
      <c r="F4457" s="1272" t="s">
        <v>223</v>
      </c>
      <c r="G4457" s="1271">
        <f>168*13</f>
        <v>2184</v>
      </c>
      <c r="H4457" s="1273">
        <v>9</v>
      </c>
      <c r="I4457" s="1273">
        <v>6</v>
      </c>
      <c r="J4457" s="1273">
        <v>225</v>
      </c>
      <c r="K4457" s="812" t="s">
        <v>33</v>
      </c>
      <c r="L4457" s="746">
        <f t="shared" si="693"/>
        <v>5620524</v>
      </c>
      <c r="M4457" s="746">
        <f t="shared" si="698"/>
        <v>5460000</v>
      </c>
      <c r="N4457" s="1274">
        <f>M4457*0.008</f>
        <v>43680</v>
      </c>
      <c r="O4457" s="1275"/>
      <c r="P4457" s="1276"/>
      <c r="Q4457" s="586">
        <f t="shared" si="694"/>
        <v>116844</v>
      </c>
      <c r="R4457" s="803">
        <f t="shared" si="695"/>
        <v>2500</v>
      </c>
      <c r="S4457" s="1184"/>
      <c r="T4457" s="738">
        <f t="shared" si="692"/>
        <v>0</v>
      </c>
      <c r="U4457" s="817"/>
      <c r="V4457" s="817"/>
      <c r="W4457" s="817"/>
      <c r="X4457" s="817"/>
      <c r="Y4457" s="817"/>
      <c r="Z4457" s="817"/>
      <c r="AA4457" s="191"/>
      <c r="AB4457" s="191"/>
      <c r="AC4457" s="191"/>
      <c r="AD4457" s="191"/>
      <c r="AE4457" s="191"/>
      <c r="AF4457" s="191"/>
      <c r="AG4457" s="191"/>
      <c r="AH4457" s="191"/>
      <c r="AI4457" s="191"/>
      <c r="AJ4457" s="191"/>
      <c r="AK4457" s="191"/>
      <c r="AL4457" s="191"/>
      <c r="AM4457" s="191"/>
      <c r="AN4457" s="191"/>
      <c r="AO4457" s="191"/>
      <c r="AP4457" s="191"/>
      <c r="AQ4457" s="191"/>
      <c r="AR4457" s="191"/>
      <c r="AS4457" s="191"/>
      <c r="AT4457" s="191"/>
      <c r="AU4457" s="191"/>
      <c r="AV4457" s="191"/>
      <c r="AW4457" s="191"/>
      <c r="AX4457" s="191"/>
      <c r="AY4457" s="191"/>
      <c r="AZ4457" s="191"/>
      <c r="BA4457" s="191"/>
      <c r="BB4457" s="191"/>
      <c r="BC4457" s="191"/>
      <c r="BD4457" s="191"/>
      <c r="BE4457" s="191"/>
      <c r="BF4457" s="191"/>
      <c r="BG4457" s="191"/>
      <c r="BH4457" s="191"/>
      <c r="BI4457" s="191"/>
      <c r="BJ4457" s="191"/>
      <c r="BK4457" s="191"/>
      <c r="BL4457" s="191"/>
      <c r="BM4457" s="191"/>
      <c r="BN4457" s="191"/>
      <c r="BO4457" s="191"/>
      <c r="BP4457" s="191"/>
      <c r="BQ4457" s="191"/>
      <c r="BR4457" s="191"/>
      <c r="BS4457" s="191"/>
      <c r="BT4457" s="191"/>
      <c r="BU4457" s="191"/>
      <c r="BV4457" s="191"/>
      <c r="BW4457" s="191"/>
      <c r="BX4457" s="191"/>
      <c r="BY4457" s="191"/>
      <c r="BZ4457" s="191"/>
      <c r="CA4457" s="191"/>
      <c r="CB4457" s="191"/>
      <c r="CC4457" s="191"/>
      <c r="CD4457" s="191"/>
      <c r="CE4457" s="191"/>
      <c r="CF4457" s="191"/>
      <c r="CG4457" s="191"/>
      <c r="CH4457" s="191"/>
      <c r="CI4457" s="191"/>
      <c r="CJ4457" s="191"/>
      <c r="CK4457" s="191"/>
      <c r="CL4457" s="191"/>
      <c r="CM4457" s="191"/>
      <c r="CN4457" s="191"/>
      <c r="CO4457" s="191"/>
      <c r="CP4457" s="191"/>
      <c r="CQ4457" s="191"/>
      <c r="CR4457" s="191"/>
      <c r="CS4457" s="191"/>
      <c r="CT4457" s="191"/>
      <c r="CU4457" s="191"/>
      <c r="CV4457" s="191"/>
      <c r="CW4457" s="191"/>
      <c r="CX4457" s="191"/>
      <c r="CY4457" s="191"/>
      <c r="CZ4457" s="191"/>
      <c r="DA4457" s="191"/>
      <c r="DB4457" s="191"/>
      <c r="DC4457" s="191"/>
      <c r="DD4457" s="191"/>
      <c r="DE4457" s="191"/>
      <c r="DF4457" s="191"/>
      <c r="DG4457" s="191"/>
      <c r="DH4457" s="191"/>
      <c r="DI4457" s="191"/>
      <c r="DJ4457" s="191"/>
      <c r="DK4457" s="191"/>
      <c r="DL4457" s="191"/>
      <c r="DM4457" s="191"/>
      <c r="DN4457" s="191"/>
      <c r="DO4457" s="191"/>
      <c r="DP4457" s="191"/>
      <c r="DQ4457" s="191"/>
      <c r="DR4457" s="191"/>
      <c r="DS4457" s="191"/>
      <c r="DT4457" s="191"/>
      <c r="DU4457" s="191"/>
      <c r="DV4457" s="191"/>
      <c r="DW4457" s="191"/>
      <c r="DX4457" s="191"/>
      <c r="DY4457" s="191"/>
      <c r="DZ4457" s="191"/>
      <c r="EA4457" s="191"/>
      <c r="EB4457" s="191"/>
      <c r="EC4457" s="191"/>
      <c r="ED4457" s="191"/>
      <c r="EE4457" s="191"/>
      <c r="EF4457" s="191"/>
      <c r="EG4457" s="191"/>
      <c r="EH4457" s="191"/>
      <c r="EI4457" s="191"/>
      <c r="EJ4457" s="191"/>
      <c r="EK4457" s="191"/>
      <c r="EL4457" s="191"/>
      <c r="EM4457" s="191"/>
      <c r="EN4457" s="191"/>
      <c r="EO4457" s="191"/>
      <c r="EP4457" s="191"/>
      <c r="EQ4457" s="191"/>
      <c r="ER4457" s="191"/>
      <c r="ES4457" s="191"/>
      <c r="ET4457" s="191"/>
      <c r="EU4457" s="191"/>
      <c r="EV4457" s="191"/>
      <c r="EW4457" s="191"/>
      <c r="EX4457" s="191"/>
      <c r="EY4457" s="191"/>
      <c r="EZ4457" s="191"/>
      <c r="FA4457" s="191"/>
      <c r="FB4457" s="191"/>
      <c r="FC4457" s="191"/>
      <c r="FD4457" s="191"/>
      <c r="FE4457" s="191"/>
      <c r="FF4457" s="191"/>
      <c r="FG4457" s="191"/>
      <c r="FH4457" s="191"/>
      <c r="FI4457" s="191"/>
      <c r="FJ4457" s="191"/>
      <c r="FK4457" s="191"/>
      <c r="FL4457" s="191"/>
      <c r="FM4457" s="191"/>
      <c r="FN4457" s="191"/>
      <c r="FO4457" s="191"/>
      <c r="FP4457" s="191"/>
      <c r="FQ4457" s="191"/>
      <c r="FR4457" s="191"/>
      <c r="FS4457" s="191"/>
      <c r="FT4457" s="191"/>
      <c r="FU4457" s="191"/>
      <c r="FV4457" s="191"/>
      <c r="FW4457" s="191"/>
      <c r="FX4457" s="191"/>
      <c r="FY4457" s="191"/>
      <c r="FZ4457" s="191"/>
      <c r="GA4457" s="191"/>
      <c r="GB4457" s="191"/>
      <c r="GC4457" s="191"/>
      <c r="GD4457" s="191"/>
      <c r="GE4457" s="191"/>
      <c r="GF4457" s="191"/>
      <c r="GG4457" s="191"/>
      <c r="GH4457" s="191"/>
      <c r="GI4457" s="191"/>
      <c r="GJ4457" s="191"/>
      <c r="GK4457" s="191"/>
      <c r="GL4457" s="191"/>
      <c r="GM4457" s="191"/>
      <c r="GN4457" s="191"/>
      <c r="GO4457" s="191"/>
      <c r="GP4457" s="191"/>
      <c r="GQ4457" s="191"/>
      <c r="GR4457" s="191"/>
      <c r="GS4457" s="191"/>
      <c r="GT4457" s="191"/>
      <c r="GU4457" s="191"/>
      <c r="GV4457" s="191"/>
      <c r="GW4457" s="191"/>
      <c r="GX4457" s="191"/>
      <c r="GY4457" s="191"/>
      <c r="GZ4457" s="191"/>
      <c r="HA4457" s="191"/>
      <c r="HB4457" s="191"/>
    </row>
    <row r="4458" spans="1:222" s="28" customFormat="1" hidden="1">
      <c r="A4458" s="1349" t="s">
        <v>34</v>
      </c>
      <c r="B4458" s="1349"/>
      <c r="C4458" s="593" t="s">
        <v>28</v>
      </c>
      <c r="D4458" s="646">
        <f>SUM(D4442:D4457)</f>
        <v>72125.899999999994</v>
      </c>
      <c r="E4458" s="646">
        <f>SUM(E4442:E4457)</f>
        <v>16491.8</v>
      </c>
      <c r="F4458" s="646" t="s">
        <v>28</v>
      </c>
      <c r="G4458" s="646">
        <f>SUM(G4442:G4457)</f>
        <v>12250.54</v>
      </c>
      <c r="H4458" s="582" t="s">
        <v>28</v>
      </c>
      <c r="I4458" s="582" t="s">
        <v>28</v>
      </c>
      <c r="J4458" s="582">
        <f>SUM(J4442:J4457)</f>
        <v>450</v>
      </c>
      <c r="K4458" s="590" t="s">
        <v>28</v>
      </c>
      <c r="L4458" s="584">
        <f t="shared" ref="L4458:Q4458" si="699">SUM(L4442:L4457)</f>
        <v>31278701</v>
      </c>
      <c r="M4458" s="585">
        <f t="shared" si="699"/>
        <v>30187550</v>
      </c>
      <c r="N4458" s="586">
        <f t="shared" si="699"/>
        <v>443061</v>
      </c>
      <c r="O4458" s="587">
        <f t="shared" si="699"/>
        <v>2074</v>
      </c>
      <c r="P4458" s="586">
        <f t="shared" si="699"/>
        <v>0</v>
      </c>
      <c r="Q4458" s="586">
        <f t="shared" si="699"/>
        <v>646016</v>
      </c>
      <c r="R4458" s="582" t="s">
        <v>28</v>
      </c>
      <c r="S4458" s="592"/>
      <c r="T4458" s="738">
        <f t="shared" si="692"/>
        <v>0</v>
      </c>
      <c r="U4458" s="589"/>
      <c r="V4458" s="592"/>
      <c r="W4458" s="592"/>
      <c r="X4458" s="592"/>
      <c r="Y4458" s="592"/>
      <c r="Z4458" s="592"/>
    </row>
    <row r="4459" spans="1:222" s="28" customFormat="1" hidden="1">
      <c r="A4459" s="1347" t="s">
        <v>57</v>
      </c>
      <c r="B4459" s="1347"/>
      <c r="C4459" s="1347"/>
      <c r="D4459" s="1347"/>
      <c r="E4459" s="1347"/>
      <c r="F4459" s="1347"/>
      <c r="G4459" s="1347"/>
      <c r="H4459" s="1347"/>
      <c r="I4459" s="1347"/>
      <c r="J4459" s="1347"/>
      <c r="K4459" s="1347"/>
      <c r="L4459" s="1347"/>
      <c r="M4459" s="1347"/>
      <c r="N4459" s="1347"/>
      <c r="O4459" s="1347"/>
      <c r="P4459" s="1347"/>
      <c r="Q4459" s="1347"/>
      <c r="R4459" s="590"/>
      <c r="S4459" s="592"/>
      <c r="T4459" s="738">
        <f t="shared" si="692"/>
        <v>0</v>
      </c>
      <c r="U4459" s="591"/>
      <c r="V4459" s="592"/>
      <c r="W4459" s="592"/>
      <c r="X4459" s="592"/>
      <c r="Y4459" s="592"/>
      <c r="Z4459" s="592"/>
    </row>
    <row r="4460" spans="1:222" s="530" customFormat="1" ht="37.5" hidden="1">
      <c r="A4460" s="792">
        <v>1</v>
      </c>
      <c r="B4460" s="788" t="s">
        <v>3478</v>
      </c>
      <c r="C4460" s="593" t="s">
        <v>221</v>
      </c>
      <c r="D4460" s="789">
        <v>3601</v>
      </c>
      <c r="E4460" s="789">
        <v>694</v>
      </c>
      <c r="F4460" s="789" t="s">
        <v>222</v>
      </c>
      <c r="G4460" s="789">
        <v>787</v>
      </c>
      <c r="H4460" s="744">
        <v>2</v>
      </c>
      <c r="I4460" s="744">
        <v>3</v>
      </c>
      <c r="J4460" s="744">
        <v>18</v>
      </c>
      <c r="K4460" s="590" t="s">
        <v>273</v>
      </c>
      <c r="L4460" s="584">
        <f>M4460+N4460+O4460+P4460+Q4460</f>
        <v>460980</v>
      </c>
      <c r="M4460" s="585">
        <f>J4460*25000</f>
        <v>450000</v>
      </c>
      <c r="N4460" s="586"/>
      <c r="O4460" s="736">
        <f>ROUND(M4460*0.3%,0)</f>
        <v>1350</v>
      </c>
      <c r="P4460" s="586"/>
      <c r="Q4460" s="586">
        <f>ROUND(M4460*2.14%,0)</f>
        <v>9630</v>
      </c>
      <c r="R4460" s="744">
        <f>M4460/J4460</f>
        <v>25000</v>
      </c>
      <c r="S4460" s="788"/>
      <c r="T4460" s="738">
        <f t="shared" si="692"/>
        <v>0</v>
      </c>
      <c r="U4460" s="791"/>
      <c r="V4460" s="788"/>
      <c r="W4460" s="788"/>
      <c r="X4460" s="788"/>
      <c r="Y4460" s="788"/>
      <c r="Z4460" s="788"/>
    </row>
    <row r="4461" spans="1:222" s="28" customFormat="1" ht="37.5" hidden="1">
      <c r="A4461" s="590">
        <f>A4460+1</f>
        <v>2</v>
      </c>
      <c r="B4461" s="592" t="s">
        <v>3479</v>
      </c>
      <c r="C4461" s="744" t="s">
        <v>221</v>
      </c>
      <c r="D4461" s="646">
        <f>E4461*3</f>
        <v>1028.0999999999999</v>
      </c>
      <c r="E4461" s="646">
        <v>342.7</v>
      </c>
      <c r="F4461" s="789" t="s">
        <v>222</v>
      </c>
      <c r="G4461" s="646">
        <v>431</v>
      </c>
      <c r="H4461" s="593">
        <v>2</v>
      </c>
      <c r="I4461" s="593">
        <v>1</v>
      </c>
      <c r="J4461" s="593">
        <v>8</v>
      </c>
      <c r="K4461" s="590" t="s">
        <v>255</v>
      </c>
      <c r="L4461" s="584">
        <f>M4461+N4461+O4461+P4461+Q4461</f>
        <v>1127497</v>
      </c>
      <c r="M4461" s="585">
        <f>G4461*2500</f>
        <v>1077500</v>
      </c>
      <c r="N4461" s="586">
        <v>26938</v>
      </c>
      <c r="O4461" s="587"/>
      <c r="P4461" s="586"/>
      <c r="Q4461" s="586">
        <f>ROUND(M4461*2.14%,0)</f>
        <v>23059</v>
      </c>
      <c r="R4461" s="599">
        <f>M4461/G4461</f>
        <v>2500</v>
      </c>
      <c r="S4461" s="592"/>
      <c r="T4461" s="738">
        <f t="shared" si="692"/>
        <v>0</v>
      </c>
      <c r="U4461" s="591"/>
      <c r="V4461" s="592"/>
      <c r="W4461" s="592"/>
      <c r="X4461" s="592"/>
      <c r="Y4461" s="592"/>
      <c r="Z4461" s="592"/>
    </row>
    <row r="4462" spans="1:222" s="530" customFormat="1" ht="37.5" hidden="1">
      <c r="A4462" s="590">
        <f>A4461+1</f>
        <v>3</v>
      </c>
      <c r="B4462" s="788" t="s">
        <v>3480</v>
      </c>
      <c r="C4462" s="744" t="s">
        <v>221</v>
      </c>
      <c r="D4462" s="789">
        <f>E4462*3</f>
        <v>1173.51</v>
      </c>
      <c r="E4462" s="789">
        <v>391.17</v>
      </c>
      <c r="F4462" s="789" t="s">
        <v>222</v>
      </c>
      <c r="G4462" s="789">
        <v>311.27999999999997</v>
      </c>
      <c r="H4462" s="744">
        <v>2</v>
      </c>
      <c r="I4462" s="744">
        <v>2</v>
      </c>
      <c r="J4462" s="744">
        <v>8</v>
      </c>
      <c r="K4462" s="792" t="s">
        <v>30</v>
      </c>
      <c r="L4462" s="740">
        <f>M4462+N4462+O4462+P4462+Q4462</f>
        <v>188490</v>
      </c>
      <c r="M4462" s="741">
        <v>184000</v>
      </c>
      <c r="N4462" s="742"/>
      <c r="O4462" s="743">
        <v>552</v>
      </c>
      <c r="P4462" s="742"/>
      <c r="Q4462" s="853">
        <v>3938</v>
      </c>
      <c r="R4462" s="744">
        <f>M4462/J4462</f>
        <v>23000</v>
      </c>
      <c r="S4462" s="788"/>
      <c r="T4462" s="738">
        <f t="shared" si="692"/>
        <v>0</v>
      </c>
      <c r="U4462" s="791"/>
      <c r="V4462" s="788"/>
      <c r="W4462" s="788"/>
      <c r="X4462" s="788"/>
      <c r="Y4462" s="788"/>
      <c r="Z4462" s="788"/>
    </row>
    <row r="4463" spans="1:222" s="530" customFormat="1" ht="37.5" hidden="1">
      <c r="A4463" s="590">
        <f>A4462+1</f>
        <v>4</v>
      </c>
      <c r="B4463" s="592" t="s">
        <v>3481</v>
      </c>
      <c r="C4463" s="744" t="s">
        <v>221</v>
      </c>
      <c r="D4463" s="646">
        <v>2513.1999999999998</v>
      </c>
      <c r="E4463" s="646">
        <v>644.4</v>
      </c>
      <c r="F4463" s="789" t="s">
        <v>222</v>
      </c>
      <c r="G4463" s="646">
        <v>684.5</v>
      </c>
      <c r="H4463" s="582">
        <v>2</v>
      </c>
      <c r="I4463" s="582">
        <v>3</v>
      </c>
      <c r="J4463" s="582">
        <v>18</v>
      </c>
      <c r="K4463" s="590" t="s">
        <v>421</v>
      </c>
      <c r="L4463" s="584">
        <f>M4463+N4463+O4463+P4463+Q4463</f>
        <v>460980</v>
      </c>
      <c r="M4463" s="585">
        <f>J4463*25000</f>
        <v>450000</v>
      </c>
      <c r="N4463" s="586"/>
      <c r="O4463" s="736">
        <f>ROUND(M4463*0.3%,0)</f>
        <v>1350</v>
      </c>
      <c r="P4463" s="586"/>
      <c r="Q4463" s="586">
        <f>ROUND(M4463*2.14%,0)</f>
        <v>9630</v>
      </c>
      <c r="R4463" s="744">
        <f>M4463/J4463</f>
        <v>25000</v>
      </c>
      <c r="S4463" s="788"/>
      <c r="T4463" s="738">
        <f t="shared" si="692"/>
        <v>0</v>
      </c>
      <c r="U4463" s="589"/>
      <c r="V4463" s="788"/>
      <c r="W4463" s="788"/>
      <c r="X4463" s="788"/>
      <c r="Y4463" s="788"/>
      <c r="Z4463" s="788"/>
    </row>
    <row r="4464" spans="1:222" s="530" customFormat="1" ht="37.5" hidden="1">
      <c r="A4464" s="590">
        <f>A4463+1</f>
        <v>5</v>
      </c>
      <c r="B4464" s="788" t="s">
        <v>3482</v>
      </c>
      <c r="C4464" s="744" t="s">
        <v>221</v>
      </c>
      <c r="D4464" s="789">
        <v>2508</v>
      </c>
      <c r="E4464" s="789">
        <v>600.6</v>
      </c>
      <c r="F4464" s="789" t="s">
        <v>222</v>
      </c>
      <c r="G4464" s="789">
        <v>651</v>
      </c>
      <c r="H4464" s="744">
        <v>2</v>
      </c>
      <c r="I4464" s="744">
        <v>2</v>
      </c>
      <c r="J4464" s="744">
        <v>16</v>
      </c>
      <c r="K4464" s="590" t="s">
        <v>421</v>
      </c>
      <c r="L4464" s="584">
        <f>M4464+N4464+O4464+P4464+Q4464</f>
        <v>409760</v>
      </c>
      <c r="M4464" s="741">
        <f>J4464*25000</f>
        <v>400000</v>
      </c>
      <c r="N4464" s="742"/>
      <c r="O4464" s="736">
        <f>ROUND(M4464*0.3%,0)</f>
        <v>1200</v>
      </c>
      <c r="P4464" s="742"/>
      <c r="Q4464" s="586">
        <f>ROUND(M4464*2.14%,0)</f>
        <v>8560</v>
      </c>
      <c r="R4464" s="744">
        <f>M4464/J4464</f>
        <v>25000</v>
      </c>
      <c r="S4464" s="788"/>
      <c r="T4464" s="738">
        <f t="shared" si="692"/>
        <v>0</v>
      </c>
      <c r="U4464" s="589"/>
      <c r="V4464" s="788"/>
      <c r="W4464" s="788"/>
      <c r="X4464" s="788"/>
      <c r="Y4464" s="788"/>
      <c r="Z4464" s="788"/>
    </row>
    <row r="4465" spans="1:26" s="28" customFormat="1" hidden="1">
      <c r="A4465" s="1349" t="s">
        <v>58</v>
      </c>
      <c r="B4465" s="1349"/>
      <c r="C4465" s="593" t="s">
        <v>28</v>
      </c>
      <c r="D4465" s="646">
        <f>SUM(D4460:D4464)</f>
        <v>10823.810000000001</v>
      </c>
      <c r="E4465" s="646">
        <f>SUM(E4460:E4464)</f>
        <v>2672.87</v>
      </c>
      <c r="F4465" s="646" t="s">
        <v>28</v>
      </c>
      <c r="G4465" s="646">
        <f>SUM(G4460:G4464)</f>
        <v>2864.7799999999997</v>
      </c>
      <c r="H4465" s="582" t="s">
        <v>28</v>
      </c>
      <c r="I4465" s="582" t="s">
        <v>28</v>
      </c>
      <c r="J4465" s="582">
        <f>SUM(J4460:J4464)</f>
        <v>68</v>
      </c>
      <c r="K4465" s="590" t="s">
        <v>28</v>
      </c>
      <c r="L4465" s="584">
        <f t="shared" ref="L4465:Q4465" si="700">SUM(L4460:L4464)</f>
        <v>2647707</v>
      </c>
      <c r="M4465" s="585">
        <f t="shared" si="700"/>
        <v>2561500</v>
      </c>
      <c r="N4465" s="586">
        <f t="shared" si="700"/>
        <v>26938</v>
      </c>
      <c r="O4465" s="587">
        <f t="shared" si="700"/>
        <v>4452</v>
      </c>
      <c r="P4465" s="586">
        <f t="shared" si="700"/>
        <v>0</v>
      </c>
      <c r="Q4465" s="586">
        <f t="shared" si="700"/>
        <v>54817</v>
      </c>
      <c r="R4465" s="582" t="s">
        <v>28</v>
      </c>
      <c r="S4465" s="592"/>
      <c r="T4465" s="738">
        <f t="shared" si="692"/>
        <v>0</v>
      </c>
      <c r="U4465" s="591"/>
      <c r="V4465" s="592"/>
      <c r="W4465" s="592"/>
      <c r="X4465" s="592"/>
      <c r="Y4465" s="592"/>
      <c r="Z4465" s="592"/>
    </row>
    <row r="4466" spans="1:26" s="28" customFormat="1" hidden="1">
      <c r="A4466" s="1347" t="s">
        <v>59</v>
      </c>
      <c r="B4466" s="1347"/>
      <c r="C4466" s="1347"/>
      <c r="D4466" s="1347"/>
      <c r="E4466" s="1347"/>
      <c r="F4466" s="1347"/>
      <c r="G4466" s="1347"/>
      <c r="H4466" s="1347"/>
      <c r="I4466" s="1347"/>
      <c r="J4466" s="1347"/>
      <c r="K4466" s="1347"/>
      <c r="L4466" s="1347"/>
      <c r="M4466" s="1347"/>
      <c r="N4466" s="1347"/>
      <c r="O4466" s="1347"/>
      <c r="P4466" s="1347"/>
      <c r="Q4466" s="1347"/>
      <c r="R4466" s="590"/>
      <c r="S4466" s="592"/>
      <c r="T4466" s="738">
        <f t="shared" si="692"/>
        <v>0</v>
      </c>
      <c r="U4466" s="591"/>
      <c r="V4466" s="592"/>
      <c r="W4466" s="592"/>
      <c r="X4466" s="592"/>
      <c r="Y4466" s="592"/>
      <c r="Z4466" s="592"/>
    </row>
    <row r="4467" spans="1:26" s="28" customFormat="1" ht="37.5" hidden="1">
      <c r="A4467" s="826">
        <v>1</v>
      </c>
      <c r="B4467" s="827" t="s">
        <v>3483</v>
      </c>
      <c r="C4467" s="828" t="s">
        <v>221</v>
      </c>
      <c r="D4467" s="829">
        <f>E4467*2.95</f>
        <v>1876.2</v>
      </c>
      <c r="E4467" s="829">
        <f>((20*I4467)+13)*2*3*H4467</f>
        <v>636</v>
      </c>
      <c r="F4467" s="646" t="s">
        <v>222</v>
      </c>
      <c r="G4467" s="829">
        <v>715</v>
      </c>
      <c r="H4467" s="830">
        <v>2</v>
      </c>
      <c r="I4467" s="830">
        <v>2</v>
      </c>
      <c r="J4467" s="830">
        <v>13</v>
      </c>
      <c r="K4467" s="831" t="s">
        <v>3877</v>
      </c>
      <c r="L4467" s="746">
        <f>SUM(M4467:Q4467)</f>
        <v>1489202</v>
      </c>
      <c r="M4467" s="585">
        <f>G4467*2000</f>
        <v>1430000</v>
      </c>
      <c r="N4467" s="802">
        <f>M4467*0.02</f>
        <v>28600</v>
      </c>
      <c r="O4467" s="822"/>
      <c r="P4467" s="802"/>
      <c r="Q4467" s="586">
        <f>ROUND(M4467*2.14%,0)</f>
        <v>30602</v>
      </c>
      <c r="R4467" s="582">
        <f>M4467/G4467</f>
        <v>2000</v>
      </c>
      <c r="S4467" s="592"/>
      <c r="T4467" s="738">
        <f t="shared" si="692"/>
        <v>0</v>
      </c>
      <c r="U4467" s="1059">
        <f>L4467-M4467-N4467-O4467-Q4467</f>
        <v>0</v>
      </c>
      <c r="V4467" s="592"/>
      <c r="W4467" s="592"/>
      <c r="X4467" s="592"/>
      <c r="Y4467" s="592"/>
      <c r="Z4467" s="592"/>
    </row>
    <row r="4468" spans="1:26" s="28" customFormat="1" ht="37.5" hidden="1">
      <c r="A4468" s="826">
        <f>A4467+1</f>
        <v>2</v>
      </c>
      <c r="B4468" s="827" t="s">
        <v>3484</v>
      </c>
      <c r="C4468" s="828" t="s">
        <v>221</v>
      </c>
      <c r="D4468" s="829">
        <f>E4468*3</f>
        <v>1227.6000000000001</v>
      </c>
      <c r="E4468" s="646">
        <f>((21.7+12.4)*2)*3*H4468</f>
        <v>409.20000000000005</v>
      </c>
      <c r="F4468" s="646" t="s">
        <v>222</v>
      </c>
      <c r="G4468" s="739">
        <v>627.20000000000005</v>
      </c>
      <c r="H4468" s="830">
        <v>2</v>
      </c>
      <c r="I4468" s="830">
        <v>1</v>
      </c>
      <c r="J4468" s="830">
        <v>17</v>
      </c>
      <c r="K4468" s="792" t="s">
        <v>3877</v>
      </c>
      <c r="L4468" s="584">
        <f>M4468+N4468+O4468+P4468+Q4468</f>
        <v>1306332</v>
      </c>
      <c r="M4468" s="585">
        <f>G4468*2000</f>
        <v>1254400</v>
      </c>
      <c r="N4468" s="586">
        <f>M4468*0.02</f>
        <v>25088</v>
      </c>
      <c r="O4468" s="587"/>
      <c r="P4468" s="586"/>
      <c r="Q4468" s="586">
        <f>ROUND(M4468*2.14%,0)</f>
        <v>26844</v>
      </c>
      <c r="R4468" s="582">
        <f>M4468/G4468</f>
        <v>1999.9999999999998</v>
      </c>
      <c r="S4468" s="592"/>
      <c r="T4468" s="738">
        <f t="shared" si="692"/>
        <v>0</v>
      </c>
      <c r="U4468" s="591"/>
      <c r="V4468" s="592"/>
      <c r="W4468" s="592"/>
      <c r="X4468" s="592"/>
      <c r="Y4468" s="592"/>
      <c r="Z4468" s="592"/>
    </row>
    <row r="4469" spans="1:26" s="28" customFormat="1" hidden="1">
      <c r="A4469" s="826">
        <f>A4468+1</f>
        <v>3</v>
      </c>
      <c r="B4469" s="827" t="s">
        <v>3485</v>
      </c>
      <c r="C4469" s="828" t="s">
        <v>221</v>
      </c>
      <c r="D4469" s="829">
        <f>E4469*3</f>
        <v>1227.6000000000001</v>
      </c>
      <c r="E4469" s="646">
        <f>((21.7+12.4)*2)*3*H4469</f>
        <v>409.20000000000005</v>
      </c>
      <c r="F4469" s="646" t="s">
        <v>222</v>
      </c>
      <c r="G4469" s="739">
        <v>627.20000000000005</v>
      </c>
      <c r="H4469" s="830">
        <v>2</v>
      </c>
      <c r="I4469" s="830">
        <v>1</v>
      </c>
      <c r="J4469" s="830">
        <v>18</v>
      </c>
      <c r="K4469" s="812" t="s">
        <v>33</v>
      </c>
      <c r="L4469" s="584">
        <f>M4469+N4469+O4469+P4469+Q4469</f>
        <v>1312604</v>
      </c>
      <c r="M4469" s="745">
        <f>G4469*2000</f>
        <v>1254400</v>
      </c>
      <c r="N4469" s="802">
        <f>M4469*0.025</f>
        <v>31360</v>
      </c>
      <c r="O4469" s="822"/>
      <c r="P4469" s="747"/>
      <c r="Q4469" s="586">
        <f>ROUND(M4469*2.14%,0)</f>
        <v>26844</v>
      </c>
      <c r="R4469" s="803">
        <f>M4469/G4469</f>
        <v>1999.9999999999998</v>
      </c>
      <c r="S4469" s="592"/>
      <c r="T4469" s="738">
        <f t="shared" si="692"/>
        <v>0</v>
      </c>
      <c r="U4469" s="589"/>
      <c r="V4469" s="592"/>
      <c r="W4469" s="592"/>
      <c r="X4469" s="592"/>
      <c r="Y4469" s="592"/>
      <c r="Z4469" s="592"/>
    </row>
    <row r="4470" spans="1:26" s="28" customFormat="1" hidden="1">
      <c r="A4470" s="826">
        <f>A4469+1</f>
        <v>4</v>
      </c>
      <c r="B4470" s="827" t="s">
        <v>3486</v>
      </c>
      <c r="C4470" s="1277" t="s">
        <v>221</v>
      </c>
      <c r="D4470" s="1278">
        <v>1227.6000000000001</v>
      </c>
      <c r="E4470" s="646">
        <v>409.20000000000005</v>
      </c>
      <c r="F4470" s="646" t="s">
        <v>222</v>
      </c>
      <c r="G4470" s="739">
        <v>1010</v>
      </c>
      <c r="H4470" s="1279">
        <v>2</v>
      </c>
      <c r="I4470" s="1279">
        <v>1</v>
      </c>
      <c r="J4470" s="1279">
        <v>33</v>
      </c>
      <c r="K4470" s="735" t="s">
        <v>33</v>
      </c>
      <c r="L4470" s="584">
        <f>M4470+N4470+O4470+P4470+Q4470</f>
        <v>2093528</v>
      </c>
      <c r="M4470" s="585">
        <f>G4470*2000</f>
        <v>2020000</v>
      </c>
      <c r="N4470" s="586">
        <f>M4470*0.015</f>
        <v>30300</v>
      </c>
      <c r="O4470" s="587"/>
      <c r="P4470" s="586"/>
      <c r="Q4470" s="586">
        <f>ROUND(M4470*2.14%,0)</f>
        <v>43228</v>
      </c>
      <c r="R4470" s="582">
        <f>M4470/G4470</f>
        <v>2000</v>
      </c>
      <c r="S4470" s="592"/>
      <c r="T4470" s="738">
        <f t="shared" si="692"/>
        <v>0</v>
      </c>
      <c r="U4470" s="591"/>
      <c r="V4470" s="592"/>
      <c r="W4470" s="592"/>
      <c r="X4470" s="592"/>
      <c r="Y4470" s="592"/>
      <c r="Z4470" s="592"/>
    </row>
    <row r="4471" spans="1:26" s="28" customFormat="1" hidden="1">
      <c r="A4471" s="1349" t="s">
        <v>60</v>
      </c>
      <c r="B4471" s="1349"/>
      <c r="C4471" s="586" t="s">
        <v>28</v>
      </c>
      <c r="D4471" s="646">
        <f>SUM(D4467:D4470)</f>
        <v>5559.0000000000009</v>
      </c>
      <c r="E4471" s="646">
        <f>SUM(E4467:E4470)</f>
        <v>1863.6000000000001</v>
      </c>
      <c r="F4471" s="646" t="s">
        <v>28</v>
      </c>
      <c r="G4471" s="646">
        <f>SUM(G4467:G4470)</f>
        <v>2979.4</v>
      </c>
      <c r="H4471" s="582" t="s">
        <v>28</v>
      </c>
      <c r="I4471" s="582" t="s">
        <v>28</v>
      </c>
      <c r="J4471" s="582">
        <f>SUM(J4467:J4470)</f>
        <v>81</v>
      </c>
      <c r="K4471" s="588" t="s">
        <v>28</v>
      </c>
      <c r="L4471" s="584">
        <f>SUM(L4467:L4470)</f>
        <v>6201666</v>
      </c>
      <c r="M4471" s="585">
        <f>SUM(M4467:M4470)</f>
        <v>5958800</v>
      </c>
      <c r="N4471" s="586">
        <f>SUM(N4467:N4470)</f>
        <v>115348</v>
      </c>
      <c r="O4471" s="587"/>
      <c r="P4471" s="586"/>
      <c r="Q4471" s="586">
        <f>SUM(Q4467:Q4470)</f>
        <v>127518</v>
      </c>
      <c r="R4471" s="582" t="s">
        <v>28</v>
      </c>
      <c r="S4471" s="592"/>
      <c r="T4471" s="738">
        <f t="shared" si="692"/>
        <v>0</v>
      </c>
      <c r="U4471" s="591"/>
      <c r="V4471" s="592"/>
      <c r="W4471" s="592"/>
      <c r="X4471" s="592"/>
      <c r="Y4471" s="592"/>
      <c r="Z4471" s="592"/>
    </row>
    <row r="4472" spans="1:26" s="28" customFormat="1" hidden="1">
      <c r="A4472" s="1347" t="s">
        <v>61</v>
      </c>
      <c r="B4472" s="1347"/>
      <c r="C4472" s="1347"/>
      <c r="D4472" s="1347"/>
      <c r="E4472" s="1347"/>
      <c r="F4472" s="1347"/>
      <c r="G4472" s="1347"/>
      <c r="H4472" s="1347"/>
      <c r="I4472" s="1347"/>
      <c r="J4472" s="1347"/>
      <c r="K4472" s="1347"/>
      <c r="L4472" s="1347"/>
      <c r="M4472" s="1347"/>
      <c r="N4472" s="1347"/>
      <c r="O4472" s="1347"/>
      <c r="P4472" s="1347"/>
      <c r="Q4472" s="1347"/>
      <c r="R4472" s="590"/>
      <c r="S4472" s="592"/>
      <c r="T4472" s="738">
        <f t="shared" ref="T4472:T4480" si="701">L4472-M4472-N4472-O4472-Q4472</f>
        <v>0</v>
      </c>
      <c r="U4472" s="591"/>
      <c r="V4472" s="592"/>
      <c r="W4472" s="592"/>
      <c r="X4472" s="592"/>
      <c r="Y4472" s="592"/>
      <c r="Z4472" s="592"/>
    </row>
    <row r="4473" spans="1:26" s="28" customFormat="1" hidden="1">
      <c r="A4473" s="590">
        <v>1</v>
      </c>
      <c r="B4473" s="592" t="s">
        <v>3488</v>
      </c>
      <c r="C4473" s="744" t="s">
        <v>221</v>
      </c>
      <c r="D4473" s="646">
        <v>1500.8</v>
      </c>
      <c r="E4473" s="646">
        <v>536</v>
      </c>
      <c r="F4473" s="789" t="s">
        <v>241</v>
      </c>
      <c r="G4473" s="646">
        <v>943.80000000000007</v>
      </c>
      <c r="H4473" s="582">
        <v>2</v>
      </c>
      <c r="I4473" s="582">
        <v>3</v>
      </c>
      <c r="J4473" s="582">
        <v>12</v>
      </c>
      <c r="K4473" s="590" t="s">
        <v>234</v>
      </c>
      <c r="L4473" s="584">
        <f>M4473+N4473+O4473+P4473+Q4473</f>
        <v>2738832</v>
      </c>
      <c r="M4473" s="585">
        <f>G4473*2800</f>
        <v>2642640</v>
      </c>
      <c r="N4473" s="586">
        <v>39640</v>
      </c>
      <c r="O4473" s="587"/>
      <c r="P4473" s="586"/>
      <c r="Q4473" s="586">
        <f>ROUND(M4473*2.14%,0)</f>
        <v>56552</v>
      </c>
      <c r="R4473" s="582">
        <f>M4473/G4473</f>
        <v>2800</v>
      </c>
      <c r="S4473" s="592"/>
      <c r="T4473" s="738">
        <f t="shared" si="701"/>
        <v>0</v>
      </c>
      <c r="U4473" s="591"/>
      <c r="V4473" s="592"/>
      <c r="W4473" s="592"/>
      <c r="X4473" s="592"/>
      <c r="Y4473" s="592"/>
      <c r="Z4473" s="592"/>
    </row>
    <row r="4474" spans="1:26" s="28" customFormat="1" hidden="1">
      <c r="A4474" s="590">
        <v>2</v>
      </c>
      <c r="B4474" s="592" t="s">
        <v>3487</v>
      </c>
      <c r="C4474" s="744" t="s">
        <v>221</v>
      </c>
      <c r="D4474" s="646">
        <v>672</v>
      </c>
      <c r="E4474" s="646">
        <v>240</v>
      </c>
      <c r="F4474" s="789" t="s">
        <v>241</v>
      </c>
      <c r="G4474" s="646">
        <v>514</v>
      </c>
      <c r="H4474" s="582">
        <v>2</v>
      </c>
      <c r="I4474" s="582">
        <v>1</v>
      </c>
      <c r="J4474" s="582">
        <v>16</v>
      </c>
      <c r="K4474" s="590" t="s">
        <v>33</v>
      </c>
      <c r="L4474" s="584">
        <f>M4474+N4474+O4474+P4474+Q4474</f>
        <v>1498783</v>
      </c>
      <c r="M4474" s="585">
        <f>G4474*2800</f>
        <v>1439200</v>
      </c>
      <c r="N4474" s="586">
        <f>M4474*0.02</f>
        <v>28784</v>
      </c>
      <c r="O4474" s="587"/>
      <c r="P4474" s="586"/>
      <c r="Q4474" s="586">
        <f>ROUND(M4474*2.14%,0)</f>
        <v>30799</v>
      </c>
      <c r="R4474" s="582">
        <f>M4474/G4474</f>
        <v>2800</v>
      </c>
      <c r="S4474" s="592"/>
      <c r="T4474" s="738">
        <f t="shared" si="701"/>
        <v>0</v>
      </c>
      <c r="U4474" s="591"/>
      <c r="V4474" s="592"/>
      <c r="W4474" s="592"/>
      <c r="X4474" s="592"/>
      <c r="Y4474" s="592"/>
      <c r="Z4474" s="592"/>
    </row>
    <row r="4475" spans="1:26" s="28" customFormat="1" hidden="1">
      <c r="A4475" s="590">
        <v>3</v>
      </c>
      <c r="B4475" s="592" t="s">
        <v>3645</v>
      </c>
      <c r="C4475" s="744" t="s">
        <v>221</v>
      </c>
      <c r="D4475" s="646">
        <v>2772</v>
      </c>
      <c r="E4475" s="646">
        <v>924</v>
      </c>
      <c r="F4475" s="789" t="s">
        <v>241</v>
      </c>
      <c r="G4475" s="646">
        <v>598</v>
      </c>
      <c r="H4475" s="582">
        <v>3</v>
      </c>
      <c r="I4475" s="582">
        <v>1</v>
      </c>
      <c r="J4475" s="582">
        <v>24</v>
      </c>
      <c r="K4475" s="590" t="s">
        <v>33</v>
      </c>
      <c r="L4475" s="584">
        <f>M4475+N4475+O4475+P4475+Q4475</f>
        <v>1735348</v>
      </c>
      <c r="M4475" s="585">
        <v>1674400</v>
      </c>
      <c r="N4475" s="586">
        <v>25116</v>
      </c>
      <c r="O4475" s="587"/>
      <c r="P4475" s="586"/>
      <c r="Q4475" s="586">
        <v>35832</v>
      </c>
      <c r="R4475" s="599">
        <f>M4475/G4475</f>
        <v>2800</v>
      </c>
      <c r="S4475" s="592"/>
      <c r="T4475" s="738">
        <f t="shared" si="701"/>
        <v>0</v>
      </c>
      <c r="U4475" s="591"/>
      <c r="V4475" s="592"/>
      <c r="W4475" s="592"/>
      <c r="X4475" s="592"/>
      <c r="Y4475" s="592"/>
      <c r="Z4475" s="592"/>
    </row>
    <row r="4476" spans="1:26" s="28" customFormat="1" hidden="1">
      <c r="A4476" s="590">
        <v>4</v>
      </c>
      <c r="B4476" s="592" t="s">
        <v>3646</v>
      </c>
      <c r="C4476" s="744" t="s">
        <v>221</v>
      </c>
      <c r="D4476" s="646">
        <v>31200</v>
      </c>
      <c r="E4476" s="646">
        <v>5724</v>
      </c>
      <c r="F4476" s="789" t="s">
        <v>223</v>
      </c>
      <c r="G4476" s="646">
        <v>2600</v>
      </c>
      <c r="H4476" s="582">
        <v>5</v>
      </c>
      <c r="I4476" s="582">
        <v>10</v>
      </c>
      <c r="J4476" s="582">
        <v>120</v>
      </c>
      <c r="K4476" s="590" t="s">
        <v>33</v>
      </c>
      <c r="L4476" s="584">
        <f>M4476+N4476+O4476+P4476+Q4476</f>
        <v>5859568</v>
      </c>
      <c r="M4476" s="585">
        <v>5720000</v>
      </c>
      <c r="N4476" s="586"/>
      <c r="O4476" s="587">
        <v>17160</v>
      </c>
      <c r="P4476" s="586"/>
      <c r="Q4476" s="586">
        <v>122408</v>
      </c>
      <c r="R4476" s="599">
        <f>M4476/G4476</f>
        <v>2200</v>
      </c>
      <c r="S4476" s="592"/>
      <c r="T4476" s="738">
        <f t="shared" si="701"/>
        <v>0</v>
      </c>
      <c r="U4476" s="591"/>
      <c r="V4476" s="592"/>
      <c r="W4476" s="592"/>
      <c r="X4476" s="592"/>
      <c r="Y4476" s="592"/>
      <c r="Z4476" s="592"/>
    </row>
    <row r="4477" spans="1:26" s="28" customFormat="1" hidden="1">
      <c r="A4477" s="1349" t="s">
        <v>62</v>
      </c>
      <c r="B4477" s="1349"/>
      <c r="C4477" s="593" t="s">
        <v>28</v>
      </c>
      <c r="D4477" s="646">
        <f>SUM(D4473:D4476)</f>
        <v>36144.800000000003</v>
      </c>
      <c r="E4477" s="646">
        <f>SUM(E4473:E4476)</f>
        <v>7424</v>
      </c>
      <c r="F4477" s="646" t="s">
        <v>28</v>
      </c>
      <c r="G4477" s="646">
        <f>SUM(G4473:G4476)</f>
        <v>4655.8</v>
      </c>
      <c r="H4477" s="582" t="s">
        <v>28</v>
      </c>
      <c r="I4477" s="582" t="s">
        <v>28</v>
      </c>
      <c r="J4477" s="582">
        <f>SUM(J4473:J4476)</f>
        <v>172</v>
      </c>
      <c r="K4477" s="772" t="s">
        <v>28</v>
      </c>
      <c r="L4477" s="584">
        <f>SUM(L4473:L4476)</f>
        <v>11832531</v>
      </c>
      <c r="M4477" s="585">
        <f>SUM(M4473:M4476)</f>
        <v>11476240</v>
      </c>
      <c r="N4477" s="586">
        <f>SUM(N4473:N4476)</f>
        <v>93540</v>
      </c>
      <c r="O4477" s="587">
        <f>SUM(O4473:O4476)</f>
        <v>17160</v>
      </c>
      <c r="P4477" s="586"/>
      <c r="Q4477" s="586">
        <f>SUM(Q4473:Q4476)</f>
        <v>245591</v>
      </c>
      <c r="R4477" s="582" t="s">
        <v>28</v>
      </c>
      <c r="S4477" s="592"/>
      <c r="T4477" s="738">
        <f t="shared" si="701"/>
        <v>0</v>
      </c>
      <c r="U4477" s="591"/>
      <c r="V4477" s="592"/>
      <c r="W4477" s="592"/>
      <c r="X4477" s="592"/>
      <c r="Y4477" s="592"/>
      <c r="Z4477" s="592"/>
    </row>
    <row r="4478" spans="1:26" s="28" customFormat="1" hidden="1">
      <c r="A4478" s="1347" t="s">
        <v>63</v>
      </c>
      <c r="B4478" s="1347"/>
      <c r="C4478" s="1347"/>
      <c r="D4478" s="1347"/>
      <c r="E4478" s="1347"/>
      <c r="F4478" s="1347"/>
      <c r="G4478" s="1347"/>
      <c r="H4478" s="1347"/>
      <c r="I4478" s="1347"/>
      <c r="J4478" s="1347"/>
      <c r="K4478" s="1347"/>
      <c r="L4478" s="1347"/>
      <c r="M4478" s="1347"/>
      <c r="N4478" s="1347"/>
      <c r="O4478" s="1347"/>
      <c r="P4478" s="1347"/>
      <c r="Q4478" s="1347"/>
      <c r="R4478" s="590"/>
      <c r="S4478" s="592"/>
      <c r="T4478" s="738">
        <f t="shared" si="701"/>
        <v>0</v>
      </c>
      <c r="U4478" s="591"/>
      <c r="V4478" s="592"/>
      <c r="W4478" s="592"/>
      <c r="X4478" s="592"/>
      <c r="Y4478" s="592"/>
      <c r="Z4478" s="592"/>
    </row>
    <row r="4479" spans="1:26" s="530" customFormat="1" hidden="1">
      <c r="A4479" s="792">
        <v>1</v>
      </c>
      <c r="B4479" s="865" t="s">
        <v>3490</v>
      </c>
      <c r="C4479" s="744" t="s">
        <v>221</v>
      </c>
      <c r="D4479" s="789">
        <v>2904</v>
      </c>
      <c r="E4479" s="789">
        <v>571.98</v>
      </c>
      <c r="F4479" s="789" t="s">
        <v>222</v>
      </c>
      <c r="G4479" s="789">
        <v>709.47</v>
      </c>
      <c r="H4479" s="744">
        <v>2</v>
      </c>
      <c r="I4479" s="744">
        <v>2</v>
      </c>
      <c r="J4479" s="744">
        <v>23</v>
      </c>
      <c r="K4479" s="735" t="s">
        <v>33</v>
      </c>
      <c r="L4479" s="584">
        <f>M4479+N4479+O4479+P4479+Q4479</f>
        <v>1838237</v>
      </c>
      <c r="M4479" s="585">
        <f>G4479*2500</f>
        <v>1773675</v>
      </c>
      <c r="N4479" s="586">
        <v>26605</v>
      </c>
      <c r="O4479" s="565"/>
      <c r="P4479" s="564"/>
      <c r="Q4479" s="586">
        <f>ROUND(M4479*2.14%,0)</f>
        <v>37957</v>
      </c>
      <c r="R4479" s="582">
        <f>M4479/G4479</f>
        <v>2500</v>
      </c>
      <c r="S4479" s="788"/>
      <c r="T4479" s="738">
        <f t="shared" si="701"/>
        <v>0</v>
      </c>
      <c r="U4479" s="791"/>
      <c r="V4479" s="788"/>
      <c r="W4479" s="788"/>
      <c r="X4479" s="788"/>
      <c r="Y4479" s="788"/>
      <c r="Z4479" s="788"/>
    </row>
    <row r="4480" spans="1:26" s="530" customFormat="1" hidden="1">
      <c r="A4480" s="792">
        <v>2</v>
      </c>
      <c r="B4480" s="865" t="s">
        <v>3491</v>
      </c>
      <c r="C4480" s="744" t="s">
        <v>217</v>
      </c>
      <c r="D4480" s="789">
        <v>2896.3</v>
      </c>
      <c r="E4480" s="789">
        <v>569.9</v>
      </c>
      <c r="F4480" s="789" t="s">
        <v>241</v>
      </c>
      <c r="G4480" s="789">
        <v>984.08</v>
      </c>
      <c r="H4480" s="744">
        <v>2</v>
      </c>
      <c r="I4480" s="744">
        <v>3</v>
      </c>
      <c r="J4480" s="744">
        <v>22</v>
      </c>
      <c r="K4480" s="735" t="s">
        <v>33</v>
      </c>
      <c r="L4480" s="584">
        <f>M4480+N4480+O4480+P4480+Q4480</f>
        <v>2549751</v>
      </c>
      <c r="M4480" s="585">
        <f>G4480*2500</f>
        <v>2460200</v>
      </c>
      <c r="N4480" s="586">
        <f>M4480*0.015</f>
        <v>36903</v>
      </c>
      <c r="O4480" s="565"/>
      <c r="P4480" s="564"/>
      <c r="Q4480" s="586">
        <f>ROUND(M4480*2.14%,0)</f>
        <v>52648</v>
      </c>
      <c r="R4480" s="582">
        <f>M4480/G4480</f>
        <v>2500</v>
      </c>
      <c r="S4480" s="788"/>
      <c r="T4480" s="738">
        <f t="shared" si="701"/>
        <v>0</v>
      </c>
      <c r="U4480" s="791"/>
      <c r="V4480" s="788"/>
      <c r="W4480" s="788"/>
      <c r="X4480" s="788"/>
      <c r="Y4480" s="788"/>
      <c r="Z4480" s="788"/>
    </row>
    <row r="4481" spans="1:26" s="220" customFormat="1" hidden="1">
      <c r="A4481" s="792">
        <v>3</v>
      </c>
      <c r="B4481" s="580" t="s">
        <v>4321</v>
      </c>
      <c r="C4481" s="758" t="s">
        <v>221</v>
      </c>
      <c r="D4481" s="1280">
        <f>13*57.9*6</f>
        <v>4516.2</v>
      </c>
      <c r="E4481" s="1280">
        <f>(13+57.9)*2*6</f>
        <v>850.80000000000007</v>
      </c>
      <c r="F4481" s="1281" t="s">
        <v>241</v>
      </c>
      <c r="G4481" s="1280">
        <f>13*57.9*1.3</f>
        <v>978.51</v>
      </c>
      <c r="H4481" s="758">
        <v>2</v>
      </c>
      <c r="I4481" s="758">
        <v>2</v>
      </c>
      <c r="J4481" s="758">
        <v>22</v>
      </c>
      <c r="K4481" s="735" t="s">
        <v>33</v>
      </c>
      <c r="L4481" s="584">
        <f>M4481+N4481+O4481+P4481+Q4481</f>
        <v>2535319</v>
      </c>
      <c r="M4481" s="585">
        <v>2446275</v>
      </c>
      <c r="N4481" s="586">
        <v>36694</v>
      </c>
      <c r="O4481" s="565"/>
      <c r="P4481" s="564"/>
      <c r="Q4481" s="586">
        <v>52350</v>
      </c>
      <c r="R4481" s="582">
        <v>2500</v>
      </c>
      <c r="S4481" s="788"/>
      <c r="T4481" s="738"/>
      <c r="U4481" s="791"/>
      <c r="V4481" s="788"/>
      <c r="W4481" s="788"/>
      <c r="X4481" s="788"/>
      <c r="Y4481" s="788"/>
      <c r="Z4481" s="788"/>
    </row>
    <row r="4482" spans="1:26" s="28" customFormat="1" hidden="1">
      <c r="A4482" s="1349" t="s">
        <v>64</v>
      </c>
      <c r="B4482" s="1349"/>
      <c r="C4482" s="593" t="s">
        <v>28</v>
      </c>
      <c r="D4482" s="646">
        <f>SUM(D4479:D4481)</f>
        <v>10316.5</v>
      </c>
      <c r="E4482" s="646">
        <f>SUM(E4479:E4481)</f>
        <v>1992.6800000000003</v>
      </c>
      <c r="F4482" s="646" t="s">
        <v>28</v>
      </c>
      <c r="G4482" s="646">
        <f>SUM(G4479:G4481)</f>
        <v>2672.0600000000004</v>
      </c>
      <c r="H4482" s="582" t="s">
        <v>28</v>
      </c>
      <c r="I4482" s="582" t="s">
        <v>28</v>
      </c>
      <c r="J4482" s="646">
        <f>SUM(J4479:J4481)</f>
        <v>67</v>
      </c>
      <c r="K4482" s="772" t="s">
        <v>28</v>
      </c>
      <c r="L4482" s="584">
        <f>SUM(L4479:L4481)</f>
        <v>6923307</v>
      </c>
      <c r="M4482" s="585">
        <f>SUM(M4479:M4481)</f>
        <v>6680150</v>
      </c>
      <c r="N4482" s="586">
        <f>SUM(N4479:N4481)</f>
        <v>100202</v>
      </c>
      <c r="O4482" s="587">
        <f>SUM(O4479:O4481)</f>
        <v>0</v>
      </c>
      <c r="P4482" s="586"/>
      <c r="Q4482" s="586">
        <f>SUM(Q4479:Q4481)</f>
        <v>142955</v>
      </c>
      <c r="R4482" s="582" t="s">
        <v>28</v>
      </c>
      <c r="S4482" s="592"/>
      <c r="T4482" s="738">
        <f>L4482-M4482-N4482-O4482-Q4482</f>
        <v>0</v>
      </c>
      <c r="U4482" s="591"/>
      <c r="V4482" s="592"/>
      <c r="W4482" s="592"/>
      <c r="X4482" s="592"/>
      <c r="Y4482" s="592"/>
      <c r="Z4482" s="592"/>
    </row>
    <row r="4483" spans="1:26" s="28" customFormat="1" hidden="1">
      <c r="A4483" s="1347" t="s">
        <v>65</v>
      </c>
      <c r="B4483" s="1347"/>
      <c r="C4483" s="1347"/>
      <c r="D4483" s="1347"/>
      <c r="E4483" s="1347"/>
      <c r="F4483" s="1347"/>
      <c r="G4483" s="1347"/>
      <c r="H4483" s="1347"/>
      <c r="I4483" s="1347"/>
      <c r="J4483" s="1347"/>
      <c r="K4483" s="1347"/>
      <c r="L4483" s="1347"/>
      <c r="M4483" s="1347"/>
      <c r="N4483" s="1347"/>
      <c r="O4483" s="1347"/>
      <c r="P4483" s="1347"/>
      <c r="Q4483" s="1347"/>
      <c r="R4483" s="590"/>
      <c r="S4483" s="592"/>
      <c r="T4483" s="738">
        <f>L4483-M4483-N4483-O4483-Q4483</f>
        <v>0</v>
      </c>
      <c r="U4483" s="591"/>
      <c r="V4483" s="592"/>
      <c r="W4483" s="592"/>
      <c r="X4483" s="592"/>
      <c r="Y4483" s="592"/>
      <c r="Z4483" s="592"/>
    </row>
    <row r="4484" spans="1:26" s="537" customFormat="1" ht="37.5" hidden="1">
      <c r="A4484" s="667">
        <v>1</v>
      </c>
      <c r="B4484" s="834" t="s">
        <v>3493</v>
      </c>
      <c r="C4484" s="744" t="s">
        <v>221</v>
      </c>
      <c r="D4484" s="789">
        <v>13452</v>
      </c>
      <c r="E4484" s="789">
        <v>2300</v>
      </c>
      <c r="F4484" s="789" t="s">
        <v>222</v>
      </c>
      <c r="G4484" s="789">
        <f>(20*I4484)*13*1.3</f>
        <v>1352</v>
      </c>
      <c r="H4484" s="744">
        <v>5</v>
      </c>
      <c r="I4484" s="744">
        <v>4</v>
      </c>
      <c r="J4484" s="744">
        <v>66</v>
      </c>
      <c r="K4484" s="590" t="s">
        <v>236</v>
      </c>
      <c r="L4484" s="584">
        <f>M4484+N4484+O4484+P4484+Q4484</f>
        <v>3486132</v>
      </c>
      <c r="M4484" s="741">
        <f>G4484*2500</f>
        <v>3380000</v>
      </c>
      <c r="N4484" s="586">
        <v>33800</v>
      </c>
      <c r="O4484" s="743"/>
      <c r="P4484" s="742"/>
      <c r="Q4484" s="586">
        <f>ROUND(M4484*2.14%,0)</f>
        <v>72332</v>
      </c>
      <c r="R4484" s="744">
        <f>M4484/G4484</f>
        <v>2500</v>
      </c>
      <c r="S4484" s="836"/>
      <c r="T4484" s="738">
        <f>L4484-M4484-N4484-O4484-Q4484</f>
        <v>0</v>
      </c>
      <c r="U4484" s="836"/>
      <c r="V4484" s="836"/>
      <c r="W4484" s="836"/>
      <c r="X4484" s="836"/>
      <c r="Y4484" s="836"/>
      <c r="Z4484" s="836"/>
    </row>
    <row r="4485" spans="1:26" s="246" customFormat="1" hidden="1">
      <c r="A4485" s="667">
        <v>2</v>
      </c>
      <c r="B4485" s="592" t="s">
        <v>3494</v>
      </c>
      <c r="C4485" s="744" t="s">
        <v>221</v>
      </c>
      <c r="D4485" s="619">
        <v>1617</v>
      </c>
      <c r="E4485" s="619">
        <v>539</v>
      </c>
      <c r="F4485" s="807" t="s">
        <v>222</v>
      </c>
      <c r="G4485" s="739">
        <v>640</v>
      </c>
      <c r="H4485" s="582">
        <v>2</v>
      </c>
      <c r="I4485" s="582">
        <v>2</v>
      </c>
      <c r="J4485" s="582">
        <v>12</v>
      </c>
      <c r="K4485" s="590" t="s">
        <v>224</v>
      </c>
      <c r="L4485" s="740">
        <f>M4485+N4485+O4485+P4485+Q4485</f>
        <v>293410</v>
      </c>
      <c r="M4485" s="741">
        <f>J4485*22000</f>
        <v>264000</v>
      </c>
      <c r="N4485" s="742">
        <v>23760</v>
      </c>
      <c r="O4485" s="743"/>
      <c r="P4485" s="742"/>
      <c r="Q4485" s="586">
        <f>ROUND(M4485*2.14%,0)</f>
        <v>5650</v>
      </c>
      <c r="R4485" s="744">
        <f>M4485/J4485</f>
        <v>22000</v>
      </c>
      <c r="S4485" s="591"/>
      <c r="T4485" s="591"/>
      <c r="U4485" s="591"/>
      <c r="V4485" s="591"/>
      <c r="W4485" s="591"/>
      <c r="X4485" s="591"/>
      <c r="Y4485" s="591"/>
      <c r="Z4485" s="591"/>
    </row>
    <row r="4486" spans="1:26" s="101" customFormat="1" hidden="1">
      <c r="A4486" s="792">
        <f>A4485+1</f>
        <v>3</v>
      </c>
      <c r="B4486" s="592" t="s">
        <v>2929</v>
      </c>
      <c r="C4486" s="744" t="s">
        <v>221</v>
      </c>
      <c r="D4486" s="789">
        <v>2211</v>
      </c>
      <c r="E4486" s="789">
        <v>517</v>
      </c>
      <c r="F4486" s="789" t="s">
        <v>222</v>
      </c>
      <c r="G4486" s="739">
        <f>(20*I4486)*13*1.3</f>
        <v>676</v>
      </c>
      <c r="H4486" s="744">
        <v>2</v>
      </c>
      <c r="I4486" s="744">
        <v>2</v>
      </c>
      <c r="J4486" s="744">
        <v>16</v>
      </c>
      <c r="K4486" s="590" t="s">
        <v>33</v>
      </c>
      <c r="L4486" s="740">
        <f>M4486+N4486+O4486+P4486+Q4486</f>
        <v>1619169</v>
      </c>
      <c r="M4486" s="741">
        <v>1554800</v>
      </c>
      <c r="N4486" s="586">
        <v>31096</v>
      </c>
      <c r="O4486" s="743"/>
      <c r="P4486" s="742"/>
      <c r="Q4486" s="586">
        <f>ROUND(M4486*2.14%,0)</f>
        <v>33273</v>
      </c>
      <c r="R4486" s="744">
        <f>M4486/G4486</f>
        <v>2300</v>
      </c>
      <c r="S4486" s="1219"/>
      <c r="T4486" s="1219"/>
      <c r="U4486" s="1059"/>
      <c r="V4486" s="1219"/>
      <c r="W4486" s="1219"/>
      <c r="X4486" s="1219"/>
      <c r="Y4486" s="1219"/>
      <c r="Z4486" s="1219"/>
    </row>
    <row r="4487" spans="1:26" s="28" customFormat="1" hidden="1">
      <c r="A4487" s="1349" t="s">
        <v>66</v>
      </c>
      <c r="B4487" s="1349"/>
      <c r="C4487" s="593" t="s">
        <v>28</v>
      </c>
      <c r="D4487" s="646">
        <f>SUM(D4484:D4486)</f>
        <v>17280</v>
      </c>
      <c r="E4487" s="646">
        <f>SUM(E4484:E4486)</f>
        <v>3356</v>
      </c>
      <c r="F4487" s="646" t="s">
        <v>28</v>
      </c>
      <c r="G4487" s="646">
        <f>SUM(G4484:G4486)</f>
        <v>2668</v>
      </c>
      <c r="H4487" s="582" t="s">
        <v>28</v>
      </c>
      <c r="I4487" s="582" t="s">
        <v>28</v>
      </c>
      <c r="J4487" s="582">
        <f>SUM(J4484:J4486)</f>
        <v>94</v>
      </c>
      <c r="K4487" s="590" t="s">
        <v>28</v>
      </c>
      <c r="L4487" s="584">
        <f>SUM(L4484:L4486)</f>
        <v>5398711</v>
      </c>
      <c r="M4487" s="585">
        <f>SUM(M4484:M4486)</f>
        <v>5198800</v>
      </c>
      <c r="N4487" s="586">
        <f>SUM(N4484:N4486)</f>
        <v>88656</v>
      </c>
      <c r="O4487" s="587">
        <f>SUM(O4484:O4486)</f>
        <v>0</v>
      </c>
      <c r="P4487" s="586"/>
      <c r="Q4487" s="586">
        <f>SUM(Q4484:Q4486)</f>
        <v>111255</v>
      </c>
      <c r="R4487" s="582" t="s">
        <v>28</v>
      </c>
      <c r="S4487" s="592"/>
      <c r="T4487" s="738">
        <f t="shared" ref="T4487:T4495" si="702">L4487-M4487-N4487-O4487-Q4487</f>
        <v>0</v>
      </c>
      <c r="U4487" s="591"/>
      <c r="V4487" s="592"/>
      <c r="W4487" s="592"/>
      <c r="X4487" s="592"/>
      <c r="Y4487" s="592"/>
      <c r="Z4487" s="592"/>
    </row>
    <row r="4488" spans="1:26" s="28" customFormat="1" hidden="1">
      <c r="A4488" s="1347" t="s">
        <v>67</v>
      </c>
      <c r="B4488" s="1347"/>
      <c r="C4488" s="1347"/>
      <c r="D4488" s="1347"/>
      <c r="E4488" s="1347"/>
      <c r="F4488" s="1347"/>
      <c r="G4488" s="1347"/>
      <c r="H4488" s="1347"/>
      <c r="I4488" s="1347"/>
      <c r="J4488" s="1347"/>
      <c r="K4488" s="1347"/>
      <c r="L4488" s="1347"/>
      <c r="M4488" s="1347"/>
      <c r="N4488" s="1347"/>
      <c r="O4488" s="1347"/>
      <c r="P4488" s="1347"/>
      <c r="Q4488" s="1347"/>
      <c r="R4488" s="590"/>
      <c r="S4488" s="592"/>
      <c r="T4488" s="738">
        <f t="shared" si="702"/>
        <v>0</v>
      </c>
      <c r="U4488" s="591"/>
      <c r="V4488" s="592"/>
      <c r="W4488" s="592"/>
      <c r="X4488" s="592"/>
      <c r="Y4488" s="592"/>
      <c r="Z4488" s="592"/>
    </row>
    <row r="4489" spans="1:26" s="90" customFormat="1" hidden="1">
      <c r="A4489" s="590">
        <v>1</v>
      </c>
      <c r="B4489" s="592" t="s">
        <v>3495</v>
      </c>
      <c r="C4489" s="593" t="s">
        <v>221</v>
      </c>
      <c r="D4489" s="619">
        <v>4054.8</v>
      </c>
      <c r="E4489" s="619">
        <v>230</v>
      </c>
      <c r="F4489" s="619" t="s">
        <v>222</v>
      </c>
      <c r="G4489" s="619">
        <v>878</v>
      </c>
      <c r="H4489" s="599">
        <v>2</v>
      </c>
      <c r="I4489" s="599">
        <v>2</v>
      </c>
      <c r="J4489" s="599">
        <v>16</v>
      </c>
      <c r="K4489" s="590" t="s">
        <v>224</v>
      </c>
      <c r="L4489" s="584">
        <f>M4489+N4489+O4489+P4489+Q4489</f>
        <v>380653</v>
      </c>
      <c r="M4489" s="741">
        <f>J4489*22000</f>
        <v>352000</v>
      </c>
      <c r="N4489" s="586">
        <f>M4489*0.06</f>
        <v>21120</v>
      </c>
      <c r="O4489" s="743"/>
      <c r="P4489" s="742"/>
      <c r="Q4489" s="586">
        <f>ROUND(M4489*2.14%,0)</f>
        <v>7533</v>
      </c>
      <c r="R4489" s="744">
        <f>M4489/J4489</f>
        <v>22000</v>
      </c>
      <c r="S4489" s="748"/>
      <c r="T4489" s="738">
        <f t="shared" si="702"/>
        <v>0</v>
      </c>
      <c r="U4489" s="589"/>
      <c r="V4489" s="748"/>
      <c r="W4489" s="748"/>
      <c r="X4489" s="748"/>
      <c r="Y4489" s="748"/>
      <c r="Z4489" s="748"/>
    </row>
    <row r="4490" spans="1:26" s="90" customFormat="1" hidden="1">
      <c r="A4490" s="590">
        <f>A4489+1</f>
        <v>2</v>
      </c>
      <c r="B4490" s="592" t="s">
        <v>3496</v>
      </c>
      <c r="C4490" s="593" t="s">
        <v>221</v>
      </c>
      <c r="D4490" s="619">
        <v>5656</v>
      </c>
      <c r="E4490" s="619">
        <v>230</v>
      </c>
      <c r="F4490" s="619" t="s">
        <v>222</v>
      </c>
      <c r="G4490" s="619">
        <v>754.2</v>
      </c>
      <c r="H4490" s="599">
        <v>2</v>
      </c>
      <c r="I4490" s="599">
        <v>2</v>
      </c>
      <c r="J4490" s="599">
        <v>10</v>
      </c>
      <c r="K4490" s="590" t="s">
        <v>224</v>
      </c>
      <c r="L4490" s="584">
        <f>M4490+N4490+O4490+P4490+Q4490</f>
        <v>246708</v>
      </c>
      <c r="M4490" s="741">
        <f>J4490*22000</f>
        <v>220000</v>
      </c>
      <c r="N4490" s="742">
        <f>M4490*0.1</f>
        <v>22000</v>
      </c>
      <c r="O4490" s="743"/>
      <c r="P4490" s="742"/>
      <c r="Q4490" s="586">
        <f>ROUND(M4490*2.14%,0)</f>
        <v>4708</v>
      </c>
      <c r="R4490" s="744">
        <f>M4490/J4490</f>
        <v>22000</v>
      </c>
      <c r="S4490" s="748"/>
      <c r="T4490" s="738">
        <f t="shared" si="702"/>
        <v>0</v>
      </c>
      <c r="U4490" s="737"/>
      <c r="V4490" s="748"/>
      <c r="W4490" s="748"/>
      <c r="X4490" s="748"/>
      <c r="Y4490" s="748"/>
      <c r="Z4490" s="748"/>
    </row>
    <row r="4491" spans="1:26" s="28" customFormat="1" hidden="1">
      <c r="A4491" s="1349" t="s">
        <v>68</v>
      </c>
      <c r="B4491" s="1349"/>
      <c r="C4491" s="593" t="s">
        <v>28</v>
      </c>
      <c r="D4491" s="646">
        <f>SUM(D4489:D4490)</f>
        <v>9710.7999999999993</v>
      </c>
      <c r="E4491" s="646">
        <f>SUM(E4489:E4490)</f>
        <v>460</v>
      </c>
      <c r="F4491" s="646" t="s">
        <v>28</v>
      </c>
      <c r="G4491" s="646">
        <f>SUM(G4489:G4490)</f>
        <v>1632.2</v>
      </c>
      <c r="H4491" s="582" t="s">
        <v>28</v>
      </c>
      <c r="I4491" s="582" t="s">
        <v>28</v>
      </c>
      <c r="J4491" s="582">
        <f>SUM(J4489:J4490)</f>
        <v>26</v>
      </c>
      <c r="K4491" s="590" t="s">
        <v>28</v>
      </c>
      <c r="L4491" s="584">
        <f>SUM(L4489:L4490)</f>
        <v>627361</v>
      </c>
      <c r="M4491" s="585">
        <f>SUM(M4489:M4490)</f>
        <v>572000</v>
      </c>
      <c r="N4491" s="586">
        <f>SUM(N4489:N4490)</f>
        <v>43120</v>
      </c>
      <c r="O4491" s="587"/>
      <c r="P4491" s="586"/>
      <c r="Q4491" s="586">
        <f>SUM(Q4489:Q4490)</f>
        <v>12241</v>
      </c>
      <c r="R4491" s="582" t="s">
        <v>28</v>
      </c>
      <c r="S4491" s="592"/>
      <c r="T4491" s="738">
        <f t="shared" si="702"/>
        <v>0</v>
      </c>
      <c r="U4491" s="591"/>
      <c r="V4491" s="592"/>
      <c r="W4491" s="592"/>
      <c r="X4491" s="592"/>
      <c r="Y4491" s="592"/>
      <c r="Z4491" s="592"/>
    </row>
    <row r="4492" spans="1:26" s="28" customFormat="1" hidden="1">
      <c r="A4492" s="1347" t="s">
        <v>92</v>
      </c>
      <c r="B4492" s="1347"/>
      <c r="C4492" s="1347"/>
      <c r="D4492" s="1347"/>
      <c r="E4492" s="1347"/>
      <c r="F4492" s="1347"/>
      <c r="G4492" s="1347"/>
      <c r="H4492" s="1347"/>
      <c r="I4492" s="1347"/>
      <c r="J4492" s="1347"/>
      <c r="K4492" s="1347"/>
      <c r="L4492" s="1347"/>
      <c r="M4492" s="1347"/>
      <c r="N4492" s="1347"/>
      <c r="O4492" s="1347"/>
      <c r="P4492" s="1347"/>
      <c r="Q4492" s="1347"/>
      <c r="R4492" s="590"/>
      <c r="S4492" s="592"/>
      <c r="T4492" s="738">
        <f t="shared" si="702"/>
        <v>0</v>
      </c>
      <c r="U4492" s="591"/>
      <c r="V4492" s="592"/>
      <c r="W4492" s="592"/>
      <c r="X4492" s="592"/>
      <c r="Y4492" s="592"/>
      <c r="Z4492" s="592"/>
    </row>
    <row r="4493" spans="1:26" s="530" customFormat="1" hidden="1">
      <c r="A4493" s="792">
        <v>1</v>
      </c>
      <c r="B4493" s="788" t="s">
        <v>3498</v>
      </c>
      <c r="C4493" s="744" t="s">
        <v>221</v>
      </c>
      <c r="D4493" s="789">
        <v>2086.7024000000001</v>
      </c>
      <c r="E4493" s="789">
        <v>388.108</v>
      </c>
      <c r="F4493" s="789" t="s">
        <v>230</v>
      </c>
      <c r="G4493" s="789">
        <v>639.36925199999996</v>
      </c>
      <c r="H4493" s="744">
        <v>2</v>
      </c>
      <c r="I4493" s="744">
        <v>2</v>
      </c>
      <c r="J4493" s="744">
        <v>12</v>
      </c>
      <c r="K4493" s="792" t="s">
        <v>33</v>
      </c>
      <c r="L4493" s="740">
        <f>M4493+N4493+O4493+P4493+Q4493</f>
        <v>1672590</v>
      </c>
      <c r="M4493" s="741">
        <v>1598423</v>
      </c>
      <c r="N4493" s="742">
        <v>39961</v>
      </c>
      <c r="O4493" s="743"/>
      <c r="P4493" s="742"/>
      <c r="Q4493" s="586">
        <f>ROUND(M4493*2.14%,0)</f>
        <v>34206</v>
      </c>
      <c r="R4493" s="744">
        <f>M4493/G4493</f>
        <v>2499.9997966746141</v>
      </c>
      <c r="S4493" s="788"/>
      <c r="T4493" s="738">
        <f t="shared" si="702"/>
        <v>0</v>
      </c>
      <c r="U4493" s="791"/>
      <c r="V4493" s="788"/>
      <c r="W4493" s="788"/>
      <c r="X4493" s="788"/>
      <c r="Y4493" s="788"/>
      <c r="Z4493" s="788"/>
    </row>
    <row r="4494" spans="1:26" hidden="1">
      <c r="A4494" s="556">
        <f>A4493+1</f>
        <v>2</v>
      </c>
      <c r="B4494" s="560" t="s">
        <v>3499</v>
      </c>
      <c r="C4494" s="561" t="s">
        <v>221</v>
      </c>
      <c r="D4494" s="805">
        <v>2637.1750000000002</v>
      </c>
      <c r="E4494" s="805">
        <v>654.87</v>
      </c>
      <c r="F4494" s="805" t="s">
        <v>222</v>
      </c>
      <c r="G4494" s="805">
        <v>636.99339999999995</v>
      </c>
      <c r="H4494" s="561">
        <v>2</v>
      </c>
      <c r="I4494" s="561">
        <v>2</v>
      </c>
      <c r="J4494" s="561">
        <v>16</v>
      </c>
      <c r="K4494" s="556" t="s">
        <v>33</v>
      </c>
      <c r="L4494" s="584">
        <f>M4494+N4494+O4494+P4494+Q4494</f>
        <v>1650450</v>
      </c>
      <c r="M4494" s="585">
        <v>1592484</v>
      </c>
      <c r="N4494" s="586">
        <v>23887</v>
      </c>
      <c r="Q4494" s="586">
        <f>ROUND(M4494*2.14%,0)</f>
        <v>34079</v>
      </c>
      <c r="R4494" s="582">
        <f>M4494/G4494</f>
        <v>2500.0007849374892</v>
      </c>
      <c r="S4494" s="560"/>
      <c r="T4494" s="738">
        <f t="shared" si="702"/>
        <v>0</v>
      </c>
      <c r="U4494" s="589"/>
    </row>
    <row r="4495" spans="1:26" hidden="1">
      <c r="A4495" s="556">
        <f>A4494+1</f>
        <v>3</v>
      </c>
      <c r="B4495" s="560" t="s">
        <v>3500</v>
      </c>
      <c r="C4495" s="561" t="s">
        <v>221</v>
      </c>
      <c r="D4495" s="805">
        <v>2594.7827499999999</v>
      </c>
      <c r="E4495" s="805">
        <v>625.40499999999997</v>
      </c>
      <c r="F4495" s="805" t="s">
        <v>222</v>
      </c>
      <c r="G4495" s="805">
        <v>676</v>
      </c>
      <c r="H4495" s="561">
        <v>2</v>
      </c>
      <c r="I4495" s="561">
        <v>2</v>
      </c>
      <c r="J4495" s="561">
        <v>16</v>
      </c>
      <c r="K4495" s="556" t="s">
        <v>33</v>
      </c>
      <c r="L4495" s="584">
        <f>M4495+N4495+O4495+P4495+Q4495</f>
        <v>1751516</v>
      </c>
      <c r="M4495" s="585">
        <f>G4495*2500</f>
        <v>1690000</v>
      </c>
      <c r="N4495" s="586">
        <v>25350</v>
      </c>
      <c r="Q4495" s="586">
        <f>ROUND(M4495*2.14%,0)</f>
        <v>36166</v>
      </c>
      <c r="R4495" s="582">
        <f>M4495/G4495</f>
        <v>2500</v>
      </c>
      <c r="S4495" s="560"/>
      <c r="T4495" s="738">
        <f t="shared" si="702"/>
        <v>0</v>
      </c>
    </row>
    <row r="4496" spans="1:26" s="103" customFormat="1" hidden="1">
      <c r="A4496" s="556">
        <f>A4495+1</f>
        <v>4</v>
      </c>
      <c r="B4496" s="560" t="s">
        <v>3950</v>
      </c>
      <c r="C4496" s="561" t="s">
        <v>221</v>
      </c>
      <c r="D4496" s="805">
        <v>2449.5</v>
      </c>
      <c r="E4496" s="805">
        <v>584.40000000000009</v>
      </c>
      <c r="F4496" s="805" t="s">
        <v>222</v>
      </c>
      <c r="G4496" s="805">
        <v>636.87</v>
      </c>
      <c r="H4496" s="561">
        <v>2</v>
      </c>
      <c r="I4496" s="561">
        <v>2</v>
      </c>
      <c r="J4496" s="561">
        <v>12</v>
      </c>
      <c r="K4496" s="556" t="s">
        <v>33</v>
      </c>
      <c r="L4496" s="584">
        <f>M4496+N4496+O4496+P4496+Q4496</f>
        <v>1848146</v>
      </c>
      <c r="M4496" s="585">
        <v>1783236</v>
      </c>
      <c r="N4496" s="586">
        <v>26749</v>
      </c>
      <c r="O4496" s="565"/>
      <c r="P4496" s="564"/>
      <c r="Q4496" s="586">
        <v>38161</v>
      </c>
      <c r="R4496" s="582"/>
      <c r="S4496" s="560"/>
      <c r="T4496" s="738"/>
      <c r="U4496" s="558"/>
      <c r="V4496" s="560"/>
      <c r="W4496" s="560"/>
      <c r="X4496" s="560"/>
      <c r="Y4496" s="560"/>
      <c r="Z4496" s="560"/>
    </row>
    <row r="4497" spans="1:26" s="28" customFormat="1" hidden="1">
      <c r="A4497" s="1360" t="s">
        <v>278</v>
      </c>
      <c r="B4497" s="1360"/>
      <c r="C4497" s="593" t="s">
        <v>28</v>
      </c>
      <c r="D4497" s="646">
        <f>SUM(D4493:D4496)</f>
        <v>9768.1601499999997</v>
      </c>
      <c r="E4497" s="646">
        <f>SUM(E4493:E4496)</f>
        <v>2252.7830000000004</v>
      </c>
      <c r="F4497" s="646" t="s">
        <v>28</v>
      </c>
      <c r="G4497" s="646">
        <f>SUM(G4493:G4496)</f>
        <v>2589.2326519999997</v>
      </c>
      <c r="H4497" s="582" t="s">
        <v>28</v>
      </c>
      <c r="I4497" s="582" t="s">
        <v>28</v>
      </c>
      <c r="J4497" s="582">
        <f>SUM(J4493:J4496)</f>
        <v>56</v>
      </c>
      <c r="K4497" s="590" t="s">
        <v>28</v>
      </c>
      <c r="L4497" s="584">
        <f>SUM(L4493:L4496)</f>
        <v>6922702</v>
      </c>
      <c r="M4497" s="585">
        <f>SUM(M4493:M4496)</f>
        <v>6664143</v>
      </c>
      <c r="N4497" s="586">
        <f>SUM(N4493:N4496)</f>
        <v>115947</v>
      </c>
      <c r="O4497" s="587"/>
      <c r="P4497" s="586"/>
      <c r="Q4497" s="586">
        <f>SUM(Q4493:Q4496)</f>
        <v>142612</v>
      </c>
      <c r="R4497" s="582" t="s">
        <v>28</v>
      </c>
      <c r="S4497" s="592"/>
      <c r="T4497" s="738">
        <f t="shared" ref="T4497:T4512" si="703">L4497-M4497-N4497-O4497-Q4497</f>
        <v>0</v>
      </c>
      <c r="U4497" s="591"/>
      <c r="V4497" s="592"/>
      <c r="W4497" s="592"/>
      <c r="X4497" s="592"/>
      <c r="Y4497" s="592"/>
      <c r="Z4497" s="592"/>
    </row>
    <row r="4498" spans="1:26" s="28" customFormat="1" hidden="1">
      <c r="A4498" s="1347" t="s">
        <v>69</v>
      </c>
      <c r="B4498" s="1347"/>
      <c r="C4498" s="1347"/>
      <c r="D4498" s="1347"/>
      <c r="E4498" s="1347"/>
      <c r="F4498" s="1347"/>
      <c r="G4498" s="1347"/>
      <c r="H4498" s="1347"/>
      <c r="I4498" s="1347"/>
      <c r="J4498" s="1347"/>
      <c r="K4498" s="1347"/>
      <c r="L4498" s="1347"/>
      <c r="M4498" s="1347"/>
      <c r="N4498" s="1347"/>
      <c r="O4498" s="1347"/>
      <c r="P4498" s="1347"/>
      <c r="Q4498" s="1347"/>
      <c r="R4498" s="590"/>
      <c r="S4498" s="592"/>
      <c r="T4498" s="738">
        <f t="shared" si="703"/>
        <v>0</v>
      </c>
      <c r="U4498" s="591"/>
      <c r="V4498" s="592"/>
      <c r="W4498" s="592"/>
      <c r="X4498" s="592"/>
      <c r="Y4498" s="592"/>
      <c r="Z4498" s="592"/>
    </row>
    <row r="4499" spans="1:26" s="28" customFormat="1" ht="75" hidden="1">
      <c r="A4499" s="590">
        <v>1</v>
      </c>
      <c r="B4499" s="592" t="s">
        <v>3501</v>
      </c>
      <c r="C4499" s="593" t="s">
        <v>221</v>
      </c>
      <c r="D4499" s="646">
        <v>2191</v>
      </c>
      <c r="E4499" s="646">
        <v>390</v>
      </c>
      <c r="F4499" s="646" t="s">
        <v>228</v>
      </c>
      <c r="G4499" s="646">
        <v>644</v>
      </c>
      <c r="H4499" s="582">
        <v>2</v>
      </c>
      <c r="I4499" s="582">
        <v>2</v>
      </c>
      <c r="J4499" s="582">
        <v>16</v>
      </c>
      <c r="K4499" s="590" t="s">
        <v>279</v>
      </c>
      <c r="L4499" s="584">
        <f>M4499+N4499+O4499+P4499+Q4499</f>
        <v>514272</v>
      </c>
      <c r="M4499" s="585">
        <f>J4499*30000</f>
        <v>480000</v>
      </c>
      <c r="N4499" s="586">
        <f>M4499*0.05</f>
        <v>24000</v>
      </c>
      <c r="O4499" s="587"/>
      <c r="P4499" s="586"/>
      <c r="Q4499" s="586">
        <f>ROUND(M4499*2.14%,0)</f>
        <v>10272</v>
      </c>
      <c r="R4499" s="582">
        <f>M4499/J4499</f>
        <v>30000</v>
      </c>
      <c r="S4499" s="592"/>
      <c r="T4499" s="738">
        <f t="shared" si="703"/>
        <v>0</v>
      </c>
      <c r="U4499" s="591"/>
      <c r="V4499" s="592"/>
      <c r="W4499" s="592"/>
      <c r="X4499" s="592"/>
      <c r="Y4499" s="592"/>
      <c r="Z4499" s="592"/>
    </row>
    <row r="4500" spans="1:26" s="28" customFormat="1" ht="75" hidden="1">
      <c r="A4500" s="590">
        <f>A4499+1</f>
        <v>2</v>
      </c>
      <c r="B4500" s="592" t="s">
        <v>3888</v>
      </c>
      <c r="C4500" s="593" t="s">
        <v>221</v>
      </c>
      <c r="D4500" s="646">
        <v>2797</v>
      </c>
      <c r="E4500" s="646">
        <v>480</v>
      </c>
      <c r="F4500" s="646" t="s">
        <v>228</v>
      </c>
      <c r="G4500" s="646">
        <v>864</v>
      </c>
      <c r="H4500" s="582">
        <v>2</v>
      </c>
      <c r="I4500" s="582">
        <v>3</v>
      </c>
      <c r="J4500" s="582">
        <v>22</v>
      </c>
      <c r="K4500" s="590" t="s">
        <v>279</v>
      </c>
      <c r="L4500" s="584">
        <f>M4500+N4500+O4500+P4500+Q4500</f>
        <v>707124</v>
      </c>
      <c r="M4500" s="585">
        <v>660000</v>
      </c>
      <c r="N4500" s="586">
        <v>33000</v>
      </c>
      <c r="O4500" s="587"/>
      <c r="P4500" s="586"/>
      <c r="Q4500" s="586">
        <v>14124</v>
      </c>
      <c r="R4500" s="582">
        <f>M4500/J4500</f>
        <v>30000</v>
      </c>
      <c r="S4500" s="592"/>
      <c r="T4500" s="738">
        <f t="shared" si="703"/>
        <v>0</v>
      </c>
      <c r="U4500" s="591"/>
      <c r="V4500" s="592"/>
      <c r="W4500" s="592"/>
      <c r="X4500" s="592"/>
      <c r="Y4500" s="592"/>
      <c r="Z4500" s="592"/>
    </row>
    <row r="4501" spans="1:26" s="28" customFormat="1" ht="37.5" hidden="1">
      <c r="A4501" s="590">
        <f>A4500+1</f>
        <v>3</v>
      </c>
      <c r="B4501" s="592" t="s">
        <v>3889</v>
      </c>
      <c r="C4501" s="593" t="s">
        <v>221</v>
      </c>
      <c r="D4501" s="646">
        <v>2919</v>
      </c>
      <c r="E4501" s="646">
        <v>391</v>
      </c>
      <c r="F4501" s="646" t="s">
        <v>222</v>
      </c>
      <c r="G4501" s="646">
        <v>652</v>
      </c>
      <c r="H4501" s="582">
        <v>2</v>
      </c>
      <c r="I4501" s="582">
        <v>2</v>
      </c>
      <c r="J4501" s="582">
        <v>16</v>
      </c>
      <c r="K4501" s="590" t="s">
        <v>30</v>
      </c>
      <c r="L4501" s="584">
        <f>M4501+N4501+O4501+P4501+Q4501</f>
        <v>409760</v>
      </c>
      <c r="M4501" s="585">
        <v>400000</v>
      </c>
      <c r="N4501" s="586"/>
      <c r="O4501" s="587">
        <v>1200</v>
      </c>
      <c r="P4501" s="586"/>
      <c r="Q4501" s="586">
        <v>8560</v>
      </c>
      <c r="R4501" s="582">
        <f>M4501/J4501</f>
        <v>25000</v>
      </c>
      <c r="S4501" s="592"/>
      <c r="T4501" s="738">
        <f t="shared" si="703"/>
        <v>0</v>
      </c>
      <c r="U4501" s="591"/>
      <c r="V4501" s="592"/>
      <c r="W4501" s="592"/>
      <c r="X4501" s="592"/>
      <c r="Y4501" s="592"/>
      <c r="Z4501" s="592"/>
    </row>
    <row r="4502" spans="1:26" s="28" customFormat="1" hidden="1">
      <c r="A4502" s="590">
        <f>A4501+1</f>
        <v>4</v>
      </c>
      <c r="B4502" s="592" t="s">
        <v>3647</v>
      </c>
      <c r="C4502" s="593" t="s">
        <v>221</v>
      </c>
      <c r="D4502" s="646">
        <v>2896</v>
      </c>
      <c r="E4502" s="646">
        <v>293</v>
      </c>
      <c r="F4502" s="646" t="s">
        <v>222</v>
      </c>
      <c r="G4502" s="646">
        <v>664</v>
      </c>
      <c r="H4502" s="582">
        <v>2</v>
      </c>
      <c r="I4502" s="582">
        <v>2</v>
      </c>
      <c r="J4502" s="582">
        <v>16</v>
      </c>
      <c r="K4502" s="590" t="s">
        <v>33</v>
      </c>
      <c r="L4502" s="584">
        <f>M4502+N4502+O4502+P4502+Q4502</f>
        <v>1720424</v>
      </c>
      <c r="M4502" s="585">
        <v>1660000</v>
      </c>
      <c r="N4502" s="586">
        <v>24900</v>
      </c>
      <c r="O4502" s="587"/>
      <c r="P4502" s="586"/>
      <c r="Q4502" s="586">
        <v>35524</v>
      </c>
      <c r="R4502" s="599">
        <f>M4502/G4502</f>
        <v>2500</v>
      </c>
      <c r="S4502" s="592"/>
      <c r="T4502" s="738">
        <f t="shared" si="703"/>
        <v>0</v>
      </c>
      <c r="U4502" s="591"/>
      <c r="V4502" s="592"/>
      <c r="W4502" s="592"/>
      <c r="X4502" s="592"/>
      <c r="Y4502" s="592"/>
      <c r="Z4502" s="592"/>
    </row>
    <row r="4503" spans="1:26" s="28" customFormat="1" hidden="1">
      <c r="A4503" s="590">
        <f>A4502+1</f>
        <v>5</v>
      </c>
      <c r="B4503" s="592" t="s">
        <v>3648</v>
      </c>
      <c r="C4503" s="593" t="s">
        <v>221</v>
      </c>
      <c r="D4503" s="646">
        <v>2853</v>
      </c>
      <c r="E4503" s="646">
        <v>289</v>
      </c>
      <c r="F4503" s="646" t="s">
        <v>222</v>
      </c>
      <c r="G4503" s="646">
        <v>656</v>
      </c>
      <c r="H4503" s="582">
        <v>2</v>
      </c>
      <c r="I4503" s="582">
        <v>2</v>
      </c>
      <c r="J4503" s="582">
        <v>16</v>
      </c>
      <c r="K4503" s="590" t="s">
        <v>33</v>
      </c>
      <c r="L4503" s="584">
        <f>M4503+N4503+O4503+P4503+Q4503</f>
        <v>1699696</v>
      </c>
      <c r="M4503" s="585">
        <v>1640000</v>
      </c>
      <c r="N4503" s="586">
        <v>24600</v>
      </c>
      <c r="O4503" s="587"/>
      <c r="P4503" s="586"/>
      <c r="Q4503" s="586">
        <v>35096</v>
      </c>
      <c r="R4503" s="599">
        <f>M4503/G4503</f>
        <v>2500</v>
      </c>
      <c r="S4503" s="592"/>
      <c r="T4503" s="738">
        <f t="shared" si="703"/>
        <v>0</v>
      </c>
      <c r="U4503" s="591"/>
      <c r="V4503" s="592"/>
      <c r="W4503" s="592"/>
      <c r="X4503" s="592"/>
      <c r="Y4503" s="592"/>
      <c r="Z4503" s="592"/>
    </row>
    <row r="4504" spans="1:26" s="28" customFormat="1" hidden="1">
      <c r="A4504" s="1349" t="s">
        <v>70</v>
      </c>
      <c r="B4504" s="1349"/>
      <c r="C4504" s="593" t="s">
        <v>28</v>
      </c>
      <c r="D4504" s="646">
        <f>SUM(D4499:D4503)</f>
        <v>13656</v>
      </c>
      <c r="E4504" s="646">
        <f>SUM(E4499:E4503)</f>
        <v>1843</v>
      </c>
      <c r="F4504" s="646" t="s">
        <v>28</v>
      </c>
      <c r="G4504" s="646">
        <f>SUM(G4499:G4503)</f>
        <v>3480</v>
      </c>
      <c r="H4504" s="582" t="s">
        <v>28</v>
      </c>
      <c r="I4504" s="582" t="s">
        <v>28</v>
      </c>
      <c r="J4504" s="646">
        <f>SUM(J4499:J4503)</f>
        <v>86</v>
      </c>
      <c r="K4504" s="590" t="s">
        <v>28</v>
      </c>
      <c r="L4504" s="584">
        <f t="shared" ref="L4504:Q4504" si="704">SUM(L4499:L4503)</f>
        <v>5051276</v>
      </c>
      <c r="M4504" s="585">
        <f t="shared" si="704"/>
        <v>4840000</v>
      </c>
      <c r="N4504" s="586">
        <f t="shared" si="704"/>
        <v>106500</v>
      </c>
      <c r="O4504" s="587">
        <f t="shared" si="704"/>
        <v>1200</v>
      </c>
      <c r="P4504" s="646">
        <f t="shared" si="704"/>
        <v>0</v>
      </c>
      <c r="Q4504" s="586">
        <f t="shared" si="704"/>
        <v>103576</v>
      </c>
      <c r="R4504" s="582" t="s">
        <v>28</v>
      </c>
      <c r="S4504" s="592"/>
      <c r="T4504" s="738">
        <f t="shared" si="703"/>
        <v>0</v>
      </c>
      <c r="U4504" s="591"/>
      <c r="V4504" s="592"/>
      <c r="W4504" s="592"/>
      <c r="X4504" s="592"/>
      <c r="Y4504" s="592"/>
      <c r="Z4504" s="592"/>
    </row>
    <row r="4505" spans="1:26" s="28" customFormat="1" hidden="1">
      <c r="A4505" s="1347" t="s">
        <v>71</v>
      </c>
      <c r="B4505" s="1347"/>
      <c r="C4505" s="1347"/>
      <c r="D4505" s="1347"/>
      <c r="E4505" s="1347"/>
      <c r="F4505" s="1347"/>
      <c r="G4505" s="1347"/>
      <c r="H4505" s="1347"/>
      <c r="I4505" s="1347"/>
      <c r="J4505" s="1347"/>
      <c r="K4505" s="1347"/>
      <c r="L4505" s="1347"/>
      <c r="M4505" s="1347"/>
      <c r="N4505" s="1347"/>
      <c r="O4505" s="1347"/>
      <c r="P4505" s="1347"/>
      <c r="Q4505" s="1347"/>
      <c r="R4505" s="590"/>
      <c r="S4505" s="592"/>
      <c r="T4505" s="738">
        <f t="shared" si="703"/>
        <v>0</v>
      </c>
      <c r="U4505" s="591"/>
      <c r="V4505" s="592"/>
      <c r="W4505" s="592"/>
      <c r="X4505" s="592"/>
      <c r="Y4505" s="592"/>
      <c r="Z4505" s="592"/>
    </row>
    <row r="4506" spans="1:26" s="90" customFormat="1" hidden="1">
      <c r="A4506" s="667">
        <v>1</v>
      </c>
      <c r="B4506" s="592" t="s">
        <v>3504</v>
      </c>
      <c r="C4506" s="593" t="s">
        <v>221</v>
      </c>
      <c r="D4506" s="619">
        <v>5240</v>
      </c>
      <c r="E4506" s="619">
        <v>5050</v>
      </c>
      <c r="F4506" s="844" t="s">
        <v>222</v>
      </c>
      <c r="G4506" s="619">
        <v>1152</v>
      </c>
      <c r="H4506" s="599">
        <v>2</v>
      </c>
      <c r="I4506" s="599">
        <v>2</v>
      </c>
      <c r="J4506" s="599">
        <v>24</v>
      </c>
      <c r="K4506" s="590" t="s">
        <v>33</v>
      </c>
      <c r="L4506" s="584">
        <f>M4506+N4506+O4506+P4506+Q4506</f>
        <v>2970432</v>
      </c>
      <c r="M4506" s="585">
        <f>G4506*2500</f>
        <v>2880000</v>
      </c>
      <c r="N4506" s="586">
        <f>M4506*0.01</f>
        <v>28800</v>
      </c>
      <c r="O4506" s="587"/>
      <c r="P4506" s="586"/>
      <c r="Q4506" s="586">
        <f>M4506*0.0214</f>
        <v>61632</v>
      </c>
      <c r="R4506" s="582">
        <f>M4506/G4506</f>
        <v>2500</v>
      </c>
      <c r="S4506" s="748"/>
      <c r="T4506" s="738">
        <f t="shared" si="703"/>
        <v>0</v>
      </c>
      <c r="U4506" s="589"/>
      <c r="V4506" s="748"/>
      <c r="W4506" s="748"/>
      <c r="X4506" s="748"/>
      <c r="Y4506" s="748"/>
      <c r="Z4506" s="748"/>
    </row>
    <row r="4507" spans="1:26" s="90" customFormat="1" hidden="1">
      <c r="A4507" s="667">
        <v>2</v>
      </c>
      <c r="B4507" s="592" t="s">
        <v>3505</v>
      </c>
      <c r="C4507" s="744" t="s">
        <v>221</v>
      </c>
      <c r="D4507" s="619">
        <v>6542</v>
      </c>
      <c r="E4507" s="619">
        <v>900</v>
      </c>
      <c r="F4507" s="789" t="s">
        <v>222</v>
      </c>
      <c r="G4507" s="619">
        <v>1008</v>
      </c>
      <c r="H4507" s="599">
        <v>3</v>
      </c>
      <c r="I4507" s="599">
        <v>3</v>
      </c>
      <c r="J4507" s="599">
        <v>20</v>
      </c>
      <c r="K4507" s="590" t="s">
        <v>226</v>
      </c>
      <c r="L4507" s="746">
        <f>M4507+N4507+O4507+P4507+Q4507</f>
        <v>2798280</v>
      </c>
      <c r="M4507" s="745">
        <v>2700000</v>
      </c>
      <c r="N4507" s="747">
        <f>M4507*0.015</f>
        <v>40500</v>
      </c>
      <c r="O4507" s="743"/>
      <c r="P4507" s="747"/>
      <c r="Q4507" s="742">
        <f>M4507*0.0214</f>
        <v>57780</v>
      </c>
      <c r="R4507" s="599">
        <f>M4507/E4507</f>
        <v>3000</v>
      </c>
      <c r="S4507" s="748"/>
      <c r="T4507" s="738">
        <f t="shared" si="703"/>
        <v>0</v>
      </c>
      <c r="U4507" s="737"/>
      <c r="V4507" s="748"/>
      <c r="W4507" s="748"/>
      <c r="X4507" s="748"/>
      <c r="Y4507" s="748"/>
      <c r="Z4507" s="748"/>
    </row>
    <row r="4508" spans="1:26" s="28" customFormat="1" hidden="1">
      <c r="A4508" s="1349" t="s">
        <v>72</v>
      </c>
      <c r="B4508" s="1349"/>
      <c r="C4508" s="593" t="s">
        <v>28</v>
      </c>
      <c r="D4508" s="646">
        <f>SUM(D4506:D4507)</f>
        <v>11782</v>
      </c>
      <c r="E4508" s="646">
        <f>SUM(E4506:E4507)</f>
        <v>5950</v>
      </c>
      <c r="F4508" s="646" t="s">
        <v>28</v>
      </c>
      <c r="G4508" s="646">
        <f>SUM(G4506:G4507)</f>
        <v>2160</v>
      </c>
      <c r="H4508" s="582" t="s">
        <v>28</v>
      </c>
      <c r="I4508" s="582" t="s">
        <v>28</v>
      </c>
      <c r="J4508" s="582">
        <f>SUM(J4506:J4507)</f>
        <v>44</v>
      </c>
      <c r="K4508" s="590" t="s">
        <v>28</v>
      </c>
      <c r="L4508" s="584">
        <f>SUM(L4506:L4507)</f>
        <v>5768712</v>
      </c>
      <c r="M4508" s="585">
        <f>SUM(M4506:M4507)</f>
        <v>5580000</v>
      </c>
      <c r="N4508" s="586">
        <f>SUM(N4506:N4507)</f>
        <v>69300</v>
      </c>
      <c r="O4508" s="587"/>
      <c r="P4508" s="586"/>
      <c r="Q4508" s="586">
        <f>SUM(Q4506:Q4507)</f>
        <v>119412</v>
      </c>
      <c r="R4508" s="582" t="s">
        <v>28</v>
      </c>
      <c r="S4508" s="592"/>
      <c r="T4508" s="738">
        <f t="shared" si="703"/>
        <v>0</v>
      </c>
      <c r="U4508" s="591"/>
      <c r="V4508" s="592"/>
      <c r="W4508" s="592"/>
      <c r="X4508" s="592"/>
      <c r="Y4508" s="592"/>
      <c r="Z4508" s="592"/>
    </row>
    <row r="4509" spans="1:26" s="28" customFormat="1" hidden="1">
      <c r="A4509" s="1347" t="s">
        <v>3649</v>
      </c>
      <c r="B4509" s="1347"/>
      <c r="C4509" s="1347"/>
      <c r="D4509" s="1347"/>
      <c r="E4509" s="1347"/>
      <c r="F4509" s="1347"/>
      <c r="G4509" s="1347"/>
      <c r="H4509" s="1347"/>
      <c r="I4509" s="1347"/>
      <c r="J4509" s="1347"/>
      <c r="K4509" s="1347"/>
      <c r="L4509" s="1347"/>
      <c r="M4509" s="1347"/>
      <c r="N4509" s="1347"/>
      <c r="O4509" s="1347"/>
      <c r="P4509" s="1347"/>
      <c r="Q4509" s="1347"/>
      <c r="R4509" s="590"/>
      <c r="S4509" s="592"/>
      <c r="T4509" s="738">
        <f t="shared" si="703"/>
        <v>0</v>
      </c>
      <c r="U4509" s="591"/>
      <c r="V4509" s="592"/>
      <c r="W4509" s="592"/>
      <c r="X4509" s="592"/>
      <c r="Y4509" s="592"/>
      <c r="Z4509" s="592"/>
    </row>
    <row r="4510" spans="1:26" s="90" customFormat="1" hidden="1">
      <c r="A4510" s="667">
        <v>1</v>
      </c>
      <c r="B4510" s="592" t="s">
        <v>3650</v>
      </c>
      <c r="C4510" s="593" t="s">
        <v>221</v>
      </c>
      <c r="D4510" s="619">
        <v>4153.7999999999993</v>
      </c>
      <c r="E4510" s="619">
        <v>1384.6</v>
      </c>
      <c r="F4510" s="844" t="s">
        <v>230</v>
      </c>
      <c r="G4510" s="619">
        <v>1266.3</v>
      </c>
      <c r="H4510" s="599">
        <v>2</v>
      </c>
      <c r="I4510" s="599">
        <v>4</v>
      </c>
      <c r="J4510" s="599">
        <v>30</v>
      </c>
      <c r="K4510" s="590" t="s">
        <v>238</v>
      </c>
      <c r="L4510" s="584">
        <f>M4510+N4510+O4510+P4510+Q4510</f>
        <v>941760</v>
      </c>
      <c r="M4510" s="585">
        <v>900000</v>
      </c>
      <c r="N4510" s="586">
        <v>22500</v>
      </c>
      <c r="O4510" s="587"/>
      <c r="P4510" s="586"/>
      <c r="Q4510" s="586">
        <v>19260</v>
      </c>
      <c r="R4510" s="582">
        <f>M4510/J4510</f>
        <v>30000</v>
      </c>
      <c r="S4510" s="748"/>
      <c r="T4510" s="738">
        <f t="shared" si="703"/>
        <v>0</v>
      </c>
      <c r="U4510" s="589"/>
      <c r="V4510" s="748"/>
      <c r="W4510" s="748"/>
      <c r="X4510" s="748"/>
      <c r="Y4510" s="748"/>
      <c r="Z4510" s="748"/>
    </row>
    <row r="4511" spans="1:26" s="28" customFormat="1" hidden="1">
      <c r="A4511" s="1349" t="s">
        <v>73</v>
      </c>
      <c r="B4511" s="1349"/>
      <c r="C4511" s="593" t="s">
        <v>28</v>
      </c>
      <c r="D4511" s="646">
        <f>SUM(D4510:D4510)</f>
        <v>4153.7999999999993</v>
      </c>
      <c r="E4511" s="646">
        <f>SUM(E4510:E4510)</f>
        <v>1384.6</v>
      </c>
      <c r="F4511" s="646" t="s">
        <v>28</v>
      </c>
      <c r="G4511" s="646">
        <f>SUM(G4510:G4510)</f>
        <v>1266.3</v>
      </c>
      <c r="H4511" s="582" t="s">
        <v>28</v>
      </c>
      <c r="I4511" s="582" t="s">
        <v>28</v>
      </c>
      <c r="J4511" s="582">
        <f>SUM(J4510:J4510)</f>
        <v>30</v>
      </c>
      <c r="K4511" s="590" t="s">
        <v>28</v>
      </c>
      <c r="L4511" s="584">
        <f>SUM(L4510:L4510)</f>
        <v>941760</v>
      </c>
      <c r="M4511" s="585">
        <f>SUM(M4510:M4510)</f>
        <v>900000</v>
      </c>
      <c r="N4511" s="586">
        <f>SUM(N4510:N4510)</f>
        <v>22500</v>
      </c>
      <c r="O4511" s="587"/>
      <c r="P4511" s="586"/>
      <c r="Q4511" s="586">
        <f>SUM(Q4510:Q4510)</f>
        <v>19260</v>
      </c>
      <c r="R4511" s="582" t="s">
        <v>28</v>
      </c>
      <c r="S4511" s="592"/>
      <c r="T4511" s="738">
        <f t="shared" si="703"/>
        <v>0</v>
      </c>
      <c r="U4511" s="591"/>
      <c r="V4511" s="592"/>
      <c r="W4511" s="592"/>
      <c r="X4511" s="592"/>
      <c r="Y4511" s="592"/>
      <c r="Z4511" s="592"/>
    </row>
    <row r="4512" spans="1:26" s="28" customFormat="1" hidden="1">
      <c r="A4512" s="1347" t="s">
        <v>75</v>
      </c>
      <c r="B4512" s="1347"/>
      <c r="C4512" s="1347"/>
      <c r="D4512" s="1347"/>
      <c r="E4512" s="1347"/>
      <c r="F4512" s="1347"/>
      <c r="G4512" s="1347"/>
      <c r="H4512" s="1347"/>
      <c r="I4512" s="1347"/>
      <c r="J4512" s="1347"/>
      <c r="K4512" s="1347"/>
      <c r="L4512" s="1347"/>
      <c r="M4512" s="1347"/>
      <c r="N4512" s="1347"/>
      <c r="O4512" s="1347"/>
      <c r="P4512" s="1347"/>
      <c r="Q4512" s="1347"/>
      <c r="R4512" s="590"/>
      <c r="S4512" s="592"/>
      <c r="T4512" s="738">
        <f t="shared" si="703"/>
        <v>0</v>
      </c>
      <c r="U4512" s="591"/>
      <c r="V4512" s="592"/>
      <c r="W4512" s="592"/>
      <c r="X4512" s="592"/>
      <c r="Y4512" s="592"/>
      <c r="Z4512" s="592"/>
    </row>
    <row r="4513" spans="1:26" s="28" customFormat="1" ht="37.5" hidden="1">
      <c r="A4513" s="667">
        <v>1</v>
      </c>
      <c r="B4513" s="592" t="s">
        <v>3506</v>
      </c>
      <c r="C4513" s="593" t="s">
        <v>221</v>
      </c>
      <c r="D4513" s="646">
        <v>1698.7750000000001</v>
      </c>
      <c r="E4513" s="646">
        <v>679.51</v>
      </c>
      <c r="F4513" s="619" t="s">
        <v>222</v>
      </c>
      <c r="G4513" s="646">
        <v>677</v>
      </c>
      <c r="H4513" s="582">
        <v>2</v>
      </c>
      <c r="I4513" s="582">
        <v>2</v>
      </c>
      <c r="J4513" s="582">
        <v>16</v>
      </c>
      <c r="K4513" s="590" t="s">
        <v>30</v>
      </c>
      <c r="L4513" s="740">
        <f>M4513+N4513+O4513+P4513+Q4513</f>
        <v>409760</v>
      </c>
      <c r="M4513" s="741">
        <f>J4513*25000</f>
        <v>400000</v>
      </c>
      <c r="N4513" s="586"/>
      <c r="O4513" s="736">
        <f>ROUND(M4513*0.3%,0)</f>
        <v>1200</v>
      </c>
      <c r="P4513" s="742"/>
      <c r="Q4513" s="586">
        <f>ROUND(M4513*2.14%,0)</f>
        <v>8560</v>
      </c>
      <c r="R4513" s="744">
        <f>M4513/J4513</f>
        <v>25000</v>
      </c>
      <c r="S4513" s="592"/>
      <c r="T4513" s="645"/>
      <c r="U4513" s="1059">
        <f>L4513-M4513-N4513-O4513-Q4513</f>
        <v>0</v>
      </c>
      <c r="V4513" s="592"/>
      <c r="W4513" s="592"/>
      <c r="X4513" s="592"/>
      <c r="Y4513" s="592"/>
      <c r="Z4513" s="592"/>
    </row>
    <row r="4514" spans="1:26" s="28" customFormat="1" hidden="1">
      <c r="A4514" s="667">
        <f>A4513+1</f>
        <v>2</v>
      </c>
      <c r="B4514" s="592" t="s">
        <v>3507</v>
      </c>
      <c r="C4514" s="593" t="s">
        <v>217</v>
      </c>
      <c r="D4514" s="646">
        <v>3010</v>
      </c>
      <c r="E4514" s="646">
        <v>567.9</v>
      </c>
      <c r="F4514" s="844" t="s">
        <v>222</v>
      </c>
      <c r="G4514" s="646">
        <v>710</v>
      </c>
      <c r="H4514" s="582">
        <v>2</v>
      </c>
      <c r="I4514" s="582">
        <v>3</v>
      </c>
      <c r="J4514" s="582">
        <v>18</v>
      </c>
      <c r="K4514" s="590" t="s">
        <v>226</v>
      </c>
      <c r="L4514" s="595">
        <f>M4514+N4514+Q4514</f>
        <v>1765714.5</v>
      </c>
      <c r="M4514" s="596">
        <v>1703700</v>
      </c>
      <c r="N4514" s="597">
        <v>25555.5</v>
      </c>
      <c r="O4514" s="598"/>
      <c r="P4514" s="597"/>
      <c r="Q4514" s="586">
        <v>36459</v>
      </c>
      <c r="R4514" s="599">
        <f>M4514/G4514</f>
        <v>2399.5774647887324</v>
      </c>
      <c r="S4514" s="592"/>
      <c r="T4514" s="738">
        <f>L4514-M4514-N4514-O4514-Q4514</f>
        <v>0</v>
      </c>
      <c r="U4514" s="591"/>
      <c r="V4514" s="592"/>
      <c r="W4514" s="592"/>
      <c r="X4514" s="592"/>
      <c r="Y4514" s="592"/>
      <c r="Z4514" s="592"/>
    </row>
    <row r="4515" spans="1:26" s="28" customFormat="1" ht="37.5" hidden="1">
      <c r="A4515" s="667">
        <f>A4514+1</f>
        <v>3</v>
      </c>
      <c r="B4515" s="592" t="s">
        <v>3508</v>
      </c>
      <c r="C4515" s="593" t="s">
        <v>217</v>
      </c>
      <c r="D4515" s="646">
        <v>3540</v>
      </c>
      <c r="E4515" s="646">
        <v>620</v>
      </c>
      <c r="F4515" s="619" t="s">
        <v>222</v>
      </c>
      <c r="G4515" s="646">
        <v>930</v>
      </c>
      <c r="H4515" s="582">
        <v>2</v>
      </c>
      <c r="I4515" s="582">
        <v>3</v>
      </c>
      <c r="J4515" s="582">
        <v>18</v>
      </c>
      <c r="K4515" s="590" t="s">
        <v>255</v>
      </c>
      <c r="L4515" s="595">
        <f>M4515+N4515+Q4515</f>
        <v>2698786</v>
      </c>
      <c r="M4515" s="596">
        <f>G4515*2800</f>
        <v>2604000</v>
      </c>
      <c r="N4515" s="586">
        <f>M4515*0.015</f>
        <v>39060</v>
      </c>
      <c r="O4515" s="587"/>
      <c r="P4515" s="586"/>
      <c r="Q4515" s="586">
        <f>ROUND(M4515*2.14%,0)</f>
        <v>55726</v>
      </c>
      <c r="R4515" s="599">
        <f>M4515/G4515</f>
        <v>2800</v>
      </c>
      <c r="S4515" s="592"/>
      <c r="T4515" s="645"/>
      <c r="U4515" s="1059">
        <f>L4515-M4515-N4515-O4515-Q4515</f>
        <v>0</v>
      </c>
      <c r="V4515" s="592"/>
      <c r="W4515" s="592"/>
      <c r="X4515" s="592"/>
      <c r="Y4515" s="592"/>
      <c r="Z4515" s="592"/>
    </row>
    <row r="4516" spans="1:26" s="28" customFormat="1" hidden="1">
      <c r="A4516" s="1349" t="s">
        <v>127</v>
      </c>
      <c r="B4516" s="1349"/>
      <c r="C4516" s="593" t="s">
        <v>28</v>
      </c>
      <c r="D4516" s="646">
        <f>SUM(D4513:D4515)</f>
        <v>8248.7749999999996</v>
      </c>
      <c r="E4516" s="646">
        <f>SUM(E4513:E4515)</f>
        <v>1867.4099999999999</v>
      </c>
      <c r="F4516" s="646" t="s">
        <v>28</v>
      </c>
      <c r="G4516" s="646">
        <f>SUM(G4513:G4515)</f>
        <v>2317</v>
      </c>
      <c r="H4516" s="582" t="s">
        <v>28</v>
      </c>
      <c r="I4516" s="582" t="s">
        <v>28</v>
      </c>
      <c r="J4516" s="646">
        <f>SUM(J4513:J4515)</f>
        <v>52</v>
      </c>
      <c r="K4516" s="590" t="s">
        <v>28</v>
      </c>
      <c r="L4516" s="584">
        <f t="shared" ref="L4516:Q4516" si="705">SUM(L4513:L4515)</f>
        <v>4874260.5</v>
      </c>
      <c r="M4516" s="585">
        <f t="shared" si="705"/>
        <v>4707700</v>
      </c>
      <c r="N4516" s="586">
        <f t="shared" si="705"/>
        <v>64615.5</v>
      </c>
      <c r="O4516" s="587">
        <f t="shared" si="705"/>
        <v>1200</v>
      </c>
      <c r="P4516" s="586">
        <f t="shared" si="705"/>
        <v>0</v>
      </c>
      <c r="Q4516" s="586">
        <f t="shared" si="705"/>
        <v>100745</v>
      </c>
      <c r="R4516" s="582" t="s">
        <v>28</v>
      </c>
      <c r="S4516" s="645">
        <f>L4516-M4516-N4516-O4516-P4516-Q4516</f>
        <v>0</v>
      </c>
      <c r="T4516" s="738">
        <f t="shared" ref="T4516:T4523" si="706">L4516-M4516-N4516-O4516-Q4516</f>
        <v>0</v>
      </c>
      <c r="U4516" s="591"/>
      <c r="V4516" s="592"/>
      <c r="W4516" s="592"/>
      <c r="X4516" s="592"/>
      <c r="Y4516" s="592"/>
      <c r="Z4516" s="592"/>
    </row>
    <row r="4517" spans="1:26" s="28" customFormat="1" hidden="1">
      <c r="A4517" s="1347" t="s">
        <v>76</v>
      </c>
      <c r="B4517" s="1347"/>
      <c r="C4517" s="1347"/>
      <c r="D4517" s="1347"/>
      <c r="E4517" s="1347"/>
      <c r="F4517" s="1347"/>
      <c r="G4517" s="1347"/>
      <c r="H4517" s="1347"/>
      <c r="I4517" s="1347"/>
      <c r="J4517" s="1347"/>
      <c r="K4517" s="1347"/>
      <c r="L4517" s="1347"/>
      <c r="M4517" s="1347"/>
      <c r="N4517" s="1347"/>
      <c r="O4517" s="1347"/>
      <c r="P4517" s="1347"/>
      <c r="Q4517" s="1347"/>
      <c r="R4517" s="590"/>
      <c r="S4517" s="592"/>
      <c r="T4517" s="738">
        <f t="shared" si="706"/>
        <v>0</v>
      </c>
      <c r="U4517" s="591"/>
      <c r="V4517" s="592"/>
      <c r="W4517" s="592"/>
      <c r="X4517" s="592"/>
      <c r="Y4517" s="592"/>
      <c r="Z4517" s="592"/>
    </row>
    <row r="4518" spans="1:26" s="28" customFormat="1" ht="37.5" hidden="1">
      <c r="A4518" s="590">
        <v>1</v>
      </c>
      <c r="B4518" s="592" t="s">
        <v>3509</v>
      </c>
      <c r="C4518" s="593" t="s">
        <v>221</v>
      </c>
      <c r="D4518" s="646">
        <v>1248</v>
      </c>
      <c r="E4518" s="646">
        <v>364.8</v>
      </c>
      <c r="F4518" s="646" t="s">
        <v>222</v>
      </c>
      <c r="G4518" s="646">
        <v>667.8</v>
      </c>
      <c r="H4518" s="582">
        <v>2</v>
      </c>
      <c r="I4518" s="582">
        <v>2</v>
      </c>
      <c r="J4518" s="582">
        <v>8</v>
      </c>
      <c r="K4518" s="590" t="s">
        <v>274</v>
      </c>
      <c r="L4518" s="584">
        <f>M4518+N4518+O4518+P4518+Q4518</f>
        <v>1730270</v>
      </c>
      <c r="M4518" s="585">
        <f>G4518*2500</f>
        <v>1669500</v>
      </c>
      <c r="N4518" s="586">
        <v>25043</v>
      </c>
      <c r="O4518" s="565"/>
      <c r="P4518" s="564"/>
      <c r="Q4518" s="586">
        <f>ROUND(M4518*2.14%,0)</f>
        <v>35727</v>
      </c>
      <c r="R4518" s="582">
        <f>M4518/G4518</f>
        <v>2500</v>
      </c>
      <c r="S4518" s="591"/>
      <c r="T4518" s="738">
        <f t="shared" si="706"/>
        <v>0</v>
      </c>
      <c r="U4518" s="591"/>
      <c r="V4518" s="592"/>
      <c r="W4518" s="592"/>
      <c r="X4518" s="592"/>
      <c r="Y4518" s="592"/>
      <c r="Z4518" s="592"/>
    </row>
    <row r="4519" spans="1:26" s="28" customFormat="1" ht="37.5" hidden="1">
      <c r="A4519" s="590">
        <f>A4518+1</f>
        <v>2</v>
      </c>
      <c r="B4519" s="592" t="s">
        <v>3510</v>
      </c>
      <c r="C4519" s="593" t="s">
        <v>221</v>
      </c>
      <c r="D4519" s="646">
        <v>1084</v>
      </c>
      <c r="E4519" s="646">
        <v>599</v>
      </c>
      <c r="F4519" s="646" t="s">
        <v>222</v>
      </c>
      <c r="G4519" s="646">
        <v>245.7</v>
      </c>
      <c r="H4519" s="582">
        <v>2</v>
      </c>
      <c r="I4519" s="582">
        <v>2</v>
      </c>
      <c r="J4519" s="582">
        <v>8</v>
      </c>
      <c r="K4519" s="590" t="s">
        <v>267</v>
      </c>
      <c r="L4519" s="584">
        <f>M4519+N4519+O4519+P4519+Q4519</f>
        <v>1104508</v>
      </c>
      <c r="M4519" s="585">
        <f>E4519*1800</f>
        <v>1078200</v>
      </c>
      <c r="N4519" s="586"/>
      <c r="O4519" s="736">
        <f>ROUND(M4519*0.3%,0)</f>
        <v>3235</v>
      </c>
      <c r="P4519" s="586"/>
      <c r="Q4519" s="586">
        <f>ROUND(M4519*2.14%,0)</f>
        <v>23073</v>
      </c>
      <c r="R4519" s="599">
        <f>M4519/E4519</f>
        <v>1800</v>
      </c>
      <c r="S4519" s="591"/>
      <c r="T4519" s="738">
        <f t="shared" si="706"/>
        <v>0</v>
      </c>
      <c r="U4519" s="589"/>
      <c r="V4519" s="592"/>
      <c r="W4519" s="592"/>
      <c r="X4519" s="592"/>
      <c r="Y4519" s="592"/>
      <c r="Z4519" s="592"/>
    </row>
    <row r="4520" spans="1:26" s="28" customFormat="1" ht="37.5" hidden="1">
      <c r="A4520" s="590">
        <f>A4519+1</f>
        <v>3</v>
      </c>
      <c r="B4520" s="592" t="s">
        <v>3511</v>
      </c>
      <c r="C4520" s="593" t="s">
        <v>221</v>
      </c>
      <c r="D4520" s="646">
        <v>1817</v>
      </c>
      <c r="E4520" s="646">
        <v>557.20000000000005</v>
      </c>
      <c r="F4520" s="646" t="s">
        <v>230</v>
      </c>
      <c r="G4520" s="646">
        <v>405.3</v>
      </c>
      <c r="H4520" s="582">
        <v>2</v>
      </c>
      <c r="I4520" s="582">
        <v>3</v>
      </c>
      <c r="J4520" s="582">
        <v>18</v>
      </c>
      <c r="K4520" s="590" t="s">
        <v>267</v>
      </c>
      <c r="L4520" s="584">
        <f>M4520+N4520+O4520+P4520+Q4520</f>
        <v>1027432.0000000001</v>
      </c>
      <c r="M4520" s="585">
        <f>E4520*1800</f>
        <v>1002960.0000000001</v>
      </c>
      <c r="N4520" s="586"/>
      <c r="O4520" s="736">
        <f>ROUND(M4520*0.3%,0)</f>
        <v>3009</v>
      </c>
      <c r="P4520" s="586"/>
      <c r="Q4520" s="586">
        <f>ROUND(M4520*2.14%,0)</f>
        <v>21463</v>
      </c>
      <c r="R4520" s="599">
        <f>M4520/E4520</f>
        <v>1800</v>
      </c>
      <c r="S4520" s="591"/>
      <c r="T4520" s="738">
        <f t="shared" si="706"/>
        <v>0</v>
      </c>
      <c r="U4520" s="591"/>
      <c r="V4520" s="592"/>
      <c r="W4520" s="592"/>
      <c r="X4520" s="592"/>
      <c r="Y4520" s="592"/>
      <c r="Z4520" s="592"/>
    </row>
    <row r="4521" spans="1:26" s="28" customFormat="1" hidden="1">
      <c r="A4521" s="1349" t="s">
        <v>77</v>
      </c>
      <c r="B4521" s="1349"/>
      <c r="C4521" s="593" t="s">
        <v>28</v>
      </c>
      <c r="D4521" s="646">
        <f>SUM(D4518:D4520)</f>
        <v>4149</v>
      </c>
      <c r="E4521" s="646">
        <f>SUM(E4518:E4520)</f>
        <v>1521</v>
      </c>
      <c r="F4521" s="646" t="s">
        <v>28</v>
      </c>
      <c r="G4521" s="646">
        <f>SUM(G4518:G4520)</f>
        <v>1318.8</v>
      </c>
      <c r="H4521" s="582" t="s">
        <v>28</v>
      </c>
      <c r="I4521" s="582" t="s">
        <v>28</v>
      </c>
      <c r="J4521" s="582">
        <f>SUM(J4518:J4520)</f>
        <v>34</v>
      </c>
      <c r="K4521" s="590" t="s">
        <v>28</v>
      </c>
      <c r="L4521" s="584">
        <f>SUM(L4518:L4520)</f>
        <v>3862210</v>
      </c>
      <c r="M4521" s="585">
        <f>SUM(M4518:M4520)</f>
        <v>3750660</v>
      </c>
      <c r="N4521" s="586">
        <f>SUM(N4518:N4520)</f>
        <v>25043</v>
      </c>
      <c r="O4521" s="587">
        <f>SUM(O4518:O4520)</f>
        <v>6244</v>
      </c>
      <c r="P4521" s="586"/>
      <c r="Q4521" s="586">
        <f>SUM(Q4518:Q4520)</f>
        <v>80263</v>
      </c>
      <c r="R4521" s="582" t="s">
        <v>28</v>
      </c>
      <c r="S4521" s="592"/>
      <c r="T4521" s="738">
        <f t="shared" si="706"/>
        <v>0</v>
      </c>
      <c r="U4521" s="591"/>
      <c r="V4521" s="592"/>
      <c r="W4521" s="592"/>
      <c r="X4521" s="592"/>
      <c r="Y4521" s="592"/>
      <c r="Z4521" s="592"/>
    </row>
    <row r="4522" spans="1:26" s="28" customFormat="1" hidden="1">
      <c r="A4522" s="1347" t="s">
        <v>78</v>
      </c>
      <c r="B4522" s="1347"/>
      <c r="C4522" s="1347"/>
      <c r="D4522" s="1347"/>
      <c r="E4522" s="1347"/>
      <c r="F4522" s="1347"/>
      <c r="G4522" s="1347"/>
      <c r="H4522" s="1347"/>
      <c r="I4522" s="1347"/>
      <c r="J4522" s="1347"/>
      <c r="K4522" s="1347"/>
      <c r="L4522" s="1347"/>
      <c r="M4522" s="1347"/>
      <c r="N4522" s="1347"/>
      <c r="O4522" s="1347"/>
      <c r="P4522" s="1347"/>
      <c r="Q4522" s="1347"/>
      <c r="R4522" s="590"/>
      <c r="S4522" s="592"/>
      <c r="T4522" s="738">
        <f t="shared" si="706"/>
        <v>0</v>
      </c>
      <c r="U4522" s="591"/>
      <c r="V4522" s="592"/>
      <c r="W4522" s="592"/>
      <c r="X4522" s="592"/>
      <c r="Y4522" s="592"/>
      <c r="Z4522" s="592"/>
    </row>
    <row r="4523" spans="1:26" s="28" customFormat="1" hidden="1">
      <c r="A4523" s="1282">
        <v>1</v>
      </c>
      <c r="B4523" s="1088" t="s">
        <v>3512</v>
      </c>
      <c r="C4523" s="561" t="s">
        <v>221</v>
      </c>
      <c r="D4523" s="646">
        <v>2871.8</v>
      </c>
      <c r="E4523" s="646">
        <v>873.39</v>
      </c>
      <c r="F4523" s="646" t="s">
        <v>222</v>
      </c>
      <c r="G4523" s="646">
        <f>(20*I4523)*13*1.3</f>
        <v>338</v>
      </c>
      <c r="H4523" s="1283">
        <v>2</v>
      </c>
      <c r="I4523" s="1283">
        <v>1</v>
      </c>
      <c r="J4523" s="582">
        <v>16</v>
      </c>
      <c r="K4523" s="590" t="s">
        <v>33</v>
      </c>
      <c r="L4523" s="584">
        <f>M4523+N4523+O4523+P4523+Q4523</f>
        <v>888433</v>
      </c>
      <c r="M4523" s="585">
        <f>G4523*2500</f>
        <v>845000</v>
      </c>
      <c r="N4523" s="586">
        <f>M4523*0.03</f>
        <v>25350</v>
      </c>
      <c r="O4523" s="565"/>
      <c r="P4523" s="564"/>
      <c r="Q4523" s="586">
        <f>ROUND(M4523*2.14%,0)</f>
        <v>18083</v>
      </c>
      <c r="R4523" s="582">
        <f>M4523/G4523</f>
        <v>2500</v>
      </c>
      <c r="S4523" s="592"/>
      <c r="T4523" s="738">
        <f t="shared" si="706"/>
        <v>0</v>
      </c>
      <c r="U4523" s="589"/>
      <c r="V4523" s="592"/>
      <c r="W4523" s="592"/>
      <c r="X4523" s="592"/>
      <c r="Y4523" s="592"/>
      <c r="Z4523" s="592"/>
    </row>
    <row r="4524" spans="1:26" s="28" customFormat="1" hidden="1">
      <c r="A4524" s="1282">
        <v>2</v>
      </c>
      <c r="B4524" s="592" t="s">
        <v>3513</v>
      </c>
      <c r="C4524" s="845" t="s">
        <v>221</v>
      </c>
      <c r="D4524" s="646">
        <v>1213</v>
      </c>
      <c r="E4524" s="646">
        <v>718.08</v>
      </c>
      <c r="F4524" s="646" t="s">
        <v>222</v>
      </c>
      <c r="G4524" s="646">
        <f>(20*I4524)*12*1.3</f>
        <v>624</v>
      </c>
      <c r="H4524" s="582">
        <v>2</v>
      </c>
      <c r="I4524" s="582">
        <v>2</v>
      </c>
      <c r="J4524" s="582">
        <v>8</v>
      </c>
      <c r="K4524" s="590" t="s">
        <v>33</v>
      </c>
      <c r="L4524" s="584">
        <f>M4524+N4524+O4524+P4524+Q4524</f>
        <v>1616784</v>
      </c>
      <c r="M4524" s="741">
        <f>G4524*2500</f>
        <v>1560000</v>
      </c>
      <c r="N4524" s="742">
        <f>M4524*0.015</f>
        <v>23400</v>
      </c>
      <c r="O4524" s="743"/>
      <c r="P4524" s="742"/>
      <c r="Q4524" s="586">
        <f>ROUND(M4524*2.14%,0)</f>
        <v>33384</v>
      </c>
      <c r="R4524" s="744">
        <f>M4524/G4524</f>
        <v>2500</v>
      </c>
      <c r="S4524" s="592"/>
      <c r="T4524" s="645"/>
      <c r="U4524" s="591"/>
      <c r="V4524" s="592"/>
      <c r="W4524" s="592"/>
      <c r="X4524" s="592"/>
      <c r="Y4524" s="592"/>
      <c r="Z4524" s="592"/>
    </row>
    <row r="4525" spans="1:26" s="28" customFormat="1" hidden="1">
      <c r="A4525" s="1349" t="s">
        <v>128</v>
      </c>
      <c r="B4525" s="1349"/>
      <c r="C4525" s="593" t="s">
        <v>28</v>
      </c>
      <c r="D4525" s="646">
        <f>SUM(D4523:D4524)</f>
        <v>4084.8</v>
      </c>
      <c r="E4525" s="646">
        <f>SUM(E4523:E4524)</f>
        <v>1591.47</v>
      </c>
      <c r="F4525" s="646" t="s">
        <v>28</v>
      </c>
      <c r="G4525" s="646">
        <f>SUM(G4523:G4524)</f>
        <v>962</v>
      </c>
      <c r="H4525" s="582" t="s">
        <v>28</v>
      </c>
      <c r="I4525" s="582" t="s">
        <v>28</v>
      </c>
      <c r="J4525" s="646">
        <f>SUM(J4523:J4524)</f>
        <v>24</v>
      </c>
      <c r="K4525" s="590" t="s">
        <v>28</v>
      </c>
      <c r="L4525" s="584">
        <f t="shared" ref="L4525:Q4525" si="707">SUM(L4523:L4524)</f>
        <v>2505217</v>
      </c>
      <c r="M4525" s="585">
        <f t="shared" si="707"/>
        <v>2405000</v>
      </c>
      <c r="N4525" s="586">
        <f t="shared" si="707"/>
        <v>48750</v>
      </c>
      <c r="O4525" s="587">
        <f t="shared" si="707"/>
        <v>0</v>
      </c>
      <c r="P4525" s="586">
        <f t="shared" si="707"/>
        <v>0</v>
      </c>
      <c r="Q4525" s="586">
        <f t="shared" si="707"/>
        <v>51467</v>
      </c>
      <c r="R4525" s="582" t="s">
        <v>28</v>
      </c>
      <c r="S4525" s="592"/>
      <c r="T4525" s="738">
        <f t="shared" ref="T4525:T4531" si="708">L4525-M4525-N4525-O4525-Q4525</f>
        <v>0</v>
      </c>
      <c r="U4525" s="591"/>
      <c r="V4525" s="592"/>
      <c r="W4525" s="592"/>
      <c r="X4525" s="592"/>
      <c r="Y4525" s="592"/>
      <c r="Z4525" s="592"/>
    </row>
    <row r="4526" spans="1:26" s="28" customFormat="1" hidden="1">
      <c r="A4526" s="1347" t="s">
        <v>79</v>
      </c>
      <c r="B4526" s="1347"/>
      <c r="C4526" s="1347"/>
      <c r="D4526" s="1347"/>
      <c r="E4526" s="1347"/>
      <c r="F4526" s="1347"/>
      <c r="G4526" s="1347"/>
      <c r="H4526" s="1347"/>
      <c r="I4526" s="1347"/>
      <c r="J4526" s="1347"/>
      <c r="K4526" s="1347"/>
      <c r="L4526" s="1347"/>
      <c r="M4526" s="1347"/>
      <c r="N4526" s="1347"/>
      <c r="O4526" s="1347"/>
      <c r="P4526" s="1347"/>
      <c r="Q4526" s="1347"/>
      <c r="R4526" s="590"/>
      <c r="S4526" s="592"/>
      <c r="T4526" s="738">
        <f t="shared" si="708"/>
        <v>0</v>
      </c>
      <c r="U4526" s="591"/>
      <c r="V4526" s="592"/>
      <c r="W4526" s="592"/>
      <c r="X4526" s="592"/>
      <c r="Y4526" s="592"/>
      <c r="Z4526" s="592"/>
    </row>
    <row r="4527" spans="1:26" s="90" customFormat="1" hidden="1">
      <c r="A4527" s="792">
        <v>1</v>
      </c>
      <c r="B4527" s="788" t="s">
        <v>3514</v>
      </c>
      <c r="C4527" s="561" t="s">
        <v>221</v>
      </c>
      <c r="D4527" s="789">
        <v>2148</v>
      </c>
      <c r="E4527" s="789">
        <v>491</v>
      </c>
      <c r="F4527" s="789" t="s">
        <v>230</v>
      </c>
      <c r="G4527" s="1089">
        <v>444</v>
      </c>
      <c r="H4527" s="1090">
        <v>2</v>
      </c>
      <c r="I4527" s="1090">
        <v>2</v>
      </c>
      <c r="J4527" s="1090">
        <v>12</v>
      </c>
      <c r="K4527" s="792" t="s">
        <v>268</v>
      </c>
      <c r="L4527" s="584">
        <f>M4527+N4527+O4527+P4527+Q4527</f>
        <v>245856</v>
      </c>
      <c r="M4527" s="860">
        <f>J4527*20000</f>
        <v>240000</v>
      </c>
      <c r="N4527" s="861"/>
      <c r="O4527" s="736">
        <f>ROUND(M4527*0.3%,0)</f>
        <v>720</v>
      </c>
      <c r="P4527" s="861"/>
      <c r="Q4527" s="586">
        <f>ROUND(M4527*2.14%,0)</f>
        <v>5136</v>
      </c>
      <c r="R4527" s="1090">
        <f>M4527/J4527</f>
        <v>20000</v>
      </c>
      <c r="S4527" s="748"/>
      <c r="T4527" s="738">
        <f t="shared" si="708"/>
        <v>0</v>
      </c>
      <c r="U4527" s="737"/>
      <c r="V4527" s="748"/>
      <c r="W4527" s="748"/>
      <c r="X4527" s="748"/>
      <c r="Y4527" s="748"/>
      <c r="Z4527" s="748"/>
    </row>
    <row r="4528" spans="1:26" s="28" customFormat="1" hidden="1">
      <c r="A4528" s="1349" t="s">
        <v>129</v>
      </c>
      <c r="B4528" s="1349"/>
      <c r="C4528" s="593" t="s">
        <v>28</v>
      </c>
      <c r="D4528" s="646">
        <f>SUM(D4527:D4527)</f>
        <v>2148</v>
      </c>
      <c r="E4528" s="646">
        <f>SUM(E4527:E4527)</f>
        <v>491</v>
      </c>
      <c r="F4528" s="646" t="s">
        <v>28</v>
      </c>
      <c r="G4528" s="646">
        <f>SUM(G4527:G4527)</f>
        <v>444</v>
      </c>
      <c r="H4528" s="582" t="s">
        <v>28</v>
      </c>
      <c r="I4528" s="582" t="s">
        <v>28</v>
      </c>
      <c r="J4528" s="646">
        <f>SUM(J4527:J4527)</f>
        <v>12</v>
      </c>
      <c r="K4528" s="590" t="s">
        <v>28</v>
      </c>
      <c r="L4528" s="584">
        <f t="shared" ref="L4528:Q4528" si="709">SUM(L4527:L4527)</f>
        <v>245856</v>
      </c>
      <c r="M4528" s="585">
        <f t="shared" si="709"/>
        <v>240000</v>
      </c>
      <c r="N4528" s="586">
        <f t="shared" si="709"/>
        <v>0</v>
      </c>
      <c r="O4528" s="587">
        <f t="shared" si="709"/>
        <v>720</v>
      </c>
      <c r="P4528" s="586">
        <f t="shared" si="709"/>
        <v>0</v>
      </c>
      <c r="Q4528" s="586">
        <f t="shared" si="709"/>
        <v>5136</v>
      </c>
      <c r="R4528" s="582" t="s">
        <v>28</v>
      </c>
      <c r="S4528" s="592"/>
      <c r="T4528" s="738">
        <f t="shared" si="708"/>
        <v>0</v>
      </c>
      <c r="U4528" s="591"/>
      <c r="V4528" s="592"/>
      <c r="W4528" s="592"/>
      <c r="X4528" s="592"/>
      <c r="Y4528" s="592"/>
      <c r="Z4528" s="592"/>
    </row>
    <row r="4529" spans="1:26" s="28" customFormat="1" hidden="1">
      <c r="A4529" s="1347" t="s">
        <v>130</v>
      </c>
      <c r="B4529" s="1347"/>
      <c r="C4529" s="1347"/>
      <c r="D4529" s="1347"/>
      <c r="E4529" s="1347"/>
      <c r="F4529" s="1347"/>
      <c r="G4529" s="1347"/>
      <c r="H4529" s="1347"/>
      <c r="I4529" s="1347"/>
      <c r="J4529" s="1347"/>
      <c r="K4529" s="1347"/>
      <c r="L4529" s="1347"/>
      <c r="M4529" s="1347"/>
      <c r="N4529" s="1347"/>
      <c r="O4529" s="1347"/>
      <c r="P4529" s="1347"/>
      <c r="Q4529" s="1347"/>
      <c r="R4529" s="590"/>
      <c r="S4529" s="592"/>
      <c r="T4529" s="738">
        <f t="shared" si="708"/>
        <v>0</v>
      </c>
      <c r="U4529" s="591"/>
      <c r="V4529" s="592"/>
      <c r="W4529" s="592"/>
      <c r="X4529" s="592"/>
      <c r="Y4529" s="592"/>
      <c r="Z4529" s="592"/>
    </row>
    <row r="4530" spans="1:26" s="75" customFormat="1" hidden="1">
      <c r="A4530" s="847">
        <v>1</v>
      </c>
      <c r="B4530" s="848" t="s">
        <v>3515</v>
      </c>
      <c r="C4530" s="593" t="s">
        <v>239</v>
      </c>
      <c r="D4530" s="849">
        <v>4690</v>
      </c>
      <c r="E4530" s="850">
        <v>6695.2</v>
      </c>
      <c r="F4530" s="789" t="s">
        <v>222</v>
      </c>
      <c r="G4530" s="851">
        <v>878.1</v>
      </c>
      <c r="H4530" s="852">
        <v>2</v>
      </c>
      <c r="I4530" s="852">
        <v>3</v>
      </c>
      <c r="J4530" s="852">
        <v>18</v>
      </c>
      <c r="K4530" s="697" t="s">
        <v>268</v>
      </c>
      <c r="L4530" s="584">
        <f>M4530+N4530+O4530+P4530+Q4530</f>
        <v>368784</v>
      </c>
      <c r="M4530" s="585">
        <f>J4530*20000</f>
        <v>360000</v>
      </c>
      <c r="N4530" s="586"/>
      <c r="O4530" s="736">
        <f>ROUND(M4530*0.3%,0)</f>
        <v>1080</v>
      </c>
      <c r="P4530" s="586"/>
      <c r="Q4530" s="586">
        <f>ROUND(M4530*2.14%,0)</f>
        <v>7704</v>
      </c>
      <c r="R4530" s="582">
        <f t="shared" ref="R4530:R4535" si="710">M4530/J4530</f>
        <v>20000</v>
      </c>
      <c r="S4530" s="601"/>
      <c r="T4530" s="738">
        <f t="shared" si="708"/>
        <v>0</v>
      </c>
      <c r="U4530" s="589"/>
      <c r="V4530" s="601"/>
      <c r="W4530" s="601"/>
      <c r="X4530" s="601"/>
      <c r="Y4530" s="601"/>
      <c r="Z4530" s="601"/>
    </row>
    <row r="4531" spans="1:26" s="75" customFormat="1" hidden="1">
      <c r="A4531" s="847">
        <v>2</v>
      </c>
      <c r="B4531" s="848" t="s">
        <v>3516</v>
      </c>
      <c r="C4531" s="593" t="s">
        <v>221</v>
      </c>
      <c r="D4531" s="849">
        <v>4537</v>
      </c>
      <c r="E4531" s="850">
        <v>667.6</v>
      </c>
      <c r="F4531" s="646" t="s">
        <v>228</v>
      </c>
      <c r="G4531" s="851">
        <v>722.7</v>
      </c>
      <c r="H4531" s="852">
        <v>2</v>
      </c>
      <c r="I4531" s="852">
        <v>3</v>
      </c>
      <c r="J4531" s="852">
        <v>12</v>
      </c>
      <c r="K4531" s="697" t="s">
        <v>268</v>
      </c>
      <c r="L4531" s="584">
        <f>M4531+N4531+O4531+P4531+Q4531</f>
        <v>245856</v>
      </c>
      <c r="M4531" s="585">
        <f>J4531*20000</f>
        <v>240000</v>
      </c>
      <c r="N4531" s="586"/>
      <c r="O4531" s="736">
        <f>ROUND(M4531*0.3%,0)</f>
        <v>720</v>
      </c>
      <c r="P4531" s="586"/>
      <c r="Q4531" s="586">
        <f>ROUND(M4531*2.14%,0)</f>
        <v>5136</v>
      </c>
      <c r="R4531" s="582">
        <f t="shared" si="710"/>
        <v>20000</v>
      </c>
      <c r="S4531" s="601"/>
      <c r="T4531" s="738">
        <f t="shared" si="708"/>
        <v>0</v>
      </c>
      <c r="U4531" s="709"/>
      <c r="V4531" s="601"/>
      <c r="W4531" s="601"/>
      <c r="X4531" s="601"/>
      <c r="Y4531" s="601"/>
      <c r="Z4531" s="601"/>
    </row>
    <row r="4532" spans="1:26" s="115" customFormat="1" hidden="1">
      <c r="A4532" s="847">
        <f>A4531+1</f>
        <v>3</v>
      </c>
      <c r="B4532" s="580" t="s">
        <v>4296</v>
      </c>
      <c r="C4532" s="591" t="s">
        <v>221</v>
      </c>
      <c r="D4532" s="1284">
        <f>31.8*11.8*6</f>
        <v>2251.44</v>
      </c>
      <c r="E4532" s="1284">
        <f>(31.8+11.8)*2*6</f>
        <v>523.20000000000005</v>
      </c>
      <c r="F4532" s="1281" t="s">
        <v>3684</v>
      </c>
      <c r="G4532" s="1284">
        <f>31.8*11.8*1.3</f>
        <v>487.81200000000001</v>
      </c>
      <c r="H4532" s="1285">
        <v>2</v>
      </c>
      <c r="I4532" s="1285">
        <v>2</v>
      </c>
      <c r="J4532" s="1285">
        <v>12</v>
      </c>
      <c r="K4532" s="697" t="s">
        <v>4300</v>
      </c>
      <c r="L4532" s="584">
        <f>M4532+N4532+O4532+P4532</f>
        <v>443599</v>
      </c>
      <c r="M4532" s="741">
        <v>420000</v>
      </c>
      <c r="N4532" s="630">
        <v>23599</v>
      </c>
      <c r="O4532" s="743"/>
      <c r="P4532" s="630"/>
      <c r="Q4532" s="601"/>
      <c r="R4532" s="803">
        <f t="shared" si="710"/>
        <v>35000</v>
      </c>
      <c r="S4532" s="575"/>
      <c r="T4532" s="601"/>
      <c r="U4532" s="709"/>
      <c r="V4532" s="589"/>
      <c r="W4532" s="601"/>
      <c r="X4532" s="601"/>
      <c r="Y4532" s="601"/>
      <c r="Z4532" s="601"/>
    </row>
    <row r="4533" spans="1:26" s="115" customFormat="1" hidden="1">
      <c r="A4533" s="847">
        <f>A4532+1</f>
        <v>4</v>
      </c>
      <c r="B4533" s="580" t="s">
        <v>4297</v>
      </c>
      <c r="C4533" s="591" t="s">
        <v>221</v>
      </c>
      <c r="D4533" s="1284">
        <f>19.9*13.7*3</f>
        <v>817.88999999999987</v>
      </c>
      <c r="E4533" s="1284">
        <f>(19.9+13.7)*2*3</f>
        <v>201.59999999999997</v>
      </c>
      <c r="F4533" s="1281" t="s">
        <v>3684</v>
      </c>
      <c r="G4533" s="1284">
        <f>19.9*13.7*1.3</f>
        <v>354.41899999999993</v>
      </c>
      <c r="H4533" s="1285">
        <v>2</v>
      </c>
      <c r="I4533" s="1285">
        <v>1</v>
      </c>
      <c r="J4533" s="1285">
        <v>8</v>
      </c>
      <c r="K4533" s="697" t="s">
        <v>4300</v>
      </c>
      <c r="L4533" s="584">
        <f>M4533+N4533+O4533+P4533</f>
        <v>301508</v>
      </c>
      <c r="M4533" s="741">
        <v>280000</v>
      </c>
      <c r="N4533" s="630">
        <v>21508</v>
      </c>
      <c r="O4533" s="743"/>
      <c r="P4533" s="630"/>
      <c r="Q4533" s="601"/>
      <c r="R4533" s="803">
        <f t="shared" si="710"/>
        <v>35000</v>
      </c>
      <c r="S4533" s="575"/>
      <c r="T4533" s="601"/>
      <c r="U4533" s="709"/>
      <c r="V4533" s="589"/>
      <c r="W4533" s="601"/>
      <c r="X4533" s="601"/>
      <c r="Y4533" s="601"/>
      <c r="Z4533" s="601"/>
    </row>
    <row r="4534" spans="1:26" s="115" customFormat="1" hidden="1">
      <c r="A4534" s="847">
        <f>A4533+1</f>
        <v>5</v>
      </c>
      <c r="B4534" s="580" t="s">
        <v>4298</v>
      </c>
      <c r="C4534" s="591" t="s">
        <v>221</v>
      </c>
      <c r="D4534" s="1284">
        <f>11*28*6</f>
        <v>1848</v>
      </c>
      <c r="E4534" s="1284">
        <f>(11+28)*2*6</f>
        <v>468</v>
      </c>
      <c r="F4534" s="1281" t="s">
        <v>3684</v>
      </c>
      <c r="G4534" s="1284">
        <f>11*28*1.3</f>
        <v>400.40000000000003</v>
      </c>
      <c r="H4534" s="1285">
        <v>2</v>
      </c>
      <c r="I4534" s="1285">
        <v>2</v>
      </c>
      <c r="J4534" s="1285">
        <v>8</v>
      </c>
      <c r="K4534" s="697" t="s">
        <v>4300</v>
      </c>
      <c r="L4534" s="584">
        <f>M4534+N4534+O4534+P4534</f>
        <v>302753</v>
      </c>
      <c r="M4534" s="741">
        <v>280000</v>
      </c>
      <c r="N4534" s="630">
        <v>22753</v>
      </c>
      <c r="O4534" s="743"/>
      <c r="P4534" s="630"/>
      <c r="Q4534" s="601"/>
      <c r="R4534" s="803">
        <f t="shared" si="710"/>
        <v>35000</v>
      </c>
      <c r="S4534" s="575"/>
      <c r="T4534" s="601"/>
      <c r="U4534" s="709"/>
      <c r="V4534" s="589"/>
      <c r="W4534" s="601"/>
      <c r="X4534" s="601"/>
      <c r="Y4534" s="601"/>
      <c r="Z4534" s="601"/>
    </row>
    <row r="4535" spans="1:26" s="115" customFormat="1" hidden="1">
      <c r="A4535" s="847">
        <f>A4534+1</f>
        <v>6</v>
      </c>
      <c r="B4535" s="580" t="s">
        <v>4299</v>
      </c>
      <c r="C4535" s="591" t="s">
        <v>221</v>
      </c>
      <c r="D4535" s="1284">
        <f>36.34*11.7*6</f>
        <v>2551.0680000000002</v>
      </c>
      <c r="E4535" s="1284">
        <f>(36.34+11.7)*2*6</f>
        <v>576.48</v>
      </c>
      <c r="F4535" s="1281" t="s">
        <v>3684</v>
      </c>
      <c r="G4535" s="1284">
        <f>36.34*11.7*1.3</f>
        <v>552.73140000000001</v>
      </c>
      <c r="H4535" s="1285">
        <v>2</v>
      </c>
      <c r="I4535" s="1285">
        <v>2</v>
      </c>
      <c r="J4535" s="1285">
        <v>12</v>
      </c>
      <c r="K4535" s="697" t="s">
        <v>4300</v>
      </c>
      <c r="L4535" s="584">
        <f>M4535+N4535+O4535+P4535</f>
        <v>442753</v>
      </c>
      <c r="M4535" s="741">
        <v>420000</v>
      </c>
      <c r="N4535" s="630">
        <v>22753</v>
      </c>
      <c r="O4535" s="743"/>
      <c r="P4535" s="630"/>
      <c r="Q4535" s="601"/>
      <c r="R4535" s="803">
        <f t="shared" si="710"/>
        <v>35000</v>
      </c>
      <c r="S4535" s="575"/>
      <c r="T4535" s="601"/>
      <c r="U4535" s="709"/>
      <c r="V4535" s="589"/>
      <c r="W4535" s="601"/>
      <c r="X4535" s="601"/>
      <c r="Y4535" s="601"/>
      <c r="Z4535" s="601"/>
    </row>
    <row r="4536" spans="1:26" s="28" customFormat="1" hidden="1">
      <c r="A4536" s="1371" t="s">
        <v>131</v>
      </c>
      <c r="B4536" s="1371"/>
      <c r="C4536" s="700" t="s">
        <v>28</v>
      </c>
      <c r="D4536" s="779">
        <f>SUM(D4530:D4535)</f>
        <v>16695.398000000001</v>
      </c>
      <c r="E4536" s="779">
        <f>SUM(E4530:E4535)</f>
        <v>9132.08</v>
      </c>
      <c r="F4536" s="854" t="s">
        <v>28</v>
      </c>
      <c r="G4536" s="779">
        <f>SUM(G4530:G4535)</f>
        <v>3396.1624000000002</v>
      </c>
      <c r="H4536" s="643" t="s">
        <v>28</v>
      </c>
      <c r="I4536" s="643" t="s">
        <v>28</v>
      </c>
      <c r="J4536" s="779">
        <f>SUM(J4530:J4535)</f>
        <v>70</v>
      </c>
      <c r="K4536" s="855" t="s">
        <v>28</v>
      </c>
      <c r="L4536" s="781">
        <f t="shared" ref="L4536:Q4536" si="711">SUM(L4530:L4535)</f>
        <v>2105253</v>
      </c>
      <c r="M4536" s="782">
        <f t="shared" si="711"/>
        <v>2000000</v>
      </c>
      <c r="N4536" s="783">
        <f t="shared" si="711"/>
        <v>90613</v>
      </c>
      <c r="O4536" s="784">
        <f t="shared" si="711"/>
        <v>1800</v>
      </c>
      <c r="P4536" s="783">
        <f t="shared" si="711"/>
        <v>0</v>
      </c>
      <c r="Q4536" s="783">
        <f t="shared" si="711"/>
        <v>12840</v>
      </c>
      <c r="R4536" s="582" t="s">
        <v>28</v>
      </c>
      <c r="S4536" s="592"/>
      <c r="T4536" s="738">
        <f t="shared" ref="T4536:T4544" si="712">L4536-M4536-N4536-O4536-Q4536</f>
        <v>0</v>
      </c>
      <c r="U4536" s="591"/>
      <c r="V4536" s="592"/>
      <c r="W4536" s="592"/>
      <c r="X4536" s="592"/>
      <c r="Y4536" s="592"/>
      <c r="Z4536" s="592"/>
    </row>
    <row r="4537" spans="1:26" s="28" customFormat="1" hidden="1">
      <c r="A4537" s="1347" t="s">
        <v>81</v>
      </c>
      <c r="B4537" s="1347"/>
      <c r="C4537" s="1347"/>
      <c r="D4537" s="1347"/>
      <c r="E4537" s="1347"/>
      <c r="F4537" s="1347"/>
      <c r="G4537" s="1347"/>
      <c r="H4537" s="1347"/>
      <c r="I4537" s="1347"/>
      <c r="J4537" s="1347"/>
      <c r="K4537" s="1347"/>
      <c r="L4537" s="1347"/>
      <c r="M4537" s="1347"/>
      <c r="N4537" s="1347"/>
      <c r="O4537" s="1347"/>
      <c r="P4537" s="1347"/>
      <c r="Q4537" s="1347"/>
      <c r="R4537" s="590"/>
      <c r="S4537" s="592"/>
      <c r="T4537" s="738">
        <f t="shared" si="712"/>
        <v>0</v>
      </c>
      <c r="U4537" s="591"/>
      <c r="V4537" s="592"/>
      <c r="W4537" s="592"/>
      <c r="X4537" s="592"/>
      <c r="Y4537" s="592"/>
      <c r="Z4537" s="592"/>
    </row>
    <row r="4538" spans="1:26" s="28" customFormat="1" ht="37.5" hidden="1">
      <c r="A4538" s="590">
        <v>1</v>
      </c>
      <c r="B4538" s="592" t="s">
        <v>3518</v>
      </c>
      <c r="C4538" s="593" t="s">
        <v>221</v>
      </c>
      <c r="D4538" s="646">
        <v>2890</v>
      </c>
      <c r="E4538" s="646">
        <v>538</v>
      </c>
      <c r="F4538" s="646" t="s">
        <v>228</v>
      </c>
      <c r="G4538" s="646">
        <v>590</v>
      </c>
      <c r="H4538" s="582">
        <v>2</v>
      </c>
      <c r="I4538" s="582">
        <v>2</v>
      </c>
      <c r="J4538" s="582">
        <v>16</v>
      </c>
      <c r="K4538" s="735" t="s">
        <v>30</v>
      </c>
      <c r="L4538" s="584">
        <f>M4538+N4538+O4538+P4538+Q4538</f>
        <v>409760</v>
      </c>
      <c r="M4538" s="596">
        <f>J4538*25000</f>
        <v>400000</v>
      </c>
      <c r="N4538" s="597"/>
      <c r="O4538" s="736">
        <f>ROUND(M4538*0.3%,0)</f>
        <v>1200</v>
      </c>
      <c r="P4538" s="597"/>
      <c r="Q4538" s="586">
        <f>ROUND(M4538*2.14%,0)</f>
        <v>8560</v>
      </c>
      <c r="R4538" s="599">
        <f>M4538/J4538</f>
        <v>25000</v>
      </c>
      <c r="S4538" s="592"/>
      <c r="T4538" s="738">
        <f t="shared" si="712"/>
        <v>0</v>
      </c>
      <c r="U4538" s="589"/>
      <c r="V4538" s="592"/>
      <c r="W4538" s="592"/>
      <c r="X4538" s="592"/>
      <c r="Y4538" s="592"/>
      <c r="Z4538" s="592"/>
    </row>
    <row r="4539" spans="1:26" s="28" customFormat="1" ht="37.5" hidden="1">
      <c r="A4539" s="590">
        <v>2</v>
      </c>
      <c r="B4539" s="592" t="s">
        <v>3517</v>
      </c>
      <c r="C4539" s="561" t="s">
        <v>221</v>
      </c>
      <c r="D4539" s="646">
        <v>3046</v>
      </c>
      <c r="E4539" s="646">
        <v>583</v>
      </c>
      <c r="F4539" s="646" t="s">
        <v>228</v>
      </c>
      <c r="G4539" s="646">
        <v>633</v>
      </c>
      <c r="H4539" s="582">
        <v>2</v>
      </c>
      <c r="I4539" s="582">
        <v>2</v>
      </c>
      <c r="J4539" s="582">
        <v>16</v>
      </c>
      <c r="K4539" s="590" t="s">
        <v>30</v>
      </c>
      <c r="L4539" s="584">
        <f>M4539+N4539+O4539+P4539+Q4539</f>
        <v>409760</v>
      </c>
      <c r="M4539" s="741">
        <f>J4539*25000</f>
        <v>400000</v>
      </c>
      <c r="N4539" s="742"/>
      <c r="O4539" s="736">
        <f>ROUND(M4539*0.3%,0)</f>
        <v>1200</v>
      </c>
      <c r="P4539" s="742"/>
      <c r="Q4539" s="586">
        <f>ROUND(M4539*2.14%,0)</f>
        <v>8560</v>
      </c>
      <c r="R4539" s="744">
        <f>M4539/J4539</f>
        <v>25000</v>
      </c>
      <c r="S4539" s="592"/>
      <c r="T4539" s="738">
        <f t="shared" si="712"/>
        <v>0</v>
      </c>
      <c r="U4539" s="591"/>
      <c r="V4539" s="592"/>
      <c r="W4539" s="592"/>
      <c r="X4539" s="592"/>
      <c r="Y4539" s="592"/>
      <c r="Z4539" s="592"/>
    </row>
    <row r="4540" spans="1:26" s="28" customFormat="1" hidden="1">
      <c r="A4540" s="1349" t="s">
        <v>133</v>
      </c>
      <c r="B4540" s="1349"/>
      <c r="C4540" s="593" t="s">
        <v>28</v>
      </c>
      <c r="D4540" s="646">
        <f>SUM(D4538:D4539)</f>
        <v>5936</v>
      </c>
      <c r="E4540" s="646">
        <f>SUM(E4538:E4539)</f>
        <v>1121</v>
      </c>
      <c r="F4540" s="646" t="s">
        <v>28</v>
      </c>
      <c r="G4540" s="646">
        <f>SUM(G4538:G4539)</f>
        <v>1223</v>
      </c>
      <c r="H4540" s="582" t="s">
        <v>28</v>
      </c>
      <c r="I4540" s="582" t="s">
        <v>28</v>
      </c>
      <c r="J4540" s="646">
        <f>SUM(J4538:J4539)</f>
        <v>32</v>
      </c>
      <c r="K4540" s="590" t="s">
        <v>28</v>
      </c>
      <c r="L4540" s="584">
        <f t="shared" ref="L4540:Q4540" si="713">SUM(L4538:L4539)</f>
        <v>819520</v>
      </c>
      <c r="M4540" s="585">
        <f t="shared" si="713"/>
        <v>800000</v>
      </c>
      <c r="N4540" s="586">
        <f t="shared" si="713"/>
        <v>0</v>
      </c>
      <c r="O4540" s="587">
        <f t="shared" si="713"/>
        <v>2400</v>
      </c>
      <c r="P4540" s="586">
        <f t="shared" si="713"/>
        <v>0</v>
      </c>
      <c r="Q4540" s="586">
        <f t="shared" si="713"/>
        <v>17120</v>
      </c>
      <c r="R4540" s="582" t="s">
        <v>28</v>
      </c>
      <c r="S4540" s="592"/>
      <c r="T4540" s="738">
        <f t="shared" si="712"/>
        <v>0</v>
      </c>
      <c r="U4540" s="591"/>
      <c r="V4540" s="592"/>
      <c r="W4540" s="592"/>
      <c r="X4540" s="592"/>
      <c r="Y4540" s="592"/>
      <c r="Z4540" s="592"/>
    </row>
    <row r="4541" spans="1:26" s="28" customFormat="1" hidden="1">
      <c r="A4541" s="1369" t="s">
        <v>40</v>
      </c>
      <c r="B4541" s="1369"/>
      <c r="C4541" s="1369"/>
      <c r="D4541" s="1369"/>
      <c r="E4541" s="1369"/>
      <c r="F4541" s="1369"/>
      <c r="G4541" s="1369"/>
      <c r="H4541" s="1369"/>
      <c r="I4541" s="1369"/>
      <c r="J4541" s="1369"/>
      <c r="K4541" s="1369"/>
      <c r="L4541" s="1369"/>
      <c r="M4541" s="1369"/>
      <c r="N4541" s="1369"/>
      <c r="O4541" s="1369"/>
      <c r="P4541" s="1369"/>
      <c r="Q4541" s="1369"/>
      <c r="R4541" s="679"/>
      <c r="S4541" s="592"/>
      <c r="T4541" s="738">
        <f t="shared" si="712"/>
        <v>0</v>
      </c>
      <c r="U4541" s="591"/>
      <c r="V4541" s="592"/>
      <c r="W4541" s="592"/>
      <c r="X4541" s="592"/>
      <c r="Y4541" s="592"/>
      <c r="Z4541" s="592"/>
    </row>
    <row r="4542" spans="1:26" s="90" customFormat="1" ht="37.5" hidden="1">
      <c r="A4542" s="679">
        <v>1</v>
      </c>
      <c r="B4542" s="592" t="s">
        <v>3519</v>
      </c>
      <c r="C4542" s="561" t="s">
        <v>221</v>
      </c>
      <c r="D4542" s="646">
        <v>2425.1999999999998</v>
      </c>
      <c r="E4542" s="646">
        <v>15299</v>
      </c>
      <c r="F4542" s="619" t="s">
        <v>222</v>
      </c>
      <c r="G4542" s="646">
        <v>1244.0999999999999</v>
      </c>
      <c r="H4542" s="582">
        <v>5</v>
      </c>
      <c r="I4542" s="582">
        <v>4</v>
      </c>
      <c r="J4542" s="582">
        <v>70</v>
      </c>
      <c r="K4542" s="590" t="s">
        <v>262</v>
      </c>
      <c r="L4542" s="584">
        <f>M4542+N4542+O4542+P4542+Q4542</f>
        <v>3207912</v>
      </c>
      <c r="M4542" s="585">
        <f>G4542*2500</f>
        <v>3110250</v>
      </c>
      <c r="N4542" s="586">
        <v>31103</v>
      </c>
      <c r="O4542" s="565"/>
      <c r="P4542" s="564"/>
      <c r="Q4542" s="586">
        <f>ROUND(M4542*2.14%,0)</f>
        <v>66559</v>
      </c>
      <c r="R4542" s="582">
        <f>M4542/G4542</f>
        <v>2500</v>
      </c>
      <c r="S4542" s="856"/>
      <c r="T4542" s="738">
        <f t="shared" si="712"/>
        <v>0</v>
      </c>
      <c r="U4542" s="737"/>
      <c r="V4542" s="748"/>
      <c r="W4542" s="748"/>
      <c r="X4542" s="748"/>
      <c r="Y4542" s="748"/>
      <c r="Z4542" s="748"/>
    </row>
    <row r="4543" spans="1:26" s="90" customFormat="1" hidden="1">
      <c r="A4543" s="679">
        <f>A4542+1</f>
        <v>2</v>
      </c>
      <c r="B4543" s="592" t="s">
        <v>3520</v>
      </c>
      <c r="C4543" s="593" t="s">
        <v>221</v>
      </c>
      <c r="D4543" s="619">
        <v>6465.2</v>
      </c>
      <c r="E4543" s="619">
        <v>38054</v>
      </c>
      <c r="F4543" s="619" t="s">
        <v>233</v>
      </c>
      <c r="G4543" s="619">
        <v>2642.2</v>
      </c>
      <c r="H4543" s="599">
        <v>5</v>
      </c>
      <c r="I4543" s="599">
        <v>12</v>
      </c>
      <c r="J4543" s="599">
        <v>125</v>
      </c>
      <c r="K4543" s="590" t="s">
        <v>33</v>
      </c>
      <c r="L4543" s="584">
        <f>M4543+N4543+O4543+P4543+Q4543</f>
        <v>5684006</v>
      </c>
      <c r="M4543" s="741">
        <f>G4543*2100</f>
        <v>5548620</v>
      </c>
      <c r="N4543" s="742"/>
      <c r="O4543" s="736">
        <f>ROUND(M4543*0.3%,0)</f>
        <v>16646</v>
      </c>
      <c r="P4543" s="742"/>
      <c r="Q4543" s="586">
        <f>ROUND(M4543*2.14%,0)</f>
        <v>118740</v>
      </c>
      <c r="R4543" s="744">
        <f>M4543/G4543</f>
        <v>2100</v>
      </c>
      <c r="S4543" s="748"/>
      <c r="T4543" s="738">
        <f t="shared" si="712"/>
        <v>0</v>
      </c>
      <c r="U4543" s="737"/>
      <c r="V4543" s="748"/>
      <c r="W4543" s="748"/>
      <c r="X4543" s="748"/>
      <c r="Y4543" s="748"/>
      <c r="Z4543" s="748"/>
    </row>
    <row r="4544" spans="1:26" s="90" customFormat="1" hidden="1">
      <c r="A4544" s="679">
        <f>A4543+1</f>
        <v>3</v>
      </c>
      <c r="B4544" s="592" t="s">
        <v>3521</v>
      </c>
      <c r="C4544" s="594" t="s">
        <v>217</v>
      </c>
      <c r="D4544" s="619">
        <v>4028</v>
      </c>
      <c r="E4544" s="619">
        <v>21169</v>
      </c>
      <c r="F4544" s="619" t="s">
        <v>233</v>
      </c>
      <c r="G4544" s="619">
        <v>798.8</v>
      </c>
      <c r="H4544" s="599">
        <v>9</v>
      </c>
      <c r="I4544" s="599">
        <v>2</v>
      </c>
      <c r="J4544" s="599">
        <v>144</v>
      </c>
      <c r="K4544" s="590" t="s">
        <v>238</v>
      </c>
      <c r="L4544" s="584">
        <f>M4544+N4544+O4544+P4544+Q4544</f>
        <v>4442688</v>
      </c>
      <c r="M4544" s="741">
        <f>J4544*30000</f>
        <v>4320000</v>
      </c>
      <c r="N4544" s="742">
        <f>M4544*0.007</f>
        <v>30240</v>
      </c>
      <c r="O4544" s="743"/>
      <c r="P4544" s="742"/>
      <c r="Q4544" s="586">
        <f>ROUND(M4544*2.14%,0)</f>
        <v>92448</v>
      </c>
      <c r="R4544" s="744">
        <f>M4544/J4544</f>
        <v>30000</v>
      </c>
      <c r="S4544" s="748"/>
      <c r="T4544" s="738">
        <f t="shared" si="712"/>
        <v>0</v>
      </c>
      <c r="U4544" s="737"/>
      <c r="V4544" s="748"/>
      <c r="W4544" s="748"/>
      <c r="X4544" s="748"/>
      <c r="Y4544" s="748"/>
      <c r="Z4544" s="748"/>
    </row>
    <row r="4545" spans="1:26" s="91" customFormat="1" hidden="1">
      <c r="A4545" s="679">
        <f>A4544+1</f>
        <v>4</v>
      </c>
      <c r="B4545" s="592" t="s">
        <v>1079</v>
      </c>
      <c r="C4545" s="594" t="s">
        <v>221</v>
      </c>
      <c r="D4545" s="619">
        <v>4269</v>
      </c>
      <c r="E4545" s="619">
        <v>1230</v>
      </c>
      <c r="F4545" s="619" t="s">
        <v>223</v>
      </c>
      <c r="G4545" s="619">
        <v>345.8</v>
      </c>
      <c r="H4545" s="599">
        <v>5</v>
      </c>
      <c r="I4545" s="599">
        <v>1</v>
      </c>
      <c r="J4545" s="599">
        <v>18</v>
      </c>
      <c r="K4545" s="590" t="s">
        <v>252</v>
      </c>
      <c r="L4545" s="584">
        <f>M4545+N4545+O4545+P4545+Q4545</f>
        <v>1447380</v>
      </c>
      <c r="M4545" s="741">
        <v>1383200</v>
      </c>
      <c r="N4545" s="742">
        <v>34580</v>
      </c>
      <c r="O4545" s="743"/>
      <c r="P4545" s="742"/>
      <c r="Q4545" s="586">
        <v>29600</v>
      </c>
      <c r="R4545" s="744"/>
      <c r="S4545" s="748"/>
      <c r="T4545" s="738"/>
      <c r="U4545" s="737"/>
      <c r="V4545" s="748"/>
      <c r="W4545" s="748"/>
      <c r="X4545" s="748"/>
      <c r="Y4545" s="748"/>
      <c r="Z4545" s="748"/>
    </row>
    <row r="4546" spans="1:26" s="28" customFormat="1" hidden="1">
      <c r="A4546" s="1361" t="s">
        <v>41</v>
      </c>
      <c r="B4546" s="1361"/>
      <c r="C4546" s="593" t="s">
        <v>28</v>
      </c>
      <c r="D4546" s="646">
        <f>SUM(D4542:D4545)</f>
        <v>17187.400000000001</v>
      </c>
      <c r="E4546" s="646">
        <f>SUM(E4542:E4545)</f>
        <v>75752</v>
      </c>
      <c r="F4546" s="646" t="s">
        <v>28</v>
      </c>
      <c r="G4546" s="646">
        <f>SUM(G4542:G4545)</f>
        <v>5030.8999999999996</v>
      </c>
      <c r="H4546" s="582" t="s">
        <v>28</v>
      </c>
      <c r="I4546" s="582" t="s">
        <v>28</v>
      </c>
      <c r="J4546" s="582">
        <f>SUM(J4542:J4545)</f>
        <v>357</v>
      </c>
      <c r="K4546" s="590" t="s">
        <v>28</v>
      </c>
      <c r="L4546" s="584">
        <f>SUM(L4542:L4545)</f>
        <v>14781986</v>
      </c>
      <c r="M4546" s="585">
        <f>SUM(M4542:M4545)</f>
        <v>14362070</v>
      </c>
      <c r="N4546" s="586">
        <f>SUM(N4542:N4545)</f>
        <v>95923</v>
      </c>
      <c r="O4546" s="587">
        <f>SUM(O4542:O4545)</f>
        <v>16646</v>
      </c>
      <c r="P4546" s="586"/>
      <c r="Q4546" s="586">
        <f>SUM(Q4542:Q4545)</f>
        <v>307347</v>
      </c>
      <c r="R4546" s="582" t="s">
        <v>28</v>
      </c>
      <c r="S4546" s="592"/>
      <c r="T4546" s="738">
        <f t="shared" ref="T4546:T4552" si="714">L4546-M4546-N4546-O4546-Q4546</f>
        <v>0</v>
      </c>
      <c r="U4546" s="591"/>
      <c r="V4546" s="592"/>
      <c r="W4546" s="592"/>
      <c r="X4546" s="592"/>
      <c r="Y4546" s="592"/>
      <c r="Z4546" s="592"/>
    </row>
    <row r="4547" spans="1:26" s="28" customFormat="1" hidden="1">
      <c r="A4547" s="1347" t="s">
        <v>82</v>
      </c>
      <c r="B4547" s="1347"/>
      <c r="C4547" s="1347"/>
      <c r="D4547" s="1347"/>
      <c r="E4547" s="1347"/>
      <c r="F4547" s="1347"/>
      <c r="G4547" s="1347"/>
      <c r="H4547" s="1347"/>
      <c r="I4547" s="1347"/>
      <c r="J4547" s="1347"/>
      <c r="K4547" s="1347"/>
      <c r="L4547" s="1347"/>
      <c r="M4547" s="1347"/>
      <c r="N4547" s="1347"/>
      <c r="O4547" s="1347"/>
      <c r="P4547" s="1347"/>
      <c r="Q4547" s="1347"/>
      <c r="R4547" s="590"/>
      <c r="S4547" s="592"/>
      <c r="T4547" s="738">
        <f t="shared" si="714"/>
        <v>0</v>
      </c>
      <c r="U4547" s="591"/>
      <c r="V4547" s="592"/>
      <c r="W4547" s="592"/>
      <c r="X4547" s="592"/>
      <c r="Y4547" s="592"/>
      <c r="Z4547" s="592"/>
    </row>
    <row r="4548" spans="1:26" s="531" customFormat="1" ht="37.5" hidden="1">
      <c r="A4548" s="735">
        <v>1</v>
      </c>
      <c r="B4548" s="865" t="s">
        <v>3522</v>
      </c>
      <c r="C4548" s="643" t="s">
        <v>217</v>
      </c>
      <c r="D4548" s="868">
        <v>1429.7</v>
      </c>
      <c r="E4548" s="854">
        <v>493</v>
      </c>
      <c r="F4548" s="789" t="s">
        <v>230</v>
      </c>
      <c r="G4548" s="854">
        <v>720</v>
      </c>
      <c r="H4548" s="643">
        <v>2</v>
      </c>
      <c r="I4548" s="643">
        <v>2</v>
      </c>
      <c r="J4548" s="744">
        <v>16</v>
      </c>
      <c r="K4548" s="855" t="s">
        <v>226</v>
      </c>
      <c r="L4548" s="584">
        <f t="shared" ref="L4548:L4568" si="715">M4548+N4548+O4548+P4548+Q4548</f>
        <v>1941592</v>
      </c>
      <c r="M4548" s="741">
        <f>E4548*3800</f>
        <v>1873400</v>
      </c>
      <c r="N4548" s="586">
        <f>M4548*0.015</f>
        <v>28101</v>
      </c>
      <c r="O4548" s="587"/>
      <c r="P4548" s="586"/>
      <c r="Q4548" s="586">
        <f>ROUND(M4548*2.14%,0)</f>
        <v>40091</v>
      </c>
      <c r="R4548" s="599">
        <f>M4548/E4548</f>
        <v>3800</v>
      </c>
      <c r="S4548" s="791"/>
      <c r="T4548" s="738">
        <f t="shared" si="714"/>
        <v>0</v>
      </c>
      <c r="U4548" s="791"/>
      <c r="V4548" s="791"/>
      <c r="W4548" s="791"/>
      <c r="X4548" s="791"/>
      <c r="Y4548" s="791"/>
      <c r="Z4548" s="791"/>
    </row>
    <row r="4549" spans="1:26" s="531" customFormat="1" ht="37.5" hidden="1">
      <c r="A4549" s="735">
        <f>A4548+1</f>
        <v>2</v>
      </c>
      <c r="B4549" s="865" t="s">
        <v>3523</v>
      </c>
      <c r="C4549" s="643" t="s">
        <v>217</v>
      </c>
      <c r="D4549" s="868">
        <v>1418.1</v>
      </c>
      <c r="E4549" s="854">
        <v>489</v>
      </c>
      <c r="F4549" s="789" t="s">
        <v>230</v>
      </c>
      <c r="G4549" s="854">
        <v>720</v>
      </c>
      <c r="H4549" s="643">
        <v>2</v>
      </c>
      <c r="I4549" s="643">
        <v>2</v>
      </c>
      <c r="J4549" s="744">
        <v>16</v>
      </c>
      <c r="K4549" s="855" t="s">
        <v>226</v>
      </c>
      <c r="L4549" s="584">
        <f t="shared" si="715"/>
        <v>1925838</v>
      </c>
      <c r="M4549" s="741">
        <f>E4549*3800</f>
        <v>1858200</v>
      </c>
      <c r="N4549" s="586">
        <f>M4549*0.015</f>
        <v>27873</v>
      </c>
      <c r="O4549" s="587"/>
      <c r="P4549" s="586"/>
      <c r="Q4549" s="586">
        <f>ROUND(M4549*2.14%,0)</f>
        <v>39765</v>
      </c>
      <c r="R4549" s="599">
        <f>M4549/E4549</f>
        <v>3800</v>
      </c>
      <c r="S4549" s="793"/>
      <c r="T4549" s="738">
        <f t="shared" si="714"/>
        <v>0</v>
      </c>
      <c r="U4549" s="791"/>
      <c r="V4549" s="791"/>
      <c r="W4549" s="791"/>
      <c r="X4549" s="791"/>
      <c r="Y4549" s="791"/>
      <c r="Z4549" s="791"/>
    </row>
    <row r="4550" spans="1:26" s="531" customFormat="1" ht="37.5" hidden="1">
      <c r="A4550" s="735">
        <f t="shared" ref="A4550:A4568" si="716">A4549+1</f>
        <v>3</v>
      </c>
      <c r="B4550" s="865" t="s">
        <v>3524</v>
      </c>
      <c r="C4550" s="814" t="s">
        <v>221</v>
      </c>
      <c r="D4550" s="854">
        <f>E4550*2.8</f>
        <v>2177.2799999999997</v>
      </c>
      <c r="E4550" s="854">
        <f>((20*I4550+12)*2)*H4550*2.7</f>
        <v>777.6</v>
      </c>
      <c r="F4550" s="789" t="s">
        <v>222</v>
      </c>
      <c r="G4550" s="854">
        <f>(20*I4550)*12*1.3</f>
        <v>936</v>
      </c>
      <c r="H4550" s="744">
        <v>2</v>
      </c>
      <c r="I4550" s="744">
        <v>3</v>
      </c>
      <c r="J4550" s="744">
        <v>12</v>
      </c>
      <c r="K4550" s="792" t="s">
        <v>33</v>
      </c>
      <c r="L4550" s="584">
        <f t="shared" si="715"/>
        <v>2703093</v>
      </c>
      <c r="M4550" s="866">
        <f>G4550*2800</f>
        <v>2620800</v>
      </c>
      <c r="N4550" s="742">
        <f>M4550*0.01</f>
        <v>26208</v>
      </c>
      <c r="O4550" s="743"/>
      <c r="P4550" s="742"/>
      <c r="Q4550" s="586">
        <f>ROUND(M4550*2.14%,0)</f>
        <v>56085</v>
      </c>
      <c r="R4550" s="744">
        <f>M4550/G4550</f>
        <v>2800</v>
      </c>
      <c r="S4550" s="793"/>
      <c r="T4550" s="738">
        <f t="shared" si="714"/>
        <v>0</v>
      </c>
      <c r="U4550" s="791"/>
      <c r="V4550" s="791"/>
      <c r="W4550" s="791"/>
      <c r="X4550" s="791"/>
      <c r="Y4550" s="791"/>
      <c r="Z4550" s="791"/>
    </row>
    <row r="4551" spans="1:26" s="531" customFormat="1" ht="37.5" hidden="1">
      <c r="A4551" s="735">
        <f t="shared" si="716"/>
        <v>4</v>
      </c>
      <c r="B4551" s="592" t="s">
        <v>3525</v>
      </c>
      <c r="C4551" s="744" t="s">
        <v>221</v>
      </c>
      <c r="D4551" s="646">
        <v>3985</v>
      </c>
      <c r="E4551" s="646">
        <v>809</v>
      </c>
      <c r="F4551" s="789" t="s">
        <v>222</v>
      </c>
      <c r="G4551" s="646">
        <v>730</v>
      </c>
      <c r="H4551" s="582">
        <v>3</v>
      </c>
      <c r="I4551" s="582">
        <v>3</v>
      </c>
      <c r="J4551" s="582">
        <v>22</v>
      </c>
      <c r="K4551" s="590" t="s">
        <v>237</v>
      </c>
      <c r="L4551" s="584">
        <f t="shared" si="715"/>
        <v>563420</v>
      </c>
      <c r="M4551" s="585">
        <f>J4551*25000</f>
        <v>550000</v>
      </c>
      <c r="N4551" s="586"/>
      <c r="O4551" s="736">
        <f>ROUND(M4551*0.3%,0)</f>
        <v>1650</v>
      </c>
      <c r="P4551" s="586"/>
      <c r="Q4551" s="586">
        <f>ROUND(M4551*2.14%,0)</f>
        <v>11770</v>
      </c>
      <c r="R4551" s="582">
        <f>M4551/J4551</f>
        <v>25000</v>
      </c>
      <c r="S4551" s="791"/>
      <c r="T4551" s="738">
        <f t="shared" si="714"/>
        <v>0</v>
      </c>
      <c r="U4551" s="791"/>
      <c r="V4551" s="791"/>
      <c r="W4551" s="791"/>
      <c r="X4551" s="791"/>
      <c r="Y4551" s="791"/>
      <c r="Z4551" s="791"/>
    </row>
    <row r="4552" spans="1:26" s="531" customFormat="1" ht="37.5" hidden="1">
      <c r="A4552" s="735">
        <f t="shared" si="716"/>
        <v>5</v>
      </c>
      <c r="B4552" s="785" t="s">
        <v>3526</v>
      </c>
      <c r="C4552" s="744" t="s">
        <v>221</v>
      </c>
      <c r="D4552" s="619">
        <v>2106</v>
      </c>
      <c r="E4552" s="854">
        <v>466</v>
      </c>
      <c r="F4552" s="854" t="s">
        <v>222</v>
      </c>
      <c r="G4552" s="854">
        <v>465</v>
      </c>
      <c r="H4552" s="643">
        <v>2</v>
      </c>
      <c r="I4552" s="643">
        <v>2</v>
      </c>
      <c r="J4552" s="643">
        <v>12</v>
      </c>
      <c r="K4552" s="855" t="s">
        <v>33</v>
      </c>
      <c r="L4552" s="584">
        <f t="shared" si="715"/>
        <v>1362413</v>
      </c>
      <c r="M4552" s="866">
        <f>G4552*2800</f>
        <v>1302000</v>
      </c>
      <c r="N4552" s="586">
        <f>M4552*0.025</f>
        <v>32550</v>
      </c>
      <c r="O4552" s="587"/>
      <c r="P4552" s="586"/>
      <c r="Q4552" s="586">
        <f>ROUND(M4552*2.14%,0)</f>
        <v>27863</v>
      </c>
      <c r="R4552" s="744">
        <f>M4552/G4552</f>
        <v>2800</v>
      </c>
      <c r="S4552" s="793"/>
      <c r="T4552" s="738">
        <f t="shared" si="714"/>
        <v>0</v>
      </c>
      <c r="U4552" s="791"/>
      <c r="V4552" s="791"/>
      <c r="W4552" s="791"/>
      <c r="X4552" s="791"/>
      <c r="Y4552" s="791"/>
      <c r="Z4552" s="791"/>
    </row>
    <row r="4553" spans="1:26" s="531" customFormat="1" ht="37.5" hidden="1">
      <c r="A4553" s="735">
        <f t="shared" si="716"/>
        <v>6</v>
      </c>
      <c r="B4553" s="785" t="s">
        <v>1103</v>
      </c>
      <c r="C4553" s="744" t="s">
        <v>221</v>
      </c>
      <c r="D4553" s="619">
        <v>7383</v>
      </c>
      <c r="E4553" s="854">
        <v>3700</v>
      </c>
      <c r="F4553" s="854" t="s">
        <v>222</v>
      </c>
      <c r="G4553" s="854">
        <v>960</v>
      </c>
      <c r="H4553" s="643">
        <v>3</v>
      </c>
      <c r="I4553" s="643">
        <v>1</v>
      </c>
      <c r="J4553" s="643">
        <v>45</v>
      </c>
      <c r="K4553" s="855" t="s">
        <v>33</v>
      </c>
      <c r="L4553" s="584">
        <f t="shared" si="715"/>
        <v>2772403</v>
      </c>
      <c r="M4553" s="866">
        <v>2688000</v>
      </c>
      <c r="N4553" s="586">
        <v>26880</v>
      </c>
      <c r="O4553" s="587"/>
      <c r="P4553" s="586"/>
      <c r="Q4553" s="586">
        <v>57523</v>
      </c>
      <c r="R4553" s="599">
        <f>M4553/G4553</f>
        <v>2800</v>
      </c>
      <c r="S4553" s="793"/>
      <c r="T4553" s="738"/>
      <c r="U4553" s="791"/>
      <c r="V4553" s="791"/>
      <c r="W4553" s="791"/>
      <c r="X4553" s="791"/>
      <c r="Y4553" s="791"/>
      <c r="Z4553" s="791"/>
    </row>
    <row r="4554" spans="1:26" s="99" customFormat="1" hidden="1">
      <c r="A4554" s="735">
        <f t="shared" si="716"/>
        <v>7</v>
      </c>
      <c r="B4554" s="785" t="s">
        <v>2997</v>
      </c>
      <c r="C4554" s="744" t="s">
        <v>221</v>
      </c>
      <c r="D4554" s="868">
        <f>E4554*2.9</f>
        <v>1972</v>
      </c>
      <c r="E4554" s="854">
        <v>680</v>
      </c>
      <c r="F4554" s="854" t="s">
        <v>222</v>
      </c>
      <c r="G4554" s="854">
        <v>720</v>
      </c>
      <c r="H4554" s="643">
        <v>2</v>
      </c>
      <c r="I4554" s="643">
        <v>2</v>
      </c>
      <c r="J4554" s="643">
        <v>12</v>
      </c>
      <c r="K4554" s="1286" t="s">
        <v>33</v>
      </c>
      <c r="L4554" s="584">
        <f t="shared" si="715"/>
        <v>2014762</v>
      </c>
      <c r="M4554" s="741">
        <v>1944000</v>
      </c>
      <c r="N4554" s="586">
        <v>29160</v>
      </c>
      <c r="O4554" s="587"/>
      <c r="P4554" s="586"/>
      <c r="Q4554" s="586">
        <v>41602</v>
      </c>
      <c r="R4554" s="744">
        <f>M4554/G4554</f>
        <v>2700</v>
      </c>
      <c r="S4554" s="791"/>
      <c r="T4554" s="791"/>
      <c r="U4554" s="1059"/>
      <c r="V4554" s="791"/>
      <c r="W4554" s="791"/>
      <c r="X4554" s="791"/>
      <c r="Y4554" s="791"/>
      <c r="Z4554" s="791"/>
    </row>
    <row r="4555" spans="1:26" s="99" customFormat="1" hidden="1">
      <c r="A4555" s="735">
        <f t="shared" si="716"/>
        <v>8</v>
      </c>
      <c r="B4555" s="592" t="s">
        <v>2998</v>
      </c>
      <c r="C4555" s="593" t="s">
        <v>271</v>
      </c>
      <c r="D4555" s="646">
        <v>2911</v>
      </c>
      <c r="E4555" s="646">
        <v>3025.8</v>
      </c>
      <c r="F4555" s="789" t="s">
        <v>222</v>
      </c>
      <c r="G4555" s="646">
        <v>652.54999999999995</v>
      </c>
      <c r="H4555" s="582">
        <v>2</v>
      </c>
      <c r="I4555" s="582">
        <v>2</v>
      </c>
      <c r="J4555" s="582">
        <v>16</v>
      </c>
      <c r="K4555" s="590" t="s">
        <v>238</v>
      </c>
      <c r="L4555" s="584">
        <f t="shared" si="715"/>
        <v>514272</v>
      </c>
      <c r="M4555" s="741">
        <v>480000</v>
      </c>
      <c r="N4555" s="742">
        <v>24000</v>
      </c>
      <c r="O4555" s="743"/>
      <c r="P4555" s="742"/>
      <c r="Q4555" s="586">
        <v>10272</v>
      </c>
      <c r="R4555" s="744">
        <f>M4555/J4555</f>
        <v>30000</v>
      </c>
      <c r="S4555" s="791"/>
      <c r="T4555" s="791"/>
      <c r="U4555" s="1059"/>
      <c r="V4555" s="791"/>
      <c r="W4555" s="791"/>
      <c r="X4555" s="791"/>
      <c r="Y4555" s="791"/>
      <c r="Z4555" s="791"/>
    </row>
    <row r="4556" spans="1:26" s="99" customFormat="1" hidden="1">
      <c r="A4556" s="735">
        <f t="shared" si="716"/>
        <v>9</v>
      </c>
      <c r="B4556" s="592" t="s">
        <v>2999</v>
      </c>
      <c r="C4556" s="593" t="s">
        <v>217</v>
      </c>
      <c r="D4556" s="868">
        <v>1015</v>
      </c>
      <c r="E4556" s="646">
        <v>350</v>
      </c>
      <c r="F4556" s="854" t="s">
        <v>223</v>
      </c>
      <c r="G4556" s="646">
        <v>520</v>
      </c>
      <c r="H4556" s="582">
        <v>2</v>
      </c>
      <c r="I4556" s="582">
        <v>2</v>
      </c>
      <c r="J4556" s="582">
        <v>16</v>
      </c>
      <c r="K4556" s="590" t="s">
        <v>33</v>
      </c>
      <c r="L4556" s="584">
        <f t="shared" si="715"/>
        <v>1118645</v>
      </c>
      <c r="M4556" s="866">
        <v>1092000</v>
      </c>
      <c r="N4556" s="597"/>
      <c r="O4556" s="736">
        <v>3276</v>
      </c>
      <c r="P4556" s="597"/>
      <c r="Q4556" s="586">
        <v>23369</v>
      </c>
      <c r="R4556" s="1287">
        <f t="shared" ref="R4556:R4563" si="717">M4556/G4556</f>
        <v>2100</v>
      </c>
      <c r="S4556" s="793"/>
      <c r="T4556" s="793"/>
      <c r="U4556" s="1059"/>
      <c r="V4556" s="791"/>
      <c r="W4556" s="791"/>
      <c r="X4556" s="791"/>
      <c r="Y4556" s="791"/>
      <c r="Z4556" s="791"/>
    </row>
    <row r="4557" spans="1:26" s="99" customFormat="1" hidden="1">
      <c r="A4557" s="735">
        <f t="shared" si="716"/>
        <v>10</v>
      </c>
      <c r="B4557" s="592" t="s">
        <v>3000</v>
      </c>
      <c r="C4557" s="593" t="s">
        <v>221</v>
      </c>
      <c r="D4557" s="868">
        <v>1508</v>
      </c>
      <c r="E4557" s="646">
        <v>520</v>
      </c>
      <c r="F4557" s="646" t="s">
        <v>223</v>
      </c>
      <c r="G4557" s="646">
        <v>540</v>
      </c>
      <c r="H4557" s="582">
        <v>2</v>
      </c>
      <c r="I4557" s="582">
        <v>2</v>
      </c>
      <c r="J4557" s="582">
        <v>16</v>
      </c>
      <c r="K4557" s="590" t="s">
        <v>33</v>
      </c>
      <c r="L4557" s="584">
        <f t="shared" si="715"/>
        <v>1161670</v>
      </c>
      <c r="M4557" s="866">
        <v>1134000</v>
      </c>
      <c r="N4557" s="597"/>
      <c r="O4557" s="736">
        <v>3402</v>
      </c>
      <c r="P4557" s="597"/>
      <c r="Q4557" s="586">
        <v>24268</v>
      </c>
      <c r="R4557" s="1287">
        <f t="shared" si="717"/>
        <v>2100</v>
      </c>
      <c r="S4557" s="793"/>
      <c r="T4557" s="793"/>
      <c r="U4557" s="1059"/>
      <c r="V4557" s="791"/>
      <c r="W4557" s="791"/>
      <c r="X4557" s="791"/>
      <c r="Y4557" s="791"/>
      <c r="Z4557" s="791"/>
    </row>
    <row r="4558" spans="1:26" s="99" customFormat="1" hidden="1">
      <c r="A4558" s="735">
        <f t="shared" si="716"/>
        <v>11</v>
      </c>
      <c r="B4558" s="785" t="s">
        <v>3001</v>
      </c>
      <c r="C4558" s="643" t="s">
        <v>217</v>
      </c>
      <c r="D4558" s="868">
        <f>E4558*2.9</f>
        <v>1676.2</v>
      </c>
      <c r="E4558" s="854">
        <v>578</v>
      </c>
      <c r="F4558" s="854" t="s">
        <v>222</v>
      </c>
      <c r="G4558" s="854">
        <v>634</v>
      </c>
      <c r="H4558" s="643">
        <v>2</v>
      </c>
      <c r="I4558" s="643">
        <v>2</v>
      </c>
      <c r="J4558" s="643">
        <v>16</v>
      </c>
      <c r="K4558" s="855" t="s">
        <v>33</v>
      </c>
      <c r="L4558" s="584">
        <f t="shared" si="715"/>
        <v>1642694</v>
      </c>
      <c r="M4558" s="741">
        <v>1585000</v>
      </c>
      <c r="N4558" s="586">
        <v>23775</v>
      </c>
      <c r="O4558" s="587"/>
      <c r="P4558" s="586"/>
      <c r="Q4558" s="586">
        <v>33919</v>
      </c>
      <c r="R4558" s="744">
        <f t="shared" si="717"/>
        <v>2500</v>
      </c>
      <c r="S4558" s="793"/>
      <c r="T4558" s="793"/>
      <c r="U4558" s="1059"/>
      <c r="V4558" s="791"/>
      <c r="W4558" s="791"/>
      <c r="X4558" s="791"/>
      <c r="Y4558" s="791"/>
      <c r="Z4558" s="791"/>
    </row>
    <row r="4559" spans="1:26" s="99" customFormat="1" ht="37.5" hidden="1">
      <c r="A4559" s="735">
        <f t="shared" si="716"/>
        <v>12</v>
      </c>
      <c r="B4559" s="592" t="s">
        <v>3002</v>
      </c>
      <c r="C4559" s="593" t="s">
        <v>271</v>
      </c>
      <c r="D4559" s="646">
        <v>397.1</v>
      </c>
      <c r="E4559" s="646">
        <v>420</v>
      </c>
      <c r="F4559" s="789" t="s">
        <v>222</v>
      </c>
      <c r="G4559" s="646">
        <v>415</v>
      </c>
      <c r="H4559" s="582">
        <v>2</v>
      </c>
      <c r="I4559" s="582">
        <v>1</v>
      </c>
      <c r="J4559" s="582">
        <v>10</v>
      </c>
      <c r="K4559" s="590" t="s">
        <v>33</v>
      </c>
      <c r="L4559" s="584">
        <f t="shared" si="715"/>
        <v>1178094</v>
      </c>
      <c r="M4559" s="741">
        <v>1120500</v>
      </c>
      <c r="N4559" s="742">
        <v>33615</v>
      </c>
      <c r="O4559" s="743"/>
      <c r="P4559" s="742"/>
      <c r="Q4559" s="586">
        <v>23979</v>
      </c>
      <c r="R4559" s="744">
        <f t="shared" si="717"/>
        <v>2700</v>
      </c>
      <c r="S4559" s="793"/>
      <c r="T4559" s="793"/>
      <c r="U4559" s="1059"/>
      <c r="V4559" s="791"/>
      <c r="W4559" s="791"/>
      <c r="X4559" s="791"/>
      <c r="Y4559" s="791"/>
      <c r="Z4559" s="791"/>
    </row>
    <row r="4560" spans="1:26" s="100" customFormat="1" ht="37.5" hidden="1">
      <c r="A4560" s="735">
        <f t="shared" si="716"/>
        <v>13</v>
      </c>
      <c r="B4560" s="875" t="s">
        <v>3003</v>
      </c>
      <c r="C4560" s="814" t="s">
        <v>217</v>
      </c>
      <c r="D4560" s="816">
        <v>3213</v>
      </c>
      <c r="E4560" s="816">
        <v>636</v>
      </c>
      <c r="F4560" s="854" t="s">
        <v>222</v>
      </c>
      <c r="G4560" s="815">
        <v>536.17999999999995</v>
      </c>
      <c r="H4560" s="819">
        <v>2</v>
      </c>
      <c r="I4560" s="819">
        <v>2</v>
      </c>
      <c r="J4560" s="643">
        <v>16</v>
      </c>
      <c r="K4560" s="1286" t="s">
        <v>33</v>
      </c>
      <c r="L4560" s="584">
        <f t="shared" si="715"/>
        <v>1451781.9999999998</v>
      </c>
      <c r="M4560" s="741">
        <v>1394067.9999999998</v>
      </c>
      <c r="N4560" s="586">
        <v>27881</v>
      </c>
      <c r="O4560" s="587"/>
      <c r="P4560" s="586"/>
      <c r="Q4560" s="586">
        <v>29833</v>
      </c>
      <c r="R4560" s="744">
        <f t="shared" si="717"/>
        <v>2600</v>
      </c>
      <c r="S4560" s="793"/>
      <c r="T4560" s="793"/>
      <c r="U4560" s="1059"/>
      <c r="V4560" s="871"/>
      <c r="W4560" s="871"/>
      <c r="X4560" s="871"/>
      <c r="Y4560" s="871"/>
      <c r="Z4560" s="871"/>
    </row>
    <row r="4561" spans="1:26" s="100" customFormat="1" hidden="1">
      <c r="A4561" s="735">
        <f t="shared" si="716"/>
        <v>14</v>
      </c>
      <c r="B4561" s="785" t="s">
        <v>3004</v>
      </c>
      <c r="C4561" s="744" t="s">
        <v>221</v>
      </c>
      <c r="D4561" s="868">
        <f>E4561*2.9</f>
        <v>2128.6</v>
      </c>
      <c r="E4561" s="868">
        <v>734</v>
      </c>
      <c r="F4561" s="854" t="s">
        <v>222</v>
      </c>
      <c r="G4561" s="868">
        <v>690</v>
      </c>
      <c r="H4561" s="869">
        <v>2</v>
      </c>
      <c r="I4561" s="869">
        <v>2</v>
      </c>
      <c r="J4561" s="869">
        <v>16</v>
      </c>
      <c r="K4561" s="855" t="s">
        <v>33</v>
      </c>
      <c r="L4561" s="584">
        <f t="shared" si="715"/>
        <v>1859302</v>
      </c>
      <c r="M4561" s="741">
        <v>1794000</v>
      </c>
      <c r="N4561" s="586">
        <v>26910</v>
      </c>
      <c r="O4561" s="587"/>
      <c r="P4561" s="586"/>
      <c r="Q4561" s="586">
        <v>38392</v>
      </c>
      <c r="R4561" s="744">
        <f t="shared" si="717"/>
        <v>2600</v>
      </c>
      <c r="S4561" s="793"/>
      <c r="T4561" s="793"/>
      <c r="U4561" s="1059"/>
      <c r="V4561" s="871"/>
      <c r="W4561" s="871"/>
      <c r="X4561" s="871"/>
      <c r="Y4561" s="871"/>
      <c r="Z4561" s="871"/>
    </row>
    <row r="4562" spans="1:26" s="100" customFormat="1" ht="37.5" hidden="1">
      <c r="A4562" s="735">
        <f t="shared" si="716"/>
        <v>15</v>
      </c>
      <c r="B4562" s="785" t="s">
        <v>3005</v>
      </c>
      <c r="C4562" s="744" t="s">
        <v>221</v>
      </c>
      <c r="D4562" s="789">
        <v>2202</v>
      </c>
      <c r="E4562" s="789">
        <v>734</v>
      </c>
      <c r="F4562" s="854" t="s">
        <v>222</v>
      </c>
      <c r="G4562" s="789">
        <v>670</v>
      </c>
      <c r="H4562" s="744">
        <v>2</v>
      </c>
      <c r="I4562" s="744">
        <v>2</v>
      </c>
      <c r="J4562" s="744">
        <v>16</v>
      </c>
      <c r="K4562" s="855" t="s">
        <v>33</v>
      </c>
      <c r="L4562" s="584">
        <f t="shared" si="715"/>
        <v>1826241</v>
      </c>
      <c r="M4562" s="741">
        <v>1762100</v>
      </c>
      <c r="N4562" s="586">
        <v>26432</v>
      </c>
      <c r="O4562" s="743"/>
      <c r="P4562" s="742"/>
      <c r="Q4562" s="586">
        <v>37709</v>
      </c>
      <c r="R4562" s="744">
        <f t="shared" si="717"/>
        <v>2630</v>
      </c>
      <c r="S4562" s="793"/>
      <c r="T4562" s="793"/>
      <c r="U4562" s="1059"/>
      <c r="V4562" s="871"/>
      <c r="W4562" s="871"/>
      <c r="X4562" s="871"/>
      <c r="Y4562" s="871"/>
      <c r="Z4562" s="871"/>
    </row>
    <row r="4563" spans="1:26" s="89" customFormat="1" hidden="1">
      <c r="A4563" s="735">
        <f t="shared" si="716"/>
        <v>16</v>
      </c>
      <c r="B4563" s="785" t="s">
        <v>3006</v>
      </c>
      <c r="C4563" s="643" t="s">
        <v>217</v>
      </c>
      <c r="D4563" s="868">
        <f>E4563*2.9</f>
        <v>2128.6</v>
      </c>
      <c r="E4563" s="854">
        <v>734</v>
      </c>
      <c r="F4563" s="854" t="s">
        <v>222</v>
      </c>
      <c r="G4563" s="854">
        <v>690</v>
      </c>
      <c r="H4563" s="643">
        <v>2</v>
      </c>
      <c r="I4563" s="643">
        <v>2</v>
      </c>
      <c r="J4563" s="643">
        <v>16</v>
      </c>
      <c r="K4563" s="855" t="s">
        <v>33</v>
      </c>
      <c r="L4563" s="584">
        <f t="shared" si="715"/>
        <v>2002325</v>
      </c>
      <c r="M4563" s="741">
        <v>1932000</v>
      </c>
      <c r="N4563" s="586">
        <v>28980</v>
      </c>
      <c r="O4563" s="587"/>
      <c r="P4563" s="586"/>
      <c r="Q4563" s="586">
        <v>41345</v>
      </c>
      <c r="R4563" s="744">
        <f t="shared" si="717"/>
        <v>2800</v>
      </c>
      <c r="S4563" s="592"/>
      <c r="T4563" s="738"/>
      <c r="U4563" s="1059"/>
      <c r="V4563" s="592"/>
      <c r="W4563" s="592"/>
      <c r="X4563" s="592"/>
      <c r="Y4563" s="592"/>
      <c r="Z4563" s="592"/>
    </row>
    <row r="4564" spans="1:26" s="99" customFormat="1" hidden="1">
      <c r="A4564" s="735">
        <f t="shared" si="716"/>
        <v>17</v>
      </c>
      <c r="B4564" s="785" t="s">
        <v>3007</v>
      </c>
      <c r="C4564" s="744" t="s">
        <v>221</v>
      </c>
      <c r="D4564" s="619">
        <v>700</v>
      </c>
      <c r="E4564" s="854">
        <v>664</v>
      </c>
      <c r="F4564" s="854" t="s">
        <v>222</v>
      </c>
      <c r="G4564" s="854">
        <v>725</v>
      </c>
      <c r="H4564" s="643">
        <v>2</v>
      </c>
      <c r="I4564" s="643">
        <v>2</v>
      </c>
      <c r="J4564" s="643">
        <v>12</v>
      </c>
      <c r="K4564" s="855" t="s">
        <v>226</v>
      </c>
      <c r="L4564" s="584">
        <f t="shared" si="715"/>
        <v>2602428</v>
      </c>
      <c r="M4564" s="741">
        <v>2523200</v>
      </c>
      <c r="N4564" s="742">
        <v>25232</v>
      </c>
      <c r="O4564" s="743"/>
      <c r="P4564" s="742"/>
      <c r="Q4564" s="586">
        <v>53996</v>
      </c>
      <c r="R4564" s="599">
        <f>M4564/E4564</f>
        <v>3800</v>
      </c>
      <c r="S4564" s="791"/>
      <c r="T4564" s="738"/>
      <c r="U4564" s="1059"/>
      <c r="V4564" s="791"/>
      <c r="W4564" s="791"/>
      <c r="X4564" s="791"/>
      <c r="Y4564" s="791"/>
      <c r="Z4564" s="791"/>
    </row>
    <row r="4565" spans="1:26" s="94" customFormat="1" ht="37.5" hidden="1">
      <c r="A4565" s="735">
        <f t="shared" si="716"/>
        <v>18</v>
      </c>
      <c r="B4565" s="785" t="s">
        <v>3008</v>
      </c>
      <c r="C4565" s="744" t="s">
        <v>221</v>
      </c>
      <c r="D4565" s="854">
        <v>2961</v>
      </c>
      <c r="E4565" s="854">
        <v>612.5</v>
      </c>
      <c r="F4565" s="854" t="s">
        <v>222</v>
      </c>
      <c r="G4565" s="854">
        <v>645</v>
      </c>
      <c r="H4565" s="643">
        <v>2</v>
      </c>
      <c r="I4565" s="643">
        <v>2</v>
      </c>
      <c r="J4565" s="643">
        <v>16</v>
      </c>
      <c r="K4565" s="855" t="s">
        <v>30</v>
      </c>
      <c r="L4565" s="584">
        <f t="shared" si="715"/>
        <v>409760</v>
      </c>
      <c r="M4565" s="585">
        <v>400000</v>
      </c>
      <c r="N4565" s="586"/>
      <c r="O4565" s="736">
        <v>1200</v>
      </c>
      <c r="P4565" s="586"/>
      <c r="Q4565" s="586">
        <v>8560</v>
      </c>
      <c r="R4565" s="744">
        <f>M4565/J4565</f>
        <v>25000</v>
      </c>
      <c r="S4565" s="591"/>
      <c r="T4565" s="738"/>
      <c r="U4565" s="1059"/>
      <c r="V4565" s="591"/>
      <c r="W4565" s="591"/>
      <c r="X4565" s="591"/>
      <c r="Y4565" s="591"/>
      <c r="Z4565" s="591"/>
    </row>
    <row r="4566" spans="1:26" s="89" customFormat="1" hidden="1">
      <c r="A4566" s="735">
        <f t="shared" si="716"/>
        <v>19</v>
      </c>
      <c r="B4566" s="785" t="s">
        <v>3009</v>
      </c>
      <c r="C4566" s="744" t="s">
        <v>221</v>
      </c>
      <c r="D4566" s="854">
        <v>3151</v>
      </c>
      <c r="E4566" s="854">
        <v>609.1</v>
      </c>
      <c r="F4566" s="854" t="s">
        <v>222</v>
      </c>
      <c r="G4566" s="854">
        <v>642</v>
      </c>
      <c r="H4566" s="643">
        <v>2</v>
      </c>
      <c r="I4566" s="643">
        <v>2</v>
      </c>
      <c r="J4566" s="643">
        <v>16</v>
      </c>
      <c r="K4566" s="855" t="s">
        <v>238</v>
      </c>
      <c r="L4566" s="584">
        <f t="shared" si="715"/>
        <v>514272</v>
      </c>
      <c r="M4566" s="585">
        <v>480000</v>
      </c>
      <c r="N4566" s="586">
        <v>24000</v>
      </c>
      <c r="O4566" s="587"/>
      <c r="P4566" s="586"/>
      <c r="Q4566" s="586">
        <v>10272</v>
      </c>
      <c r="R4566" s="744">
        <f>M4566/J4566</f>
        <v>30000</v>
      </c>
      <c r="S4566" s="592"/>
      <c r="T4566" s="738"/>
      <c r="U4566" s="1059"/>
      <c r="V4566" s="592"/>
      <c r="W4566" s="592"/>
      <c r="X4566" s="592"/>
      <c r="Y4566" s="592"/>
      <c r="Z4566" s="592"/>
    </row>
    <row r="4567" spans="1:26" s="89" customFormat="1" hidden="1">
      <c r="A4567" s="735">
        <f t="shared" si="716"/>
        <v>20</v>
      </c>
      <c r="B4567" s="785" t="s">
        <v>3010</v>
      </c>
      <c r="C4567" s="744" t="s">
        <v>221</v>
      </c>
      <c r="D4567" s="646">
        <v>1314</v>
      </c>
      <c r="E4567" s="646">
        <v>438</v>
      </c>
      <c r="F4567" s="854" t="s">
        <v>222</v>
      </c>
      <c r="G4567" s="854">
        <v>637</v>
      </c>
      <c r="H4567" s="643">
        <v>2</v>
      </c>
      <c r="I4567" s="643">
        <v>1</v>
      </c>
      <c r="J4567" s="643">
        <v>8</v>
      </c>
      <c r="K4567" s="855" t="s">
        <v>33</v>
      </c>
      <c r="L4567" s="584">
        <f t="shared" si="715"/>
        <v>1848523</v>
      </c>
      <c r="M4567" s="741">
        <v>1783600</v>
      </c>
      <c r="N4567" s="586">
        <v>26754</v>
      </c>
      <c r="O4567" s="587"/>
      <c r="P4567" s="586"/>
      <c r="Q4567" s="586">
        <v>38169</v>
      </c>
      <c r="R4567" s="744">
        <f>M4567/G4567</f>
        <v>2800</v>
      </c>
      <c r="S4567" s="592"/>
      <c r="T4567" s="738"/>
      <c r="U4567" s="1059"/>
      <c r="V4567" s="592"/>
      <c r="W4567" s="592"/>
      <c r="X4567" s="592"/>
      <c r="Y4567" s="592"/>
      <c r="Z4567" s="592"/>
    </row>
    <row r="4568" spans="1:26" s="89" customFormat="1" ht="37.5" hidden="1">
      <c r="A4568" s="735">
        <f t="shared" si="716"/>
        <v>21</v>
      </c>
      <c r="B4568" s="785" t="s">
        <v>4096</v>
      </c>
      <c r="C4568" s="744" t="s">
        <v>217</v>
      </c>
      <c r="D4568" s="646">
        <v>5355</v>
      </c>
      <c r="E4568" s="646">
        <v>918</v>
      </c>
      <c r="F4568" s="854" t="s">
        <v>223</v>
      </c>
      <c r="G4568" s="854">
        <v>630</v>
      </c>
      <c r="H4568" s="643">
        <v>3</v>
      </c>
      <c r="I4568" s="643">
        <v>1</v>
      </c>
      <c r="J4568" s="643">
        <v>21</v>
      </c>
      <c r="K4568" s="855" t="s">
        <v>33</v>
      </c>
      <c r="L4568" s="584">
        <f t="shared" si="715"/>
        <v>1613430</v>
      </c>
      <c r="M4568" s="741">
        <v>1575000</v>
      </c>
      <c r="N4568" s="586"/>
      <c r="O4568" s="587">
        <v>4725</v>
      </c>
      <c r="P4568" s="586"/>
      <c r="Q4568" s="586">
        <v>33705</v>
      </c>
      <c r="R4568" s="744"/>
      <c r="S4568" s="592"/>
      <c r="T4568" s="738"/>
      <c r="U4568" s="1059"/>
      <c r="V4568" s="592"/>
      <c r="W4568" s="592"/>
      <c r="X4568" s="592"/>
      <c r="Y4568" s="592"/>
      <c r="Z4568" s="592"/>
    </row>
    <row r="4569" spans="1:26" s="28" customFormat="1" hidden="1">
      <c r="A4569" s="1349" t="s">
        <v>134</v>
      </c>
      <c r="B4569" s="1349"/>
      <c r="C4569" s="593" t="s">
        <v>28</v>
      </c>
      <c r="D4569" s="646">
        <f>SUM(D4548:D4568)</f>
        <v>51131.58</v>
      </c>
      <c r="E4569" s="646">
        <f>SUM(E4548:E4568)</f>
        <v>18388</v>
      </c>
      <c r="F4569" s="646" t="s">
        <v>28</v>
      </c>
      <c r="G4569" s="646">
        <f>SUM(G4548:G4568)</f>
        <v>13877.73</v>
      </c>
      <c r="H4569" s="582" t="s">
        <v>28</v>
      </c>
      <c r="I4569" s="582" t="s">
        <v>28</v>
      </c>
      <c r="J4569" s="582">
        <f>SUM(J4548:J4568)</f>
        <v>346</v>
      </c>
      <c r="K4569" s="590" t="s">
        <v>28</v>
      </c>
      <c r="L4569" s="584">
        <f>SUM(L4548:L4568)</f>
        <v>33026959</v>
      </c>
      <c r="M4569" s="585">
        <f>SUM(M4548:M4568)</f>
        <v>31891868</v>
      </c>
      <c r="N4569" s="586">
        <f>SUM(N4548:N4568)</f>
        <v>438351</v>
      </c>
      <c r="O4569" s="587">
        <f>SUM(O4548:O4568)</f>
        <v>14253</v>
      </c>
      <c r="P4569" s="586"/>
      <c r="Q4569" s="586">
        <f>SUM(Q4548:Q4568)</f>
        <v>682487</v>
      </c>
      <c r="R4569" s="582" t="s">
        <v>28</v>
      </c>
      <c r="S4569" s="592"/>
      <c r="T4569" s="738">
        <f t="shared" ref="T4569:T4581" si="718">L4569-M4569-N4569-O4569-Q4569</f>
        <v>0</v>
      </c>
      <c r="U4569" s="591"/>
      <c r="V4569" s="592"/>
      <c r="W4569" s="592"/>
      <c r="X4569" s="592"/>
      <c r="Y4569" s="592"/>
      <c r="Z4569" s="592"/>
    </row>
    <row r="4570" spans="1:26" s="28" customFormat="1" hidden="1">
      <c r="A4570" s="1347" t="s">
        <v>84</v>
      </c>
      <c r="B4570" s="1347"/>
      <c r="C4570" s="1347"/>
      <c r="D4570" s="1347"/>
      <c r="E4570" s="1347"/>
      <c r="F4570" s="1347"/>
      <c r="G4570" s="1347"/>
      <c r="H4570" s="1347"/>
      <c r="I4570" s="1347"/>
      <c r="J4570" s="1347"/>
      <c r="K4570" s="1347"/>
      <c r="L4570" s="1347"/>
      <c r="M4570" s="1347"/>
      <c r="N4570" s="1347"/>
      <c r="O4570" s="1347"/>
      <c r="P4570" s="1347"/>
      <c r="Q4570" s="1347"/>
      <c r="R4570" s="590"/>
      <c r="S4570" s="592"/>
      <c r="T4570" s="738">
        <f t="shared" si="718"/>
        <v>0</v>
      </c>
      <c r="U4570" s="591"/>
      <c r="V4570" s="592"/>
      <c r="W4570" s="592"/>
      <c r="X4570" s="592"/>
      <c r="Y4570" s="592"/>
      <c r="Z4570" s="592"/>
    </row>
    <row r="4571" spans="1:26" s="28" customFormat="1" hidden="1">
      <c r="A4571" s="590">
        <v>1</v>
      </c>
      <c r="B4571" s="592" t="s">
        <v>3527</v>
      </c>
      <c r="C4571" s="874" t="s">
        <v>221</v>
      </c>
      <c r="D4571" s="646">
        <v>1290</v>
      </c>
      <c r="E4571" s="646">
        <v>992</v>
      </c>
      <c r="F4571" s="646" t="s">
        <v>222</v>
      </c>
      <c r="G4571" s="646">
        <v>268</v>
      </c>
      <c r="H4571" s="599">
        <v>2</v>
      </c>
      <c r="I4571" s="599">
        <v>4</v>
      </c>
      <c r="J4571" s="582">
        <v>4</v>
      </c>
      <c r="K4571" s="590" t="s">
        <v>38</v>
      </c>
      <c r="L4571" s="584">
        <f>M4571+N4571+O4571+P4571+Q4571</f>
        <v>1829169</v>
      </c>
      <c r="M4571" s="741">
        <f>E4571*1800</f>
        <v>1785600</v>
      </c>
      <c r="N4571" s="742"/>
      <c r="O4571" s="736">
        <f>ROUND(M4571*0.3%,0)</f>
        <v>5357</v>
      </c>
      <c r="P4571" s="742"/>
      <c r="Q4571" s="586">
        <f>ROUND(M4571*2.14%,0)</f>
        <v>38212</v>
      </c>
      <c r="R4571" s="599">
        <f>M4571/E4571</f>
        <v>1800</v>
      </c>
      <c r="S4571" s="592"/>
      <c r="T4571" s="738">
        <f t="shared" si="718"/>
        <v>0</v>
      </c>
      <c r="U4571" s="591"/>
      <c r="V4571" s="592"/>
      <c r="W4571" s="592"/>
      <c r="X4571" s="592"/>
      <c r="Y4571" s="592"/>
      <c r="Z4571" s="592"/>
    </row>
    <row r="4572" spans="1:26" s="28" customFormat="1" hidden="1">
      <c r="A4572" s="1349" t="s">
        <v>135</v>
      </c>
      <c r="B4572" s="1349"/>
      <c r="C4572" s="593" t="s">
        <v>28</v>
      </c>
      <c r="D4572" s="646">
        <f>SUM(D4571:D4571)</f>
        <v>1290</v>
      </c>
      <c r="E4572" s="646">
        <f>SUM(E4571:E4571)</f>
        <v>992</v>
      </c>
      <c r="F4572" s="646" t="s">
        <v>28</v>
      </c>
      <c r="G4572" s="646">
        <f>SUM(G4571:G4571)</f>
        <v>268</v>
      </c>
      <c r="H4572" s="582" t="s">
        <v>28</v>
      </c>
      <c r="I4572" s="582" t="s">
        <v>28</v>
      </c>
      <c r="J4572" s="582">
        <f>SUM(J4571:J4571)</f>
        <v>4</v>
      </c>
      <c r="K4572" s="590" t="s">
        <v>28</v>
      </c>
      <c r="L4572" s="584">
        <f>SUM(L4571:L4571)</f>
        <v>1829169</v>
      </c>
      <c r="M4572" s="585">
        <f>SUM(M4571:M4571)</f>
        <v>1785600</v>
      </c>
      <c r="N4572" s="586">
        <f>SUM(N4571:N4571)</f>
        <v>0</v>
      </c>
      <c r="O4572" s="587">
        <f>SUM(O4571:O4571)</f>
        <v>5357</v>
      </c>
      <c r="P4572" s="586"/>
      <c r="Q4572" s="586">
        <f>SUM(Q4571:Q4571)</f>
        <v>38212</v>
      </c>
      <c r="R4572" s="582" t="s">
        <v>28</v>
      </c>
      <c r="S4572" s="592"/>
      <c r="T4572" s="738">
        <f t="shared" si="718"/>
        <v>0</v>
      </c>
      <c r="U4572" s="591"/>
      <c r="V4572" s="592"/>
      <c r="W4572" s="592"/>
      <c r="X4572" s="592"/>
      <c r="Y4572" s="592"/>
      <c r="Z4572" s="592"/>
    </row>
    <row r="4573" spans="1:26" s="28" customFormat="1" hidden="1">
      <c r="A4573" s="1347" t="s">
        <v>85</v>
      </c>
      <c r="B4573" s="1347"/>
      <c r="C4573" s="1347"/>
      <c r="D4573" s="1347"/>
      <c r="E4573" s="1347"/>
      <c r="F4573" s="1347"/>
      <c r="G4573" s="1347"/>
      <c r="H4573" s="1347"/>
      <c r="I4573" s="1347"/>
      <c r="J4573" s="1347"/>
      <c r="K4573" s="1347"/>
      <c r="L4573" s="1347"/>
      <c r="M4573" s="1347"/>
      <c r="N4573" s="1347"/>
      <c r="O4573" s="1347"/>
      <c r="P4573" s="1347"/>
      <c r="Q4573" s="1347"/>
      <c r="R4573" s="590"/>
      <c r="S4573" s="592"/>
      <c r="T4573" s="738">
        <f t="shared" si="718"/>
        <v>0</v>
      </c>
      <c r="U4573" s="591"/>
      <c r="V4573" s="592"/>
      <c r="W4573" s="592"/>
      <c r="X4573" s="592"/>
      <c r="Y4573" s="592"/>
      <c r="Z4573" s="592"/>
    </row>
    <row r="4574" spans="1:26" s="530" customFormat="1" hidden="1">
      <c r="A4574" s="792">
        <v>1</v>
      </c>
      <c r="B4574" s="788" t="s">
        <v>3528</v>
      </c>
      <c r="C4574" s="744" t="s">
        <v>221</v>
      </c>
      <c r="D4574" s="789">
        <v>8274</v>
      </c>
      <c r="E4574" s="789">
        <v>2335</v>
      </c>
      <c r="F4574" s="789" t="s">
        <v>227</v>
      </c>
      <c r="G4574" s="789">
        <v>819</v>
      </c>
      <c r="H4574" s="744">
        <v>4</v>
      </c>
      <c r="I4574" s="744">
        <v>3</v>
      </c>
      <c r="J4574" s="744">
        <v>36</v>
      </c>
      <c r="K4574" s="792" t="s">
        <v>33</v>
      </c>
      <c r="L4574" s="584">
        <f>M4574+N4574+O4574+P4574+Q4574</f>
        <v>1845764</v>
      </c>
      <c r="M4574" s="741">
        <f>G4574*2200</f>
        <v>1801800</v>
      </c>
      <c r="N4574" s="742"/>
      <c r="O4574" s="736">
        <f>ROUND(M4574*0.3%,0)</f>
        <v>5405</v>
      </c>
      <c r="P4574" s="742"/>
      <c r="Q4574" s="586">
        <f>ROUND(M4574*2.14%,0)</f>
        <v>38559</v>
      </c>
      <c r="R4574" s="744">
        <f>M4574/G4574</f>
        <v>2200</v>
      </c>
      <c r="S4574" s="788"/>
      <c r="T4574" s="738">
        <f t="shared" si="718"/>
        <v>0</v>
      </c>
      <c r="U4574" s="791"/>
      <c r="V4574" s="788"/>
      <c r="W4574" s="788"/>
      <c r="X4574" s="788"/>
      <c r="Y4574" s="788"/>
      <c r="Z4574" s="788"/>
    </row>
    <row r="4575" spans="1:26" s="530" customFormat="1" hidden="1">
      <c r="A4575" s="792">
        <f>A4574+1</f>
        <v>2</v>
      </c>
      <c r="B4575" s="788" t="s">
        <v>3529</v>
      </c>
      <c r="C4575" s="744" t="s">
        <v>217</v>
      </c>
      <c r="D4575" s="789">
        <v>20592</v>
      </c>
      <c r="E4575" s="789">
        <v>6000</v>
      </c>
      <c r="F4575" s="789" t="s">
        <v>227</v>
      </c>
      <c r="G4575" s="789">
        <v>1368.6</v>
      </c>
      <c r="H4575" s="744">
        <v>5</v>
      </c>
      <c r="I4575" s="744">
        <v>5</v>
      </c>
      <c r="J4575" s="744">
        <v>100</v>
      </c>
      <c r="K4575" s="792" t="s">
        <v>33</v>
      </c>
      <c r="L4575" s="584">
        <f>M4575+N4575+O4575+P4575+Q4575</f>
        <v>3434885</v>
      </c>
      <c r="M4575" s="741">
        <f>G4575*2450</f>
        <v>3353070</v>
      </c>
      <c r="N4575" s="742"/>
      <c r="O4575" s="736">
        <f>ROUND(M4575*0.3%,0)</f>
        <v>10059</v>
      </c>
      <c r="P4575" s="742"/>
      <c r="Q4575" s="586">
        <f>ROUND(M4575*2.14%,0)</f>
        <v>71756</v>
      </c>
      <c r="R4575" s="744">
        <f>M4575/G4575</f>
        <v>2450</v>
      </c>
      <c r="S4575" s="788"/>
      <c r="T4575" s="738">
        <f t="shared" si="718"/>
        <v>0</v>
      </c>
      <c r="U4575" s="791"/>
      <c r="V4575" s="788"/>
      <c r="W4575" s="788"/>
      <c r="X4575" s="788"/>
      <c r="Y4575" s="788"/>
      <c r="Z4575" s="788"/>
    </row>
    <row r="4576" spans="1:26" s="530" customFormat="1" hidden="1">
      <c r="A4576" s="792">
        <f>A4575+1</f>
        <v>3</v>
      </c>
      <c r="B4576" s="788" t="s">
        <v>3531</v>
      </c>
      <c r="C4576" s="744" t="s">
        <v>221</v>
      </c>
      <c r="D4576" s="789">
        <v>2178</v>
      </c>
      <c r="E4576" s="789">
        <v>554</v>
      </c>
      <c r="F4576" s="789" t="s">
        <v>222</v>
      </c>
      <c r="G4576" s="789">
        <v>920</v>
      </c>
      <c r="H4576" s="744">
        <v>2</v>
      </c>
      <c r="I4576" s="744">
        <v>3</v>
      </c>
      <c r="J4576" s="744">
        <v>11</v>
      </c>
      <c r="K4576" s="792" t="s">
        <v>33</v>
      </c>
      <c r="L4576" s="584">
        <f>M4576+N4576+O4576+P4576+Q4576</f>
        <v>2383720</v>
      </c>
      <c r="M4576" s="741">
        <f>G4576*2500</f>
        <v>2300000</v>
      </c>
      <c r="N4576" s="742">
        <f>M4576*0.015</f>
        <v>34500</v>
      </c>
      <c r="O4576" s="743"/>
      <c r="P4576" s="742"/>
      <c r="Q4576" s="586">
        <f>ROUND(M4576*2.14%,0)</f>
        <v>49220</v>
      </c>
      <c r="R4576" s="744">
        <f>M4576/G4576</f>
        <v>2500</v>
      </c>
      <c r="S4576" s="788"/>
      <c r="T4576" s="738">
        <f t="shared" si="718"/>
        <v>0</v>
      </c>
      <c r="U4576" s="589"/>
      <c r="V4576" s="788"/>
      <c r="W4576" s="788"/>
      <c r="X4576" s="788"/>
      <c r="Y4576" s="788"/>
      <c r="Z4576" s="788"/>
    </row>
    <row r="4577" spans="1:26" s="530" customFormat="1" hidden="1">
      <c r="A4577" s="792">
        <f>A4576+1</f>
        <v>4</v>
      </c>
      <c r="B4577" s="788" t="s">
        <v>3532</v>
      </c>
      <c r="C4577" s="744" t="s">
        <v>217</v>
      </c>
      <c r="D4577" s="789">
        <v>3026</v>
      </c>
      <c r="E4577" s="789">
        <v>832</v>
      </c>
      <c r="F4577" s="789" t="s">
        <v>227</v>
      </c>
      <c r="G4577" s="789">
        <v>995</v>
      </c>
      <c r="H4577" s="744">
        <v>2</v>
      </c>
      <c r="I4577" s="744">
        <v>3</v>
      </c>
      <c r="J4577" s="744">
        <v>18</v>
      </c>
      <c r="K4577" s="792" t="s">
        <v>252</v>
      </c>
      <c r="L4577" s="740">
        <f>M4577+N4577+O4577+P4577+Q4577</f>
        <v>4104972</v>
      </c>
      <c r="M4577" s="741">
        <f>G4577*4000</f>
        <v>3980000</v>
      </c>
      <c r="N4577" s="742">
        <f>M4577*0.01</f>
        <v>39800</v>
      </c>
      <c r="O4577" s="743"/>
      <c r="P4577" s="742"/>
      <c r="Q4577" s="586">
        <f>ROUND(M4577*2.14%,0)</f>
        <v>85172</v>
      </c>
      <c r="R4577" s="582">
        <f>M4577/G4577</f>
        <v>4000</v>
      </c>
      <c r="S4577" s="788"/>
      <c r="T4577" s="738">
        <f t="shared" si="718"/>
        <v>0</v>
      </c>
      <c r="U4577" s="589"/>
      <c r="V4577" s="788"/>
      <c r="W4577" s="788"/>
      <c r="X4577" s="788"/>
      <c r="Y4577" s="788"/>
      <c r="Z4577" s="788"/>
    </row>
    <row r="4578" spans="1:26" s="28" customFormat="1" hidden="1">
      <c r="A4578" s="1349" t="s">
        <v>86</v>
      </c>
      <c r="B4578" s="1349"/>
      <c r="C4578" s="593" t="s">
        <v>28</v>
      </c>
      <c r="D4578" s="646">
        <f>SUM(D4574:D4577)</f>
        <v>34070</v>
      </c>
      <c r="E4578" s="646">
        <f>SUM(E4574:E4577)</f>
        <v>9721</v>
      </c>
      <c r="F4578" s="646" t="s">
        <v>28</v>
      </c>
      <c r="G4578" s="646">
        <f>SUM(G4574:G4577)</f>
        <v>4102.6000000000004</v>
      </c>
      <c r="H4578" s="582" t="s">
        <v>28</v>
      </c>
      <c r="I4578" s="582" t="s">
        <v>28</v>
      </c>
      <c r="J4578" s="582">
        <f>SUM(J4574:J4577)</f>
        <v>165</v>
      </c>
      <c r="K4578" s="590" t="s">
        <v>28</v>
      </c>
      <c r="L4578" s="584">
        <f>SUM(L4574:L4577)</f>
        <v>11769341</v>
      </c>
      <c r="M4578" s="585">
        <f>SUM(M4574:M4577)</f>
        <v>11434870</v>
      </c>
      <c r="N4578" s="586">
        <f>SUM(N4574:N4577)</f>
        <v>74300</v>
      </c>
      <c r="O4578" s="587">
        <f>SUM(O4574:O4577)</f>
        <v>15464</v>
      </c>
      <c r="P4578" s="586"/>
      <c r="Q4578" s="586">
        <f>SUM(Q4574:Q4577)</f>
        <v>244707</v>
      </c>
      <c r="R4578" s="582" t="s">
        <v>28</v>
      </c>
      <c r="S4578" s="592"/>
      <c r="T4578" s="738">
        <f t="shared" si="718"/>
        <v>0</v>
      </c>
      <c r="U4578" s="591"/>
      <c r="V4578" s="592"/>
      <c r="W4578" s="592"/>
      <c r="X4578" s="592"/>
      <c r="Y4578" s="592"/>
      <c r="Z4578" s="592"/>
    </row>
    <row r="4579" spans="1:26" s="28" customFormat="1" hidden="1">
      <c r="A4579" s="1347" t="s">
        <v>89</v>
      </c>
      <c r="B4579" s="1347"/>
      <c r="C4579" s="1347"/>
      <c r="D4579" s="1347"/>
      <c r="E4579" s="1347"/>
      <c r="F4579" s="1347"/>
      <c r="G4579" s="1347"/>
      <c r="H4579" s="1347"/>
      <c r="I4579" s="1347"/>
      <c r="J4579" s="1347"/>
      <c r="K4579" s="1347"/>
      <c r="L4579" s="1347"/>
      <c r="M4579" s="1347"/>
      <c r="N4579" s="1347"/>
      <c r="O4579" s="1347"/>
      <c r="P4579" s="1347"/>
      <c r="Q4579" s="1347"/>
      <c r="R4579" s="590"/>
      <c r="S4579" s="592"/>
      <c r="T4579" s="738">
        <f t="shared" si="718"/>
        <v>0</v>
      </c>
      <c r="U4579" s="591"/>
      <c r="V4579" s="592"/>
      <c r="W4579" s="592"/>
      <c r="X4579" s="592"/>
      <c r="Y4579" s="592"/>
      <c r="Z4579" s="592"/>
    </row>
    <row r="4580" spans="1:26" s="90" customFormat="1" ht="37.5" hidden="1">
      <c r="A4580" s="590">
        <v>1</v>
      </c>
      <c r="B4580" s="592" t="s">
        <v>3533</v>
      </c>
      <c r="C4580" s="593" t="s">
        <v>221</v>
      </c>
      <c r="D4580" s="619">
        <v>5347</v>
      </c>
      <c r="E4580" s="619">
        <v>1290</v>
      </c>
      <c r="F4580" s="1288" t="s">
        <v>241</v>
      </c>
      <c r="G4580" s="619">
        <v>1125</v>
      </c>
      <c r="H4580" s="599">
        <v>2</v>
      </c>
      <c r="I4580" s="599">
        <v>3</v>
      </c>
      <c r="J4580" s="599">
        <v>24</v>
      </c>
      <c r="K4580" s="590" t="s">
        <v>262</v>
      </c>
      <c r="L4580" s="584">
        <f>M4580+N4580+O4580+P4580+Q4580</f>
        <v>2900813</v>
      </c>
      <c r="M4580" s="866">
        <f>G4580*2500</f>
        <v>2812500</v>
      </c>
      <c r="N4580" s="597">
        <f>M4580*0.01</f>
        <v>28125</v>
      </c>
      <c r="O4580" s="598"/>
      <c r="P4580" s="597"/>
      <c r="Q4580" s="586">
        <f>ROUND(M4580*2.14%,0)</f>
        <v>60188</v>
      </c>
      <c r="R4580" s="1287">
        <f>M4580/G4580</f>
        <v>2500</v>
      </c>
      <c r="S4580" s="748"/>
      <c r="T4580" s="738">
        <f t="shared" si="718"/>
        <v>0</v>
      </c>
      <c r="U4580" s="589"/>
      <c r="V4580" s="748"/>
      <c r="W4580" s="748"/>
      <c r="X4580" s="748"/>
      <c r="Y4580" s="748"/>
      <c r="Z4580" s="748"/>
    </row>
    <row r="4581" spans="1:26" s="28" customFormat="1" hidden="1">
      <c r="A4581" s="1349" t="s">
        <v>136</v>
      </c>
      <c r="B4581" s="1349"/>
      <c r="C4581" s="593" t="s">
        <v>28</v>
      </c>
      <c r="D4581" s="646">
        <f>SUM(D4580:D4580)</f>
        <v>5347</v>
      </c>
      <c r="E4581" s="646">
        <f>SUM(E4580:E4580)</f>
        <v>1290</v>
      </c>
      <c r="F4581" s="646" t="s">
        <v>28</v>
      </c>
      <c r="G4581" s="646">
        <f>SUM(G4580:G4580)</f>
        <v>1125</v>
      </c>
      <c r="H4581" s="582" t="s">
        <v>28</v>
      </c>
      <c r="I4581" s="582" t="s">
        <v>28</v>
      </c>
      <c r="J4581" s="582">
        <f>SUM(J4580:J4580)</f>
        <v>24</v>
      </c>
      <c r="K4581" s="606" t="s">
        <v>28</v>
      </c>
      <c r="L4581" s="1289">
        <f>SUM(L4580:L4580)</f>
        <v>2900813</v>
      </c>
      <c r="M4581" s="1290">
        <f>SUM(M4580:M4580)</f>
        <v>2812500</v>
      </c>
      <c r="N4581" s="1291">
        <f>SUM(N4580:N4580)</f>
        <v>28125</v>
      </c>
      <c r="O4581" s="1292">
        <f>SUM(O4580:O4580)</f>
        <v>0</v>
      </c>
      <c r="P4581" s="1291"/>
      <c r="Q4581" s="1291">
        <f>SUM(Q4580:Q4580)</f>
        <v>60188</v>
      </c>
      <c r="R4581" s="582" t="s">
        <v>28</v>
      </c>
      <c r="S4581" s="592"/>
      <c r="T4581" s="738">
        <f t="shared" si="718"/>
        <v>0</v>
      </c>
      <c r="U4581" s="591"/>
      <c r="V4581" s="592"/>
      <c r="W4581" s="592"/>
      <c r="X4581" s="592"/>
      <c r="Y4581" s="592"/>
      <c r="Z4581" s="592"/>
    </row>
    <row r="4582" spans="1:26" s="28" customFormat="1" hidden="1">
      <c r="A4582" s="1368" t="s">
        <v>160</v>
      </c>
      <c r="B4582" s="1368"/>
      <c r="C4582" s="1368"/>
      <c r="D4582" s="1368"/>
      <c r="E4582" s="1368"/>
      <c r="F4582" s="1368"/>
      <c r="G4582" s="1368"/>
      <c r="H4582" s="1368"/>
      <c r="I4582" s="1368"/>
      <c r="J4582" s="1368"/>
      <c r="K4582" s="1368"/>
      <c r="L4582" s="1368"/>
      <c r="M4582" s="1368"/>
      <c r="N4582" s="1368"/>
      <c r="O4582" s="1368"/>
      <c r="P4582" s="1368"/>
      <c r="Q4582" s="1368"/>
      <c r="R4582" s="556"/>
      <c r="S4582" s="564">
        <f>L4582-M4582-N4582-O4582-P4582-Q4582</f>
        <v>0</v>
      </c>
      <c r="T4582" s="577"/>
      <c r="U4582" s="591"/>
      <c r="V4582" s="592"/>
      <c r="W4582" s="592"/>
      <c r="X4582" s="592"/>
      <c r="Y4582" s="592"/>
      <c r="Z4582" s="592"/>
    </row>
    <row r="4583" spans="1:26" s="28" customFormat="1" hidden="1">
      <c r="A4583" s="1362" t="s">
        <v>161</v>
      </c>
      <c r="B4583" s="1362"/>
      <c r="C4583" s="582" t="s">
        <v>28</v>
      </c>
      <c r="D4583" s="586">
        <f>D4591+D4601+D4631+D4635+D4638+D4641+D4645+D4649+D4655+D4660+D4663+D4652</f>
        <v>1179544.5172413792</v>
      </c>
      <c r="E4583" s="586">
        <f>E4591+E4601+E4631+E4635+E4638+E4641+E4645+E4649+E4655+E4660+E4663+E4652</f>
        <v>223789.61</v>
      </c>
      <c r="F4583" s="561" t="s">
        <v>28</v>
      </c>
      <c r="G4583" s="586">
        <f>G4591+G4601+G4631+G4635+G4638+G4641+G4645+G4649+G4655+G4660+G4663+G4652</f>
        <v>68044.98</v>
      </c>
      <c r="H4583" s="561" t="s">
        <v>28</v>
      </c>
      <c r="I4583" s="561" t="s">
        <v>28</v>
      </c>
      <c r="J4583" s="586">
        <f>J4591+J4601+J4631+J4635+J4638+J4641+J4645+J4649+J4655+J4660+J4663+J4652</f>
        <v>5267</v>
      </c>
      <c r="K4583" s="590" t="s">
        <v>28</v>
      </c>
      <c r="L4583" s="584">
        <f t="shared" ref="L4583:Q4583" si="719">L4591+L4601+L4631+L4635+L4638+L4641+L4645+L4649+L4655+L4660+L4663+L4652</f>
        <v>272425339.37</v>
      </c>
      <c r="M4583" s="585">
        <f t="shared" si="719"/>
        <v>265457606</v>
      </c>
      <c r="N4583" s="586">
        <f t="shared" si="719"/>
        <v>1291912</v>
      </c>
      <c r="O4583" s="587">
        <f t="shared" si="719"/>
        <v>335600.55</v>
      </c>
      <c r="P4583" s="586">
        <f t="shared" si="719"/>
        <v>0</v>
      </c>
      <c r="Q4583" s="586">
        <f t="shared" si="719"/>
        <v>5340220.82</v>
      </c>
      <c r="R4583" s="582" t="s">
        <v>28</v>
      </c>
      <c r="S4583" s="564">
        <f>L4583-M4583-N4583-O4583-P4583-Q4583</f>
        <v>0</v>
      </c>
      <c r="T4583" s="577" t="e">
        <f>'1.перечень МКД'!#REF!</f>
        <v>#REF!</v>
      </c>
      <c r="U4583" s="589" t="e">
        <f>L4583-T4583</f>
        <v>#REF!</v>
      </c>
      <c r="V4583" s="592"/>
      <c r="W4583" s="592"/>
      <c r="X4583" s="592"/>
      <c r="Y4583" s="592"/>
      <c r="Z4583" s="592"/>
    </row>
    <row r="4584" spans="1:26" s="28" customFormat="1" hidden="1">
      <c r="A4584" s="1347" t="s">
        <v>141</v>
      </c>
      <c r="B4584" s="1347"/>
      <c r="C4584" s="1347"/>
      <c r="D4584" s="1347"/>
      <c r="E4584" s="1347"/>
      <c r="F4584" s="1347"/>
      <c r="G4584" s="1347"/>
      <c r="H4584" s="1347"/>
      <c r="I4584" s="1347"/>
      <c r="J4584" s="1347"/>
      <c r="K4584" s="1347"/>
      <c r="L4584" s="1347"/>
      <c r="M4584" s="1347"/>
      <c r="N4584" s="1347"/>
      <c r="O4584" s="1347"/>
      <c r="P4584" s="1347"/>
      <c r="Q4584" s="1347"/>
      <c r="R4584" s="590"/>
      <c r="S4584" s="592"/>
      <c r="T4584" s="592"/>
      <c r="U4584" s="591"/>
      <c r="V4584" s="592"/>
      <c r="W4584" s="592"/>
      <c r="X4584" s="592"/>
      <c r="Y4584" s="592"/>
      <c r="Z4584" s="592"/>
    </row>
    <row r="4585" spans="1:26" s="28" customFormat="1" hidden="1">
      <c r="A4585" s="937">
        <v>1</v>
      </c>
      <c r="B4585" s="848" t="s">
        <v>3534</v>
      </c>
      <c r="C4585" s="922" t="s">
        <v>221</v>
      </c>
      <c r="D4585" s="922">
        <v>26957</v>
      </c>
      <c r="E4585" s="938">
        <v>3093</v>
      </c>
      <c r="F4585" s="700"/>
      <c r="G4585" s="939">
        <v>1299</v>
      </c>
      <c r="H4585" s="928">
        <v>5</v>
      </c>
      <c r="I4585" s="928">
        <v>4</v>
      </c>
      <c r="J4585" s="643">
        <v>121</v>
      </c>
      <c r="K4585" s="930" t="s">
        <v>33</v>
      </c>
      <c r="L4585" s="584">
        <f t="shared" ref="L4585:L4590" si="720">SUM(M4585:Q4585)</f>
        <v>2927530</v>
      </c>
      <c r="M4585" s="931">
        <f>G4585*2200</f>
        <v>2857800</v>
      </c>
      <c r="N4585" s="932"/>
      <c r="O4585" s="736">
        <f>ROUND(M4585*0.3%,0)</f>
        <v>8573</v>
      </c>
      <c r="P4585" s="932"/>
      <c r="Q4585" s="586">
        <f>ROUND(M4585*2.14%,0)</f>
        <v>61157</v>
      </c>
      <c r="R4585" s="582">
        <f>M4585/G4585</f>
        <v>2200</v>
      </c>
      <c r="S4585" s="592"/>
      <c r="T4585" s="592"/>
      <c r="U4585" s="591"/>
      <c r="V4585" s="592"/>
      <c r="W4585" s="592"/>
      <c r="X4585" s="592"/>
      <c r="Y4585" s="592"/>
      <c r="Z4585" s="592"/>
    </row>
    <row r="4586" spans="1:26" s="28" customFormat="1" hidden="1">
      <c r="A4586" s="937">
        <f>A4585+1</f>
        <v>2</v>
      </c>
      <c r="B4586" s="848" t="s">
        <v>3535</v>
      </c>
      <c r="C4586" s="922" t="s">
        <v>221</v>
      </c>
      <c r="D4586" s="922">
        <v>11417</v>
      </c>
      <c r="E4586" s="938">
        <v>4845</v>
      </c>
      <c r="F4586" s="700" t="s">
        <v>233</v>
      </c>
      <c r="G4586" s="939">
        <v>945</v>
      </c>
      <c r="H4586" s="928">
        <v>5</v>
      </c>
      <c r="I4586" s="928">
        <v>2</v>
      </c>
      <c r="J4586" s="643">
        <v>120</v>
      </c>
      <c r="K4586" s="930" t="s">
        <v>33</v>
      </c>
      <c r="L4586" s="584">
        <f t="shared" si="720"/>
        <v>2129728</v>
      </c>
      <c r="M4586" s="931">
        <f>G4586*2200</f>
        <v>2079000</v>
      </c>
      <c r="N4586" s="932"/>
      <c r="O4586" s="736">
        <f>ROUND(M4586*0.3%,0)</f>
        <v>6237</v>
      </c>
      <c r="P4586" s="932"/>
      <c r="Q4586" s="586">
        <f>ROUND(M4586*2.14%,0)</f>
        <v>44491</v>
      </c>
      <c r="R4586" s="582">
        <f>M4586/G4586</f>
        <v>2200</v>
      </c>
      <c r="S4586" s="592"/>
      <c r="T4586" s="592"/>
      <c r="U4586" s="591"/>
      <c r="V4586" s="592"/>
      <c r="W4586" s="592"/>
      <c r="X4586" s="592"/>
      <c r="Y4586" s="592"/>
      <c r="Z4586" s="592"/>
    </row>
    <row r="4587" spans="1:26" s="28" customFormat="1" hidden="1">
      <c r="A4587" s="937">
        <f>A4586+1</f>
        <v>3</v>
      </c>
      <c r="B4587" s="848" t="s">
        <v>3538</v>
      </c>
      <c r="C4587" s="922" t="s">
        <v>221</v>
      </c>
      <c r="D4587" s="922">
        <v>13056</v>
      </c>
      <c r="E4587" s="938">
        <v>2635</v>
      </c>
      <c r="F4587" s="700" t="s">
        <v>222</v>
      </c>
      <c r="G4587" s="939">
        <v>1149</v>
      </c>
      <c r="H4587" s="928">
        <v>5</v>
      </c>
      <c r="I4587" s="928">
        <v>4</v>
      </c>
      <c r="J4587" s="643">
        <v>70</v>
      </c>
      <c r="K4587" s="930" t="s">
        <v>224</v>
      </c>
      <c r="L4587" s="584">
        <f t="shared" si="720"/>
        <v>1607956</v>
      </c>
      <c r="M4587" s="931">
        <f>J4587*22000</f>
        <v>1540000</v>
      </c>
      <c r="N4587" s="932">
        <v>35000</v>
      </c>
      <c r="O4587" s="736"/>
      <c r="P4587" s="932"/>
      <c r="Q4587" s="586">
        <f>ROUND(M4587*2.14%,0)</f>
        <v>32956</v>
      </c>
      <c r="R4587" s="582">
        <f>M4587/J4587</f>
        <v>22000</v>
      </c>
      <c r="S4587" s="592"/>
      <c r="T4587" s="592"/>
      <c r="U4587" s="591"/>
      <c r="V4587" s="592"/>
      <c r="W4587" s="592"/>
      <c r="X4587" s="592"/>
      <c r="Y4587" s="592"/>
      <c r="Z4587" s="592"/>
    </row>
    <row r="4588" spans="1:26" s="28" customFormat="1" hidden="1">
      <c r="A4588" s="937">
        <f>A4587+1</f>
        <v>4</v>
      </c>
      <c r="B4588" s="848" t="s">
        <v>3539</v>
      </c>
      <c r="C4588" s="922" t="s">
        <v>221</v>
      </c>
      <c r="D4588" s="922">
        <v>13671</v>
      </c>
      <c r="E4588" s="938">
        <v>2352</v>
      </c>
      <c r="F4588" s="700" t="s">
        <v>222</v>
      </c>
      <c r="G4588" s="939">
        <v>996</v>
      </c>
      <c r="H4588" s="928">
        <v>5</v>
      </c>
      <c r="I4588" s="928">
        <v>4</v>
      </c>
      <c r="J4588" s="643">
        <v>80</v>
      </c>
      <c r="K4588" s="930" t="s">
        <v>38</v>
      </c>
      <c r="L4588" s="584">
        <f t="shared" si="720"/>
        <v>1980798</v>
      </c>
      <c r="M4588" s="931">
        <v>1933618</v>
      </c>
      <c r="N4588" s="932"/>
      <c r="O4588" s="736">
        <f>ROUND(M4588*0.3%,0)</f>
        <v>5801</v>
      </c>
      <c r="P4588" s="932"/>
      <c r="Q4588" s="586">
        <f>ROUND(M4588*2.14%,0)</f>
        <v>41379</v>
      </c>
      <c r="R4588" s="599">
        <f>M4588/E4588</f>
        <v>822.1164965986394</v>
      </c>
      <c r="S4588" s="592"/>
      <c r="T4588" s="592"/>
      <c r="U4588" s="591"/>
      <c r="V4588" s="592"/>
      <c r="W4588" s="592"/>
      <c r="X4588" s="592"/>
      <c r="Y4588" s="592"/>
      <c r="Z4588" s="592"/>
    </row>
    <row r="4589" spans="1:26" s="89" customFormat="1" ht="37.5" hidden="1">
      <c r="A4589" s="937">
        <f>A4588+1</f>
        <v>5</v>
      </c>
      <c r="B4589" s="827" t="s">
        <v>2093</v>
      </c>
      <c r="C4589" s="593" t="s">
        <v>296</v>
      </c>
      <c r="D4589" s="878">
        <v>16048</v>
      </c>
      <c r="E4589" s="878">
        <v>3440</v>
      </c>
      <c r="F4589" s="878" t="s">
        <v>233</v>
      </c>
      <c r="G4589" s="878">
        <v>659</v>
      </c>
      <c r="H4589" s="879">
        <v>9</v>
      </c>
      <c r="I4589" s="593">
        <v>2</v>
      </c>
      <c r="J4589" s="880">
        <v>70</v>
      </c>
      <c r="K4589" s="881" t="s">
        <v>219</v>
      </c>
      <c r="L4589" s="584">
        <f t="shared" si="720"/>
        <v>4106250</v>
      </c>
      <c r="M4589" s="882">
        <v>4000000</v>
      </c>
      <c r="N4589" s="883">
        <v>106250</v>
      </c>
      <c r="O4589" s="884"/>
      <c r="P4589" s="883"/>
      <c r="Q4589" s="883"/>
      <c r="R4589" s="599">
        <f>M4589/I4589</f>
        <v>2000000</v>
      </c>
      <c r="S4589" s="575">
        <f>L4589-M4589-N4589-O4589-P4589-Q4589</f>
        <v>0</v>
      </c>
      <c r="T4589" s="597"/>
      <c r="U4589" s="738"/>
      <c r="V4589" s="589"/>
      <c r="W4589" s="592"/>
      <c r="X4589" s="592"/>
      <c r="Y4589" s="592"/>
      <c r="Z4589" s="592"/>
    </row>
    <row r="4590" spans="1:26" s="89" customFormat="1" ht="37.5" hidden="1">
      <c r="A4590" s="937">
        <f>A4589+1</f>
        <v>6</v>
      </c>
      <c r="B4590" s="827" t="s">
        <v>1154</v>
      </c>
      <c r="C4590" s="593" t="s">
        <v>282</v>
      </c>
      <c r="D4590" s="878">
        <v>50590</v>
      </c>
      <c r="E4590" s="878">
        <v>8944</v>
      </c>
      <c r="F4590" s="878" t="s">
        <v>233</v>
      </c>
      <c r="G4590" s="878">
        <v>1505</v>
      </c>
      <c r="H4590" s="879">
        <v>9</v>
      </c>
      <c r="I4590" s="593">
        <v>2</v>
      </c>
      <c r="J4590" s="880">
        <v>108</v>
      </c>
      <c r="K4590" s="881" t="s">
        <v>219</v>
      </c>
      <c r="L4590" s="584">
        <f t="shared" si="720"/>
        <v>4106250</v>
      </c>
      <c r="M4590" s="882">
        <v>4000000</v>
      </c>
      <c r="N4590" s="883">
        <v>106250</v>
      </c>
      <c r="O4590" s="884"/>
      <c r="P4590" s="883"/>
      <c r="Q4590" s="883"/>
      <c r="R4590" s="599">
        <f>M4590/I4590</f>
        <v>2000000</v>
      </c>
      <c r="S4590" s="564">
        <f>L4590-M4590-N4590-O4590-P4590-Q4590</f>
        <v>0</v>
      </c>
      <c r="T4590" s="577"/>
      <c r="U4590" s="589"/>
      <c r="V4590" s="589"/>
      <c r="W4590" s="592"/>
      <c r="X4590" s="592"/>
      <c r="Y4590" s="592"/>
      <c r="Z4590" s="592"/>
    </row>
    <row r="4591" spans="1:26" s="36" customFormat="1" hidden="1">
      <c r="A4591" s="1349" t="s">
        <v>142</v>
      </c>
      <c r="B4591" s="1349"/>
      <c r="C4591" s="593"/>
      <c r="D4591" s="699">
        <f>SUM(D4585:D4590)</f>
        <v>131739</v>
      </c>
      <c r="E4591" s="699">
        <f>SUM(E4585:E4590)</f>
        <v>25309</v>
      </c>
      <c r="F4591" s="699" t="s">
        <v>28</v>
      </c>
      <c r="G4591" s="699">
        <f>SUM(G4585:G4590)</f>
        <v>6553</v>
      </c>
      <c r="H4591" s="699" t="s">
        <v>28</v>
      </c>
      <c r="I4591" s="699" t="s">
        <v>28</v>
      </c>
      <c r="J4591" s="699">
        <f>SUM(J4585:J4590)</f>
        <v>569</v>
      </c>
      <c r="K4591" s="590" t="s">
        <v>28</v>
      </c>
      <c r="L4591" s="584">
        <f t="shared" ref="L4591:Q4591" si="721">SUM(L4585:L4590)</f>
        <v>16858512</v>
      </c>
      <c r="M4591" s="585">
        <f t="shared" si="721"/>
        <v>16410418</v>
      </c>
      <c r="N4591" s="586">
        <f t="shared" si="721"/>
        <v>247500</v>
      </c>
      <c r="O4591" s="587">
        <f t="shared" si="721"/>
        <v>20611</v>
      </c>
      <c r="P4591" s="586">
        <f t="shared" si="721"/>
        <v>0</v>
      </c>
      <c r="Q4591" s="586">
        <f t="shared" si="721"/>
        <v>179983</v>
      </c>
      <c r="R4591" s="582" t="s">
        <v>28</v>
      </c>
      <c r="S4591" s="592">
        <f>SUBTOTAL(9,M4591:Q4591)</f>
        <v>16858512</v>
      </c>
      <c r="T4591" s="645">
        <f>S4591-L4591</f>
        <v>0</v>
      </c>
      <c r="U4591" s="591"/>
      <c r="V4591" s="593"/>
      <c r="W4591" s="593"/>
      <c r="X4591" s="593"/>
      <c r="Y4591" s="593"/>
      <c r="Z4591" s="593"/>
    </row>
    <row r="4592" spans="1:26" s="28" customFormat="1" hidden="1">
      <c r="A4592" s="1347" t="s">
        <v>164</v>
      </c>
      <c r="B4592" s="1347"/>
      <c r="C4592" s="1347"/>
      <c r="D4592" s="1347"/>
      <c r="E4592" s="1347"/>
      <c r="F4592" s="1347"/>
      <c r="G4592" s="1347"/>
      <c r="H4592" s="1347"/>
      <c r="I4592" s="1347"/>
      <c r="J4592" s="1347"/>
      <c r="K4592" s="1347"/>
      <c r="L4592" s="1347"/>
      <c r="M4592" s="1347"/>
      <c r="N4592" s="1347"/>
      <c r="O4592" s="1347"/>
      <c r="P4592" s="1347"/>
      <c r="Q4592" s="1347"/>
      <c r="R4592" s="590"/>
      <c r="S4592" s="592"/>
      <c r="T4592" s="592"/>
      <c r="U4592" s="591"/>
      <c r="V4592" s="592"/>
      <c r="W4592" s="592"/>
      <c r="X4592" s="592"/>
      <c r="Y4592" s="592"/>
      <c r="Z4592" s="592"/>
    </row>
    <row r="4593" spans="1:26" s="28" customFormat="1" hidden="1">
      <c r="A4593" s="937">
        <v>1</v>
      </c>
      <c r="B4593" s="848" t="s">
        <v>3540</v>
      </c>
      <c r="C4593" s="922" t="s">
        <v>217</v>
      </c>
      <c r="D4593" s="922">
        <v>29700</v>
      </c>
      <c r="E4593" s="938">
        <v>5300</v>
      </c>
      <c r="F4593" s="700" t="s">
        <v>227</v>
      </c>
      <c r="G4593" s="939">
        <v>2484</v>
      </c>
      <c r="H4593" s="928">
        <v>5</v>
      </c>
      <c r="I4593" s="928">
        <v>10</v>
      </c>
      <c r="J4593" s="643">
        <v>150</v>
      </c>
      <c r="K4593" s="930" t="s">
        <v>224</v>
      </c>
      <c r="L4593" s="584">
        <f>M4593+N4593+O4593+P4593+Q4593</f>
        <v>3558830</v>
      </c>
      <c r="M4593" s="931">
        <f>J4593*23000</f>
        <v>3450000</v>
      </c>
      <c r="N4593" s="932">
        <v>35000</v>
      </c>
      <c r="O4593" s="736"/>
      <c r="P4593" s="932"/>
      <c r="Q4593" s="586">
        <f t="shared" ref="Q4593:Q4599" si="722">ROUND(M4593*2.14%,0)</f>
        <v>73830</v>
      </c>
      <c r="R4593" s="582">
        <f>M4593/J4593</f>
        <v>23000</v>
      </c>
      <c r="S4593" s="592"/>
      <c r="T4593" s="592"/>
      <c r="U4593" s="591"/>
      <c r="V4593" s="592"/>
      <c r="W4593" s="592"/>
      <c r="X4593" s="592"/>
      <c r="Y4593" s="592"/>
      <c r="Z4593" s="592"/>
    </row>
    <row r="4594" spans="1:26" s="28" customFormat="1" ht="37.5" hidden="1">
      <c r="A4594" s="937">
        <f>A4593+1</f>
        <v>2</v>
      </c>
      <c r="B4594" s="848" t="s">
        <v>3542</v>
      </c>
      <c r="C4594" s="922" t="s">
        <v>239</v>
      </c>
      <c r="D4594" s="922">
        <v>18117</v>
      </c>
      <c r="E4594" s="938">
        <v>3028</v>
      </c>
      <c r="F4594" s="700" t="s">
        <v>251</v>
      </c>
      <c r="G4594" s="939">
        <v>1606</v>
      </c>
      <c r="H4594" s="928">
        <v>4</v>
      </c>
      <c r="I4594" s="928">
        <v>4</v>
      </c>
      <c r="J4594" s="643">
        <v>58</v>
      </c>
      <c r="K4594" s="930" t="s">
        <v>30</v>
      </c>
      <c r="L4594" s="584">
        <f>M4594+N4594+O4594+P4594+Q4594</f>
        <v>1485380</v>
      </c>
      <c r="M4594" s="931">
        <f>J4594*25000</f>
        <v>1450000</v>
      </c>
      <c r="N4594" s="932"/>
      <c r="O4594" s="736">
        <f>ROUND(M4594*0.3%,0)</f>
        <v>4350</v>
      </c>
      <c r="P4594" s="932"/>
      <c r="Q4594" s="586">
        <f t="shared" si="722"/>
        <v>31030</v>
      </c>
      <c r="R4594" s="582">
        <f>M4594/J4594</f>
        <v>25000</v>
      </c>
      <c r="S4594" s="592"/>
      <c r="T4594" s="592"/>
      <c r="U4594" s="591"/>
      <c r="V4594" s="592"/>
      <c r="W4594" s="592"/>
      <c r="X4594" s="592"/>
      <c r="Y4594" s="592"/>
      <c r="Z4594" s="592"/>
    </row>
    <row r="4595" spans="1:26" s="28" customFormat="1" ht="37.5" hidden="1">
      <c r="A4595" s="937">
        <f t="shared" ref="A4595:A4600" si="723">A4594+1</f>
        <v>3</v>
      </c>
      <c r="B4595" s="848" t="s">
        <v>3544</v>
      </c>
      <c r="C4595" s="922" t="s">
        <v>221</v>
      </c>
      <c r="D4595" s="922">
        <v>16232</v>
      </c>
      <c r="E4595" s="938">
        <v>1813</v>
      </c>
      <c r="F4595" s="700" t="s">
        <v>227</v>
      </c>
      <c r="G4595" s="939">
        <v>1041</v>
      </c>
      <c r="H4595" s="928">
        <v>5</v>
      </c>
      <c r="I4595" s="928">
        <v>4</v>
      </c>
      <c r="J4595" s="643">
        <v>64</v>
      </c>
      <c r="K4595" s="930" t="s">
        <v>30</v>
      </c>
      <c r="L4595" s="584">
        <f>M4595+N4595+O4595+P4595+Q4595</f>
        <v>1639040</v>
      </c>
      <c r="M4595" s="931">
        <f>J4595*25000</f>
        <v>1600000</v>
      </c>
      <c r="N4595" s="932"/>
      <c r="O4595" s="736">
        <f>ROUND(M4595*0.3%,0)</f>
        <v>4800</v>
      </c>
      <c r="P4595" s="932"/>
      <c r="Q4595" s="586">
        <f t="shared" si="722"/>
        <v>34240</v>
      </c>
      <c r="R4595" s="582">
        <f>M4595/J4595</f>
        <v>25000</v>
      </c>
      <c r="S4595" s="592"/>
      <c r="T4595" s="592"/>
      <c r="U4595" s="591"/>
      <c r="V4595" s="592"/>
      <c r="W4595" s="592"/>
      <c r="X4595" s="592"/>
      <c r="Y4595" s="592"/>
      <c r="Z4595" s="592"/>
    </row>
    <row r="4596" spans="1:26" s="28" customFormat="1" hidden="1">
      <c r="A4596" s="937">
        <f t="shared" si="723"/>
        <v>4</v>
      </c>
      <c r="B4596" s="848" t="s">
        <v>3545</v>
      </c>
      <c r="C4596" s="922" t="s">
        <v>221</v>
      </c>
      <c r="D4596" s="922">
        <v>10454</v>
      </c>
      <c r="E4596" s="938">
        <v>1585</v>
      </c>
      <c r="F4596" s="700" t="s">
        <v>251</v>
      </c>
      <c r="G4596" s="939">
        <v>1142</v>
      </c>
      <c r="H4596" s="928">
        <v>5</v>
      </c>
      <c r="I4596" s="928">
        <v>3</v>
      </c>
      <c r="J4596" s="643">
        <v>36</v>
      </c>
      <c r="K4596" s="930" t="s">
        <v>33</v>
      </c>
      <c r="L4596" s="584">
        <f>M4596+N4596+O4596+P4596+Q4596</f>
        <v>3301029</v>
      </c>
      <c r="M4596" s="931">
        <f>G4596*2800</f>
        <v>3197600</v>
      </c>
      <c r="N4596" s="932">
        <v>35000</v>
      </c>
      <c r="O4596" s="736"/>
      <c r="P4596" s="932"/>
      <c r="Q4596" s="586">
        <f t="shared" si="722"/>
        <v>68429</v>
      </c>
      <c r="R4596" s="582">
        <f>M4596/G4596</f>
        <v>2800</v>
      </c>
      <c r="S4596" s="592"/>
      <c r="T4596" s="592"/>
      <c r="U4596" s="591"/>
      <c r="V4596" s="592"/>
      <c r="W4596" s="592"/>
      <c r="X4596" s="592"/>
      <c r="Y4596" s="592"/>
      <c r="Z4596" s="592"/>
    </row>
    <row r="4597" spans="1:26" s="28" customFormat="1" hidden="1">
      <c r="A4597" s="937">
        <f t="shared" si="723"/>
        <v>5</v>
      </c>
      <c r="B4597" s="848" t="s">
        <v>3546</v>
      </c>
      <c r="C4597" s="922" t="s">
        <v>217</v>
      </c>
      <c r="D4597" s="922">
        <v>23281</v>
      </c>
      <c r="E4597" s="938">
        <v>5300</v>
      </c>
      <c r="F4597" s="700" t="s">
        <v>227</v>
      </c>
      <c r="G4597" s="939">
        <v>2052</v>
      </c>
      <c r="H4597" s="928">
        <v>5</v>
      </c>
      <c r="I4597" s="928">
        <v>8</v>
      </c>
      <c r="J4597" s="643">
        <v>120</v>
      </c>
      <c r="K4597" s="930" t="s">
        <v>226</v>
      </c>
      <c r="L4597" s="584">
        <f>SUM(M4597:Q4597)</f>
        <v>13568550</v>
      </c>
      <c r="M4597" s="931">
        <f>E4597*2500</f>
        <v>13250000</v>
      </c>
      <c r="N4597" s="932">
        <v>35000</v>
      </c>
      <c r="O4597" s="736"/>
      <c r="P4597" s="932"/>
      <c r="Q4597" s="586">
        <f t="shared" si="722"/>
        <v>283550</v>
      </c>
      <c r="R4597" s="599">
        <f>M4597/E4597</f>
        <v>2500</v>
      </c>
      <c r="S4597" s="592"/>
      <c r="T4597" s="592"/>
      <c r="U4597" s="591"/>
      <c r="V4597" s="592"/>
      <c r="W4597" s="592"/>
      <c r="X4597" s="592"/>
      <c r="Y4597" s="592"/>
      <c r="Z4597" s="592"/>
    </row>
    <row r="4598" spans="1:26" s="28" customFormat="1" hidden="1">
      <c r="A4598" s="937">
        <f t="shared" si="723"/>
        <v>6</v>
      </c>
      <c r="B4598" s="848" t="s">
        <v>3547</v>
      </c>
      <c r="C4598" s="922" t="s">
        <v>217</v>
      </c>
      <c r="D4598" s="922">
        <v>21777</v>
      </c>
      <c r="E4598" s="938">
        <v>5300</v>
      </c>
      <c r="F4598" s="700" t="s">
        <v>227</v>
      </c>
      <c r="G4598" s="939">
        <v>2154</v>
      </c>
      <c r="H4598" s="928">
        <v>5</v>
      </c>
      <c r="I4598" s="928">
        <v>8</v>
      </c>
      <c r="J4598" s="643">
        <v>120</v>
      </c>
      <c r="K4598" s="930" t="s">
        <v>226</v>
      </c>
      <c r="L4598" s="584">
        <f>SUM(M4598:Q4598)</f>
        <v>13568550</v>
      </c>
      <c r="M4598" s="931">
        <f>E4598*2500</f>
        <v>13250000</v>
      </c>
      <c r="N4598" s="932">
        <v>35000</v>
      </c>
      <c r="O4598" s="736"/>
      <c r="P4598" s="932"/>
      <c r="Q4598" s="586">
        <f t="shared" si="722"/>
        <v>283550</v>
      </c>
      <c r="R4598" s="599">
        <f>M4598/E4598</f>
        <v>2500</v>
      </c>
      <c r="S4598" s="592"/>
      <c r="T4598" s="592"/>
      <c r="U4598" s="591"/>
      <c r="V4598" s="592"/>
      <c r="W4598" s="592"/>
      <c r="X4598" s="592"/>
      <c r="Y4598" s="592"/>
      <c r="Z4598" s="592"/>
    </row>
    <row r="4599" spans="1:26" s="28" customFormat="1" hidden="1">
      <c r="A4599" s="937">
        <f t="shared" si="723"/>
        <v>7</v>
      </c>
      <c r="B4599" s="848" t="s">
        <v>3548</v>
      </c>
      <c r="C4599" s="922" t="s">
        <v>239</v>
      </c>
      <c r="D4599" s="922">
        <v>1840</v>
      </c>
      <c r="E4599" s="938">
        <v>428</v>
      </c>
      <c r="F4599" s="700" t="s">
        <v>251</v>
      </c>
      <c r="G4599" s="939">
        <v>373</v>
      </c>
      <c r="H4599" s="928">
        <v>2</v>
      </c>
      <c r="I4599" s="928">
        <v>1</v>
      </c>
      <c r="J4599" s="643">
        <v>8</v>
      </c>
      <c r="K4599" s="930" t="s">
        <v>33</v>
      </c>
      <c r="L4599" s="584">
        <f>M4599+N4599+O4599+P4599+Q4599</f>
        <v>1070250</v>
      </c>
      <c r="M4599" s="931">
        <f>G4599*2800</f>
        <v>1044400</v>
      </c>
      <c r="N4599" s="932">
        <v>3500</v>
      </c>
      <c r="O4599" s="736"/>
      <c r="P4599" s="932"/>
      <c r="Q4599" s="586">
        <f t="shared" si="722"/>
        <v>22350</v>
      </c>
      <c r="R4599" s="582">
        <f>M4599/G4599</f>
        <v>2800</v>
      </c>
      <c r="S4599" s="592"/>
      <c r="T4599" s="592"/>
      <c r="U4599" s="591"/>
      <c r="V4599" s="592"/>
      <c r="W4599" s="592"/>
      <c r="X4599" s="592"/>
      <c r="Y4599" s="592"/>
      <c r="Z4599" s="592"/>
    </row>
    <row r="4600" spans="1:26" s="28" customFormat="1" ht="409.5" hidden="1">
      <c r="A4600" s="937">
        <f t="shared" si="723"/>
        <v>8</v>
      </c>
      <c r="B4600" s="827" t="s">
        <v>1188</v>
      </c>
      <c r="C4600" s="593" t="s">
        <v>217</v>
      </c>
      <c r="D4600" s="878">
        <v>19527</v>
      </c>
      <c r="E4600" s="878">
        <v>3557</v>
      </c>
      <c r="F4600" s="878" t="s">
        <v>286</v>
      </c>
      <c r="G4600" s="878">
        <v>1550</v>
      </c>
      <c r="H4600" s="879">
        <v>5</v>
      </c>
      <c r="I4600" s="593">
        <v>6</v>
      </c>
      <c r="J4600" s="878">
        <v>120</v>
      </c>
      <c r="K4600" s="881" t="s">
        <v>33</v>
      </c>
      <c r="L4600" s="746">
        <f>M4600+N4600+O4600+P4600+Q4600</f>
        <v>3615076</v>
      </c>
      <c r="M4600" s="912">
        <v>3410000</v>
      </c>
      <c r="N4600" s="883">
        <v>33000</v>
      </c>
      <c r="O4600" s="884"/>
      <c r="P4600" s="883"/>
      <c r="Q4600" s="586">
        <v>172076</v>
      </c>
      <c r="R4600" s="599">
        <f>M4600/E4600</f>
        <v>958.67303907787459</v>
      </c>
      <c r="S4600" s="564">
        <f>L4600-M4600-N4600-O4600-P4600-Q4600</f>
        <v>0</v>
      </c>
      <c r="T4600" s="645" t="s">
        <v>3586</v>
      </c>
      <c r="U4600" s="738"/>
      <c r="V4600" s="589"/>
      <c r="W4600" s="592"/>
      <c r="X4600" s="645"/>
      <c r="Y4600" s="592"/>
      <c r="Z4600" s="592"/>
    </row>
    <row r="4601" spans="1:26" s="28" customFormat="1" hidden="1">
      <c r="A4601" s="1347" t="s">
        <v>361</v>
      </c>
      <c r="B4601" s="1347"/>
      <c r="C4601" s="591"/>
      <c r="D4601" s="646">
        <f>SUM(D4593:D4600)</f>
        <v>140928</v>
      </c>
      <c r="E4601" s="646">
        <f>SUM(E4593:E4600)</f>
        <v>26311</v>
      </c>
      <c r="F4601" s="646" t="s">
        <v>28</v>
      </c>
      <c r="G4601" s="646">
        <f>SUM(G4593:G4600)</f>
        <v>12402</v>
      </c>
      <c r="H4601" s="646" t="s">
        <v>28</v>
      </c>
      <c r="I4601" s="646" t="s">
        <v>28</v>
      </c>
      <c r="J4601" s="646">
        <f>SUM(J4593:J4600)</f>
        <v>676</v>
      </c>
      <c r="K4601" s="606" t="s">
        <v>28</v>
      </c>
      <c r="L4601" s="584">
        <f t="shared" ref="L4601:Q4601" si="724">SUM(L4593:L4600)</f>
        <v>41806705</v>
      </c>
      <c r="M4601" s="585">
        <f t="shared" si="724"/>
        <v>40652000</v>
      </c>
      <c r="N4601" s="586">
        <f t="shared" si="724"/>
        <v>176500</v>
      </c>
      <c r="O4601" s="587">
        <f t="shared" si="724"/>
        <v>9150</v>
      </c>
      <c r="P4601" s="586">
        <f t="shared" si="724"/>
        <v>0</v>
      </c>
      <c r="Q4601" s="586">
        <f t="shared" si="724"/>
        <v>969055</v>
      </c>
      <c r="R4601" s="582" t="s">
        <v>28</v>
      </c>
      <c r="S4601" s="592">
        <f>SUBTOTAL(9,M4601:Q4601)</f>
        <v>41806705</v>
      </c>
      <c r="T4601" s="645">
        <f>S4601-L4601</f>
        <v>0</v>
      </c>
      <c r="U4601" s="591"/>
      <c r="V4601" s="592"/>
      <c r="W4601" s="592"/>
      <c r="X4601" s="592"/>
      <c r="Y4601" s="592"/>
      <c r="Z4601" s="592"/>
    </row>
    <row r="4602" spans="1:26" s="36" customFormat="1" hidden="1">
      <c r="A4602" s="1347" t="s">
        <v>166</v>
      </c>
      <c r="B4602" s="1347"/>
      <c r="C4602" s="1347"/>
      <c r="D4602" s="1347"/>
      <c r="E4602" s="1347"/>
      <c r="F4602" s="1347"/>
      <c r="G4602" s="1347"/>
      <c r="H4602" s="1347"/>
      <c r="I4602" s="1347"/>
      <c r="J4602" s="1347"/>
      <c r="K4602" s="1347"/>
      <c r="L4602" s="1347"/>
      <c r="M4602" s="1347"/>
      <c r="N4602" s="1347"/>
      <c r="O4602" s="1347"/>
      <c r="P4602" s="1347"/>
      <c r="Q4602" s="1347"/>
      <c r="R4602" s="590"/>
      <c r="S4602" s="593"/>
      <c r="T4602" s="593"/>
      <c r="U4602" s="591"/>
      <c r="V4602" s="593"/>
      <c r="W4602" s="593"/>
      <c r="X4602" s="593"/>
      <c r="Y4602" s="593"/>
      <c r="Z4602" s="593"/>
    </row>
    <row r="4603" spans="1:26" s="36" customFormat="1" ht="37.5" hidden="1">
      <c r="A4603" s="591">
        <v>1</v>
      </c>
      <c r="B4603" s="592" t="s">
        <v>3549</v>
      </c>
      <c r="C4603" s="593" t="s">
        <v>298</v>
      </c>
      <c r="D4603" s="913">
        <f t="shared" ref="D4603:D4616" si="725">E4603/1.16/2*13</f>
        <v>18502.586206896551</v>
      </c>
      <c r="E4603" s="602">
        <v>3302</v>
      </c>
      <c r="F4603" s="593" t="s">
        <v>218</v>
      </c>
      <c r="G4603" s="602">
        <v>1395</v>
      </c>
      <c r="H4603" s="796">
        <v>5</v>
      </c>
      <c r="I4603" s="796">
        <v>6</v>
      </c>
      <c r="J4603" s="602">
        <v>100</v>
      </c>
      <c r="K4603" s="606" t="s">
        <v>33</v>
      </c>
      <c r="L4603" s="562">
        <f t="shared" ref="L4603:L4626" si="726">SUM(M4603:Q4603)</f>
        <v>3429691</v>
      </c>
      <c r="M4603" s="585">
        <v>3348000</v>
      </c>
      <c r="N4603" s="586"/>
      <c r="O4603" s="587">
        <v>10044</v>
      </c>
      <c r="P4603" s="586"/>
      <c r="Q4603" s="586">
        <v>71647</v>
      </c>
      <c r="R4603" s="582">
        <f>M4603/G4603</f>
        <v>2400</v>
      </c>
      <c r="S4603" s="593"/>
      <c r="T4603" s="593"/>
      <c r="U4603" s="591"/>
      <c r="V4603" s="593"/>
      <c r="W4603" s="593"/>
      <c r="X4603" s="593"/>
      <c r="Y4603" s="593"/>
      <c r="Z4603" s="593"/>
    </row>
    <row r="4604" spans="1:26" s="36" customFormat="1" ht="37.5" hidden="1">
      <c r="A4604" s="591">
        <f>A4603+1</f>
        <v>2</v>
      </c>
      <c r="B4604" s="592" t="s">
        <v>2160</v>
      </c>
      <c r="C4604" s="593" t="s">
        <v>298</v>
      </c>
      <c r="D4604" s="913">
        <f>E4604/1.16/2*13</f>
        <v>26285.775862068967</v>
      </c>
      <c r="E4604" s="602">
        <v>4691</v>
      </c>
      <c r="F4604" s="593" t="s">
        <v>218</v>
      </c>
      <c r="G4604" s="602">
        <v>468</v>
      </c>
      <c r="H4604" s="796">
        <v>12</v>
      </c>
      <c r="I4604" s="796">
        <v>1</v>
      </c>
      <c r="J4604" s="602">
        <v>77</v>
      </c>
      <c r="K4604" s="606" t="s">
        <v>30</v>
      </c>
      <c r="L4604" s="562">
        <f t="shared" si="726"/>
        <v>2129728</v>
      </c>
      <c r="M4604" s="585">
        <v>2079000</v>
      </c>
      <c r="N4604" s="586"/>
      <c r="O4604" s="587">
        <v>6237</v>
      </c>
      <c r="P4604" s="586"/>
      <c r="Q4604" s="586">
        <v>44491</v>
      </c>
      <c r="R4604" s="582">
        <f>M4604/J4604</f>
        <v>27000</v>
      </c>
      <c r="S4604" s="593"/>
      <c r="T4604" s="593"/>
      <c r="U4604" s="591"/>
      <c r="V4604" s="593"/>
      <c r="W4604" s="593"/>
      <c r="X4604" s="593"/>
      <c r="Y4604" s="593"/>
      <c r="Z4604" s="593"/>
    </row>
    <row r="4605" spans="1:26" s="36" customFormat="1" ht="37.5" hidden="1">
      <c r="A4605" s="591">
        <f t="shared" ref="A4605:A4630" si="727">A4604+1</f>
        <v>3</v>
      </c>
      <c r="B4605" s="592" t="s">
        <v>3550</v>
      </c>
      <c r="C4605" s="593" t="s">
        <v>298</v>
      </c>
      <c r="D4605" s="913">
        <f t="shared" si="725"/>
        <v>42395.689655172413</v>
      </c>
      <c r="E4605" s="602">
        <v>7566</v>
      </c>
      <c r="F4605" s="593" t="s">
        <v>218</v>
      </c>
      <c r="G4605" s="602">
        <v>3567</v>
      </c>
      <c r="H4605" s="796">
        <v>9</v>
      </c>
      <c r="I4605" s="796">
        <v>6</v>
      </c>
      <c r="J4605" s="602">
        <v>288</v>
      </c>
      <c r="K4605" s="606" t="s">
        <v>33</v>
      </c>
      <c r="L4605" s="562">
        <f t="shared" si="726"/>
        <v>8769683</v>
      </c>
      <c r="M4605" s="585">
        <v>8560800</v>
      </c>
      <c r="N4605" s="586"/>
      <c r="O4605" s="587">
        <v>25682</v>
      </c>
      <c r="P4605" s="586"/>
      <c r="Q4605" s="586">
        <v>183201</v>
      </c>
      <c r="R4605" s="582">
        <f>M4605/G4605</f>
        <v>2400</v>
      </c>
      <c r="S4605" s="593"/>
      <c r="T4605" s="593"/>
      <c r="U4605" s="591"/>
      <c r="V4605" s="593"/>
      <c r="W4605" s="593"/>
      <c r="X4605" s="593"/>
      <c r="Y4605" s="593"/>
      <c r="Z4605" s="593"/>
    </row>
    <row r="4606" spans="1:26" s="36" customFormat="1" hidden="1">
      <c r="A4606" s="591">
        <f t="shared" si="727"/>
        <v>4</v>
      </c>
      <c r="B4606" s="592" t="s">
        <v>3551</v>
      </c>
      <c r="C4606" s="593" t="s">
        <v>217</v>
      </c>
      <c r="D4606" s="913">
        <f t="shared" si="725"/>
        <v>20844.827586206899</v>
      </c>
      <c r="E4606" s="602">
        <v>3720</v>
      </c>
      <c r="F4606" s="593" t="s">
        <v>218</v>
      </c>
      <c r="G4606" s="602">
        <v>638</v>
      </c>
      <c r="H4606" s="796">
        <v>9</v>
      </c>
      <c r="I4606" s="796">
        <v>2</v>
      </c>
      <c r="J4606" s="602">
        <v>72</v>
      </c>
      <c r="K4606" s="606" t="s">
        <v>226</v>
      </c>
      <c r="L4606" s="562">
        <f t="shared" si="726"/>
        <v>9913981</v>
      </c>
      <c r="M4606" s="585">
        <v>9672000</v>
      </c>
      <c r="N4606" s="586">
        <v>35000</v>
      </c>
      <c r="O4606" s="587"/>
      <c r="P4606" s="586"/>
      <c r="Q4606" s="586">
        <v>206981</v>
      </c>
      <c r="R4606" s="599">
        <f>M4606/E4606</f>
        <v>2600</v>
      </c>
      <c r="S4606" s="593"/>
      <c r="T4606" s="593"/>
      <c r="U4606" s="591"/>
      <c r="V4606" s="593"/>
      <c r="W4606" s="593"/>
      <c r="X4606" s="593"/>
      <c r="Y4606" s="593"/>
      <c r="Z4606" s="593"/>
    </row>
    <row r="4607" spans="1:26" s="36" customFormat="1" hidden="1">
      <c r="A4607" s="591">
        <f t="shared" si="727"/>
        <v>5</v>
      </c>
      <c r="B4607" s="592" t="s">
        <v>3552</v>
      </c>
      <c r="C4607" s="593" t="s">
        <v>217</v>
      </c>
      <c r="D4607" s="913">
        <f t="shared" si="725"/>
        <v>11050.000000000002</v>
      </c>
      <c r="E4607" s="602">
        <v>1972</v>
      </c>
      <c r="F4607" s="593" t="s">
        <v>218</v>
      </c>
      <c r="G4607" s="602">
        <v>339</v>
      </c>
      <c r="H4607" s="796">
        <v>9</v>
      </c>
      <c r="I4607" s="796">
        <v>1</v>
      </c>
      <c r="J4607" s="602">
        <v>36</v>
      </c>
      <c r="K4607" s="606" t="s">
        <v>226</v>
      </c>
      <c r="L4607" s="562">
        <f t="shared" si="726"/>
        <v>5271922</v>
      </c>
      <c r="M4607" s="585">
        <v>5127200</v>
      </c>
      <c r="N4607" s="586">
        <v>35000</v>
      </c>
      <c r="O4607" s="587"/>
      <c r="P4607" s="586"/>
      <c r="Q4607" s="586">
        <v>109722</v>
      </c>
      <c r="R4607" s="599">
        <f>M4607/E4607</f>
        <v>2600</v>
      </c>
      <c r="S4607" s="593"/>
      <c r="T4607" s="593"/>
      <c r="U4607" s="591"/>
      <c r="V4607" s="593"/>
      <c r="W4607" s="593"/>
      <c r="X4607" s="593"/>
      <c r="Y4607" s="593"/>
      <c r="Z4607" s="593"/>
    </row>
    <row r="4608" spans="1:26" s="36" customFormat="1" ht="37.5" hidden="1">
      <c r="A4608" s="591">
        <f t="shared" si="727"/>
        <v>6</v>
      </c>
      <c r="B4608" s="592" t="s">
        <v>3553</v>
      </c>
      <c r="C4608" s="593" t="s">
        <v>298</v>
      </c>
      <c r="D4608" s="913">
        <f t="shared" si="725"/>
        <v>9637.9310344827591</v>
      </c>
      <c r="E4608" s="602">
        <v>1720</v>
      </c>
      <c r="F4608" s="593" t="s">
        <v>251</v>
      </c>
      <c r="G4608" s="602">
        <v>1327</v>
      </c>
      <c r="H4608" s="796">
        <v>5</v>
      </c>
      <c r="I4608" s="796">
        <v>4</v>
      </c>
      <c r="J4608" s="602">
        <v>80</v>
      </c>
      <c r="K4608" s="606" t="s">
        <v>33</v>
      </c>
      <c r="L4608" s="562">
        <f t="shared" si="726"/>
        <v>3830114</v>
      </c>
      <c r="M4608" s="585">
        <v>3715600</v>
      </c>
      <c r="N4608" s="586">
        <v>35000</v>
      </c>
      <c r="O4608" s="587"/>
      <c r="P4608" s="586"/>
      <c r="Q4608" s="586">
        <v>79514</v>
      </c>
      <c r="R4608" s="582">
        <f>M4608/G4608</f>
        <v>2800</v>
      </c>
      <c r="S4608" s="593"/>
      <c r="T4608" s="593"/>
      <c r="U4608" s="591"/>
      <c r="V4608" s="593"/>
      <c r="W4608" s="593"/>
      <c r="X4608" s="593"/>
      <c r="Y4608" s="593"/>
      <c r="Z4608" s="593"/>
    </row>
    <row r="4609" spans="1:26" s="36" customFormat="1" ht="37.5" hidden="1">
      <c r="A4609" s="591">
        <f t="shared" si="727"/>
        <v>7</v>
      </c>
      <c r="B4609" s="592" t="s">
        <v>3554</v>
      </c>
      <c r="C4609" s="593" t="s">
        <v>298</v>
      </c>
      <c r="D4609" s="913">
        <f t="shared" si="725"/>
        <v>6920.2586206896558</v>
      </c>
      <c r="E4609" s="602">
        <v>1235</v>
      </c>
      <c r="F4609" s="593" t="s">
        <v>218</v>
      </c>
      <c r="G4609" s="602">
        <v>442</v>
      </c>
      <c r="H4609" s="796">
        <v>5</v>
      </c>
      <c r="I4609" s="796">
        <v>2</v>
      </c>
      <c r="J4609" s="602">
        <v>20</v>
      </c>
      <c r="K4609" s="606" t="s">
        <v>226</v>
      </c>
      <c r="L4609" s="562">
        <f t="shared" si="726"/>
        <v>3305403</v>
      </c>
      <c r="M4609" s="585">
        <v>3211000</v>
      </c>
      <c r="N4609" s="586">
        <v>25688</v>
      </c>
      <c r="O4609" s="587"/>
      <c r="P4609" s="586"/>
      <c r="Q4609" s="586">
        <v>68715</v>
      </c>
      <c r="R4609" s="599">
        <f>M4609/E4609</f>
        <v>2600</v>
      </c>
      <c r="S4609" s="593"/>
      <c r="T4609" s="593"/>
      <c r="U4609" s="591"/>
      <c r="V4609" s="593"/>
      <c r="W4609" s="593"/>
      <c r="X4609" s="593"/>
      <c r="Y4609" s="593"/>
      <c r="Z4609" s="593"/>
    </row>
    <row r="4610" spans="1:26" s="36" customFormat="1" ht="37.5" hidden="1">
      <c r="A4610" s="591">
        <f t="shared" si="727"/>
        <v>8</v>
      </c>
      <c r="B4610" s="592" t="s">
        <v>3555</v>
      </c>
      <c r="C4610" s="593" t="s">
        <v>298</v>
      </c>
      <c r="D4610" s="913">
        <f t="shared" si="725"/>
        <v>7368.5344827586214</v>
      </c>
      <c r="E4610" s="602">
        <v>1315</v>
      </c>
      <c r="F4610" s="593" t="s">
        <v>218</v>
      </c>
      <c r="G4610" s="602">
        <v>3091</v>
      </c>
      <c r="H4610" s="796">
        <v>9</v>
      </c>
      <c r="I4610" s="796">
        <v>10</v>
      </c>
      <c r="J4610" s="602">
        <v>360</v>
      </c>
      <c r="K4610" s="606" t="s">
        <v>238</v>
      </c>
      <c r="L4610" s="562">
        <f t="shared" si="726"/>
        <v>11382540</v>
      </c>
      <c r="M4610" s="585">
        <v>11100000</v>
      </c>
      <c r="N4610" s="586">
        <v>45000</v>
      </c>
      <c r="O4610" s="587"/>
      <c r="P4610" s="586"/>
      <c r="Q4610" s="586">
        <v>237540</v>
      </c>
      <c r="R4610" s="582">
        <f>M4610/J4610</f>
        <v>30833.333333333332</v>
      </c>
      <c r="S4610" s="593"/>
      <c r="T4610" s="593"/>
      <c r="U4610" s="591"/>
      <c r="V4610" s="593"/>
      <c r="W4610" s="593"/>
      <c r="X4610" s="593"/>
      <c r="Y4610" s="593"/>
      <c r="Z4610" s="593"/>
    </row>
    <row r="4611" spans="1:26" s="36" customFormat="1" ht="37.5" hidden="1">
      <c r="A4611" s="591">
        <f t="shared" si="727"/>
        <v>9</v>
      </c>
      <c r="B4611" s="592" t="s">
        <v>3556</v>
      </c>
      <c r="C4611" s="593" t="s">
        <v>298</v>
      </c>
      <c r="D4611" s="913">
        <f t="shared" si="725"/>
        <v>19993.103448275866</v>
      </c>
      <c r="E4611" s="602">
        <v>3568</v>
      </c>
      <c r="F4611" s="593" t="s">
        <v>218</v>
      </c>
      <c r="G4611" s="602">
        <v>847</v>
      </c>
      <c r="H4611" s="796">
        <v>9</v>
      </c>
      <c r="I4611" s="796">
        <v>2</v>
      </c>
      <c r="J4611" s="602">
        <v>102</v>
      </c>
      <c r="K4611" s="606" t="s">
        <v>226</v>
      </c>
      <c r="L4611" s="562">
        <f t="shared" si="726"/>
        <v>9568092</v>
      </c>
      <c r="M4611" s="585">
        <v>9276800</v>
      </c>
      <c r="N4611" s="586">
        <v>92768</v>
      </c>
      <c r="O4611" s="587"/>
      <c r="P4611" s="586"/>
      <c r="Q4611" s="586">
        <v>198524</v>
      </c>
      <c r="R4611" s="599">
        <f>M4611/E4611</f>
        <v>2600</v>
      </c>
      <c r="S4611" s="593"/>
      <c r="T4611" s="593"/>
      <c r="U4611" s="591"/>
      <c r="V4611" s="593"/>
      <c r="W4611" s="593"/>
      <c r="X4611" s="593"/>
      <c r="Y4611" s="593"/>
      <c r="Z4611" s="593"/>
    </row>
    <row r="4612" spans="1:26" s="36" customFormat="1" ht="37.5" hidden="1">
      <c r="A4612" s="591">
        <f t="shared" si="727"/>
        <v>10</v>
      </c>
      <c r="B4612" s="592" t="s">
        <v>2199</v>
      </c>
      <c r="C4612" s="593" t="s">
        <v>298</v>
      </c>
      <c r="D4612" s="913">
        <f t="shared" si="725"/>
        <v>55586.206896551725</v>
      </c>
      <c r="E4612" s="602">
        <v>9920</v>
      </c>
      <c r="F4612" s="593" t="s">
        <v>218</v>
      </c>
      <c r="G4612" s="602">
        <v>1798</v>
      </c>
      <c r="H4612" s="796">
        <v>9</v>
      </c>
      <c r="I4612" s="796">
        <v>5</v>
      </c>
      <c r="J4612" s="602">
        <v>180</v>
      </c>
      <c r="K4612" s="606" t="s">
        <v>226</v>
      </c>
      <c r="L4612" s="562">
        <f t="shared" si="726"/>
        <v>26383949</v>
      </c>
      <c r="M4612" s="585">
        <v>25792000</v>
      </c>
      <c r="N4612" s="586">
        <v>40000</v>
      </c>
      <c r="O4612" s="587"/>
      <c r="P4612" s="586"/>
      <c r="Q4612" s="586">
        <v>551949</v>
      </c>
      <c r="R4612" s="599">
        <f>M4612/E4612</f>
        <v>2600</v>
      </c>
      <c r="S4612" s="593"/>
      <c r="T4612" s="593"/>
      <c r="U4612" s="591"/>
      <c r="V4612" s="593"/>
      <c r="W4612" s="593"/>
      <c r="X4612" s="593"/>
      <c r="Y4612" s="593"/>
      <c r="Z4612" s="593"/>
    </row>
    <row r="4613" spans="1:26" s="36" customFormat="1" ht="37.5" hidden="1">
      <c r="A4613" s="591">
        <f t="shared" si="727"/>
        <v>11</v>
      </c>
      <c r="B4613" s="592" t="s">
        <v>3557</v>
      </c>
      <c r="C4613" s="593" t="s">
        <v>298</v>
      </c>
      <c r="D4613" s="913">
        <f t="shared" si="725"/>
        <v>50005.172413793101</v>
      </c>
      <c r="E4613" s="602">
        <v>8924</v>
      </c>
      <c r="F4613" s="593" t="s">
        <v>218</v>
      </c>
      <c r="G4613" s="602">
        <v>4207</v>
      </c>
      <c r="H4613" s="796">
        <v>9</v>
      </c>
      <c r="I4613" s="796">
        <v>6</v>
      </c>
      <c r="J4613" s="602">
        <v>272</v>
      </c>
      <c r="K4613" s="606" t="s">
        <v>33</v>
      </c>
      <c r="L4613" s="562">
        <f t="shared" si="726"/>
        <v>10343162</v>
      </c>
      <c r="M4613" s="585">
        <v>10096800</v>
      </c>
      <c r="N4613" s="586"/>
      <c r="O4613" s="587">
        <v>30290</v>
      </c>
      <c r="P4613" s="586"/>
      <c r="Q4613" s="586">
        <v>216072</v>
      </c>
      <c r="R4613" s="582">
        <f>M4613/G4613</f>
        <v>2400</v>
      </c>
      <c r="S4613" s="593"/>
      <c r="T4613" s="593"/>
      <c r="U4613" s="591"/>
      <c r="V4613" s="593"/>
      <c r="W4613" s="593"/>
      <c r="X4613" s="593"/>
      <c r="Y4613" s="593"/>
      <c r="Z4613" s="593"/>
    </row>
    <row r="4614" spans="1:26" s="36" customFormat="1" ht="37.5" hidden="1">
      <c r="A4614" s="591">
        <f t="shared" si="727"/>
        <v>12</v>
      </c>
      <c r="B4614" s="592" t="s">
        <v>3558</v>
      </c>
      <c r="C4614" s="593" t="s">
        <v>298</v>
      </c>
      <c r="D4614" s="913">
        <f t="shared" si="725"/>
        <v>19477.586206896551</v>
      </c>
      <c r="E4614" s="602">
        <v>3476</v>
      </c>
      <c r="F4614" s="593" t="s">
        <v>218</v>
      </c>
      <c r="G4614" s="602">
        <v>536</v>
      </c>
      <c r="H4614" s="796">
        <v>9</v>
      </c>
      <c r="I4614" s="796">
        <v>1</v>
      </c>
      <c r="J4614" s="602">
        <v>71</v>
      </c>
      <c r="K4614" s="606" t="s">
        <v>226</v>
      </c>
      <c r="L4614" s="562">
        <f t="shared" si="726"/>
        <v>9321381</v>
      </c>
      <c r="M4614" s="585">
        <v>9037600</v>
      </c>
      <c r="N4614" s="586">
        <v>90376</v>
      </c>
      <c r="O4614" s="587"/>
      <c r="P4614" s="586"/>
      <c r="Q4614" s="586">
        <v>193405</v>
      </c>
      <c r="R4614" s="599">
        <f>M4614/E4614</f>
        <v>2600</v>
      </c>
      <c r="S4614" s="593"/>
      <c r="T4614" s="593"/>
      <c r="U4614" s="591"/>
      <c r="V4614" s="593"/>
      <c r="W4614" s="593"/>
      <c r="X4614" s="593"/>
      <c r="Y4614" s="593"/>
      <c r="Z4614" s="593"/>
    </row>
    <row r="4615" spans="1:26" s="36" customFormat="1" ht="37.5" hidden="1">
      <c r="A4615" s="591">
        <f t="shared" si="727"/>
        <v>13</v>
      </c>
      <c r="B4615" s="592" t="s">
        <v>3559</v>
      </c>
      <c r="C4615" s="593" t="s">
        <v>298</v>
      </c>
      <c r="D4615" s="913">
        <f t="shared" si="725"/>
        <v>41331.034482758623</v>
      </c>
      <c r="E4615" s="602">
        <v>7376</v>
      </c>
      <c r="F4615" s="593" t="s">
        <v>218</v>
      </c>
      <c r="G4615" s="602">
        <v>2264</v>
      </c>
      <c r="H4615" s="796">
        <v>5</v>
      </c>
      <c r="I4615" s="796">
        <v>14</v>
      </c>
      <c r="J4615" s="602">
        <v>219</v>
      </c>
      <c r="K4615" s="606" t="s">
        <v>33</v>
      </c>
      <c r="L4615" s="562">
        <f t="shared" si="726"/>
        <v>5566180</v>
      </c>
      <c r="M4615" s="585">
        <v>5433600</v>
      </c>
      <c r="N4615" s="586"/>
      <c r="O4615" s="587">
        <v>16301</v>
      </c>
      <c r="P4615" s="586"/>
      <c r="Q4615" s="586">
        <v>116279</v>
      </c>
      <c r="R4615" s="582">
        <f>M4615/G4615</f>
        <v>2400</v>
      </c>
      <c r="S4615" s="593"/>
      <c r="T4615" s="593"/>
      <c r="U4615" s="591"/>
      <c r="V4615" s="593"/>
      <c r="W4615" s="593"/>
      <c r="X4615" s="593"/>
      <c r="Y4615" s="593"/>
      <c r="Z4615" s="593"/>
    </row>
    <row r="4616" spans="1:26" s="36" customFormat="1" hidden="1">
      <c r="A4616" s="591">
        <f t="shared" si="727"/>
        <v>14</v>
      </c>
      <c r="B4616" s="592" t="s">
        <v>3560</v>
      </c>
      <c r="C4616" s="593" t="s">
        <v>217</v>
      </c>
      <c r="D4616" s="913">
        <f t="shared" si="725"/>
        <v>20060.344827586207</v>
      </c>
      <c r="E4616" s="602">
        <v>3580</v>
      </c>
      <c r="F4616" s="593" t="s">
        <v>218</v>
      </c>
      <c r="G4616" s="602">
        <v>934</v>
      </c>
      <c r="H4616" s="796">
        <v>9</v>
      </c>
      <c r="I4616" s="796">
        <v>3</v>
      </c>
      <c r="J4616" s="602">
        <v>108</v>
      </c>
      <c r="K4616" s="606" t="s">
        <v>226</v>
      </c>
      <c r="L4616" s="562">
        <f t="shared" si="726"/>
        <v>9600271</v>
      </c>
      <c r="M4616" s="585">
        <v>9308000</v>
      </c>
      <c r="N4616" s="586">
        <v>93080</v>
      </c>
      <c r="O4616" s="587"/>
      <c r="P4616" s="586"/>
      <c r="Q4616" s="586">
        <v>199191</v>
      </c>
      <c r="R4616" s="599">
        <f>M4616/E4616</f>
        <v>2600</v>
      </c>
      <c r="S4616" s="593"/>
      <c r="T4616" s="593"/>
      <c r="U4616" s="591"/>
      <c r="V4616" s="593"/>
      <c r="W4616" s="593"/>
      <c r="X4616" s="593"/>
      <c r="Y4616" s="593"/>
      <c r="Z4616" s="593"/>
    </row>
    <row r="4617" spans="1:26" s="36" customFormat="1" ht="37.5" hidden="1">
      <c r="A4617" s="591">
        <f t="shared" si="727"/>
        <v>15</v>
      </c>
      <c r="B4617" s="592" t="s">
        <v>3561</v>
      </c>
      <c r="C4617" s="593" t="s">
        <v>298</v>
      </c>
      <c r="D4617" s="913"/>
      <c r="E4617" s="602">
        <v>2306</v>
      </c>
      <c r="F4617" s="593" t="s">
        <v>251</v>
      </c>
      <c r="G4617" s="602">
        <v>1148.4000000000001</v>
      </c>
      <c r="H4617" s="796">
        <v>5</v>
      </c>
      <c r="I4617" s="796">
        <v>4</v>
      </c>
      <c r="J4617" s="602">
        <v>80</v>
      </c>
      <c r="K4617" s="606" t="s">
        <v>33</v>
      </c>
      <c r="L4617" s="562">
        <f t="shared" si="726"/>
        <v>3319332.0000000005</v>
      </c>
      <c r="M4617" s="585">
        <v>3215520.0000000005</v>
      </c>
      <c r="N4617" s="586">
        <v>35000</v>
      </c>
      <c r="O4617" s="587"/>
      <c r="P4617" s="586"/>
      <c r="Q4617" s="586">
        <v>68812</v>
      </c>
      <c r="R4617" s="582">
        <f>M4617/G4617</f>
        <v>2800</v>
      </c>
      <c r="S4617" s="593"/>
      <c r="T4617" s="593"/>
      <c r="U4617" s="591"/>
      <c r="V4617" s="593"/>
      <c r="W4617" s="593"/>
      <c r="X4617" s="593"/>
      <c r="Y4617" s="593"/>
      <c r="Z4617" s="593"/>
    </row>
    <row r="4618" spans="1:26" s="36" customFormat="1" ht="37.5" hidden="1">
      <c r="A4618" s="591">
        <f t="shared" si="727"/>
        <v>16</v>
      </c>
      <c r="B4618" s="592" t="s">
        <v>3562</v>
      </c>
      <c r="C4618" s="593" t="s">
        <v>298</v>
      </c>
      <c r="D4618" s="913">
        <f>28069+6131</f>
        <v>34200</v>
      </c>
      <c r="E4618" s="602">
        <f>4040.1+1094</f>
        <v>5134.1000000000004</v>
      </c>
      <c r="F4618" s="593" t="s">
        <v>218</v>
      </c>
      <c r="G4618" s="602">
        <f>578+540</f>
        <v>1118</v>
      </c>
      <c r="H4618" s="796">
        <v>9</v>
      </c>
      <c r="I4618" s="796">
        <v>1</v>
      </c>
      <c r="J4618" s="602">
        <f>160+71</f>
        <v>231</v>
      </c>
      <c r="K4618" s="606" t="s">
        <v>30</v>
      </c>
      <c r="L4618" s="562">
        <f t="shared" si="726"/>
        <v>7099092</v>
      </c>
      <c r="M4618" s="585">
        <v>6930000</v>
      </c>
      <c r="N4618" s="586"/>
      <c r="O4618" s="587">
        <v>20790</v>
      </c>
      <c r="P4618" s="586"/>
      <c r="Q4618" s="586">
        <v>148302</v>
      </c>
      <c r="R4618" s="582">
        <f>M4618/J4618</f>
        <v>30000</v>
      </c>
      <c r="S4618" s="593"/>
      <c r="T4618" s="593"/>
      <c r="U4618" s="591"/>
      <c r="V4618" s="593"/>
      <c r="W4618" s="593"/>
      <c r="X4618" s="593"/>
      <c r="Y4618" s="593"/>
      <c r="Z4618" s="593"/>
    </row>
    <row r="4619" spans="1:26" s="36" customFormat="1" ht="37.5" hidden="1">
      <c r="A4619" s="591">
        <f t="shared" si="727"/>
        <v>17</v>
      </c>
      <c r="B4619" s="592" t="s">
        <v>3563</v>
      </c>
      <c r="C4619" s="593" t="s">
        <v>298</v>
      </c>
      <c r="D4619" s="913">
        <f>E4619/1.16/2*13</f>
        <v>24262.931034482761</v>
      </c>
      <c r="E4619" s="602">
        <v>4330</v>
      </c>
      <c r="F4619" s="593" t="s">
        <v>218</v>
      </c>
      <c r="G4619" s="602">
        <v>1650</v>
      </c>
      <c r="H4619" s="796">
        <v>5</v>
      </c>
      <c r="I4619" s="796">
        <v>8</v>
      </c>
      <c r="J4619" s="602">
        <v>118</v>
      </c>
      <c r="K4619" s="606" t="s">
        <v>38</v>
      </c>
      <c r="L4619" s="562">
        <f t="shared" si="726"/>
        <v>7984174</v>
      </c>
      <c r="M4619" s="585">
        <v>7794000</v>
      </c>
      <c r="N4619" s="586"/>
      <c r="O4619" s="587">
        <v>23382</v>
      </c>
      <c r="P4619" s="586"/>
      <c r="Q4619" s="586">
        <v>166792</v>
      </c>
      <c r="R4619" s="599">
        <f>M4619/E4619</f>
        <v>1800</v>
      </c>
      <c r="S4619" s="593"/>
      <c r="T4619" s="593"/>
      <c r="U4619" s="591"/>
      <c r="V4619" s="593"/>
      <c r="W4619" s="593"/>
      <c r="X4619" s="593"/>
      <c r="Y4619" s="593"/>
      <c r="Z4619" s="593"/>
    </row>
    <row r="4620" spans="1:26" s="36" customFormat="1" ht="37.5" hidden="1">
      <c r="A4620" s="591">
        <f t="shared" si="727"/>
        <v>18</v>
      </c>
      <c r="B4620" s="592" t="s">
        <v>3564</v>
      </c>
      <c r="C4620" s="593" t="s">
        <v>298</v>
      </c>
      <c r="D4620" s="913">
        <f>E4620/1.16/2*13</f>
        <v>20592.672413793105</v>
      </c>
      <c r="E4620" s="602">
        <v>3675</v>
      </c>
      <c r="F4620" s="593" t="s">
        <v>218</v>
      </c>
      <c r="G4620" s="602">
        <v>1580</v>
      </c>
      <c r="H4620" s="796">
        <v>5</v>
      </c>
      <c r="I4620" s="796">
        <v>7</v>
      </c>
      <c r="J4620" s="602">
        <v>105</v>
      </c>
      <c r="K4620" s="606" t="s">
        <v>226</v>
      </c>
      <c r="L4620" s="562">
        <f t="shared" si="726"/>
        <v>9799477</v>
      </c>
      <c r="M4620" s="585">
        <v>9555000</v>
      </c>
      <c r="N4620" s="586">
        <v>40000</v>
      </c>
      <c r="O4620" s="587"/>
      <c r="P4620" s="586"/>
      <c r="Q4620" s="586">
        <v>204477</v>
      </c>
      <c r="R4620" s="599">
        <f>M4620/E4620</f>
        <v>2600</v>
      </c>
      <c r="S4620" s="593"/>
      <c r="T4620" s="593"/>
      <c r="U4620" s="591"/>
      <c r="V4620" s="593"/>
      <c r="W4620" s="593"/>
      <c r="X4620" s="593"/>
      <c r="Y4620" s="593"/>
      <c r="Z4620" s="593"/>
    </row>
    <row r="4621" spans="1:26" s="36" customFormat="1" ht="37.5" hidden="1">
      <c r="A4621" s="591">
        <f t="shared" si="727"/>
        <v>19</v>
      </c>
      <c r="B4621" s="592" t="s">
        <v>3565</v>
      </c>
      <c r="C4621" s="593" t="s">
        <v>298</v>
      </c>
      <c r="D4621" s="913">
        <f>E4621/1.16/2*13</f>
        <v>14456.896551724138</v>
      </c>
      <c r="E4621" s="602">
        <v>2580</v>
      </c>
      <c r="F4621" s="593" t="s">
        <v>218</v>
      </c>
      <c r="G4621" s="602">
        <v>940.4</v>
      </c>
      <c r="H4621" s="796">
        <v>5</v>
      </c>
      <c r="I4621" s="796">
        <v>4</v>
      </c>
      <c r="J4621" s="602">
        <v>70</v>
      </c>
      <c r="K4621" s="606" t="s">
        <v>259</v>
      </c>
      <c r="L4621" s="562">
        <f t="shared" si="726"/>
        <v>6886551</v>
      </c>
      <c r="M4621" s="585">
        <v>6708000</v>
      </c>
      <c r="N4621" s="586">
        <v>35000</v>
      </c>
      <c r="O4621" s="587"/>
      <c r="P4621" s="586"/>
      <c r="Q4621" s="586">
        <v>143551</v>
      </c>
      <c r="R4621" s="599">
        <f>M4621/E4621</f>
        <v>2600</v>
      </c>
      <c r="S4621" s="593"/>
      <c r="T4621" s="593"/>
      <c r="U4621" s="591"/>
      <c r="V4621" s="593"/>
      <c r="W4621" s="593"/>
      <c r="X4621" s="593"/>
      <c r="Y4621" s="593"/>
      <c r="Z4621" s="593"/>
    </row>
    <row r="4622" spans="1:26" s="36" customFormat="1" ht="37.5" hidden="1">
      <c r="A4622" s="591">
        <f t="shared" si="727"/>
        <v>20</v>
      </c>
      <c r="B4622" s="592" t="s">
        <v>3566</v>
      </c>
      <c r="C4622" s="593" t="s">
        <v>298</v>
      </c>
      <c r="D4622" s="913">
        <f>E4622/1.16/2*13</f>
        <v>41331.034482758623</v>
      </c>
      <c r="E4622" s="602">
        <v>7376</v>
      </c>
      <c r="F4622" s="593" t="s">
        <v>218</v>
      </c>
      <c r="G4622" s="602">
        <v>1410</v>
      </c>
      <c r="H4622" s="796">
        <v>5</v>
      </c>
      <c r="I4622" s="796">
        <v>14</v>
      </c>
      <c r="J4622" s="602">
        <v>170</v>
      </c>
      <c r="K4622" s="606" t="s">
        <v>30</v>
      </c>
      <c r="L4622" s="562">
        <f t="shared" si="726"/>
        <v>5224440</v>
      </c>
      <c r="M4622" s="585">
        <v>5100000</v>
      </c>
      <c r="N4622" s="586"/>
      <c r="O4622" s="587">
        <v>15300</v>
      </c>
      <c r="P4622" s="586"/>
      <c r="Q4622" s="586">
        <v>109140</v>
      </c>
      <c r="R4622" s="582">
        <f t="shared" ref="R4622:R4629" si="728">M4622/J4622</f>
        <v>30000</v>
      </c>
      <c r="S4622" s="593"/>
      <c r="T4622" s="593"/>
      <c r="U4622" s="591"/>
      <c r="V4622" s="593"/>
      <c r="W4622" s="593"/>
      <c r="X4622" s="593"/>
      <c r="Y4622" s="593"/>
      <c r="Z4622" s="593"/>
    </row>
    <row r="4623" spans="1:26" s="107" customFormat="1" ht="37.5" hidden="1">
      <c r="A4623" s="591">
        <f t="shared" si="727"/>
        <v>21</v>
      </c>
      <c r="B4623" s="592" t="s">
        <v>2172</v>
      </c>
      <c r="C4623" s="593" t="s">
        <v>298</v>
      </c>
      <c r="D4623" s="913">
        <f t="shared" ref="D4623:D4629" si="729">E4623/1.16/2*13</f>
        <v>15275</v>
      </c>
      <c r="E4623" s="602">
        <v>2726</v>
      </c>
      <c r="F4623" s="593" t="s">
        <v>218</v>
      </c>
      <c r="G4623" s="602">
        <v>500</v>
      </c>
      <c r="H4623" s="796">
        <v>9</v>
      </c>
      <c r="I4623" s="796">
        <v>1</v>
      </c>
      <c r="J4623" s="582">
        <v>72</v>
      </c>
      <c r="K4623" s="606" t="s">
        <v>30</v>
      </c>
      <c r="L4623" s="562">
        <f t="shared" si="726"/>
        <v>2214199.94</v>
      </c>
      <c r="M4623" s="585">
        <f>J4623*30000</f>
        <v>2160000</v>
      </c>
      <c r="N4623" s="586"/>
      <c r="O4623" s="631">
        <v>19881</v>
      </c>
      <c r="P4623" s="586"/>
      <c r="Q4623" s="586">
        <v>34318.94</v>
      </c>
      <c r="R4623" s="582">
        <f t="shared" si="728"/>
        <v>30000</v>
      </c>
      <c r="S4623" s="575">
        <f>L4623-M4623-N4623-O4623-P4623-Q4623</f>
        <v>-5.8207660913467407E-11</v>
      </c>
      <c r="T4623" s="593"/>
      <c r="U4623" s="591"/>
      <c r="V4623" s="589"/>
      <c r="W4623" s="593"/>
      <c r="X4623" s="592">
        <v>1</v>
      </c>
      <c r="Y4623" s="593"/>
      <c r="Z4623" s="593"/>
    </row>
    <row r="4624" spans="1:26" s="107" customFormat="1" ht="37.5" hidden="1">
      <c r="A4624" s="591">
        <f t="shared" si="727"/>
        <v>22</v>
      </c>
      <c r="B4624" s="592" t="s">
        <v>2173</v>
      </c>
      <c r="C4624" s="593" t="s">
        <v>298</v>
      </c>
      <c r="D4624" s="913">
        <f t="shared" si="729"/>
        <v>13851.724137931036</v>
      </c>
      <c r="E4624" s="602">
        <v>2472</v>
      </c>
      <c r="F4624" s="593" t="s">
        <v>218</v>
      </c>
      <c r="G4624" s="602">
        <v>1007</v>
      </c>
      <c r="H4624" s="602">
        <v>5</v>
      </c>
      <c r="I4624" s="602">
        <v>2</v>
      </c>
      <c r="J4624" s="582">
        <v>120</v>
      </c>
      <c r="K4624" s="606" t="s">
        <v>30</v>
      </c>
      <c r="L4624" s="562">
        <f t="shared" si="726"/>
        <v>3649340.94</v>
      </c>
      <c r="M4624" s="585">
        <f>J4624*30000</f>
        <v>3600000</v>
      </c>
      <c r="N4624" s="586"/>
      <c r="O4624" s="631">
        <v>15022</v>
      </c>
      <c r="P4624" s="586"/>
      <c r="Q4624" s="586">
        <v>34318.94</v>
      </c>
      <c r="R4624" s="582">
        <f t="shared" si="728"/>
        <v>30000</v>
      </c>
      <c r="S4624" s="575">
        <f>L4624-M4624-N4624-O4624-P4624-Q4624</f>
        <v>-5.8207660913467407E-11</v>
      </c>
      <c r="T4624" s="593"/>
      <c r="U4624" s="591"/>
      <c r="V4624" s="589"/>
      <c r="W4624" s="593"/>
      <c r="X4624" s="592">
        <v>1</v>
      </c>
      <c r="Y4624" s="593"/>
      <c r="Z4624" s="593"/>
    </row>
    <row r="4625" spans="1:26" s="107" customFormat="1" ht="37.5" hidden="1">
      <c r="A4625" s="591">
        <f t="shared" si="727"/>
        <v>23</v>
      </c>
      <c r="B4625" s="592" t="s">
        <v>2219</v>
      </c>
      <c r="C4625" s="593" t="s">
        <v>298</v>
      </c>
      <c r="D4625" s="913">
        <f t="shared" si="729"/>
        <v>16037.068965517243</v>
      </c>
      <c r="E4625" s="602">
        <v>2862</v>
      </c>
      <c r="F4625" s="593" t="s">
        <v>218</v>
      </c>
      <c r="G4625" s="602">
        <v>388</v>
      </c>
      <c r="H4625" s="602">
        <v>9</v>
      </c>
      <c r="I4625" s="602">
        <v>1</v>
      </c>
      <c r="J4625" s="582">
        <v>54</v>
      </c>
      <c r="K4625" s="606" t="s">
        <v>30</v>
      </c>
      <c r="L4625" s="562">
        <f t="shared" si="726"/>
        <v>1674367.94</v>
      </c>
      <c r="M4625" s="585">
        <f>J4625*30000</f>
        <v>1620000</v>
      </c>
      <c r="N4625" s="586"/>
      <c r="O4625" s="631">
        <v>20049</v>
      </c>
      <c r="P4625" s="586"/>
      <c r="Q4625" s="586">
        <v>34318.94</v>
      </c>
      <c r="R4625" s="582">
        <f t="shared" si="728"/>
        <v>30000</v>
      </c>
      <c r="S4625" s="575">
        <f>L4625-M4625-N4625-O4625-P4625-Q4625</f>
        <v>-5.8207660913467407E-11</v>
      </c>
      <c r="T4625" s="593"/>
      <c r="U4625" s="591"/>
      <c r="V4625" s="589"/>
      <c r="W4625" s="593"/>
      <c r="X4625" s="592">
        <v>1</v>
      </c>
      <c r="Y4625" s="593"/>
      <c r="Z4625" s="593"/>
    </row>
    <row r="4626" spans="1:26" s="107" customFormat="1" ht="37.5" hidden="1">
      <c r="A4626" s="591">
        <f t="shared" si="727"/>
        <v>24</v>
      </c>
      <c r="B4626" s="592" t="s">
        <v>2221</v>
      </c>
      <c r="C4626" s="593" t="s">
        <v>217</v>
      </c>
      <c r="D4626" s="913">
        <f t="shared" si="729"/>
        <v>31166.37931034483</v>
      </c>
      <c r="E4626" s="602">
        <v>5562</v>
      </c>
      <c r="F4626" s="593" t="s">
        <v>218</v>
      </c>
      <c r="G4626" s="602">
        <v>967</v>
      </c>
      <c r="H4626" s="602">
        <v>9</v>
      </c>
      <c r="I4626" s="602">
        <v>3</v>
      </c>
      <c r="J4626" s="582">
        <v>108</v>
      </c>
      <c r="K4626" s="606" t="s">
        <v>30</v>
      </c>
      <c r="L4626" s="562">
        <f t="shared" si="726"/>
        <v>3300954</v>
      </c>
      <c r="M4626" s="585">
        <f>J4626*30000</f>
        <v>3240000</v>
      </c>
      <c r="N4626" s="586"/>
      <c r="O4626" s="631">
        <v>21154</v>
      </c>
      <c r="P4626" s="586"/>
      <c r="Q4626" s="586">
        <v>39800</v>
      </c>
      <c r="R4626" s="582">
        <f t="shared" si="728"/>
        <v>30000</v>
      </c>
      <c r="S4626" s="575">
        <f>L4626-M4626-N4626-O4626-P4626-Q4626</f>
        <v>0</v>
      </c>
      <c r="T4626" s="593"/>
      <c r="U4626" s="591"/>
      <c r="V4626" s="589"/>
      <c r="W4626" s="593"/>
      <c r="X4626" s="592">
        <v>1</v>
      </c>
      <c r="Y4626" s="593"/>
      <c r="Z4626" s="593"/>
    </row>
    <row r="4627" spans="1:26" s="107" customFormat="1" ht="37.5" hidden="1">
      <c r="A4627" s="591">
        <v>88</v>
      </c>
      <c r="B4627" s="616" t="s">
        <v>2238</v>
      </c>
      <c r="C4627" s="593" t="s">
        <v>298</v>
      </c>
      <c r="D4627" s="913">
        <v>17645.258620689659</v>
      </c>
      <c r="E4627" s="602">
        <v>3149</v>
      </c>
      <c r="F4627" s="593" t="s">
        <v>218</v>
      </c>
      <c r="G4627" s="602">
        <v>1268</v>
      </c>
      <c r="H4627" s="602">
        <v>5</v>
      </c>
      <c r="I4627" s="602">
        <v>6</v>
      </c>
      <c r="J4627" s="602">
        <v>100</v>
      </c>
      <c r="K4627" s="606" t="s">
        <v>30</v>
      </c>
      <c r="L4627" s="562">
        <v>3055245</v>
      </c>
      <c r="M4627" s="585">
        <v>3000000</v>
      </c>
      <c r="N4627" s="586"/>
      <c r="O4627" s="631">
        <v>15445</v>
      </c>
      <c r="P4627" s="586"/>
      <c r="Q4627" s="586">
        <v>39800</v>
      </c>
      <c r="R4627" s="582">
        <f t="shared" si="728"/>
        <v>30000</v>
      </c>
      <c r="S4627" s="575">
        <v>0</v>
      </c>
      <c r="T4627" s="593"/>
      <c r="U4627" s="591"/>
      <c r="V4627" s="589"/>
      <c r="W4627" s="593"/>
      <c r="X4627" s="592">
        <v>1</v>
      </c>
      <c r="Y4627" s="593"/>
      <c r="Z4627" s="593"/>
    </row>
    <row r="4628" spans="1:26" s="107" customFormat="1" ht="37.5" hidden="1">
      <c r="A4628" s="591">
        <f t="shared" si="727"/>
        <v>89</v>
      </c>
      <c r="B4628" s="592" t="s">
        <v>2253</v>
      </c>
      <c r="C4628" s="593" t="s">
        <v>298</v>
      </c>
      <c r="D4628" s="602">
        <f t="shared" si="729"/>
        <v>27798.706896551725</v>
      </c>
      <c r="E4628" s="602">
        <v>4961</v>
      </c>
      <c r="F4628" s="593" t="s">
        <v>218</v>
      </c>
      <c r="G4628" s="602">
        <v>1615</v>
      </c>
      <c r="H4628" s="602">
        <v>5</v>
      </c>
      <c r="I4628" s="602">
        <v>8</v>
      </c>
      <c r="J4628" s="582">
        <v>120</v>
      </c>
      <c r="K4628" s="606" t="s">
        <v>30</v>
      </c>
      <c r="L4628" s="562">
        <f>SUM(M4628:Q4628)</f>
        <v>3656480</v>
      </c>
      <c r="M4628" s="585">
        <f>J4628*30000</f>
        <v>3600000</v>
      </c>
      <c r="N4628" s="586"/>
      <c r="O4628" s="631">
        <v>16680</v>
      </c>
      <c r="P4628" s="586"/>
      <c r="Q4628" s="586">
        <v>39800</v>
      </c>
      <c r="R4628" s="582">
        <f t="shared" si="728"/>
        <v>30000</v>
      </c>
      <c r="S4628" s="575">
        <f>L4628-M4628-N4628-O4628-P4628-Q4628</f>
        <v>0</v>
      </c>
      <c r="T4628" s="593"/>
      <c r="U4628" s="591"/>
      <c r="V4628" s="589"/>
      <c r="W4628" s="593"/>
      <c r="X4628" s="592">
        <v>1</v>
      </c>
      <c r="Y4628" s="593"/>
      <c r="Z4628" s="593"/>
    </row>
    <row r="4629" spans="1:26" s="107" customFormat="1" ht="37.5" hidden="1">
      <c r="A4629" s="591">
        <f t="shared" si="727"/>
        <v>90</v>
      </c>
      <c r="B4629" s="592" t="s">
        <v>2258</v>
      </c>
      <c r="C4629" s="593" t="s">
        <v>298</v>
      </c>
      <c r="D4629" s="913">
        <f t="shared" si="729"/>
        <v>27462.5</v>
      </c>
      <c r="E4629" s="602">
        <v>4901</v>
      </c>
      <c r="F4629" s="593" t="s">
        <v>218</v>
      </c>
      <c r="G4629" s="602">
        <v>1410</v>
      </c>
      <c r="H4629" s="602">
        <v>5</v>
      </c>
      <c r="I4629" s="602">
        <v>9</v>
      </c>
      <c r="J4629" s="582">
        <v>92</v>
      </c>
      <c r="K4629" s="606" t="s">
        <v>30</v>
      </c>
      <c r="L4629" s="562">
        <f>SUM(M4629:Q4629)</f>
        <v>2808280</v>
      </c>
      <c r="M4629" s="585">
        <f>J4629*30000</f>
        <v>2760000</v>
      </c>
      <c r="N4629" s="586"/>
      <c r="O4629" s="587">
        <f>ROUND(M4629*0.3%,0)</f>
        <v>8280</v>
      </c>
      <c r="P4629" s="586"/>
      <c r="Q4629" s="586">
        <v>40000</v>
      </c>
      <c r="R4629" s="582">
        <f t="shared" si="728"/>
        <v>30000</v>
      </c>
      <c r="S4629" s="575">
        <f>L4629-M4629-N4629-O4629-P4629-Q4629</f>
        <v>0</v>
      </c>
      <c r="T4629" s="593"/>
      <c r="U4629" s="591"/>
      <c r="V4629" s="589"/>
      <c r="W4629" s="593"/>
      <c r="X4629" s="593"/>
      <c r="Y4629" s="593"/>
      <c r="Z4629" s="593"/>
    </row>
    <row r="4630" spans="1:26" s="89" customFormat="1" ht="37.5" hidden="1">
      <c r="A4630" s="591">
        <f t="shared" si="727"/>
        <v>91</v>
      </c>
      <c r="B4630" s="592" t="s">
        <v>3898</v>
      </c>
      <c r="C4630" s="700" t="s">
        <v>298</v>
      </c>
      <c r="D4630" s="902">
        <f>E4630/1.16/2*13</f>
        <v>241951.29310344832</v>
      </c>
      <c r="E4630" s="593">
        <v>43179</v>
      </c>
      <c r="F4630" s="582" t="s">
        <v>218</v>
      </c>
      <c r="G4630" s="786">
        <v>2100</v>
      </c>
      <c r="H4630" s="593">
        <v>9</v>
      </c>
      <c r="I4630" s="593">
        <v>5</v>
      </c>
      <c r="J4630" s="593">
        <v>82</v>
      </c>
      <c r="K4630" s="903" t="s">
        <v>33</v>
      </c>
      <c r="L4630" s="746">
        <f>M4630+N4630+O4630+P4630+Q4630</f>
        <v>4839587.55</v>
      </c>
      <c r="M4630" s="585">
        <v>4825170</v>
      </c>
      <c r="N4630" s="586"/>
      <c r="O4630" s="587">
        <v>14417.55</v>
      </c>
      <c r="P4630" s="586"/>
      <c r="Q4630" s="586"/>
      <c r="R4630" s="582">
        <f>M4630/G4630</f>
        <v>2297.6999999999998</v>
      </c>
      <c r="S4630" s="564">
        <f>L4630-M4630-N4630-O4630-P4630-Q4630</f>
        <v>-1.8553691916167736E-10</v>
      </c>
      <c r="T4630" s="586"/>
      <c r="U4630" s="589"/>
      <c r="V4630" s="589"/>
      <c r="W4630" s="592"/>
      <c r="X4630" s="592"/>
      <c r="Y4630" s="592"/>
      <c r="Z4630" s="592"/>
    </row>
    <row r="4631" spans="1:26" s="28" customFormat="1" hidden="1">
      <c r="A4631" s="1349" t="s">
        <v>146</v>
      </c>
      <c r="B4631" s="1349"/>
      <c r="C4631" s="593"/>
      <c r="D4631" s="586">
        <f>SUM(D4603:D4630)</f>
        <v>875490.51724137925</v>
      </c>
      <c r="E4631" s="586">
        <f>SUM(E4603:E4630)</f>
        <v>157578.1</v>
      </c>
      <c r="F4631" s="593"/>
      <c r="G4631" s="586">
        <f>SUM(G4603:G4630)</f>
        <v>38954.800000000003</v>
      </c>
      <c r="H4631" s="593" t="s">
        <v>28</v>
      </c>
      <c r="I4631" s="593" t="s">
        <v>28</v>
      </c>
      <c r="J4631" s="586">
        <f>SUM(J4603:J4630)</f>
        <v>3507</v>
      </c>
      <c r="K4631" s="787" t="s">
        <v>28</v>
      </c>
      <c r="L4631" s="584">
        <f t="shared" ref="L4631:Q4631" si="730">SUM(L4603:L4630)</f>
        <v>184327618.37</v>
      </c>
      <c r="M4631" s="585">
        <f t="shared" si="730"/>
        <v>179866090</v>
      </c>
      <c r="N4631" s="586">
        <f t="shared" si="730"/>
        <v>601912</v>
      </c>
      <c r="O4631" s="587">
        <f t="shared" si="730"/>
        <v>278954.55</v>
      </c>
      <c r="P4631" s="586">
        <f t="shared" si="730"/>
        <v>0</v>
      </c>
      <c r="Q4631" s="586">
        <f t="shared" si="730"/>
        <v>3580661.82</v>
      </c>
      <c r="R4631" s="582" t="s">
        <v>28</v>
      </c>
      <c r="S4631" s="592">
        <f>SUBTOTAL(9,M4631:Q4631)</f>
        <v>184327618.37</v>
      </c>
      <c r="T4631" s="645">
        <f>S4631-L4631</f>
        <v>0</v>
      </c>
      <c r="U4631" s="591"/>
      <c r="V4631" s="592"/>
      <c r="W4631" s="592"/>
      <c r="X4631" s="592"/>
      <c r="Y4631" s="592"/>
      <c r="Z4631" s="592"/>
    </row>
    <row r="4632" spans="1:26" s="28" customFormat="1" hidden="1">
      <c r="A4632" s="1347" t="s">
        <v>147</v>
      </c>
      <c r="B4632" s="1347"/>
      <c r="C4632" s="1347"/>
      <c r="D4632" s="1347"/>
      <c r="E4632" s="1347"/>
      <c r="F4632" s="1347"/>
      <c r="G4632" s="1347"/>
      <c r="H4632" s="1347"/>
      <c r="I4632" s="1347"/>
      <c r="J4632" s="1347"/>
      <c r="K4632" s="1347"/>
      <c r="L4632" s="1347"/>
      <c r="M4632" s="1347"/>
      <c r="N4632" s="1347"/>
      <c r="O4632" s="1347"/>
      <c r="P4632" s="1347"/>
      <c r="Q4632" s="1347"/>
      <c r="R4632" s="590"/>
      <c r="S4632" s="592"/>
      <c r="T4632" s="592"/>
      <c r="U4632" s="591"/>
      <c r="V4632" s="592"/>
      <c r="W4632" s="592"/>
      <c r="X4632" s="592"/>
      <c r="Y4632" s="592"/>
      <c r="Z4632" s="592"/>
    </row>
    <row r="4633" spans="1:26" s="28" customFormat="1" hidden="1">
      <c r="A4633" s="580">
        <v>1</v>
      </c>
      <c r="B4633" s="592" t="s">
        <v>3568</v>
      </c>
      <c r="C4633" s="902" t="s">
        <v>217</v>
      </c>
      <c r="D4633" s="593"/>
      <c r="E4633" s="593"/>
      <c r="F4633" s="582" t="s">
        <v>233</v>
      </c>
      <c r="G4633" s="914">
        <v>965.7</v>
      </c>
      <c r="H4633" s="593">
        <v>5</v>
      </c>
      <c r="I4633" s="593">
        <v>5</v>
      </c>
      <c r="J4633" s="582">
        <v>74</v>
      </c>
      <c r="K4633" s="903" t="s">
        <v>33</v>
      </c>
      <c r="L4633" s="584">
        <f>SUM(M4633:Q4633)</f>
        <v>1879599</v>
      </c>
      <c r="M4633" s="585">
        <f>G4633*1900</f>
        <v>1834830</v>
      </c>
      <c r="N4633" s="586"/>
      <c r="O4633" s="587">
        <f>ROUND(M4633*0.3%,0)</f>
        <v>5504</v>
      </c>
      <c r="P4633" s="586"/>
      <c r="Q4633" s="586">
        <f>ROUND(M4633*2.14%,0)</f>
        <v>39265</v>
      </c>
      <c r="R4633" s="582">
        <f>M4633/G4633</f>
        <v>1900</v>
      </c>
      <c r="S4633" s="592"/>
      <c r="T4633" s="592"/>
      <c r="U4633" s="591"/>
      <c r="V4633" s="592"/>
      <c r="W4633" s="592"/>
      <c r="X4633" s="592"/>
      <c r="Y4633" s="592"/>
      <c r="Z4633" s="592"/>
    </row>
    <row r="4634" spans="1:26" s="36" customFormat="1" hidden="1">
      <c r="A4634" s="591">
        <v>2</v>
      </c>
      <c r="B4634" s="592" t="s">
        <v>3569</v>
      </c>
      <c r="C4634" s="913" t="s">
        <v>217</v>
      </c>
      <c r="D4634" s="593">
        <f>SUM(A4634:C4634)</f>
        <v>2</v>
      </c>
      <c r="E4634" s="602">
        <v>3083</v>
      </c>
      <c r="F4634" s="593" t="s">
        <v>233</v>
      </c>
      <c r="G4634" s="602">
        <v>1220.5</v>
      </c>
      <c r="H4634" s="602">
        <v>5</v>
      </c>
      <c r="I4634" s="602">
        <v>4</v>
      </c>
      <c r="J4634" s="582">
        <v>88</v>
      </c>
      <c r="K4634" s="606" t="s">
        <v>33</v>
      </c>
      <c r="L4634" s="562">
        <f>SUM(M4634:Q4634)</f>
        <v>2750616</v>
      </c>
      <c r="M4634" s="585">
        <f>G4634*2200</f>
        <v>2685100</v>
      </c>
      <c r="N4634" s="586"/>
      <c r="O4634" s="587">
        <f>ROUND(M4634*0.3%,0)</f>
        <v>8055</v>
      </c>
      <c r="P4634" s="586"/>
      <c r="Q4634" s="586">
        <f>ROUND(M4634*2.14%,0)</f>
        <v>57461</v>
      </c>
      <c r="R4634" s="582">
        <f>M4634/G4634</f>
        <v>2200</v>
      </c>
      <c r="S4634" s="593"/>
      <c r="T4634" s="593"/>
      <c r="U4634" s="591"/>
      <c r="V4634" s="593"/>
      <c r="W4634" s="593"/>
      <c r="X4634" s="593"/>
      <c r="Y4634" s="593"/>
      <c r="Z4634" s="593"/>
    </row>
    <row r="4635" spans="1:26" s="28" customFormat="1" hidden="1">
      <c r="A4635" s="1349" t="s">
        <v>148</v>
      </c>
      <c r="B4635" s="1349"/>
      <c r="C4635" s="593"/>
      <c r="D4635" s="582">
        <f>SUM(D4633:D4634)</f>
        <v>2</v>
      </c>
      <c r="E4635" s="582">
        <f>SUM(E4633:E4634)</f>
        <v>3083</v>
      </c>
      <c r="F4635" s="593"/>
      <c r="G4635" s="582">
        <f>SUM(G4633:G4634)</f>
        <v>2186.1999999999998</v>
      </c>
      <c r="H4635" s="593" t="s">
        <v>28</v>
      </c>
      <c r="I4635" s="593" t="s">
        <v>28</v>
      </c>
      <c r="J4635" s="582">
        <f>SUM(J4633:J4634)</f>
        <v>162</v>
      </c>
      <c r="K4635" s="606" t="s">
        <v>28</v>
      </c>
      <c r="L4635" s="584">
        <f t="shared" ref="L4635:Q4635" si="731">SUM(L4633:L4634)</f>
        <v>4630215</v>
      </c>
      <c r="M4635" s="585">
        <f t="shared" si="731"/>
        <v>4519930</v>
      </c>
      <c r="N4635" s="586">
        <f t="shared" si="731"/>
        <v>0</v>
      </c>
      <c r="O4635" s="587">
        <f t="shared" si="731"/>
        <v>13559</v>
      </c>
      <c r="P4635" s="586">
        <f t="shared" si="731"/>
        <v>0</v>
      </c>
      <c r="Q4635" s="586">
        <f t="shared" si="731"/>
        <v>96726</v>
      </c>
      <c r="R4635" s="582" t="s">
        <v>28</v>
      </c>
      <c r="S4635" s="592">
        <f>SUBTOTAL(9,M4635:Q4635)</f>
        <v>4630215</v>
      </c>
      <c r="T4635" s="645">
        <f>S4635-L4635</f>
        <v>0</v>
      </c>
      <c r="U4635" s="591"/>
      <c r="V4635" s="592"/>
      <c r="W4635" s="592"/>
      <c r="X4635" s="592"/>
      <c r="Y4635" s="592"/>
      <c r="Z4635" s="592"/>
    </row>
    <row r="4636" spans="1:26" s="28" customFormat="1" hidden="1">
      <c r="A4636" s="1347" t="s">
        <v>174</v>
      </c>
      <c r="B4636" s="1347"/>
      <c r="C4636" s="1347"/>
      <c r="D4636" s="1347"/>
      <c r="E4636" s="1347"/>
      <c r="F4636" s="1347"/>
      <c r="G4636" s="1347"/>
      <c r="H4636" s="1347"/>
      <c r="I4636" s="1347"/>
      <c r="J4636" s="1347"/>
      <c r="K4636" s="1347"/>
      <c r="L4636" s="1347"/>
      <c r="M4636" s="1347"/>
      <c r="N4636" s="1347"/>
      <c r="O4636" s="1347"/>
      <c r="P4636" s="1347"/>
      <c r="Q4636" s="1347"/>
      <c r="R4636" s="590"/>
      <c r="S4636" s="592"/>
      <c r="T4636" s="592"/>
      <c r="U4636" s="591"/>
      <c r="V4636" s="592"/>
      <c r="W4636" s="592"/>
      <c r="X4636" s="592"/>
      <c r="Y4636" s="592"/>
      <c r="Z4636" s="592"/>
    </row>
    <row r="4637" spans="1:26" s="28" customFormat="1" hidden="1">
      <c r="A4637" s="591">
        <v>1</v>
      </c>
      <c r="B4637" s="1293" t="s">
        <v>3570</v>
      </c>
      <c r="C4637" s="1294" t="s">
        <v>314</v>
      </c>
      <c r="D4637" s="1294">
        <v>7607</v>
      </c>
      <c r="E4637" s="1294">
        <v>7362.65</v>
      </c>
      <c r="F4637" s="1294" t="s">
        <v>251</v>
      </c>
      <c r="G4637" s="1294">
        <v>1132.7</v>
      </c>
      <c r="H4637" s="1294">
        <v>3</v>
      </c>
      <c r="I4637" s="1294">
        <v>3</v>
      </c>
      <c r="J4637" s="1295">
        <v>36</v>
      </c>
      <c r="K4637" s="1296" t="s">
        <v>224</v>
      </c>
      <c r="L4637" s="584">
        <f>M4637+N4637+P4637+Q4637</f>
        <v>843949</v>
      </c>
      <c r="M4637" s="1297">
        <v>792000</v>
      </c>
      <c r="N4637" s="1150">
        <v>35000</v>
      </c>
      <c r="O4637" s="1149"/>
      <c r="P4637" s="1150"/>
      <c r="Q4637" s="586">
        <f>ROUND(M4637*2.14%,0)</f>
        <v>16949</v>
      </c>
      <c r="R4637" s="1151">
        <f>M4637/J4637</f>
        <v>22000</v>
      </c>
      <c r="S4637" s="592"/>
      <c r="T4637" s="592"/>
      <c r="U4637" s="591"/>
      <c r="V4637" s="592"/>
      <c r="W4637" s="592"/>
      <c r="X4637" s="592"/>
      <c r="Y4637" s="592"/>
      <c r="Z4637" s="592"/>
    </row>
    <row r="4638" spans="1:26" s="28" customFormat="1" hidden="1">
      <c r="A4638" s="1347" t="s">
        <v>175</v>
      </c>
      <c r="B4638" s="1347"/>
      <c r="C4638" s="591"/>
      <c r="D4638" s="1298">
        <f>SUM(D4637:D4637)</f>
        <v>7607</v>
      </c>
      <c r="E4638" s="1298">
        <f>SUM(E4637:E4637)</f>
        <v>7362.65</v>
      </c>
      <c r="F4638" s="593" t="s">
        <v>28</v>
      </c>
      <c r="G4638" s="1298">
        <f>SUM(G4637:G4637)</f>
        <v>1132.7</v>
      </c>
      <c r="H4638" s="593" t="s">
        <v>28</v>
      </c>
      <c r="I4638" s="593" t="s">
        <v>28</v>
      </c>
      <c r="J4638" s="582">
        <f>SUM(J4637:J4637)</f>
        <v>36</v>
      </c>
      <c r="K4638" s="590" t="s">
        <v>28</v>
      </c>
      <c r="L4638" s="584">
        <f t="shared" ref="L4638:Q4638" si="732">SUM(L4637:L4637)</f>
        <v>843949</v>
      </c>
      <c r="M4638" s="585">
        <f t="shared" si="732"/>
        <v>792000</v>
      </c>
      <c r="N4638" s="586">
        <f t="shared" si="732"/>
        <v>35000</v>
      </c>
      <c r="O4638" s="587">
        <f t="shared" si="732"/>
        <v>0</v>
      </c>
      <c r="P4638" s="586">
        <f t="shared" si="732"/>
        <v>0</v>
      </c>
      <c r="Q4638" s="586">
        <f t="shared" si="732"/>
        <v>16949</v>
      </c>
      <c r="R4638" s="582" t="s">
        <v>28</v>
      </c>
      <c r="S4638" s="592">
        <f>SUBTOTAL(9,M4638:Q4638)</f>
        <v>843949</v>
      </c>
      <c r="T4638" s="645">
        <f>S4638-L4638</f>
        <v>0</v>
      </c>
      <c r="U4638" s="591"/>
      <c r="V4638" s="592"/>
      <c r="W4638" s="592"/>
      <c r="X4638" s="592"/>
      <c r="Y4638" s="592"/>
      <c r="Z4638" s="592"/>
    </row>
    <row r="4639" spans="1:26" s="28" customFormat="1" hidden="1">
      <c r="A4639" s="1347" t="s">
        <v>149</v>
      </c>
      <c r="B4639" s="1347"/>
      <c r="C4639" s="1347"/>
      <c r="D4639" s="1347"/>
      <c r="E4639" s="1347"/>
      <c r="F4639" s="1347"/>
      <c r="G4639" s="1347"/>
      <c r="H4639" s="1347"/>
      <c r="I4639" s="1347"/>
      <c r="J4639" s="1347"/>
      <c r="K4639" s="1347"/>
      <c r="L4639" s="1347"/>
      <c r="M4639" s="1347"/>
      <c r="N4639" s="1347"/>
      <c r="O4639" s="1347"/>
      <c r="P4639" s="1347"/>
      <c r="Q4639" s="1347"/>
      <c r="R4639" s="590"/>
      <c r="S4639" s="592"/>
      <c r="T4639" s="592"/>
      <c r="U4639" s="591"/>
      <c r="V4639" s="592"/>
      <c r="W4639" s="592"/>
      <c r="X4639" s="592"/>
      <c r="Y4639" s="592"/>
      <c r="Z4639" s="592"/>
    </row>
    <row r="4640" spans="1:26" s="36" customFormat="1" hidden="1">
      <c r="A4640" s="580">
        <v>1</v>
      </c>
      <c r="B4640" s="848" t="s">
        <v>3571</v>
      </c>
      <c r="C4640" s="786" t="s">
        <v>239</v>
      </c>
      <c r="D4640" s="593">
        <v>7341</v>
      </c>
      <c r="E4640" s="593">
        <v>1230</v>
      </c>
      <c r="F4640" s="593" t="s">
        <v>230</v>
      </c>
      <c r="G4640" s="593">
        <v>1435</v>
      </c>
      <c r="H4640" s="593">
        <v>2</v>
      </c>
      <c r="I4640" s="593">
        <v>1</v>
      </c>
      <c r="J4640" s="593">
        <v>43</v>
      </c>
      <c r="K4640" s="590" t="s">
        <v>33</v>
      </c>
      <c r="L4640" s="584">
        <f>SUM(M4640:Q4640)</f>
        <v>3841843</v>
      </c>
      <c r="M4640" s="585">
        <f>G4640*2600</f>
        <v>3731000</v>
      </c>
      <c r="N4640" s="586">
        <v>31000</v>
      </c>
      <c r="O4640" s="587"/>
      <c r="P4640" s="586"/>
      <c r="Q4640" s="586">
        <f>ROUND(M4640*2.14%,0)</f>
        <v>79843</v>
      </c>
      <c r="R4640" s="582">
        <f>M4640/G4640</f>
        <v>2600</v>
      </c>
      <c r="S4640" s="593"/>
      <c r="T4640" s="593"/>
      <c r="U4640" s="591"/>
      <c r="V4640" s="593"/>
      <c r="W4640" s="593"/>
      <c r="X4640" s="593"/>
      <c r="Y4640" s="593"/>
      <c r="Z4640" s="593"/>
    </row>
    <row r="4641" spans="1:26" s="249" customFormat="1" hidden="1">
      <c r="A4641" s="1349" t="s">
        <v>150</v>
      </c>
      <c r="B4641" s="1349"/>
      <c r="C4641" s="593"/>
      <c r="D4641" s="582">
        <f>SUM(D4640:D4640)</f>
        <v>7341</v>
      </c>
      <c r="E4641" s="582">
        <f>SUM(E4640:E4640)</f>
        <v>1230</v>
      </c>
      <c r="F4641" s="593" t="s">
        <v>28</v>
      </c>
      <c r="G4641" s="582">
        <f>SUM(G4640:G4640)</f>
        <v>1435</v>
      </c>
      <c r="H4641" s="593" t="s">
        <v>28</v>
      </c>
      <c r="I4641" s="593" t="s">
        <v>28</v>
      </c>
      <c r="J4641" s="582">
        <f>SUM(J4640:J4640)</f>
        <v>43</v>
      </c>
      <c r="K4641" s="606" t="s">
        <v>28</v>
      </c>
      <c r="L4641" s="584">
        <f t="shared" ref="L4641:Q4641" si="733">SUM(L4640:L4640)</f>
        <v>3841843</v>
      </c>
      <c r="M4641" s="585">
        <f t="shared" si="733"/>
        <v>3731000</v>
      </c>
      <c r="N4641" s="586">
        <f t="shared" si="733"/>
        <v>31000</v>
      </c>
      <c r="O4641" s="587">
        <f t="shared" si="733"/>
        <v>0</v>
      </c>
      <c r="P4641" s="586">
        <f t="shared" si="733"/>
        <v>0</v>
      </c>
      <c r="Q4641" s="586">
        <f t="shared" si="733"/>
        <v>79843</v>
      </c>
      <c r="R4641" s="582" t="s">
        <v>28</v>
      </c>
      <c r="S4641" s="592">
        <f>SUBTOTAL(9,M4641:Q4641)</f>
        <v>3841843</v>
      </c>
      <c r="T4641" s="645">
        <f>S4641-L4641</f>
        <v>0</v>
      </c>
      <c r="U4641" s="591"/>
      <c r="V4641" s="590"/>
      <c r="W4641" s="590"/>
      <c r="X4641" s="590"/>
      <c r="Y4641" s="590"/>
      <c r="Z4641" s="590"/>
    </row>
    <row r="4642" spans="1:26" s="28" customFormat="1" hidden="1">
      <c r="A4642" s="1347" t="s">
        <v>359</v>
      </c>
      <c r="B4642" s="1347"/>
      <c r="C4642" s="1347"/>
      <c r="D4642" s="1347"/>
      <c r="E4642" s="1347"/>
      <c r="F4642" s="1347"/>
      <c r="G4642" s="1347"/>
      <c r="H4642" s="1347"/>
      <c r="I4642" s="1347"/>
      <c r="J4642" s="1347"/>
      <c r="K4642" s="1347"/>
      <c r="L4642" s="1347"/>
      <c r="M4642" s="1347"/>
      <c r="N4642" s="1347"/>
      <c r="O4642" s="1347"/>
      <c r="P4642" s="1347"/>
      <c r="Q4642" s="1347"/>
      <c r="R4642" s="590"/>
      <c r="S4642" s="592"/>
      <c r="T4642" s="592"/>
      <c r="U4642" s="591"/>
      <c r="V4642" s="592"/>
      <c r="W4642" s="592"/>
      <c r="X4642" s="592"/>
      <c r="Y4642" s="592"/>
      <c r="Z4642" s="592"/>
    </row>
    <row r="4643" spans="1:26" s="28" customFormat="1" ht="37.5" hidden="1">
      <c r="A4643" s="591">
        <v>1</v>
      </c>
      <c r="B4643" s="592" t="s">
        <v>3572</v>
      </c>
      <c r="C4643" s="593" t="s">
        <v>305</v>
      </c>
      <c r="D4643" s="582">
        <v>1769</v>
      </c>
      <c r="E4643" s="593">
        <v>456.96</v>
      </c>
      <c r="F4643" s="582" t="s">
        <v>251</v>
      </c>
      <c r="G4643" s="593">
        <v>359.28</v>
      </c>
      <c r="H4643" s="593">
        <v>2</v>
      </c>
      <c r="I4643" s="593">
        <v>2</v>
      </c>
      <c r="J4643" s="582">
        <v>8</v>
      </c>
      <c r="K4643" s="588" t="s">
        <v>3873</v>
      </c>
      <c r="L4643" s="584">
        <f>SUM(M4643:Q4643,M4644:Q4644)</f>
        <v>1222544</v>
      </c>
      <c r="M4643" s="585">
        <f>G4643*2700+1920+2</f>
        <v>971977.99999999988</v>
      </c>
      <c r="N4643" s="586">
        <v>25000</v>
      </c>
      <c r="O4643" s="587"/>
      <c r="P4643" s="586"/>
      <c r="Q4643" s="586">
        <f>ROUND(M4643*2.14%,0)</f>
        <v>20800</v>
      </c>
      <c r="R4643" s="582">
        <f>M4643/G4643</f>
        <v>2705.3495880650189</v>
      </c>
      <c r="S4643" s="592"/>
      <c r="T4643" s="592"/>
      <c r="U4643" s="591"/>
      <c r="V4643" s="592"/>
      <c r="W4643" s="592"/>
      <c r="X4643" s="592"/>
      <c r="Y4643" s="592"/>
      <c r="Z4643" s="592"/>
    </row>
    <row r="4644" spans="1:26" s="28" customFormat="1" hidden="1">
      <c r="A4644" s="591"/>
      <c r="B4644" s="592"/>
      <c r="C4644" s="593"/>
      <c r="D4644" s="582"/>
      <c r="E4644" s="593"/>
      <c r="F4644" s="582"/>
      <c r="G4644" s="593"/>
      <c r="H4644" s="593"/>
      <c r="I4644" s="593"/>
      <c r="J4644" s="582"/>
      <c r="K4644" s="588" t="s">
        <v>224</v>
      </c>
      <c r="L4644" s="584"/>
      <c r="M4644" s="585">
        <f>J4643*22000</f>
        <v>176000</v>
      </c>
      <c r="N4644" s="586">
        <v>25000</v>
      </c>
      <c r="O4644" s="587"/>
      <c r="P4644" s="586"/>
      <c r="Q4644" s="586">
        <f>ROUND(M4644*2.14%,0)</f>
        <v>3766</v>
      </c>
      <c r="R4644" s="582">
        <f>M4644/J4643</f>
        <v>22000</v>
      </c>
      <c r="S4644" s="592"/>
      <c r="T4644" s="592"/>
      <c r="U4644" s="591"/>
      <c r="V4644" s="592"/>
      <c r="W4644" s="592"/>
      <c r="X4644" s="592"/>
      <c r="Y4644" s="592"/>
      <c r="Z4644" s="592"/>
    </row>
    <row r="4645" spans="1:26" s="28" customFormat="1" hidden="1">
      <c r="A4645" s="1349" t="s">
        <v>360</v>
      </c>
      <c r="B4645" s="1349"/>
      <c r="C4645" s="593"/>
      <c r="D4645" s="586">
        <f>SUM(D4643:D4643)</f>
        <v>1769</v>
      </c>
      <c r="E4645" s="586">
        <f>SUM(E4643:E4643)</f>
        <v>456.96</v>
      </c>
      <c r="F4645" s="582" t="s">
        <v>28</v>
      </c>
      <c r="G4645" s="586">
        <f>SUM(G4643:G4643)</f>
        <v>359.28</v>
      </c>
      <c r="H4645" s="593" t="s">
        <v>28</v>
      </c>
      <c r="I4645" s="593" t="s">
        <v>28</v>
      </c>
      <c r="J4645" s="582">
        <f>SUM(J4643:J4643)</f>
        <v>8</v>
      </c>
      <c r="K4645" s="606" t="s">
        <v>28</v>
      </c>
      <c r="L4645" s="584">
        <f t="shared" ref="L4645:Q4645" si="734">SUM(L4643:L4644)</f>
        <v>1222544</v>
      </c>
      <c r="M4645" s="585">
        <f t="shared" si="734"/>
        <v>1147978</v>
      </c>
      <c r="N4645" s="586">
        <f t="shared" si="734"/>
        <v>50000</v>
      </c>
      <c r="O4645" s="587">
        <f t="shared" si="734"/>
        <v>0</v>
      </c>
      <c r="P4645" s="586">
        <f t="shared" si="734"/>
        <v>0</v>
      </c>
      <c r="Q4645" s="586">
        <f t="shared" si="734"/>
        <v>24566</v>
      </c>
      <c r="R4645" s="582" t="s">
        <v>28</v>
      </c>
      <c r="S4645" s="592">
        <f>SUBTOTAL(9,M4645:Q4645)</f>
        <v>1222544</v>
      </c>
      <c r="T4645" s="645">
        <f>S4645-L4645</f>
        <v>0</v>
      </c>
      <c r="U4645" s="591"/>
      <c r="V4645" s="592"/>
      <c r="W4645" s="592"/>
      <c r="X4645" s="592"/>
      <c r="Y4645" s="592"/>
      <c r="Z4645" s="592"/>
    </row>
    <row r="4646" spans="1:26" s="249" customFormat="1" hidden="1">
      <c r="A4646" s="1347" t="s">
        <v>152</v>
      </c>
      <c r="B4646" s="1347"/>
      <c r="C4646" s="1347"/>
      <c r="D4646" s="1347"/>
      <c r="E4646" s="1347"/>
      <c r="F4646" s="1347"/>
      <c r="G4646" s="1347"/>
      <c r="H4646" s="1347"/>
      <c r="I4646" s="1347"/>
      <c r="J4646" s="1347"/>
      <c r="K4646" s="1347"/>
      <c r="L4646" s="1347"/>
      <c r="M4646" s="1347"/>
      <c r="N4646" s="1347"/>
      <c r="O4646" s="1347"/>
      <c r="P4646" s="1347"/>
      <c r="Q4646" s="1347"/>
      <c r="R4646" s="590"/>
      <c r="S4646" s="590"/>
      <c r="T4646" s="590"/>
      <c r="U4646" s="591"/>
      <c r="V4646" s="590"/>
      <c r="W4646" s="590"/>
      <c r="X4646" s="590"/>
      <c r="Y4646" s="590"/>
      <c r="Z4646" s="590"/>
    </row>
    <row r="4647" spans="1:26" s="28" customFormat="1" hidden="1">
      <c r="A4647" s="591">
        <v>1</v>
      </c>
      <c r="B4647" s="592" t="s">
        <v>3573</v>
      </c>
      <c r="C4647" s="593" t="s">
        <v>296</v>
      </c>
      <c r="D4647" s="593">
        <v>4946</v>
      </c>
      <c r="E4647" s="602">
        <v>307.8</v>
      </c>
      <c r="F4647" s="602" t="s">
        <v>251</v>
      </c>
      <c r="G4647" s="602">
        <v>1385.1</v>
      </c>
      <c r="H4647" s="593">
        <v>2</v>
      </c>
      <c r="I4647" s="593">
        <v>2</v>
      </c>
      <c r="J4647" s="582">
        <v>16</v>
      </c>
      <c r="K4647" s="590" t="s">
        <v>33</v>
      </c>
      <c r="L4647" s="584">
        <f>SUM(M4647:Q4647)</f>
        <v>3844800.9999999995</v>
      </c>
      <c r="M4647" s="585">
        <f>G4647*2700</f>
        <v>3739769.9999999995</v>
      </c>
      <c r="N4647" s="586">
        <v>25000</v>
      </c>
      <c r="O4647" s="587"/>
      <c r="P4647" s="586"/>
      <c r="Q4647" s="586">
        <f>ROUND(M4647*2.14%,0)</f>
        <v>80031</v>
      </c>
      <c r="R4647" s="582">
        <f>M4647/G4647</f>
        <v>2700</v>
      </c>
      <c r="S4647" s="592"/>
      <c r="T4647" s="592"/>
      <c r="U4647" s="591"/>
      <c r="V4647" s="592"/>
      <c r="W4647" s="592"/>
      <c r="X4647" s="592"/>
      <c r="Y4647" s="592"/>
      <c r="Z4647" s="592"/>
    </row>
    <row r="4648" spans="1:26" s="28" customFormat="1" hidden="1">
      <c r="A4648" s="591">
        <v>2</v>
      </c>
      <c r="B4648" s="592" t="s">
        <v>3574</v>
      </c>
      <c r="C4648" s="593" t="s">
        <v>362</v>
      </c>
      <c r="D4648" s="593">
        <v>3675</v>
      </c>
      <c r="E4648" s="602">
        <v>700</v>
      </c>
      <c r="F4648" s="602" t="s">
        <v>251</v>
      </c>
      <c r="G4648" s="602">
        <v>881</v>
      </c>
      <c r="H4648" s="593">
        <v>2</v>
      </c>
      <c r="I4648" s="593">
        <v>3</v>
      </c>
      <c r="J4648" s="582">
        <v>22</v>
      </c>
      <c r="K4648" s="590" t="s">
        <v>33</v>
      </c>
      <c r="L4648" s="584">
        <f>SUM(M4648:Q4648)</f>
        <v>2459604</v>
      </c>
      <c r="M4648" s="585">
        <f>G4648*2700</f>
        <v>2378700</v>
      </c>
      <c r="N4648" s="586">
        <v>30000</v>
      </c>
      <c r="O4648" s="587"/>
      <c r="P4648" s="586"/>
      <c r="Q4648" s="586">
        <f>ROUND(M4648*2.14%,0)</f>
        <v>50904</v>
      </c>
      <c r="R4648" s="582">
        <f>M4648/G4648</f>
        <v>2700</v>
      </c>
      <c r="S4648" s="592"/>
      <c r="T4648" s="592"/>
      <c r="U4648" s="591"/>
      <c r="V4648" s="592"/>
      <c r="W4648" s="592"/>
      <c r="X4648" s="592"/>
      <c r="Y4648" s="592"/>
      <c r="Z4648" s="592"/>
    </row>
    <row r="4649" spans="1:26" s="249" customFormat="1" hidden="1">
      <c r="A4649" s="1349" t="s">
        <v>153</v>
      </c>
      <c r="B4649" s="1349"/>
      <c r="C4649" s="593"/>
      <c r="D4649" s="602">
        <f>SUM(D4647:D4648)</f>
        <v>8621</v>
      </c>
      <c r="E4649" s="602">
        <f>SUM(E4647:E4648)</f>
        <v>1007.8</v>
      </c>
      <c r="F4649" s="593" t="s">
        <v>417</v>
      </c>
      <c r="G4649" s="602">
        <f>SUM(G4647:G4648)</f>
        <v>2266.1</v>
      </c>
      <c r="H4649" s="593" t="s">
        <v>28</v>
      </c>
      <c r="I4649" s="593" t="s">
        <v>28</v>
      </c>
      <c r="J4649" s="582">
        <f>SUM(J4647:J4648)</f>
        <v>38</v>
      </c>
      <c r="K4649" s="606" t="s">
        <v>28</v>
      </c>
      <c r="L4649" s="584">
        <f t="shared" ref="L4649:Q4649" si="735">SUM(L4647:L4648)</f>
        <v>6304405</v>
      </c>
      <c r="M4649" s="585">
        <f t="shared" si="735"/>
        <v>6118470</v>
      </c>
      <c r="N4649" s="586">
        <f t="shared" si="735"/>
        <v>55000</v>
      </c>
      <c r="O4649" s="587">
        <f t="shared" si="735"/>
        <v>0</v>
      </c>
      <c r="P4649" s="586">
        <f t="shared" si="735"/>
        <v>0</v>
      </c>
      <c r="Q4649" s="586">
        <f t="shared" si="735"/>
        <v>130935</v>
      </c>
      <c r="R4649" s="582" t="s">
        <v>28</v>
      </c>
      <c r="S4649" s="592">
        <f>SUBTOTAL(9,M4649:Q4649)</f>
        <v>6304405</v>
      </c>
      <c r="T4649" s="645">
        <f>S4649-L4649</f>
        <v>0</v>
      </c>
      <c r="U4649" s="591"/>
      <c r="V4649" s="590"/>
      <c r="W4649" s="590"/>
      <c r="X4649" s="590"/>
      <c r="Y4649" s="590"/>
      <c r="Z4649" s="590"/>
    </row>
    <row r="4650" spans="1:26" s="249" customFormat="1" hidden="1">
      <c r="A4650" s="1347" t="s">
        <v>154</v>
      </c>
      <c r="B4650" s="1347"/>
      <c r="C4650" s="1347"/>
      <c r="D4650" s="1347"/>
      <c r="E4650" s="1347"/>
      <c r="F4650" s="1347"/>
      <c r="G4650" s="1347"/>
      <c r="H4650" s="1347"/>
      <c r="I4650" s="1347"/>
      <c r="J4650" s="1347"/>
      <c r="K4650" s="1347"/>
      <c r="L4650" s="1347"/>
      <c r="M4650" s="1347"/>
      <c r="N4650" s="1347"/>
      <c r="O4650" s="1347"/>
      <c r="P4650" s="1347"/>
      <c r="Q4650" s="1347"/>
      <c r="R4650" s="590"/>
      <c r="S4650" s="590"/>
      <c r="T4650" s="590"/>
      <c r="U4650" s="591"/>
      <c r="V4650" s="590"/>
      <c r="W4650" s="590"/>
      <c r="X4650" s="590"/>
      <c r="Y4650" s="590"/>
      <c r="Z4650" s="590"/>
    </row>
    <row r="4651" spans="1:26" s="28" customFormat="1" ht="37.5" hidden="1">
      <c r="A4651" s="591">
        <v>1</v>
      </c>
      <c r="B4651" s="592" t="s">
        <v>3886</v>
      </c>
      <c r="C4651" s="593" t="s">
        <v>305</v>
      </c>
      <c r="D4651" s="593"/>
      <c r="E4651" s="602">
        <v>320</v>
      </c>
      <c r="F4651" s="602" t="s">
        <v>316</v>
      </c>
      <c r="G4651" s="602">
        <v>638</v>
      </c>
      <c r="H4651" s="593">
        <v>2</v>
      </c>
      <c r="I4651" s="593">
        <v>2</v>
      </c>
      <c r="J4651" s="582">
        <v>16</v>
      </c>
      <c r="K4651" s="590" t="s">
        <v>30</v>
      </c>
      <c r="L4651" s="584">
        <f>SUM(M4651:Q4651)</f>
        <v>278637</v>
      </c>
      <c r="M4651" s="585">
        <v>272000</v>
      </c>
      <c r="N4651" s="586"/>
      <c r="O4651" s="587">
        <v>816</v>
      </c>
      <c r="P4651" s="586"/>
      <c r="Q4651" s="586">
        <f>ROUND(M4651*2.14%,0)</f>
        <v>5821</v>
      </c>
      <c r="R4651" s="582">
        <f>M4651/G4651</f>
        <v>426.33228840125389</v>
      </c>
      <c r="S4651" s="592"/>
      <c r="T4651" s="592"/>
      <c r="U4651" s="591"/>
      <c r="V4651" s="592"/>
      <c r="W4651" s="592"/>
      <c r="X4651" s="592"/>
      <c r="Y4651" s="592"/>
      <c r="Z4651" s="592"/>
    </row>
    <row r="4652" spans="1:26" s="249" customFormat="1" hidden="1">
      <c r="A4652" s="1349" t="s">
        <v>155</v>
      </c>
      <c r="B4652" s="1349"/>
      <c r="C4652" s="593"/>
      <c r="D4652" s="586">
        <f>D4651</f>
        <v>0</v>
      </c>
      <c r="E4652" s="586">
        <f>E4651</f>
        <v>320</v>
      </c>
      <c r="F4652" s="593" t="s">
        <v>417</v>
      </c>
      <c r="G4652" s="586">
        <f>G4651</f>
        <v>638</v>
      </c>
      <c r="H4652" s="593" t="s">
        <v>28</v>
      </c>
      <c r="I4652" s="593" t="s">
        <v>28</v>
      </c>
      <c r="J4652" s="586">
        <f>J4651</f>
        <v>16</v>
      </c>
      <c r="K4652" s="606" t="s">
        <v>28</v>
      </c>
      <c r="L4652" s="584">
        <f t="shared" ref="L4652:Q4652" si="736">L4651</f>
        <v>278637</v>
      </c>
      <c r="M4652" s="585">
        <f t="shared" si="736"/>
        <v>272000</v>
      </c>
      <c r="N4652" s="586">
        <f t="shared" si="736"/>
        <v>0</v>
      </c>
      <c r="O4652" s="587">
        <f t="shared" si="736"/>
        <v>816</v>
      </c>
      <c r="P4652" s="586">
        <f t="shared" si="736"/>
        <v>0</v>
      </c>
      <c r="Q4652" s="586">
        <f t="shared" si="736"/>
        <v>5821</v>
      </c>
      <c r="R4652" s="582" t="s">
        <v>28</v>
      </c>
      <c r="S4652" s="592">
        <f>SUBTOTAL(9,M4652:Q4652)</f>
        <v>278637</v>
      </c>
      <c r="T4652" s="645">
        <f>S4652-L4652</f>
        <v>0</v>
      </c>
      <c r="U4652" s="591"/>
      <c r="V4652" s="590"/>
      <c r="W4652" s="590"/>
      <c r="X4652" s="590"/>
      <c r="Y4652" s="590"/>
      <c r="Z4652" s="590"/>
    </row>
    <row r="4653" spans="1:26" s="28" customFormat="1" hidden="1">
      <c r="A4653" s="1347" t="s">
        <v>364</v>
      </c>
      <c r="B4653" s="1347"/>
      <c r="C4653" s="1347"/>
      <c r="D4653" s="1347"/>
      <c r="E4653" s="1347"/>
      <c r="F4653" s="1347"/>
      <c r="G4653" s="1347"/>
      <c r="H4653" s="1347"/>
      <c r="I4653" s="1347"/>
      <c r="J4653" s="1347"/>
      <c r="K4653" s="1347"/>
      <c r="L4653" s="1347"/>
      <c r="M4653" s="1347"/>
      <c r="N4653" s="1347"/>
      <c r="O4653" s="1347"/>
      <c r="P4653" s="1347"/>
      <c r="Q4653" s="1347"/>
      <c r="R4653" s="590"/>
      <c r="S4653" s="592"/>
      <c r="T4653" s="592"/>
      <c r="U4653" s="591"/>
      <c r="V4653" s="592"/>
      <c r="W4653" s="592"/>
      <c r="X4653" s="592"/>
      <c r="Y4653" s="592"/>
      <c r="Z4653" s="592"/>
    </row>
    <row r="4654" spans="1:26" s="28" customFormat="1" hidden="1">
      <c r="A4654" s="591">
        <v>1</v>
      </c>
      <c r="B4654" s="592" t="s">
        <v>3575</v>
      </c>
      <c r="C4654" s="593" t="s">
        <v>365</v>
      </c>
      <c r="D4654" s="593">
        <v>2544</v>
      </c>
      <c r="E4654" s="602">
        <v>607.1</v>
      </c>
      <c r="F4654" s="602" t="s">
        <v>251</v>
      </c>
      <c r="G4654" s="602">
        <v>569.9</v>
      </c>
      <c r="H4654" s="593">
        <v>2</v>
      </c>
      <c r="I4654" s="593">
        <v>2</v>
      </c>
      <c r="J4654" s="582">
        <v>16</v>
      </c>
      <c r="K4654" s="590" t="s">
        <v>33</v>
      </c>
      <c r="L4654" s="584">
        <f>SUBTOTAL(9,M4654:Q4654)</f>
        <v>1661911</v>
      </c>
      <c r="M4654" s="585">
        <v>1597720</v>
      </c>
      <c r="N4654" s="586">
        <v>30000</v>
      </c>
      <c r="O4654" s="587"/>
      <c r="P4654" s="586"/>
      <c r="Q4654" s="586">
        <f>ROUND(M4654*2.14%,0)</f>
        <v>34191</v>
      </c>
      <c r="R4654" s="582">
        <f>M4654/G4654</f>
        <v>2803.5093876118617</v>
      </c>
      <c r="S4654" s="592"/>
      <c r="T4654" s="592"/>
      <c r="U4654" s="591"/>
      <c r="V4654" s="592"/>
      <c r="W4654" s="592"/>
      <c r="X4654" s="592"/>
      <c r="Y4654" s="592"/>
      <c r="Z4654" s="592"/>
    </row>
    <row r="4655" spans="1:26" s="28" customFormat="1" hidden="1">
      <c r="A4655" s="1369" t="s">
        <v>156</v>
      </c>
      <c r="B4655" s="1369"/>
      <c r="C4655" s="714"/>
      <c r="D4655" s="646">
        <f>SUM(D4654:D4654)</f>
        <v>2544</v>
      </c>
      <c r="E4655" s="646">
        <f>SUM(E4654:E4654)</f>
        <v>607.1</v>
      </c>
      <c r="F4655" s="700" t="s">
        <v>28</v>
      </c>
      <c r="G4655" s="646">
        <f>SUM(G4654:G4654)</f>
        <v>569.9</v>
      </c>
      <c r="H4655" s="700" t="s">
        <v>28</v>
      </c>
      <c r="I4655" s="700" t="s">
        <v>28</v>
      </c>
      <c r="J4655" s="582">
        <f>SUM(J4654:J4654)</f>
        <v>16</v>
      </c>
      <c r="K4655" s="855" t="s">
        <v>28</v>
      </c>
      <c r="L4655" s="584">
        <f t="shared" ref="L4655:Q4655" si="737">SUM(L4654:L4654)</f>
        <v>1661911</v>
      </c>
      <c r="M4655" s="585">
        <f t="shared" si="737"/>
        <v>1597720</v>
      </c>
      <c r="N4655" s="586">
        <f t="shared" si="737"/>
        <v>30000</v>
      </c>
      <c r="O4655" s="587">
        <f t="shared" si="737"/>
        <v>0</v>
      </c>
      <c r="P4655" s="586">
        <f t="shared" si="737"/>
        <v>0</v>
      </c>
      <c r="Q4655" s="586">
        <f t="shared" si="737"/>
        <v>34191</v>
      </c>
      <c r="R4655" s="582" t="s">
        <v>28</v>
      </c>
      <c r="S4655" s="592">
        <f>SUBTOTAL(9,M4655:Q4655)</f>
        <v>1661911</v>
      </c>
      <c r="T4655" s="645">
        <f>S4655-L4655</f>
        <v>0</v>
      </c>
      <c r="U4655" s="591"/>
      <c r="V4655" s="592"/>
      <c r="W4655" s="592"/>
      <c r="X4655" s="592"/>
      <c r="Y4655" s="592"/>
      <c r="Z4655" s="592"/>
    </row>
    <row r="4656" spans="1:26" s="28" customFormat="1" hidden="1">
      <c r="A4656" s="1347" t="s">
        <v>158</v>
      </c>
      <c r="B4656" s="1347"/>
      <c r="C4656" s="1347"/>
      <c r="D4656" s="1347"/>
      <c r="E4656" s="1347"/>
      <c r="F4656" s="1347"/>
      <c r="G4656" s="1347"/>
      <c r="H4656" s="1347"/>
      <c r="I4656" s="1347"/>
      <c r="J4656" s="1347"/>
      <c r="K4656" s="1347"/>
      <c r="L4656" s="1347"/>
      <c r="M4656" s="1347"/>
      <c r="N4656" s="1347"/>
      <c r="O4656" s="1347"/>
      <c r="P4656" s="1347"/>
      <c r="Q4656" s="1347"/>
      <c r="R4656" s="590"/>
      <c r="S4656" s="592"/>
      <c r="T4656" s="592"/>
      <c r="U4656" s="591"/>
      <c r="V4656" s="592"/>
      <c r="W4656" s="592"/>
      <c r="X4656" s="592"/>
      <c r="Y4656" s="592"/>
      <c r="Z4656" s="592"/>
    </row>
    <row r="4657" spans="1:26" s="28" customFormat="1" ht="37.5" hidden="1">
      <c r="A4657" s="714">
        <v>1</v>
      </c>
      <c r="B4657" s="592" t="s">
        <v>3580</v>
      </c>
      <c r="C4657" s="593" t="s">
        <v>314</v>
      </c>
      <c r="D4657" s="646"/>
      <c r="E4657" s="646"/>
      <c r="F4657" s="593" t="s">
        <v>317</v>
      </c>
      <c r="G4657" s="646"/>
      <c r="H4657" s="593">
        <v>5</v>
      </c>
      <c r="I4657" s="593">
        <v>1</v>
      </c>
      <c r="J4657" s="582">
        <v>156</v>
      </c>
      <c r="K4657" s="590" t="s">
        <v>30</v>
      </c>
      <c r="L4657" s="584">
        <f>SUM(M4657:Q4658)</f>
        <v>8011280</v>
      </c>
      <c r="M4657" s="585">
        <f>J4657*20000</f>
        <v>3120000</v>
      </c>
      <c r="N4657" s="586"/>
      <c r="O4657" s="587">
        <f>ROUND(M4657*0.3%,0)</f>
        <v>9360</v>
      </c>
      <c r="P4657" s="586"/>
      <c r="Q4657" s="586">
        <f>ROUND(M4657*0.0214,0)</f>
        <v>66768</v>
      </c>
      <c r="R4657" s="582">
        <f>M4657/J4657</f>
        <v>20000</v>
      </c>
      <c r="S4657" s="592"/>
      <c r="T4657" s="592"/>
      <c r="U4657" s="591"/>
      <c r="V4657" s="592"/>
      <c r="W4657" s="592"/>
      <c r="X4657" s="592"/>
      <c r="Y4657" s="592"/>
      <c r="Z4657" s="592"/>
    </row>
    <row r="4658" spans="1:26" s="28" customFormat="1" hidden="1">
      <c r="A4658" s="714"/>
      <c r="B4658" s="592"/>
      <c r="C4658" s="593"/>
      <c r="D4658" s="646"/>
      <c r="E4658" s="646"/>
      <c r="F4658" s="593"/>
      <c r="G4658" s="646"/>
      <c r="H4658" s="593"/>
      <c r="I4658" s="593"/>
      <c r="J4658" s="582"/>
      <c r="K4658" s="590" t="s">
        <v>231</v>
      </c>
      <c r="L4658" s="584"/>
      <c r="M4658" s="585">
        <f>J4657*30000</f>
        <v>4680000</v>
      </c>
      <c r="N4658" s="586">
        <v>35000</v>
      </c>
      <c r="O4658" s="587"/>
      <c r="P4658" s="586"/>
      <c r="Q4658" s="586">
        <f>ROUND(M4658*0.0214,0)</f>
        <v>100152</v>
      </c>
      <c r="R4658" s="582">
        <f>M4658/J4657</f>
        <v>30000</v>
      </c>
      <c r="S4658" s="592"/>
      <c r="T4658" s="592"/>
      <c r="U4658" s="591"/>
      <c r="V4658" s="592"/>
      <c r="W4658" s="592"/>
      <c r="X4658" s="592"/>
      <c r="Y4658" s="592"/>
      <c r="Z4658" s="592"/>
    </row>
    <row r="4659" spans="1:26" s="28" customFormat="1" hidden="1">
      <c r="A4659" s="714">
        <v>2</v>
      </c>
      <c r="B4659" s="592" t="s">
        <v>3581</v>
      </c>
      <c r="C4659" s="593" t="s">
        <v>221</v>
      </c>
      <c r="D4659" s="646">
        <v>3503</v>
      </c>
      <c r="E4659" s="646">
        <v>104</v>
      </c>
      <c r="F4659" s="593" t="s">
        <v>315</v>
      </c>
      <c r="G4659" s="646">
        <v>743</v>
      </c>
      <c r="H4659" s="593">
        <v>2</v>
      </c>
      <c r="I4659" s="593">
        <v>3</v>
      </c>
      <c r="J4659" s="582">
        <v>24</v>
      </c>
      <c r="K4659" s="590" t="s">
        <v>100</v>
      </c>
      <c r="L4659" s="584">
        <f>SUM(M4659:Q4659)</f>
        <v>1562100</v>
      </c>
      <c r="M4659" s="585">
        <v>1500000</v>
      </c>
      <c r="N4659" s="586">
        <v>30000</v>
      </c>
      <c r="O4659" s="587"/>
      <c r="P4659" s="586"/>
      <c r="Q4659" s="586">
        <f>ROUND(M4659*0.0214,0)</f>
        <v>32100</v>
      </c>
      <c r="R4659" s="582"/>
      <c r="S4659" s="592"/>
      <c r="T4659" s="592"/>
      <c r="U4659" s="591"/>
      <c r="V4659" s="592"/>
      <c r="W4659" s="592"/>
      <c r="X4659" s="592"/>
      <c r="Y4659" s="592"/>
      <c r="Z4659" s="592"/>
    </row>
    <row r="4660" spans="1:26" s="249" customFormat="1" hidden="1">
      <c r="A4660" s="1349" t="s">
        <v>159</v>
      </c>
      <c r="B4660" s="1349"/>
      <c r="C4660" s="593"/>
      <c r="D4660" s="582">
        <f>SUM(D4657:D4659)</f>
        <v>3503</v>
      </c>
      <c r="E4660" s="582">
        <f>SUM(E4657:E4659)</f>
        <v>104</v>
      </c>
      <c r="F4660" s="593" t="s">
        <v>28</v>
      </c>
      <c r="G4660" s="582">
        <f>SUM(G4657:G4659)</f>
        <v>743</v>
      </c>
      <c r="H4660" s="593" t="s">
        <v>28</v>
      </c>
      <c r="I4660" s="593" t="s">
        <v>28</v>
      </c>
      <c r="J4660" s="582">
        <f>SUM(J4657:J4659)</f>
        <v>180</v>
      </c>
      <c r="K4660" s="606"/>
      <c r="L4660" s="584">
        <f t="shared" ref="L4660:Q4660" si="738">SUM(L4657:L4659)</f>
        <v>9573380</v>
      </c>
      <c r="M4660" s="585">
        <f t="shared" si="738"/>
        <v>9300000</v>
      </c>
      <c r="N4660" s="586">
        <f t="shared" si="738"/>
        <v>65000</v>
      </c>
      <c r="O4660" s="587">
        <f t="shared" si="738"/>
        <v>9360</v>
      </c>
      <c r="P4660" s="586">
        <f t="shared" si="738"/>
        <v>0</v>
      </c>
      <c r="Q4660" s="586">
        <f t="shared" si="738"/>
        <v>199020</v>
      </c>
      <c r="R4660" s="582" t="s">
        <v>28</v>
      </c>
      <c r="S4660" s="592">
        <f>SUBTOTAL(9,M4660:Q4660)</f>
        <v>9573380</v>
      </c>
      <c r="T4660" s="645">
        <f>S4660-L4660</f>
        <v>0</v>
      </c>
      <c r="U4660" s="591"/>
      <c r="V4660" s="590"/>
      <c r="W4660" s="590"/>
      <c r="X4660" s="590"/>
      <c r="Y4660" s="590"/>
      <c r="Z4660" s="590"/>
    </row>
    <row r="4661" spans="1:26" s="28" customFormat="1" hidden="1">
      <c r="A4661" s="1347" t="s">
        <v>204</v>
      </c>
      <c r="B4661" s="1347"/>
      <c r="C4661" s="1347"/>
      <c r="D4661" s="1347"/>
      <c r="E4661" s="1347"/>
      <c r="F4661" s="1347"/>
      <c r="G4661" s="1347"/>
      <c r="H4661" s="1347"/>
      <c r="I4661" s="1347"/>
      <c r="J4661" s="1347"/>
      <c r="K4661" s="1347"/>
      <c r="L4661" s="1347"/>
      <c r="M4661" s="1347"/>
      <c r="N4661" s="1347"/>
      <c r="O4661" s="1347"/>
      <c r="P4661" s="1347"/>
      <c r="Q4661" s="1347"/>
      <c r="R4661" s="590"/>
      <c r="S4661" s="592"/>
      <c r="T4661" s="592"/>
      <c r="U4661" s="591"/>
      <c r="V4661" s="592"/>
      <c r="W4661" s="592"/>
      <c r="X4661" s="592"/>
      <c r="Y4661" s="592"/>
      <c r="Z4661" s="592"/>
    </row>
    <row r="4662" spans="1:26" s="28" customFormat="1" hidden="1">
      <c r="A4662" s="937">
        <v>1</v>
      </c>
      <c r="B4662" s="848" t="s">
        <v>3582</v>
      </c>
      <c r="C4662" s="922" t="s">
        <v>221</v>
      </c>
      <c r="D4662" s="922"/>
      <c r="E4662" s="938">
        <v>420</v>
      </c>
      <c r="F4662" s="700" t="s">
        <v>291</v>
      </c>
      <c r="G4662" s="939">
        <v>805</v>
      </c>
      <c r="H4662" s="928">
        <v>2</v>
      </c>
      <c r="I4662" s="928">
        <v>2</v>
      </c>
      <c r="J4662" s="643">
        <v>16</v>
      </c>
      <c r="K4662" s="930" t="s">
        <v>38</v>
      </c>
      <c r="L4662" s="584">
        <f>SUM(M4662:Q4662)</f>
        <v>1075620</v>
      </c>
      <c r="M4662" s="931">
        <f>E4662*2500</f>
        <v>1050000</v>
      </c>
      <c r="N4662" s="932"/>
      <c r="O4662" s="736">
        <f>ROUND(M4662*0.3%,0)</f>
        <v>3150</v>
      </c>
      <c r="P4662" s="932"/>
      <c r="Q4662" s="586">
        <f>ROUND(M4662*2.14%,0)</f>
        <v>22470</v>
      </c>
      <c r="R4662" s="599">
        <f>M4662/E4662</f>
        <v>2500</v>
      </c>
      <c r="S4662" s="592"/>
      <c r="T4662" s="592"/>
      <c r="U4662" s="591"/>
      <c r="V4662" s="592"/>
      <c r="W4662" s="592"/>
      <c r="X4662" s="592"/>
      <c r="Y4662" s="592"/>
      <c r="Z4662" s="592"/>
    </row>
    <row r="4663" spans="1:26" s="28" customFormat="1" hidden="1">
      <c r="A4663" s="1349" t="s">
        <v>205</v>
      </c>
      <c r="B4663" s="1349"/>
      <c r="C4663" s="593" t="s">
        <v>28</v>
      </c>
      <c r="D4663" s="586">
        <f>SUM(D4662:D4662)</f>
        <v>0</v>
      </c>
      <c r="E4663" s="586">
        <f>SUM(E4662:E4662)</f>
        <v>420</v>
      </c>
      <c r="F4663" s="593" t="s">
        <v>28</v>
      </c>
      <c r="G4663" s="586">
        <f>SUM(G4662:G4662)</f>
        <v>805</v>
      </c>
      <c r="H4663" s="593" t="s">
        <v>28</v>
      </c>
      <c r="I4663" s="593" t="s">
        <v>28</v>
      </c>
      <c r="J4663" s="582">
        <f>SUM(J4662:J4662)</f>
        <v>16</v>
      </c>
      <c r="K4663" s="590" t="s">
        <v>28</v>
      </c>
      <c r="L4663" s="584">
        <f t="shared" ref="L4663:Q4663" si="739">SUM(L4662:L4662)</f>
        <v>1075620</v>
      </c>
      <c r="M4663" s="585">
        <f t="shared" si="739"/>
        <v>1050000</v>
      </c>
      <c r="N4663" s="586">
        <f t="shared" si="739"/>
        <v>0</v>
      </c>
      <c r="O4663" s="587">
        <f t="shared" si="739"/>
        <v>3150</v>
      </c>
      <c r="P4663" s="586">
        <f t="shared" si="739"/>
        <v>0</v>
      </c>
      <c r="Q4663" s="586">
        <f t="shared" si="739"/>
        <v>22470</v>
      </c>
      <c r="R4663" s="582" t="s">
        <v>28</v>
      </c>
      <c r="S4663" s="592">
        <f>SUBTOTAL(9,M4663:Q4663)</f>
        <v>1075620</v>
      </c>
      <c r="T4663" s="645">
        <f>S4663-L4663</f>
        <v>0</v>
      </c>
      <c r="U4663" s="591"/>
      <c r="V4663" s="592"/>
      <c r="W4663" s="592"/>
      <c r="X4663" s="592"/>
      <c r="Y4663" s="592"/>
      <c r="Z4663" s="592"/>
    </row>
    <row r="4664" spans="1:26" s="28" customFormat="1" hidden="1">
      <c r="A4664" s="580"/>
      <c r="B4664" s="592"/>
      <c r="C4664" s="910"/>
      <c r="D4664" s="582"/>
      <c r="E4664" s="582"/>
      <c r="F4664" s="582"/>
      <c r="G4664" s="582"/>
      <c r="H4664" s="582"/>
      <c r="I4664" s="582"/>
      <c r="J4664" s="582"/>
      <c r="K4664" s="590"/>
      <c r="L4664" s="584"/>
      <c r="M4664" s="585"/>
      <c r="N4664" s="586"/>
      <c r="O4664" s="587"/>
      <c r="P4664" s="586"/>
      <c r="Q4664" s="586"/>
      <c r="R4664" s="582"/>
      <c r="S4664" s="582"/>
      <c r="T4664" s="590"/>
      <c r="U4664" s="591"/>
      <c r="V4664" s="592"/>
      <c r="W4664" s="592"/>
      <c r="X4664" s="592"/>
      <c r="Y4664" s="592"/>
      <c r="Z4664" s="592"/>
    </row>
    <row r="4665" spans="1:26" hidden="1"/>
    <row r="4666" spans="1:26" s="246" customFormat="1" hidden="1">
      <c r="A4666" s="1364" t="s">
        <v>207</v>
      </c>
      <c r="B4666" s="1364"/>
      <c r="C4666" s="606"/>
      <c r="D4666" s="582"/>
      <c r="E4666" s="582"/>
      <c r="F4666" s="582"/>
      <c r="G4666" s="582"/>
      <c r="H4666" s="582"/>
      <c r="I4666" s="582"/>
      <c r="J4666" s="582"/>
      <c r="K4666" s="606"/>
      <c r="L4666" s="584"/>
      <c r="M4666" s="585"/>
      <c r="N4666" s="586"/>
      <c r="O4666" s="587"/>
      <c r="P4666" s="582"/>
      <c r="Q4666" s="582"/>
      <c r="R4666" s="606"/>
      <c r="S4666" s="593"/>
      <c r="T4666" s="590"/>
      <c r="U4666" s="591"/>
      <c r="V4666" s="591"/>
      <c r="W4666" s="591"/>
      <c r="X4666" s="591"/>
      <c r="Y4666" s="591"/>
      <c r="Z4666" s="591"/>
    </row>
    <row r="4667" spans="1:26" hidden="1"/>
    <row r="4668" spans="1:26" hidden="1"/>
    <row r="4669" spans="1:26" hidden="1"/>
    <row r="4670" spans="1:26" hidden="1"/>
    <row r="4678" spans="13:13">
      <c r="M4678" s="1299" t="s">
        <v>4305</v>
      </c>
    </row>
  </sheetData>
  <sheetProtection selectLockedCells="1" selectUnlockedCells="1"/>
  <sortState ref="B2008:Q2068">
    <sortCondition ref="B2008:B2068"/>
  </sortState>
  <mergeCells count="840">
    <mergeCell ref="L2037:L2038"/>
    <mergeCell ref="L2034:L2035"/>
    <mergeCell ref="L2029:L2030"/>
    <mergeCell ref="L2031:L2032"/>
    <mergeCell ref="L2027:L2028"/>
    <mergeCell ref="L2023:L2024"/>
    <mergeCell ref="L2058:L2059"/>
    <mergeCell ref="L2060:L2061"/>
    <mergeCell ref="L2062:L2063"/>
    <mergeCell ref="L2064:L2065"/>
    <mergeCell ref="L2066:L2067"/>
    <mergeCell ref="L2068:L2069"/>
    <mergeCell ref="L2075:L2076"/>
    <mergeCell ref="L2077:L2078"/>
    <mergeCell ref="L2039:L2040"/>
    <mergeCell ref="L2041:L2042"/>
    <mergeCell ref="L2043:L2044"/>
    <mergeCell ref="L2045:L2046"/>
    <mergeCell ref="L2047:L2048"/>
    <mergeCell ref="L2049:L2050"/>
    <mergeCell ref="L2051:L2052"/>
    <mergeCell ref="L2053:L2054"/>
    <mergeCell ref="L2056:L2057"/>
    <mergeCell ref="B2023:B2024"/>
    <mergeCell ref="L2025:L2026"/>
    <mergeCell ref="A1277:A1278"/>
    <mergeCell ref="A1992:A1993"/>
    <mergeCell ref="A1989:A1990"/>
    <mergeCell ref="B1952:B1953"/>
    <mergeCell ref="A1985:A1986"/>
    <mergeCell ref="L1621:L1622"/>
    <mergeCell ref="L1702:L1703"/>
    <mergeCell ref="L1899:L1900"/>
    <mergeCell ref="L1586:L1587"/>
    <mergeCell ref="L1658:L1659"/>
    <mergeCell ref="A1979:A1980"/>
    <mergeCell ref="A1981:A1982"/>
    <mergeCell ref="A1983:A1984"/>
    <mergeCell ref="L1946:L1947"/>
    <mergeCell ref="L1732:L1733"/>
    <mergeCell ref="L1844:L1845"/>
    <mergeCell ref="L1650:L1651"/>
    <mergeCell ref="L1734:L1735"/>
    <mergeCell ref="D431:D432"/>
    <mergeCell ref="L431:L432"/>
    <mergeCell ref="A1279:A1280"/>
    <mergeCell ref="A1311:R1311"/>
    <mergeCell ref="A1301:B1301"/>
    <mergeCell ref="L1714:L1715"/>
    <mergeCell ref="L1723:L1724"/>
    <mergeCell ref="L1582:L1583"/>
    <mergeCell ref="L1584:L1585"/>
    <mergeCell ref="A1457:R1457"/>
    <mergeCell ref="A1459:R1459"/>
    <mergeCell ref="A1416:R1416"/>
    <mergeCell ref="A1446:B1446"/>
    <mergeCell ref="A1456:B1456"/>
    <mergeCell ref="A1450:R1450"/>
    <mergeCell ref="A1400:R1400"/>
    <mergeCell ref="A1394:B1394"/>
    <mergeCell ref="A1395:R1395"/>
    <mergeCell ref="A1415:B1415"/>
    <mergeCell ref="A1455:B1455"/>
    <mergeCell ref="L1613:L1614"/>
    <mergeCell ref="A1399:B1399"/>
    <mergeCell ref="A1449:B1449"/>
    <mergeCell ref="L459:L460"/>
    <mergeCell ref="A134:A135"/>
    <mergeCell ref="A180:A181"/>
    <mergeCell ref="F327:F328"/>
    <mergeCell ref="B366:B369"/>
    <mergeCell ref="A366:A369"/>
    <mergeCell ref="I431:I432"/>
    <mergeCell ref="H431:H432"/>
    <mergeCell ref="L1799:L1800"/>
    <mergeCell ref="L1849:L1850"/>
    <mergeCell ref="L1801:L1802"/>
    <mergeCell ref="L1206:L1207"/>
    <mergeCell ref="B1386:B1387"/>
    <mergeCell ref="L1689:L1690"/>
    <mergeCell ref="L1791:L1792"/>
    <mergeCell ref="L1358:L1359"/>
    <mergeCell ref="L1304:L1305"/>
    <mergeCell ref="A1355:R1355"/>
    <mergeCell ref="L1386:L1387"/>
    <mergeCell ref="A1307:R1307"/>
    <mergeCell ref="A1365:B1365"/>
    <mergeCell ref="A1246:B1246"/>
    <mergeCell ref="A1247:R1247"/>
    <mergeCell ref="A1268:B1268"/>
    <mergeCell ref="A1259:B1259"/>
    <mergeCell ref="L470:L471"/>
    <mergeCell ref="L529:L530"/>
    <mergeCell ref="L487:L488"/>
    <mergeCell ref="A518:R518"/>
    <mergeCell ref="A527:R527"/>
    <mergeCell ref="G50:G51"/>
    <mergeCell ref="C50:C51"/>
    <mergeCell ref="D50:D51"/>
    <mergeCell ref="E50:E51"/>
    <mergeCell ref="F50:F51"/>
    <mergeCell ref="A403:A404"/>
    <mergeCell ref="E431:E432"/>
    <mergeCell ref="A423:A424"/>
    <mergeCell ref="G431:G432"/>
    <mergeCell ref="G327:G328"/>
    <mergeCell ref="B362:B365"/>
    <mergeCell ref="A351:A352"/>
    <mergeCell ref="A327:A328"/>
    <mergeCell ref="A340:A341"/>
    <mergeCell ref="A334:A335"/>
    <mergeCell ref="F431:F432"/>
    <mergeCell ref="C431:C432"/>
    <mergeCell ref="A307:A308"/>
    <mergeCell ref="L91:L92"/>
    <mergeCell ref="A789:B789"/>
    <mergeCell ref="A790:R790"/>
    <mergeCell ref="A762:B762"/>
    <mergeCell ref="A691:R691"/>
    <mergeCell ref="A686:R686"/>
    <mergeCell ref="A690:B690"/>
    <mergeCell ref="A767:R767"/>
    <mergeCell ref="A784:B784"/>
    <mergeCell ref="A735:B735"/>
    <mergeCell ref="A736:R736"/>
    <mergeCell ref="A739:B739"/>
    <mergeCell ref="A740:R740"/>
    <mergeCell ref="A763:R763"/>
    <mergeCell ref="A766:B766"/>
    <mergeCell ref="A732:B732"/>
    <mergeCell ref="A2847:B2847"/>
    <mergeCell ref="A2798:B2798"/>
    <mergeCell ref="A2848:Q2848"/>
    <mergeCell ref="L2671:L2672"/>
    <mergeCell ref="A2697:Q2697"/>
    <mergeCell ref="A2693:Q2693"/>
    <mergeCell ref="A2692:B2692"/>
    <mergeCell ref="A2696:B2696"/>
    <mergeCell ref="A2710:Q2710"/>
    <mergeCell ref="A2746:B2746"/>
    <mergeCell ref="A2688:B2688"/>
    <mergeCell ref="A2676:Q2676"/>
    <mergeCell ref="A2829:B2829"/>
    <mergeCell ref="B2714:B2715"/>
    <mergeCell ref="A2793:B2793"/>
    <mergeCell ref="A2751:B2751"/>
    <mergeCell ref="A2837:Q2837"/>
    <mergeCell ref="A2830:Q2830"/>
    <mergeCell ref="A2689:Q2689"/>
    <mergeCell ref="A2702:Q2702"/>
    <mergeCell ref="A2794:Q2794"/>
    <mergeCell ref="A2806:Q2806"/>
    <mergeCell ref="A2803:Q2803"/>
    <mergeCell ref="A2805:B2805"/>
    <mergeCell ref="B1140:B1141"/>
    <mergeCell ref="L1138:L1139"/>
    <mergeCell ref="A1142:B1142"/>
    <mergeCell ref="L319:L320"/>
    <mergeCell ref="L381:L382"/>
    <mergeCell ref="L327:L328"/>
    <mergeCell ref="L334:L335"/>
    <mergeCell ref="L423:L424"/>
    <mergeCell ref="G340:G341"/>
    <mergeCell ref="E327:E328"/>
    <mergeCell ref="A835:B835"/>
    <mergeCell ref="A836:R836"/>
    <mergeCell ref="A801:R801"/>
    <mergeCell ref="A804:B804"/>
    <mergeCell ref="L413:L414"/>
    <mergeCell ref="J431:J432"/>
    <mergeCell ref="L454:L455"/>
    <mergeCell ref="A785:R785"/>
    <mergeCell ref="A792:B792"/>
    <mergeCell ref="A685:B685"/>
    <mergeCell ref="A733:R733"/>
    <mergeCell ref="A678:R678"/>
    <mergeCell ref="L611:L612"/>
    <mergeCell ref="L630:L631"/>
    <mergeCell ref="A4047:Q4047"/>
    <mergeCell ref="A4058:Q4058"/>
    <mergeCell ref="A3702:B3702"/>
    <mergeCell ref="A1269:R1269"/>
    <mergeCell ref="A1143:R1143"/>
    <mergeCell ref="A1231:R1231"/>
    <mergeCell ref="B1206:B1207"/>
    <mergeCell ref="A1260:R1260"/>
    <mergeCell ref="A3413:Q3413"/>
    <mergeCell ref="A3403:B3403"/>
    <mergeCell ref="L2578:L2579"/>
    <mergeCell ref="A2567:Q2567"/>
    <mergeCell ref="B2573:B2574"/>
    <mergeCell ref="B2578:B2579"/>
    <mergeCell ref="A2754:B2754"/>
    <mergeCell ref="B2741:B2742"/>
    <mergeCell ref="A2870:B2870"/>
    <mergeCell ref="A2836:B2836"/>
    <mergeCell ref="A2758:Q2758"/>
    <mergeCell ref="A2755:Q2755"/>
    <mergeCell ref="A2752:Q2752"/>
    <mergeCell ref="A2747:Q2747"/>
    <mergeCell ref="A2757:B2757"/>
    <mergeCell ref="A2885:Q2885"/>
    <mergeCell ref="A4144:B4144"/>
    <mergeCell ref="A3699:B3699"/>
    <mergeCell ref="A3675:B3675"/>
    <mergeCell ref="A4139:B4139"/>
    <mergeCell ref="A4106:B4106"/>
    <mergeCell ref="A4148:B4148"/>
    <mergeCell ref="A4097:B4097"/>
    <mergeCell ref="A3754:B3754"/>
    <mergeCell ref="A3895:B3895"/>
    <mergeCell ref="A3709:B3709"/>
    <mergeCell ref="A3690:B3690"/>
    <mergeCell ref="A3803:B3803"/>
    <mergeCell ref="A3778:B3778"/>
    <mergeCell ref="A4057:B4057"/>
    <mergeCell ref="A4063:B4063"/>
    <mergeCell ref="A4094:B4094"/>
    <mergeCell ref="A3832:Q3832"/>
    <mergeCell ref="A3705:B3705"/>
    <mergeCell ref="A3918:Q3918"/>
    <mergeCell ref="A3806:Q3806"/>
    <mergeCell ref="L4014:L4015"/>
    <mergeCell ref="A4104:Q4104"/>
    <mergeCell ref="A4098:Q4098"/>
    <mergeCell ref="L3943:L3944"/>
    <mergeCell ref="A4438:Q4438"/>
    <mergeCell ref="A4423:Q4423"/>
    <mergeCell ref="A4419:Q4419"/>
    <mergeCell ref="A4413:Q4413"/>
    <mergeCell ref="A4403:Q4403"/>
    <mergeCell ref="A4399:Q4399"/>
    <mergeCell ref="A4396:Q4396"/>
    <mergeCell ref="A4391:B4391"/>
    <mergeCell ref="A4332:B4332"/>
    <mergeCell ref="A4437:B4437"/>
    <mergeCell ref="A4422:B4422"/>
    <mergeCell ref="A4418:B4418"/>
    <mergeCell ref="A4412:B4412"/>
    <mergeCell ref="A4247:A4248"/>
    <mergeCell ref="B4247:B4248"/>
    <mergeCell ref="A4261:A4262"/>
    <mergeCell ref="A4392:Q4392"/>
    <mergeCell ref="A4328:Q4328"/>
    <mergeCell ref="A4258:A4259"/>
    <mergeCell ref="B4258:B4259"/>
    <mergeCell ref="L4252:L4253"/>
    <mergeCell ref="A4333:Q4333"/>
    <mergeCell ref="A4326:Q4326"/>
    <mergeCell ref="L4369:L4370"/>
    <mergeCell ref="B4270:B4271"/>
    <mergeCell ref="B4252:B4253"/>
    <mergeCell ref="A3665:Q3665"/>
    <mergeCell ref="A3771:B3771"/>
    <mergeCell ref="A3641:B3641"/>
    <mergeCell ref="A3626:B3626"/>
    <mergeCell ref="A3804:Q3804"/>
    <mergeCell ref="A3831:B3831"/>
    <mergeCell ref="A3669:B3669"/>
    <mergeCell ref="A3710:Q3710"/>
    <mergeCell ref="A3794:B3794"/>
    <mergeCell ref="A3795:Q3795"/>
    <mergeCell ref="A3670:Q3670"/>
    <mergeCell ref="A3629:B3629"/>
    <mergeCell ref="A3637:B3637"/>
    <mergeCell ref="A3664:B3664"/>
    <mergeCell ref="A3680:B3680"/>
    <mergeCell ref="A3706:Q3706"/>
    <mergeCell ref="A3712:B3712"/>
    <mergeCell ref="A3662:Q3662"/>
    <mergeCell ref="A3642:Q3642"/>
    <mergeCell ref="A3638:Q3638"/>
    <mergeCell ref="A3630:Q3630"/>
    <mergeCell ref="A3661:B3661"/>
    <mergeCell ref="A3694:B3694"/>
    <mergeCell ref="A3789:B3789"/>
    <mergeCell ref="S3412:T3412"/>
    <mergeCell ref="A3412:B3412"/>
    <mergeCell ref="A3545:B3545"/>
    <mergeCell ref="A3604:B3604"/>
    <mergeCell ref="A3529:B3529"/>
    <mergeCell ref="A3535:B3535"/>
    <mergeCell ref="L3474:L3475"/>
    <mergeCell ref="A1372:R1372"/>
    <mergeCell ref="A1362:R1362"/>
    <mergeCell ref="L1597:L1598"/>
    <mergeCell ref="A1366:R1366"/>
    <mergeCell ref="A1371:B1371"/>
    <mergeCell ref="A2088:Q2088"/>
    <mergeCell ref="A2082:Q2082"/>
    <mergeCell ref="A2080:Q2080"/>
    <mergeCell ref="A1447:R1447"/>
    <mergeCell ref="L1637:L1638"/>
    <mergeCell ref="A2297:B2297"/>
    <mergeCell ref="A2300:B2300"/>
    <mergeCell ref="A2306:B2306"/>
    <mergeCell ref="A2251:B2251"/>
    <mergeCell ref="A2298:Q2298"/>
    <mergeCell ref="L1943:L1944"/>
    <mergeCell ref="L1925:L1926"/>
    <mergeCell ref="A1:R1"/>
    <mergeCell ref="A2:R2"/>
    <mergeCell ref="A4:A7"/>
    <mergeCell ref="B4:B7"/>
    <mergeCell ref="C4:C7"/>
    <mergeCell ref="D4:D7"/>
    <mergeCell ref="E4:E7"/>
    <mergeCell ref="F4:F7"/>
    <mergeCell ref="G4:G7"/>
    <mergeCell ref="H4:H7"/>
    <mergeCell ref="L4:Q4"/>
    <mergeCell ref="R4:R6"/>
    <mergeCell ref="L5:L6"/>
    <mergeCell ref="M5:Q5"/>
    <mergeCell ref="K4:K7"/>
    <mergeCell ref="J4:J7"/>
    <mergeCell ref="I4:I7"/>
    <mergeCell ref="A9:B9"/>
    <mergeCell ref="A1361:B1361"/>
    <mergeCell ref="A1354:B1354"/>
    <mergeCell ref="A2293:Q2293"/>
    <mergeCell ref="L1618:L1619"/>
    <mergeCell ref="L4258:L4259"/>
    <mergeCell ref="L4270:L4271"/>
    <mergeCell ref="A3470:B3470"/>
    <mergeCell ref="L4245:L4246"/>
    <mergeCell ref="L4268:L4269"/>
    <mergeCell ref="L4243:L4244"/>
    <mergeCell ref="L4247:L4248"/>
    <mergeCell ref="L4261:L4262"/>
    <mergeCell ref="A4249:A4250"/>
    <mergeCell ref="B4249:B4250"/>
    <mergeCell ref="A4252:A4253"/>
    <mergeCell ref="B4261:B4262"/>
    <mergeCell ref="A4245:A4246"/>
    <mergeCell ref="L4249:L4250"/>
    <mergeCell ref="A3576:Q3576"/>
    <mergeCell ref="A3715:B3715"/>
    <mergeCell ref="A3683:B3683"/>
    <mergeCell ref="A3686:B3686"/>
    <mergeCell ref="A4109:B4109"/>
    <mergeCell ref="A10:B10"/>
    <mergeCell ref="A13:R13"/>
    <mergeCell ref="A1458:B1458"/>
    <mergeCell ref="L1948:L1949"/>
    <mergeCell ref="L1941:L1942"/>
    <mergeCell ref="A2675:B2675"/>
    <mergeCell ref="L2739:L2740"/>
    <mergeCell ref="L1705:L1707"/>
    <mergeCell ref="L1902:L1903"/>
    <mergeCell ref="A2292:B2292"/>
    <mergeCell ref="A2087:B2087"/>
    <mergeCell ref="L1917:L1918"/>
    <mergeCell ref="A2079:B2079"/>
    <mergeCell ref="A2193:B2193"/>
    <mergeCell ref="A2209:B2209"/>
    <mergeCell ref="A2276:B2276"/>
    <mergeCell ref="A2247:B2247"/>
    <mergeCell ref="A2123:Q2123"/>
    <mergeCell ref="A2701:B2701"/>
    <mergeCell ref="A2709:B2709"/>
    <mergeCell ref="L403:L404"/>
    <mergeCell ref="A877:R877"/>
    <mergeCell ref="L439:L441"/>
    <mergeCell ref="L608:L609"/>
    <mergeCell ref="A11:R11"/>
    <mergeCell ref="L15:L16"/>
    <mergeCell ref="J340:J341"/>
    <mergeCell ref="H340:H341"/>
    <mergeCell ref="A805:R805"/>
    <mergeCell ref="A793:R793"/>
    <mergeCell ref="A867:R867"/>
    <mergeCell ref="A516:R516"/>
    <mergeCell ref="A515:B515"/>
    <mergeCell ref="A431:A432"/>
    <mergeCell ref="I327:I328"/>
    <mergeCell ref="I50:I51"/>
    <mergeCell ref="J50:J51"/>
    <mergeCell ref="A670:R670"/>
    <mergeCell ref="A192:A193"/>
    <mergeCell ref="A182:A183"/>
    <mergeCell ref="A234:A235"/>
    <mergeCell ref="L19:L20"/>
    <mergeCell ref="L43:L44"/>
    <mergeCell ref="L50:L51"/>
    <mergeCell ref="L52:L53"/>
    <mergeCell ref="L74:L75"/>
    <mergeCell ref="L76:L77"/>
    <mergeCell ref="A15:A16"/>
    <mergeCell ref="A2463:B2463"/>
    <mergeCell ref="L2552:L2553"/>
    <mergeCell ref="A2435:Q2435"/>
    <mergeCell ref="A2389:Q2389"/>
    <mergeCell ref="A2385:Q2385"/>
    <mergeCell ref="A2431:B2431"/>
    <mergeCell ref="A2440:B2440"/>
    <mergeCell ref="L2499:L2500"/>
    <mergeCell ref="A2566:B2566"/>
    <mergeCell ref="A2441:Q2441"/>
    <mergeCell ref="B2499:B2500"/>
    <mergeCell ref="A2432:Q2432"/>
    <mergeCell ref="A2434:B2434"/>
    <mergeCell ref="A2549:Q2549"/>
    <mergeCell ref="A2494:Q2494"/>
    <mergeCell ref="A2453:B2453"/>
    <mergeCell ref="A2465:B2465"/>
    <mergeCell ref="A2493:B2493"/>
    <mergeCell ref="A2548:B2548"/>
    <mergeCell ref="A2448:B2448"/>
    <mergeCell ref="A2388:B2388"/>
    <mergeCell ref="A2362:B2362"/>
    <mergeCell ref="A2377:B2377"/>
    <mergeCell ref="A2384:B2384"/>
    <mergeCell ref="A2328:B2328"/>
    <mergeCell ref="A2333:B2333"/>
    <mergeCell ref="A2373:B2373"/>
    <mergeCell ref="A2347:B2347"/>
    <mergeCell ref="A2357:B2357"/>
    <mergeCell ref="A2338:B2338"/>
    <mergeCell ref="A2350:B2350"/>
    <mergeCell ref="A2353:B2353"/>
    <mergeCell ref="A2301:Q2301"/>
    <mergeCell ref="A2309:B2309"/>
    <mergeCell ref="A2466:Q2466"/>
    <mergeCell ref="A2454:Q2454"/>
    <mergeCell ref="A2449:Q2449"/>
    <mergeCell ref="A2363:Q2363"/>
    <mergeCell ref="A2358:Q2358"/>
    <mergeCell ref="A2354:Q2354"/>
    <mergeCell ref="A2351:Q2351"/>
    <mergeCell ref="A2348:Q2348"/>
    <mergeCell ref="A2310:Q2310"/>
    <mergeCell ref="A2307:Q2307"/>
    <mergeCell ref="A2339:Q2339"/>
    <mergeCell ref="A2334:Q2334"/>
    <mergeCell ref="A2329:Q2329"/>
    <mergeCell ref="A2324:B2324"/>
    <mergeCell ref="A2378:Q2378"/>
    <mergeCell ref="A2464:Q2464"/>
    <mergeCell ref="A2374:Q2374"/>
    <mergeCell ref="A2370:Q2370"/>
    <mergeCell ref="A2366:Q2366"/>
    <mergeCell ref="A2325:Q2325"/>
    <mergeCell ref="A2365:B2365"/>
    <mergeCell ref="A2369:B2369"/>
    <mergeCell ref="A2122:B2122"/>
    <mergeCell ref="C52:C53"/>
    <mergeCell ref="L340:L341"/>
    <mergeCell ref="A362:A365"/>
    <mergeCell ref="A2202:B2202"/>
    <mergeCell ref="A2243:B2243"/>
    <mergeCell ref="B2204:B2205"/>
    <mergeCell ref="L2204:L2205"/>
    <mergeCell ref="A2277:Q2277"/>
    <mergeCell ref="A2273:Q2273"/>
    <mergeCell ref="A2252:Q2252"/>
    <mergeCell ref="A2248:Q2248"/>
    <mergeCell ref="A2194:Q2194"/>
    <mergeCell ref="A2200:Q2200"/>
    <mergeCell ref="A2203:Q2203"/>
    <mergeCell ref="A2207:Q2207"/>
    <mergeCell ref="A2210:Q2210"/>
    <mergeCell ref="A2244:Q2244"/>
    <mergeCell ref="A2206:B2206"/>
    <mergeCell ref="A2199:B2199"/>
    <mergeCell ref="A2272:B2272"/>
    <mergeCell ref="A2081:B2081"/>
    <mergeCell ref="A866:B866"/>
    <mergeCell ref="A869:B869"/>
    <mergeCell ref="B15:B16"/>
    <mergeCell ref="A132:A133"/>
    <mergeCell ref="A52:A53"/>
    <mergeCell ref="B28:B29"/>
    <mergeCell ref="A28:A29"/>
    <mergeCell ref="A70:A71"/>
    <mergeCell ref="A43:A44"/>
    <mergeCell ref="A76:A77"/>
    <mergeCell ref="A108:A109"/>
    <mergeCell ref="A19:A20"/>
    <mergeCell ref="A50:A51"/>
    <mergeCell ref="A91:A92"/>
    <mergeCell ref="A74:A75"/>
    <mergeCell ref="A111:A112"/>
    <mergeCell ref="L366:L369"/>
    <mergeCell ref="A139:A140"/>
    <mergeCell ref="A156:A157"/>
    <mergeCell ref="C195:C196"/>
    <mergeCell ref="A216:A217"/>
    <mergeCell ref="L192:L193"/>
    <mergeCell ref="A221:A222"/>
    <mergeCell ref="L221:L222"/>
    <mergeCell ref="L267:L268"/>
    <mergeCell ref="L297:L298"/>
    <mergeCell ref="A275:A276"/>
    <mergeCell ref="L357:L358"/>
    <mergeCell ref="L362:L365"/>
    <mergeCell ref="L351:L352"/>
    <mergeCell ref="E340:E341"/>
    <mergeCell ref="F340:F341"/>
    <mergeCell ref="L329:L330"/>
    <mergeCell ref="L342:L343"/>
    <mergeCell ref="C327:C328"/>
    <mergeCell ref="C340:C341"/>
    <mergeCell ref="D327:D328"/>
    <mergeCell ref="D340:D341"/>
    <mergeCell ref="A195:A196"/>
    <mergeCell ref="A243:A244"/>
    <mergeCell ref="T340:T341"/>
    <mergeCell ref="L97:L98"/>
    <mergeCell ref="L102:L103"/>
    <mergeCell ref="L86:L87"/>
    <mergeCell ref="L127:L128"/>
    <mergeCell ref="L145:L146"/>
    <mergeCell ref="L228:L229"/>
    <mergeCell ref="L238:L239"/>
    <mergeCell ref="L264:L265"/>
    <mergeCell ref="L99:L101"/>
    <mergeCell ref="L195:L196"/>
    <mergeCell ref="L277:L278"/>
    <mergeCell ref="L275:L276"/>
    <mergeCell ref="L119:L120"/>
    <mergeCell ref="L180:L181"/>
    <mergeCell ref="L182:L183"/>
    <mergeCell ref="L307:L308"/>
    <mergeCell ref="L312:L314"/>
    <mergeCell ref="L216:L217"/>
    <mergeCell ref="L132:L133"/>
    <mergeCell ref="L285:L286"/>
    <mergeCell ref="A517:B517"/>
    <mergeCell ref="L548:L549"/>
    <mergeCell ref="A680:B680"/>
    <mergeCell ref="A681:R681"/>
    <mergeCell ref="B640:B641"/>
    <mergeCell ref="L640:L641"/>
    <mergeCell ref="L533:L534"/>
    <mergeCell ref="L540:L541"/>
    <mergeCell ref="A596:B596"/>
    <mergeCell ref="A597:R597"/>
    <mergeCell ref="A526:B526"/>
    <mergeCell ref="A677:B677"/>
    <mergeCell ref="A669:B669"/>
    <mergeCell ref="L632:L633"/>
    <mergeCell ref="T28:T29"/>
    <mergeCell ref="L39:L40"/>
    <mergeCell ref="L80:L81"/>
    <mergeCell ref="T180:T181"/>
    <mergeCell ref="L197:L198"/>
    <mergeCell ref="L28:L29"/>
    <mergeCell ref="L70:L71"/>
    <mergeCell ref="L78:L79"/>
    <mergeCell ref="A1298:B1298"/>
    <mergeCell ref="H50:H51"/>
    <mergeCell ref="D52:D53"/>
    <mergeCell ref="E52:E53"/>
    <mergeCell ref="F52:F53"/>
    <mergeCell ref="G52:G53"/>
    <mergeCell ref="L372:L373"/>
    <mergeCell ref="L384:L385"/>
    <mergeCell ref="L111:L112"/>
    <mergeCell ref="L108:L109"/>
    <mergeCell ref="L156:L157"/>
    <mergeCell ref="L139:L140"/>
    <mergeCell ref="L115:L116"/>
    <mergeCell ref="L234:L235"/>
    <mergeCell ref="L243:L244"/>
    <mergeCell ref="L134:L135"/>
    <mergeCell ref="H52:H53"/>
    <mergeCell ref="I52:I53"/>
    <mergeCell ref="J327:J328"/>
    <mergeCell ref="H327:H328"/>
    <mergeCell ref="I340:I341"/>
    <mergeCell ref="J52:J53"/>
    <mergeCell ref="L1124:L1125"/>
    <mergeCell ref="L933:L934"/>
    <mergeCell ref="L1250:L1251"/>
    <mergeCell ref="A1017:R1017"/>
    <mergeCell ref="A951:R951"/>
    <mergeCell ref="A968:B968"/>
    <mergeCell ref="A1014:B1014"/>
    <mergeCell ref="B933:B934"/>
    <mergeCell ref="A1050:R1050"/>
    <mergeCell ref="A991:B991"/>
    <mergeCell ref="A1000:R1000"/>
    <mergeCell ref="A979:R979"/>
    <mergeCell ref="A969:R969"/>
    <mergeCell ref="A999:B999"/>
    <mergeCell ref="A992:R992"/>
    <mergeCell ref="A1015:R1015"/>
    <mergeCell ref="A950:B950"/>
    <mergeCell ref="B439:B441"/>
    <mergeCell ref="A1119:B1119"/>
    <mergeCell ref="A1120:R1120"/>
    <mergeCell ref="L1248:L1249"/>
    <mergeCell ref="A1299:R1299"/>
    <mergeCell ref="A1310:B1310"/>
    <mergeCell ref="A1314:R1314"/>
    <mergeCell ref="A1253:B1253"/>
    <mergeCell ref="A1254:R1254"/>
    <mergeCell ref="B1124:B1125"/>
    <mergeCell ref="L1272:L1273"/>
    <mergeCell ref="L1284:L1285"/>
    <mergeCell ref="B1127:B1128"/>
    <mergeCell ref="L1140:L1141"/>
    <mergeCell ref="L1279:L1280"/>
    <mergeCell ref="A1243:R1243"/>
    <mergeCell ref="A1230:B1230"/>
    <mergeCell ref="A1272:A1273"/>
    <mergeCell ref="A1242:B1242"/>
    <mergeCell ref="A1290:A1291"/>
    <mergeCell ref="A1302:R1302"/>
    <mergeCell ref="A1306:B1306"/>
    <mergeCell ref="L1290:L1291"/>
    <mergeCell ref="A1313:B1313"/>
    <mergeCell ref="L1277:L1278"/>
    <mergeCell ref="A4638:B4638"/>
    <mergeCell ref="A800:B800"/>
    <mergeCell ref="A894:B894"/>
    <mergeCell ref="A832:B832"/>
    <mergeCell ref="A840:B840"/>
    <mergeCell ref="A841:R841"/>
    <mergeCell ref="A846:B846"/>
    <mergeCell ref="A833:R833"/>
    <mergeCell ref="A888:R888"/>
    <mergeCell ref="A880:R880"/>
    <mergeCell ref="A884:B884"/>
    <mergeCell ref="A885:R885"/>
    <mergeCell ref="A891:R891"/>
    <mergeCell ref="A887:B887"/>
    <mergeCell ref="A870:R870"/>
    <mergeCell ref="A876:B876"/>
    <mergeCell ref="A879:B879"/>
    <mergeCell ref="A890:B890"/>
    <mergeCell ref="A847:R847"/>
    <mergeCell ref="A863:B863"/>
    <mergeCell ref="A864:R864"/>
    <mergeCell ref="A978:B978"/>
    <mergeCell ref="A902:R902"/>
    <mergeCell ref="A1049:B1049"/>
    <mergeCell ref="B467:B468"/>
    <mergeCell ref="A439:A441"/>
    <mergeCell ref="L467:L468"/>
    <mergeCell ref="A4601:B4601"/>
    <mergeCell ref="A4235:B4235"/>
    <mergeCell ref="A3805:B3805"/>
    <mergeCell ref="A4521:B4521"/>
    <mergeCell ref="A4578:B4578"/>
    <mergeCell ref="A4511:B4511"/>
    <mergeCell ref="A4516:B4516"/>
    <mergeCell ref="A4572:B4572"/>
    <mergeCell ref="A4546:B4546"/>
    <mergeCell ref="A4528:B4528"/>
    <mergeCell ref="A4536:B4536"/>
    <mergeCell ref="A4540:B4540"/>
    <mergeCell ref="A898:B898"/>
    <mergeCell ref="A899:R899"/>
    <mergeCell ref="A901:B901"/>
    <mergeCell ref="A895:R895"/>
    <mergeCell ref="A1016:B1016"/>
    <mergeCell ref="B1138:B1139"/>
    <mergeCell ref="A4471:B4471"/>
    <mergeCell ref="A4508:B4508"/>
    <mergeCell ref="A4477:B4477"/>
    <mergeCell ref="A4666:B4666"/>
    <mergeCell ref="A4661:Q4661"/>
    <mergeCell ref="A4656:Q4656"/>
    <mergeCell ref="A4653:Q4653"/>
    <mergeCell ref="A4650:Q4650"/>
    <mergeCell ref="A4646:Q4646"/>
    <mergeCell ref="A4642:Q4642"/>
    <mergeCell ref="A4639:Q4639"/>
    <mergeCell ref="A4660:B4660"/>
    <mergeCell ref="A4649:B4649"/>
    <mergeCell ref="A4645:B4645"/>
    <mergeCell ref="A4663:B4663"/>
    <mergeCell ref="A4655:B4655"/>
    <mergeCell ref="A4652:B4652"/>
    <mergeCell ref="A4641:B4641"/>
    <mergeCell ref="B4245:B4246"/>
    <mergeCell ref="A4379:B4379"/>
    <mergeCell ref="A4402:B4402"/>
    <mergeCell ref="A4395:B4395"/>
    <mergeCell ref="A4398:B4398"/>
    <mergeCell ref="A4636:Q4636"/>
    <mergeCell ref="A3681:Q3681"/>
    <mergeCell ref="A3676:Q3676"/>
    <mergeCell ref="A4582:Q4582"/>
    <mergeCell ref="A4570:Q4570"/>
    <mergeCell ref="A4380:Q4380"/>
    <mergeCell ref="A4631:B4631"/>
    <mergeCell ref="A4592:Q4592"/>
    <mergeCell ref="A4635:B4635"/>
    <mergeCell ref="A4472:Q4472"/>
    <mergeCell ref="A4466:Q4466"/>
    <mergeCell ref="A4541:Q4541"/>
    <mergeCell ref="A4529:Q4529"/>
    <mergeCell ref="A4228:B4228"/>
    <mergeCell ref="A4224:B4224"/>
    <mergeCell ref="L4220:L4221"/>
    <mergeCell ref="A4234:Q4234"/>
    <mergeCell ref="A4632:Q4632"/>
    <mergeCell ref="A4327:B4327"/>
    <mergeCell ref="A4537:Q4537"/>
    <mergeCell ref="A4526:Q4526"/>
    <mergeCell ref="A4522:Q4522"/>
    <mergeCell ref="A4547:Q4547"/>
    <mergeCell ref="A4497:B4497"/>
    <mergeCell ref="A4581:B4581"/>
    <mergeCell ref="A4498:Q4498"/>
    <mergeCell ref="A4492:Q4492"/>
    <mergeCell ref="A4441:Q4441"/>
    <mergeCell ref="A4177:B4177"/>
    <mergeCell ref="A4095:Q4095"/>
    <mergeCell ref="A4196:Q4196"/>
    <mergeCell ref="B4241:B4242"/>
    <mergeCell ref="L4241:L4242"/>
    <mergeCell ref="L4295:L4296"/>
    <mergeCell ref="A4243:A4244"/>
    <mergeCell ref="B4243:B4244"/>
    <mergeCell ref="A4602:Q4602"/>
    <mergeCell ref="A4584:Q4584"/>
    <mergeCell ref="A4583:B4583"/>
    <mergeCell ref="A4482:B4482"/>
    <mergeCell ref="A4487:B4487"/>
    <mergeCell ref="A4517:Q4517"/>
    <mergeCell ref="A4512:Q4512"/>
    <mergeCell ref="A4569:B4569"/>
    <mergeCell ref="A4509:Q4509"/>
    <mergeCell ref="A4505:Q4505"/>
    <mergeCell ref="A4491:B4491"/>
    <mergeCell ref="A4504:B4504"/>
    <mergeCell ref="A4591:B4591"/>
    <mergeCell ref="A4579:Q4579"/>
    <mergeCell ref="A4573:Q4573"/>
    <mergeCell ref="A4525:B4525"/>
    <mergeCell ref="L2741:L2742"/>
    <mergeCell ref="A2802:B2802"/>
    <mergeCell ref="A2799:Q2799"/>
    <mergeCell ref="A4488:Q4488"/>
    <mergeCell ref="A4483:Q4483"/>
    <mergeCell ref="A4478:Q4478"/>
    <mergeCell ref="A4053:B4053"/>
    <mergeCell ref="A4107:Q4107"/>
    <mergeCell ref="A4236:Q4236"/>
    <mergeCell ref="A4440:B4440"/>
    <mergeCell ref="A4458:B4458"/>
    <mergeCell ref="A4465:B4465"/>
    <mergeCell ref="A4459:Q4459"/>
    <mergeCell ref="A4233:B4233"/>
    <mergeCell ref="A4325:B4325"/>
    <mergeCell ref="L4293:L4294"/>
    <mergeCell ref="L4316:L4317"/>
    <mergeCell ref="A4268:A4269"/>
    <mergeCell ref="A4270:A4271"/>
    <mergeCell ref="B3474:B3475"/>
    <mergeCell ref="A3474:A3475"/>
    <mergeCell ref="A3620:B3620"/>
    <mergeCell ref="A2882:B2882"/>
    <mergeCell ref="L3203:L3204"/>
    <mergeCell ref="A2994:A2995"/>
    <mergeCell ref="A3575:B3575"/>
    <mergeCell ref="A3549:B3549"/>
    <mergeCell ref="A3536:Q3536"/>
    <mergeCell ref="L2994:L2995"/>
    <mergeCell ref="A3530:Q3530"/>
    <mergeCell ref="A2883:Q2883"/>
    <mergeCell ref="A3404:Q3404"/>
    <mergeCell ref="A3406:Q3406"/>
    <mergeCell ref="A3193:A3194"/>
    <mergeCell ref="A4036:Q4036"/>
    <mergeCell ref="A3627:Q3627"/>
    <mergeCell ref="A3700:Q3700"/>
    <mergeCell ref="A3695:Q3695"/>
    <mergeCell ref="A3691:Q3691"/>
    <mergeCell ref="A3687:Q3687"/>
    <mergeCell ref="A3578:B3578"/>
    <mergeCell ref="A3579:Q3579"/>
    <mergeCell ref="L2573:L2574"/>
    <mergeCell ref="A2881:B2881"/>
    <mergeCell ref="A2884:B2884"/>
    <mergeCell ref="A2875:Q2875"/>
    <mergeCell ref="A2871:Q2871"/>
    <mergeCell ref="A3572:B3572"/>
    <mergeCell ref="A3600:B3600"/>
    <mergeCell ref="A3621:Q3621"/>
    <mergeCell ref="A3605:Q3605"/>
    <mergeCell ref="A2874:B2874"/>
    <mergeCell ref="L3193:L3194"/>
    <mergeCell ref="A3471:Q3471"/>
    <mergeCell ref="A3203:A3204"/>
    <mergeCell ref="L3226:L3227"/>
    <mergeCell ref="A3304:A3305"/>
    <mergeCell ref="L3304:L3305"/>
    <mergeCell ref="L4101:L4102"/>
    <mergeCell ref="A4046:B4046"/>
    <mergeCell ref="A4110:Q4110"/>
    <mergeCell ref="A3540:B3540"/>
    <mergeCell ref="A3226:A3227"/>
    <mergeCell ref="A3703:Q3703"/>
    <mergeCell ref="L3743:L3745"/>
    <mergeCell ref="A3405:B3405"/>
    <mergeCell ref="A3541:Q3541"/>
    <mergeCell ref="A3601:Q3601"/>
    <mergeCell ref="A3573:Q3573"/>
    <mergeCell ref="A3550:Q3550"/>
    <mergeCell ref="A3546:Q3546"/>
    <mergeCell ref="A4103:B4103"/>
    <mergeCell ref="A4050:B4050"/>
    <mergeCell ref="L3912:L3913"/>
    <mergeCell ref="A3917:B3917"/>
    <mergeCell ref="A4035:B4035"/>
    <mergeCell ref="A4054:Q4054"/>
    <mergeCell ref="A4051:Q4051"/>
    <mergeCell ref="A3772:Q3772"/>
    <mergeCell ref="A3755:Q3755"/>
    <mergeCell ref="A3716:Q3716"/>
    <mergeCell ref="A3713:Q3713"/>
    <mergeCell ref="A4238:Q4238"/>
    <mergeCell ref="B4268:B4269"/>
    <mergeCell ref="A4241:A4242"/>
    <mergeCell ref="A3896:Q3896"/>
    <mergeCell ref="A4064:Q4064"/>
    <mergeCell ref="B4091:B4092"/>
    <mergeCell ref="L4091:L4092"/>
    <mergeCell ref="A4154:B4154"/>
    <mergeCell ref="L494:L495"/>
    <mergeCell ref="L819:L820"/>
    <mergeCell ref="A4229:Q4229"/>
    <mergeCell ref="A4225:Q4225"/>
    <mergeCell ref="A3684:Q3684"/>
    <mergeCell ref="A4183:Q4183"/>
    <mergeCell ref="A4178:Q4178"/>
    <mergeCell ref="A4155:Q4155"/>
    <mergeCell ref="A4149:Q4149"/>
    <mergeCell ref="A4145:Q4145"/>
    <mergeCell ref="A4140:Q4140"/>
    <mergeCell ref="L4189:L4190"/>
    <mergeCell ref="A3790:Q3790"/>
    <mergeCell ref="A3779:Q3779"/>
    <mergeCell ref="A4195:B4195"/>
    <mergeCell ref="A4182:B4182"/>
  </mergeCells>
  <conditionalFormatting sqref="F2359 D2364:D2366 E2385 D2394 F2352 G2353 F2296 F2285 F2291:F2293 F2279 G2275 G2271 I143 I76:J77 I203 I83 I154 I340:I341 I282 G3559 G3608 F3620 F3636:F3637 F3640 F3724:F3725 D3699 D3729 F2362 D2430:D2431 I303 D2368:D2370 F2364:F2366 F2289 D2434 L2434:Q2434">
    <cfRule type="cellIs" dxfId="117" priority="333" stopIfTrue="1" operator="equal">
      <formula>"н/д"</formula>
    </cfRule>
  </conditionalFormatting>
  <conditionalFormatting sqref="H1271:I1271">
    <cfRule type="cellIs" dxfId="116" priority="309" stopIfTrue="1" operator="equal">
      <formula>"н/д"</formula>
    </cfRule>
  </conditionalFormatting>
  <conditionalFormatting sqref="E1271 J1271 G1271">
    <cfRule type="cellIs" dxfId="115" priority="283" stopIfTrue="1" operator="equal">
      <formula>"н/д"</formula>
    </cfRule>
  </conditionalFormatting>
  <conditionalFormatting sqref="G260:J260 E260 E165:E166 E139:E140 E161 E153 E85 E45:G48 E23 C31 C33 E212:E214 G209:G210 E209:E210 E194:F194 E200 E70:E72 C185 E170:G170 E273:E274 E1920 E149 E312:E314 E285:E287 E27 E155 E192:E193 E132:E135 E297:E298 E182:E184 E277:E279 E55:E57 E4236:E4237 E113 C2887 C2904:C2905 C2907:C2915 C2895:C2902 C2889:C2893 C1500 C1502">
    <cfRule type="cellIs" dxfId="114" priority="252" stopIfTrue="1" operator="equal">
      <formula>"н/д"</formula>
    </cfRule>
  </conditionalFormatting>
  <conditionalFormatting sqref="F2354 F3619">
    <cfRule type="cellIs" dxfId="113" priority="232" stopIfTrue="1" operator="equal">
      <formula>"н/д"</formula>
    </cfRule>
  </conditionalFormatting>
  <conditionalFormatting sqref="E207:G207">
    <cfRule type="cellIs" dxfId="112" priority="176" stopIfTrue="1" operator="equal">
      <formula>"н/д"</formula>
    </cfRule>
  </conditionalFormatting>
  <conditionalFormatting sqref="F778 E895:E897 E899 D902 D905:E905 E902:E904">
    <cfRule type="cellIs" dxfId="111" priority="175" stopIfTrue="1" operator="equal">
      <formula>"н/д"</formula>
    </cfRule>
  </conditionalFormatting>
  <conditionalFormatting sqref="G779">
    <cfRule type="cellIs" dxfId="110" priority="174" stopIfTrue="1" operator="equal">
      <formula>"н/д"</formula>
    </cfRule>
  </conditionalFormatting>
  <conditionalFormatting sqref="G771">
    <cfRule type="cellIs" dxfId="109" priority="173" stopIfTrue="1" operator="equal">
      <formula>"н/д"</formula>
    </cfRule>
  </conditionalFormatting>
  <conditionalFormatting sqref="F780">
    <cfRule type="cellIs" dxfId="108" priority="172" stopIfTrue="1" operator="equal">
      <formula>"н/д"</formula>
    </cfRule>
  </conditionalFormatting>
  <conditionalFormatting sqref="F791">
    <cfRule type="cellIs" dxfId="107" priority="165" stopIfTrue="1" operator="equal">
      <formula>"н/д"</formula>
    </cfRule>
  </conditionalFormatting>
  <conditionalFormatting sqref="F798">
    <cfRule type="cellIs" dxfId="106" priority="167" stopIfTrue="1" operator="equal">
      <formula>"н/д"</formula>
    </cfRule>
  </conditionalFormatting>
  <conditionalFormatting sqref="F785">
    <cfRule type="cellIs" dxfId="105" priority="171" stopIfTrue="1" operator="equal">
      <formula>"н/д"</formula>
    </cfRule>
  </conditionalFormatting>
  <conditionalFormatting sqref="F789">
    <cfRule type="cellIs" dxfId="104" priority="170" stopIfTrue="1" operator="equal">
      <formula>"н/д"</formula>
    </cfRule>
  </conditionalFormatting>
  <conditionalFormatting sqref="F792">
    <cfRule type="cellIs" dxfId="103" priority="169" stopIfTrue="1" operator="equal">
      <formula>"н/д"</formula>
    </cfRule>
  </conditionalFormatting>
  <conditionalFormatting sqref="F795">
    <cfRule type="cellIs" dxfId="102" priority="168" stopIfTrue="1" operator="equal">
      <formula>"н/д"</formula>
    </cfRule>
  </conditionalFormatting>
  <conditionalFormatting sqref="F786">
    <cfRule type="cellIs" dxfId="101" priority="166" stopIfTrue="1" operator="equal">
      <formula>"н/д"</formula>
    </cfRule>
  </conditionalFormatting>
  <conditionalFormatting sqref="D892 E907:E914 E901">
    <cfRule type="cellIs" dxfId="100" priority="164" stopIfTrue="1" operator="equal">
      <formula>"н/д"</formula>
    </cfRule>
  </conditionalFormatting>
  <conditionalFormatting sqref="D906:D907">
    <cfRule type="cellIs" dxfId="99" priority="163" stopIfTrue="1" operator="equal">
      <formula>"н/д"</formula>
    </cfRule>
  </conditionalFormatting>
  <conditionalFormatting sqref="F4459:F4460 D4521:D4522">
    <cfRule type="cellIs" dxfId="98" priority="162" stopIfTrue="1" operator="equal">
      <formula>"н/д"</formula>
    </cfRule>
  </conditionalFormatting>
  <conditionalFormatting sqref="F4468">
    <cfRule type="cellIs" dxfId="97" priority="160" stopIfTrue="1" operator="equal">
      <formula>"н/д"</formula>
    </cfRule>
  </conditionalFormatting>
  <conditionalFormatting sqref="H1166:I1166">
    <cfRule type="cellIs" dxfId="96" priority="121" stopIfTrue="1" operator="equal">
      <formula>"н/д"</formula>
    </cfRule>
  </conditionalFormatting>
  <conditionalFormatting sqref="E1166 J1166 G1166">
    <cfRule type="cellIs" dxfId="95" priority="120" stopIfTrue="1" operator="equal">
      <formula>"н/д"</formula>
    </cfRule>
  </conditionalFormatting>
  <conditionalFormatting sqref="H1167:I1167">
    <cfRule type="cellIs" dxfId="94" priority="119" stopIfTrue="1" operator="equal">
      <formula>"н/д"</formula>
    </cfRule>
  </conditionalFormatting>
  <conditionalFormatting sqref="E1167 J1167 G1167">
    <cfRule type="cellIs" dxfId="93" priority="118" stopIfTrue="1" operator="equal">
      <formula>"н/д"</formula>
    </cfRule>
  </conditionalFormatting>
  <conditionalFormatting sqref="H1168:I1168">
    <cfRule type="cellIs" dxfId="92" priority="117" stopIfTrue="1" operator="equal">
      <formula>"н/д"</formula>
    </cfRule>
  </conditionalFormatting>
  <conditionalFormatting sqref="H1177:I1177">
    <cfRule type="cellIs" dxfId="91" priority="115" stopIfTrue="1" operator="equal">
      <formula>"н/д"</formula>
    </cfRule>
  </conditionalFormatting>
  <conditionalFormatting sqref="H1178:I1178">
    <cfRule type="cellIs" dxfId="90" priority="113" stopIfTrue="1" operator="equal">
      <formula>"н/д"</formula>
    </cfRule>
  </conditionalFormatting>
  <conditionalFormatting sqref="E1178 J1178 G1178">
    <cfRule type="cellIs" dxfId="89" priority="112" stopIfTrue="1" operator="equal">
      <formula>"н/д"</formula>
    </cfRule>
  </conditionalFormatting>
  <conditionalFormatting sqref="H1179:I1179">
    <cfRule type="cellIs" dxfId="88" priority="111" stopIfTrue="1" operator="equal">
      <formula>"н/д"</formula>
    </cfRule>
  </conditionalFormatting>
  <conditionalFormatting sqref="H1181:I1181">
    <cfRule type="cellIs" dxfId="87" priority="108" stopIfTrue="1" operator="equal">
      <formula>"н/д"</formula>
    </cfRule>
  </conditionalFormatting>
  <conditionalFormatting sqref="H1180:I1180">
    <cfRule type="cellIs" dxfId="86" priority="109" stopIfTrue="1" operator="equal">
      <formula>"н/д"</formula>
    </cfRule>
  </conditionalFormatting>
  <conditionalFormatting sqref="H1165:I1165">
    <cfRule type="cellIs" dxfId="85" priority="125" stopIfTrue="1" operator="equal">
      <formula>"н/д"</formula>
    </cfRule>
  </conditionalFormatting>
  <conditionalFormatting sqref="E1165 J1165 G1165">
    <cfRule type="cellIs" dxfId="84" priority="124" stopIfTrue="1" operator="equal">
      <formula>"н/д"</formula>
    </cfRule>
  </conditionalFormatting>
  <conditionalFormatting sqref="H1169:I1169">
    <cfRule type="cellIs" dxfId="83" priority="116" stopIfTrue="1" operator="equal">
      <formula>"н/д"</formula>
    </cfRule>
  </conditionalFormatting>
  <conditionalFormatting sqref="E1177 J1177 G1177">
    <cfRule type="cellIs" dxfId="82" priority="114" stopIfTrue="1" operator="equal">
      <formula>"н/д"</formula>
    </cfRule>
  </conditionalFormatting>
  <conditionalFormatting sqref="H1186:I1188">
    <cfRule type="cellIs" dxfId="81" priority="110" stopIfTrue="1" operator="equal">
      <formula>"н/д"</formula>
    </cfRule>
  </conditionalFormatting>
  <conditionalFormatting sqref="F4462">
    <cfRule type="cellIs" dxfId="80" priority="107" stopIfTrue="1" operator="equal">
      <formula>"н/д"</formula>
    </cfRule>
  </conditionalFormatting>
  <conditionalFormatting sqref="F4465">
    <cfRule type="cellIs" dxfId="79" priority="106" stopIfTrue="1" operator="equal">
      <formula>"н/д"</formula>
    </cfRule>
  </conditionalFormatting>
  <conditionalFormatting sqref="H2551:I2551">
    <cfRule type="cellIs" dxfId="78" priority="105" stopIfTrue="1" operator="equal">
      <formula>"н/д"</formula>
    </cfRule>
  </conditionalFormatting>
  <conditionalFormatting sqref="H1198:I1206">
    <cfRule type="cellIs" dxfId="77" priority="104" stopIfTrue="1" operator="equal">
      <formula>"н/д"</formula>
    </cfRule>
  </conditionalFormatting>
  <conditionalFormatting sqref="H1190:I1191 F1190:F1191">
    <cfRule type="cellIs" dxfId="76" priority="103" stopIfTrue="1" operator="equal">
      <formula>"н/д"</formula>
    </cfRule>
  </conditionalFormatting>
  <conditionalFormatting sqref="H1192:I1193 F1192:F1193">
    <cfRule type="cellIs" dxfId="75" priority="102" stopIfTrue="1" operator="equal">
      <formula>"н/д"</formula>
    </cfRule>
  </conditionalFormatting>
  <conditionalFormatting sqref="C1190:C1191">
    <cfRule type="cellIs" dxfId="74" priority="101" stopIfTrue="1" operator="equal">
      <formula>"н/д"</formula>
    </cfRule>
  </conditionalFormatting>
  <conditionalFormatting sqref="C1192:C1193">
    <cfRule type="cellIs" dxfId="73" priority="100" stopIfTrue="1" operator="equal">
      <formula>"н/д"</formula>
    </cfRule>
  </conditionalFormatting>
  <conditionalFormatting sqref="H1194:I1194">
    <cfRule type="cellIs" dxfId="72" priority="99" stopIfTrue="1" operator="equal">
      <formula>"н/д"</formula>
    </cfRule>
  </conditionalFormatting>
  <conditionalFormatting sqref="H1195:I1195">
    <cfRule type="cellIs" dxfId="71" priority="98" stopIfTrue="1" operator="equal">
      <formula>"н/д"</formula>
    </cfRule>
  </conditionalFormatting>
  <conditionalFormatting sqref="H1196:I1196">
    <cfRule type="cellIs" dxfId="70" priority="97" stopIfTrue="1" operator="equal">
      <formula>"н/д"</formula>
    </cfRule>
  </conditionalFormatting>
  <conditionalFormatting sqref="G1197:J1197">
    <cfRule type="cellIs" dxfId="69" priority="96" stopIfTrue="1" operator="equal">
      <formula>"н/д"</formula>
    </cfRule>
  </conditionalFormatting>
  <conditionalFormatting sqref="F781">
    <cfRule type="cellIs" dxfId="68" priority="95" stopIfTrue="1" operator="equal">
      <formula>"н/д"</formula>
    </cfRule>
  </conditionalFormatting>
  <conditionalFormatting sqref="E3353 E3347">
    <cfRule type="cellIs" dxfId="67" priority="92" stopIfTrue="1" operator="equal">
      <formula>"н/д"</formula>
    </cfRule>
  </conditionalFormatting>
  <conditionalFormatting sqref="E4275">
    <cfRule type="cellIs" dxfId="66" priority="91" stopIfTrue="1" operator="equal">
      <formula>"н/д"</formula>
    </cfRule>
  </conditionalFormatting>
  <conditionalFormatting sqref="E4282">
    <cfRule type="cellIs" dxfId="65" priority="89" stopIfTrue="1" operator="equal">
      <formula>"н/д"</formula>
    </cfRule>
  </conditionalFormatting>
  <conditionalFormatting sqref="I4299">
    <cfRule type="cellIs" dxfId="64" priority="88" stopIfTrue="1" operator="equal">
      <formula>"н/д"</formula>
    </cfRule>
  </conditionalFormatting>
  <conditionalFormatting sqref="I446">
    <cfRule type="cellIs" dxfId="63" priority="86" stopIfTrue="1" operator="equal">
      <formula>"н/д"</formula>
    </cfRule>
  </conditionalFormatting>
  <conditionalFormatting sqref="E2378">
    <cfRule type="cellIs" dxfId="62" priority="85" stopIfTrue="1" operator="equal">
      <formula>"н/д"</formula>
    </cfRule>
  </conditionalFormatting>
  <conditionalFormatting sqref="F2288">
    <cfRule type="cellIs" dxfId="61" priority="84" stopIfTrue="1" operator="equal">
      <formula>"н/д"</formula>
    </cfRule>
  </conditionalFormatting>
  <conditionalFormatting sqref="D3759:D3761 D3763:D3765">
    <cfRule type="cellIs" dxfId="60" priority="81" stopIfTrue="1" operator="equal">
      <formula>"н/д"</formula>
    </cfRule>
  </conditionalFormatting>
  <conditionalFormatting sqref="D3770:D3772">
    <cfRule type="cellIs" dxfId="59" priority="82" stopIfTrue="1" operator="equal">
      <formula>"н/д"</formula>
    </cfRule>
  </conditionalFormatting>
  <conditionalFormatting sqref="D3762">
    <cfRule type="cellIs" dxfId="58" priority="80" stopIfTrue="1" operator="equal">
      <formula>"н/д"</formula>
    </cfRule>
  </conditionalFormatting>
  <conditionalFormatting sqref="I4021:J4021">
    <cfRule type="cellIs" dxfId="57" priority="76" stopIfTrue="1" operator="equal">
      <formula>"н/д"</formula>
    </cfRule>
  </conditionalFormatting>
  <conditionalFormatting sqref="I4023:J4029">
    <cfRule type="cellIs" dxfId="56" priority="75" stopIfTrue="1" operator="equal">
      <formula>"н/д"</formula>
    </cfRule>
  </conditionalFormatting>
  <conditionalFormatting sqref="F3615">
    <cfRule type="cellIs" dxfId="55" priority="74" stopIfTrue="1" operator="equal">
      <formula>"н/д"</formula>
    </cfRule>
  </conditionalFormatting>
  <conditionalFormatting sqref="E3367">
    <cfRule type="cellIs" dxfId="54" priority="70" stopIfTrue="1" operator="equal">
      <formula>"н/д"</formula>
    </cfRule>
  </conditionalFormatting>
  <conditionalFormatting sqref="G4320 E4320">
    <cfRule type="cellIs" dxfId="53" priority="68" stopIfTrue="1" operator="equal">
      <formula>"н/д"</formula>
    </cfRule>
  </conditionalFormatting>
  <conditionalFormatting sqref="E4317 G4317">
    <cfRule type="cellIs" dxfId="52" priority="69" stopIfTrue="1" operator="equal">
      <formula>"н/д"</formula>
    </cfRule>
  </conditionalFormatting>
  <conditionalFormatting sqref="E1467">
    <cfRule type="cellIs" dxfId="51" priority="67" stopIfTrue="1" operator="equal">
      <formula>"н/д"</formula>
    </cfRule>
  </conditionalFormatting>
  <conditionalFormatting sqref="E1468">
    <cfRule type="cellIs" dxfId="50" priority="66" stopIfTrue="1" operator="equal">
      <formula>"н/д"</formula>
    </cfRule>
  </conditionalFormatting>
  <conditionalFormatting sqref="F2277">
    <cfRule type="cellIs" dxfId="49" priority="65" stopIfTrue="1" operator="equal">
      <formula>"н/д"</formula>
    </cfRule>
  </conditionalFormatting>
  <conditionalFormatting sqref="F2276">
    <cfRule type="cellIs" dxfId="48" priority="64" stopIfTrue="1" operator="equal">
      <formula>"н/д"</formula>
    </cfRule>
  </conditionalFormatting>
  <conditionalFormatting sqref="J2583:J2585">
    <cfRule type="cellIs" dxfId="47" priority="63" stopIfTrue="1" operator="equal">
      <formula>"н/д"</formula>
    </cfRule>
  </conditionalFormatting>
  <conditionalFormatting sqref="E1497 E1508:E1509 E1511 C1527:C1528 E1531 E1525 C1543 C1534:C1539">
    <cfRule type="cellIs" dxfId="46" priority="62" stopIfTrue="1" operator="equal">
      <formula>"н/д"</formula>
    </cfRule>
  </conditionalFormatting>
  <conditionalFormatting sqref="C1505">
    <cfRule type="cellIs" dxfId="45" priority="61" stopIfTrue="1" operator="equal">
      <formula>"н/д"</formula>
    </cfRule>
  </conditionalFormatting>
  <conditionalFormatting sqref="C1504">
    <cfRule type="cellIs" dxfId="44" priority="58" stopIfTrue="1" operator="equal">
      <formula>"н/д"</formula>
    </cfRule>
  </conditionalFormatting>
  <conditionalFormatting sqref="C1503">
    <cfRule type="cellIs" dxfId="43" priority="55" stopIfTrue="1" operator="equal">
      <formula>"н/д"</formula>
    </cfRule>
  </conditionalFormatting>
  <conditionalFormatting sqref="C1523">
    <cfRule type="cellIs" dxfId="42" priority="51" stopIfTrue="1" operator="equal">
      <formula>"н/д"</formula>
    </cfRule>
  </conditionalFormatting>
  <conditionalFormatting sqref="C1501">
    <cfRule type="cellIs" dxfId="41" priority="52" stopIfTrue="1" operator="equal">
      <formula>"н/д"</formula>
    </cfRule>
  </conditionalFormatting>
  <conditionalFormatting sqref="E1541">
    <cfRule type="cellIs" dxfId="40" priority="44" stopIfTrue="1" operator="equal">
      <formula>"н/д"</formula>
    </cfRule>
  </conditionalFormatting>
  <conditionalFormatting sqref="C1512:C1513">
    <cfRule type="cellIs" dxfId="39" priority="49" stopIfTrue="1" operator="equal">
      <formula>"н/д"</formula>
    </cfRule>
  </conditionalFormatting>
  <conditionalFormatting sqref="C2894">
    <cfRule type="cellIs" dxfId="38" priority="48" stopIfTrue="1" operator="equal">
      <formula>"н/д"</formula>
    </cfRule>
  </conditionalFormatting>
  <conditionalFormatting sqref="C1519">
    <cfRule type="cellIs" dxfId="37" priority="47" stopIfTrue="1" operator="equal">
      <formula>"н/д"</formula>
    </cfRule>
  </conditionalFormatting>
  <conditionalFormatting sqref="E1520">
    <cfRule type="cellIs" dxfId="36" priority="46" stopIfTrue="1" operator="equal">
      <formula>"н/д"</formula>
    </cfRule>
  </conditionalFormatting>
  <conditionalFormatting sqref="E1510">
    <cfRule type="cellIs" dxfId="35" priority="45" stopIfTrue="1" operator="equal">
      <formula>"н/д"</formula>
    </cfRule>
  </conditionalFormatting>
  <conditionalFormatting sqref="C1514">
    <cfRule type="cellIs" dxfId="34" priority="43" stopIfTrue="1" operator="equal">
      <formula>"н/д"</formula>
    </cfRule>
  </conditionalFormatting>
  <conditionalFormatting sqref="I2000">
    <cfRule type="cellIs" dxfId="33" priority="42" stopIfTrue="1" operator="equal">
      <formula>"н/д"</formula>
    </cfRule>
  </conditionalFormatting>
  <conditionalFormatting sqref="C2917">
    <cfRule type="cellIs" dxfId="32" priority="35" stopIfTrue="1" operator="equal">
      <formula>"н/д"</formula>
    </cfRule>
  </conditionalFormatting>
  <conditionalFormatting sqref="E2945:E2954">
    <cfRule type="cellIs" dxfId="31" priority="40" stopIfTrue="1" operator="equal">
      <formula>"н/д"</formula>
    </cfRule>
  </conditionalFormatting>
  <conditionalFormatting sqref="I2909 I2898:I2900 I2902 I2887 I2904">
    <cfRule type="cellIs" dxfId="30" priority="39" stopIfTrue="1" operator="equal">
      <formula>"н/д"</formula>
    </cfRule>
  </conditionalFormatting>
  <conditionalFormatting sqref="C2941">
    <cfRule type="cellIs" dxfId="29" priority="38" stopIfTrue="1" operator="equal">
      <formula>"н/д"</formula>
    </cfRule>
  </conditionalFormatting>
  <conditionalFormatting sqref="E2942:E2944 G2942:G2944">
    <cfRule type="cellIs" dxfId="28" priority="37" stopIfTrue="1" operator="equal">
      <formula>"н/д"</formula>
    </cfRule>
  </conditionalFormatting>
  <conditionalFormatting sqref="H2942:I2942">
    <cfRule type="cellIs" dxfId="27" priority="36" stopIfTrue="1" operator="equal">
      <formula>"н/д"</formula>
    </cfRule>
  </conditionalFormatting>
  <conditionalFormatting sqref="E1542">
    <cfRule type="cellIs" dxfId="26" priority="34" stopIfTrue="1" operator="equal">
      <formula>"н/д"</formula>
    </cfRule>
  </conditionalFormatting>
  <conditionalFormatting sqref="E2434">
    <cfRule type="cellIs" dxfId="25" priority="33" stopIfTrue="1" operator="equal">
      <formula>"н/д"</formula>
    </cfRule>
  </conditionalFormatting>
  <conditionalFormatting sqref="G2434">
    <cfRule type="cellIs" dxfId="24" priority="32" stopIfTrue="1" operator="equal">
      <formula>"н/д"</formula>
    </cfRule>
  </conditionalFormatting>
  <conditionalFormatting sqref="J2434">
    <cfRule type="cellIs" dxfId="23" priority="31" stopIfTrue="1" operator="equal">
      <formula>"н/д"</formula>
    </cfRule>
  </conditionalFormatting>
  <conditionalFormatting sqref="C1469:C1475">
    <cfRule type="cellIs" dxfId="22" priority="29" stopIfTrue="1" operator="equal">
      <formula>"н/д"</formula>
    </cfRule>
  </conditionalFormatting>
  <conditionalFormatting sqref="C1476:C1478">
    <cfRule type="cellIs" dxfId="21" priority="28" stopIfTrue="1" operator="equal">
      <formula>"н/д"</formula>
    </cfRule>
  </conditionalFormatting>
  <conditionalFormatting sqref="I1476">
    <cfRule type="cellIs" dxfId="20" priority="27" stopIfTrue="1" operator="equal">
      <formula>"н/д"</formula>
    </cfRule>
  </conditionalFormatting>
  <conditionalFormatting sqref="C1479">
    <cfRule type="cellIs" dxfId="19" priority="26" stopIfTrue="1" operator="equal">
      <formula>"н/д"</formula>
    </cfRule>
  </conditionalFormatting>
  <conditionalFormatting sqref="C1482">
    <cfRule type="cellIs" dxfId="18" priority="25" stopIfTrue="1" operator="equal">
      <formula>"н/д"</formula>
    </cfRule>
  </conditionalFormatting>
  <conditionalFormatting sqref="C1480">
    <cfRule type="cellIs" dxfId="17" priority="24" stopIfTrue="1" operator="equal">
      <formula>"н/д"</formula>
    </cfRule>
  </conditionalFormatting>
  <conditionalFormatting sqref="C1481">
    <cfRule type="cellIs" dxfId="16" priority="23" stopIfTrue="1" operator="equal">
      <formula>"н/д"</formula>
    </cfRule>
  </conditionalFormatting>
  <conditionalFormatting sqref="C1485">
    <cfRule type="cellIs" dxfId="15" priority="19" stopIfTrue="1" operator="equal">
      <formula>"н/д"</formula>
    </cfRule>
  </conditionalFormatting>
  <conditionalFormatting sqref="C1487:C1488 C1483:C1484">
    <cfRule type="cellIs" dxfId="14" priority="22" stopIfTrue="1" operator="equal">
      <formula>"н/д"</formula>
    </cfRule>
  </conditionalFormatting>
  <conditionalFormatting sqref="C1489">
    <cfRule type="cellIs" dxfId="13" priority="21" stopIfTrue="1" operator="equal">
      <formula>"н/д"</formula>
    </cfRule>
  </conditionalFormatting>
  <conditionalFormatting sqref="C1486">
    <cfRule type="cellIs" dxfId="12" priority="20" stopIfTrue="1" operator="equal">
      <formula>"н/д"</formula>
    </cfRule>
  </conditionalFormatting>
  <conditionalFormatting sqref="H4629:I4629">
    <cfRule type="cellIs" dxfId="11" priority="18" stopIfTrue="1" operator="equal">
      <formula>"н/д"</formula>
    </cfRule>
  </conditionalFormatting>
  <conditionalFormatting sqref="E4629 J4629 G4629">
    <cfRule type="cellIs" dxfId="10" priority="17" stopIfTrue="1" operator="equal">
      <formula>"н/д"</formula>
    </cfRule>
  </conditionalFormatting>
  <conditionalFormatting sqref="F4481">
    <cfRule type="cellIs" dxfId="9" priority="16" stopIfTrue="1" operator="equal">
      <formula>"н/д"</formula>
    </cfRule>
  </conditionalFormatting>
  <conditionalFormatting sqref="E2033 G2025 E2025 E2036 E2029 G2029 E2027 G2027">
    <cfRule type="cellIs" dxfId="8" priority="9" stopIfTrue="1" operator="equal">
      <formula>"н/д"</formula>
    </cfRule>
  </conditionalFormatting>
  <conditionalFormatting sqref="I2039">
    <cfRule type="cellIs" dxfId="7" priority="8" stopIfTrue="1" operator="equal">
      <formula>"н/д"</formula>
    </cfRule>
  </conditionalFormatting>
  <conditionalFormatting sqref="I2040">
    <cfRule type="cellIs" dxfId="6" priority="7" stopIfTrue="1" operator="equal">
      <formula>"н/д"</formula>
    </cfRule>
  </conditionalFormatting>
  <conditionalFormatting sqref="G2030">
    <cfRule type="cellIs" dxfId="5" priority="6" stopIfTrue="1" operator="equal">
      <formula>"н/д"</formula>
    </cfRule>
  </conditionalFormatting>
  <conditionalFormatting sqref="G2026">
    <cfRule type="cellIs" dxfId="4" priority="4" stopIfTrue="1" operator="equal">
      <formula>"н/д"</formula>
    </cfRule>
  </conditionalFormatting>
  <conditionalFormatting sqref="G2028">
    <cfRule type="cellIs" dxfId="3" priority="5" stopIfTrue="1" operator="equal">
      <formula>"н/д"</formula>
    </cfRule>
  </conditionalFormatting>
  <conditionalFormatting sqref="E2026 C2026">
    <cfRule type="cellIs" dxfId="2" priority="3" stopIfTrue="1" operator="equal">
      <formula>"н/д"</formula>
    </cfRule>
  </conditionalFormatting>
  <conditionalFormatting sqref="C2028 E2028">
    <cfRule type="cellIs" dxfId="1" priority="2" stopIfTrue="1" operator="equal">
      <formula>"н/д"</formula>
    </cfRule>
  </conditionalFormatting>
  <conditionalFormatting sqref="C2030 E2030">
    <cfRule type="cellIs" dxfId="0" priority="1" stopIfTrue="1" operator="equal">
      <formula>"н/д"</formula>
    </cfRule>
  </conditionalFormatting>
  <dataValidations count="12">
    <dataValidation type="decimal" operator="greaterThan" allowBlank="1" showInputMessage="1" showErrorMessage="1" error="Введите положительное число." sqref="EQR45:EQR48 FAN45:FAN48 FKJ45:FKJ48 FUF45:FUF48 GEB45:GEB48 GNX45:GNX48 GXT45:GXT48 HHP45:HHP48 HRL45:HRL48 IBH45:IBH48 ILD45:ILD48 IUZ45:IUZ48 JEV45:JEV48 JOR45:JOR48 JYN45:JYN48 KIJ45:KIJ48 KSF45:KSF48 LCB45:LCB48 LLX45:LLX48 LVT45:LVT48 MFP45:MFP48 MPL45:MPL48 MZH45:MZH48 NJD45:NJD48 NSZ45:NSZ48 OCV45:OCV48 OMR45:OMR48 OWN45:OWN48 PGJ45:PGJ48 PQF45:PQF48 QAB45:QAB48 QJX45:QJX48 QTT45:QTT48 RDP45:RDP48 RNL45:RNL48 RXH45:RXH48 SHD45:SHD48 SQZ45:SQZ48 TAV45:TAV48 TKR45:TKR48 TUN45:TUN48 UEJ45:UEJ48 UOF45:UOF48 UYB45:UYB48 VHX45:VHX48 VRT45:VRT48 WBP45:WBP48 WLL45:WLL48 WVH45:WVH48 IX45:IX48 ST45:ST48 ACP45:ACP48 AML45:AML48 AWH45:AWH48 BGD45:BGD48 BPZ45:BPZ48 BZV45:BZV48 CJR45:CJR48 CTN45:CTN48 DDJ45:DDJ48 DNF45:DNF48 DXB45:DXB48 EGX45:EGX48 WLS569:WLT569 WVO569:WVP569 JC569:JD569 SY569:SZ569 ACU569:ACV569 AMQ569:AMR569 AWM569:AWN569 BGI569:BGJ569 BQE569:BQF569 CAA569:CAB569 CJW569:CJX569 CTS569:CTT569 DDO569:DDP569 DNK569:DNL569 DXG569:DXH569 EHC569:EHD569 EQY569:EQZ569 FAU569:FAV569 FKQ569:FKR569 FUM569:FUN569 GEI569:GEJ569 GOE569:GOF569 GYA569:GYB569 HHW569:HHX569 HRS569:HRT569 IBO569:IBP569 ILK569:ILL569 IVG569:IVH569 JFC569:JFD569 JOY569:JOZ569 JYU569:JYV569 KIQ569:KIR569 KSM569:KSN569 LCI569:LCJ569 LME569:LMF569 LWA569:LWB569 MFW569:MFX569 MPS569:MPT569 MZO569:MZP569 NJK569:NJL569 NTG569:NTH569 ODC569:ODD569 OMY569:OMZ569 OWU569:OWV569 PGQ569:PGR569 PQM569:PQN569 QAI569:QAJ569 QKE569:QKF569 QUA569:QUB569 RDW569:RDX569 RNS569:RNT569 RXO569:RXP569 SHK569:SHL569 SRG569:SRH569 TBC569:TBD569 TKY569:TKZ569 TUU569:TUV569 UEQ569:UER569 UOM569:UON569 UYI569:UYJ569 VIE569:VIF569 VSA569:VSB569 WBW569:WBX569 WVJ170 WLN170 VQO3619 VGS3619 WAK3619 WKG3619 WUC3619 HQ3619 RM3619 ABI3619 ALE3619 AVA3619 BEW3619 BOS3619 BYO3619 CIK3619 CSG3619 DCC3619 DLY3619 DVU3619 EFQ3619 EPM3619 EZI3619 FJE3619 FTA3619 GCW3619 GMS3619 GWO3619 HGK3619 HQG3619 IAC3619 IJY3619 ITU3619 JDQ3619 JNM3619 JXI3619 KHE3619 KRA3619 LAW3619 LKS3619 LUO3619 MEK3619 MOG3619 MYC3619 NHY3619 NRU3619 OBQ3619 OLM3619 OVI3619 PFE3619 PPA3619 PYW3619 QIS3619 QSO3619 RCK3619 RMG3619 RWC3619 SFY3619 SPU3619 SZQ3619 TJM3619 TTI3619 UDE3619 UNA3619 UWW3619 WBR170 VRV170 VHZ170 UYD170 UOH170 UEL170 TUP170 TKT170 TAX170 SRB170 SHF170 RXJ170 RNN170 RDR170 QTV170 QJZ170 QAD170 PQH170 PGL170 OWP170 OMT170 OCX170 NTB170 NJF170 MZJ170 MPN170 MFR170 LVV170 LLZ170 LCD170 KSH170 KIL170 JYP170 JOT170 JEX170 IVB170 ILF170 IBJ170 HRN170 HHR170 GXV170 GNZ170 GED170 FUH170 FKL170 FAP170 EQT170 EGX170 DXB170 DNF170 DDJ170 CTN170 CJR170 BZV170 BPZ170 BGD170 AWH170 AML170 ACP170 ST170 IX170 WLR1215 WVN1215 IZ1215 SV1215 ACR1215 AMN1215 AWJ1215 BGF1215 BQB1215 BZX1215 CJT1215 CTP1215 DDL1215 DNH1215 DXD1215 EGZ1215 EQV1215 FAR1215 FKN1215 FUJ1215 GEF1215 GOB1215 GXX1215 HHT1215 HRP1215 IBL1215 ILH1215 IVD1215 JEZ1215 JOV1215 JYR1215 KIN1215 KSJ1215 LCF1215 LMB1215 LVX1215 MFT1215 MPP1215 MZL1215 NJH1215 NTD1215 OCZ1215 OMV1215 OWR1215 PGN1215 PQJ1215 QAF1215 QKB1215 QTX1215 RDT1215 RNP1215 RXL1215 SHH1215 SRD1215 TAZ1215 TKV1215 TUR1215 UEN1215 UOJ1215 UYF1215 VIB1215 VRX1215 WBT1215 WLP1215 WVL1215 JB1215 SX1215 ACT1215 AMP1215 AWL1215 BGH1215 BQD1215 BZZ1215 CJV1215 CTR1215 DDN1215 DNJ1215 DXF1215 EHB1215 EQX1215 FAT1215 FKP1215 FUL1215 GEH1215 GOD1215 GXZ1215 HHV1215 HRR1215 IBN1215 ILJ1215 IVF1215 JFB1215 JOX1215 JYT1215 KIP1215 KSL1215 LCH1215 LMD1215 LVZ1215 MFV1215 MPR1215 MZN1215 NJJ1215 NTF1215 ODB1215 OMX1215 OWT1215 PGP1215 PQL1215 QAH1215 QKD1215 QTZ1215 RDV1215 RNR1215 RXN1215 SHJ1215 SRF1215 TBB1215 TKX1215 TUT1215 UEP1215 UOL1215 UYH1215 VID1215 VRZ1215 WBV1215 E1920 WVH170 WLL170 EQT45:EQT48 FAP45:FAP48 FKL45:FKL48 FUH45:FUH48 GED45:GED48 GNZ45:GNZ48 GXV45:GXV48 HHR45:HHR48 HRN45:HRN48 IBJ45:IBJ48 ILF45:ILF48 IVB45:IVB48 JEX45:JEX48 JOT45:JOT48 JYP45:JYP48 KIL45:KIL48 KSH45:KSH48 LCD45:LCD48 LLZ45:LLZ48 LVV45:LVV48 MFR45:MFR48 MPN45:MPN48 MZJ45:MZJ48 NJF45:NJF48 NTB45:NTB48 OCX45:OCX48 OMT45:OMT48 OWP45:OWP48 PGL45:PGL48 PQH45:PQH48 QAD45:QAD48 QJZ45:QJZ48 QTV45:QTV48 RDR45:RDR48 RNN45:RNN48 RXJ45:RXJ48 SHF45:SHF48 SRB45:SRB48 TAX45:TAX48 TKT45:TKT48 TUP45:TUP48 UEL45:UEL48 UOH45:UOH48 UYD45:UYD48 VHZ45:VHZ48 VRV45:VRV48 WBR45:WBR48 WLN45:WLN48 WVJ45:WVJ48 GK28:GK29 E55:E57 E207 G207 E85 E285:E287 E192:E193 G28:G29 E132:E135 E155 E182:E184 E272:E274 E277:E279 ACN170 WBP170 VRT170 VHX170 UYB170 UOF170 UEJ170 TUN170 TKR170 TAV170 SQZ170 SHD170 RXH170 RNL170 RDP170 QTT170 QJX170 QAB170 PQF170 PGJ170 OWN170 OMR170 OCV170 NSZ170 NJD170 MZH170 MPL170 MFP170 LVT170 LLX170 LCB170 KSF170 KIJ170 JYN170 JOR170 JEV170 IUZ170 ILD170 IBH170 HRL170 HHP170 GXT170 GNX170 GEB170 FUF170 FKJ170 FAN170 EQR170 EGV170 DWZ170 DND170 DDH170 CTL170 CJP170 BZT170 BPX170 BGB170 AWF170 AMJ170 E297:E298 SR170 IV170 G260 E260 E70:E72 G272 E312:E314 E23 E45:E48 G45:G48 GM28:GM29 E4604:E4605 E153 E161 E149 E165:E166 E212:E214 E139:E140 E209:E210 G209:G210 E200 E170 G170 IV45:IV48 SR45:SR48 ACN45:ACN48 AMJ45:AMJ48 AWF45:AWF48 BGB45:BGB48 BPX45:BPX48 BZT45:BZT48 CJP45:CJP48 CTL45:CTL48 DDH45:DDH48 DND45:DND48 DWZ45:DWZ48 EGV45:EGV48 WAK4462 WKG4462 WUC4462 HQ4462 RM4462 ABI4462 ALE4462 AVA4462 BEW4462 BOS4462 BYO4462 CIK4462 CSG4462 DCC4462 DLY4462 DVU4462 EFQ4462 EPM4462 EZI4462 FJE4462 FTA4462 GCW4462 GMS4462 GWO4462 HGK4462 HQG4462 IAC4462 IJY4462 ITU4462 JDQ4462 JNM4462 JXI4462 KHE4462 KRA4462 LAW4462 LKS4462 LUO4462 MEK4462 MOG4462 MYC4462 NHY4462 NRU4462 OBQ4462 OLM4462 OVI4462 PFE4462 PPA4462 PYW4462 QIS4462 QSO4462 RCK4462 RMG4462 RWC4462 SFY4462 SPU4462 SZQ4462 TJM4462 TTI4462 UDE4462 UNA4462 UWW4462 VGS4462 VQO4462 G4604:G4605 E27:E29 E1209:E1220 E3833:E3836 E4236:E4237 E3830:E3831 G3830:G3831 G3833:G3836 G2670 G3825:G3826 G1209:G1220 E3825:E3826 E2670 E113 G4317 E4317 E4320 G4320 E1541:E1542 G2577:G2580 E2577:E2580 E2658:E2661 G2658:G2661 E1525 E1508:E1511 E1520 E2945:E2954 E1531 E1497 E1467:E1468">
      <formula1>0</formula1>
    </dataValidation>
    <dataValidation type="whole" operator="greaterThanOrEqual" allowBlank="1" showInputMessage="1" showErrorMessage="1" error="Введите целое положительное число." sqref="FGN4342:FGO4342 FQJ4342:FQK4342 GAF4342:GAG4342 GKB4342:GKC4342 GTX4342:GTY4342 HDT4342:HDU4342 HNP4342:HNQ4342 HXL4342:HXM4342 IHH4342:IHI4342 IRD4342:IRE4342 JAZ4342:JBA4342 JKV4342:JKW4342 JUR4342:JUS4342 KEN4342:KEO4342 KOJ4342:KOK4342 KYF4342:KYG4342 LIB4342:LIC4342 LRX4342:LRY4342 MBT4342:MBU4342 MLP4342:MLQ4342 MVL4342:MVM4342 NFH4342:NFI4342 NPD4342:NPE4342 NYZ4342:NZA4342 OIV4342:OIW4342 OSR4342:OSS4342 PCN4342:PCO4342 PMJ4342:PMK4342 PWF4342:PWG4342 QGB4342:QGC4342 QPX4342:QPY4342 QZT4342:QZU4342 RJP4342:RJQ4342 RTL4342:RTM4342 SDH4342:SDI4342 SND4342:SNE4342 SWZ4342:SXA4342 TGV4342:TGW4342 TQR4342:TQS4342 UAN4342:UAO4342 UKJ4342:UKK4342 UUF4342:UUG4342 VEB4342:VEC4342 VNX4342:VNY4342 VXT4342:VXU4342 WHP4342:WHQ4342 WRL4342:WRM4342 EZ4342:FA4342 OV4186:OW4186 OV4342:OW4342 YR4342:YS4342 H1269:J1269 H1325:J1325 H1271:J1271 WRJ1085:WRK1085 EX1085:EY1085 H1223:J1223 H669:I669 YR4186:YS4186 AIN4186:AIO4186 ASJ4186:ASK4186 BCF4186:BCG4186 BMB4186:BMC4186 BVX4186:BVY4186 CFT4186:CFU4186 CPP4186:CPQ4186 CZL4186:CZM4186 DJH4186:DJI4186 DTD4186:DTE4186 ECZ4186:EDA4186 EMV4186:EMW4186 EWR4186:EWS4186 FGN4186:FGO4186 FQJ4186:FQK4186 GAF4186:GAG4186 GKB4186:GKC4186 GTX4186:GTY4186 HDT4186:HDU4186 HNP4186:HNQ4186 HXL4186:HXM4186 IHH4186:IHI4186 IRD4186:IRE4186 JAZ4186:JBA4186 JKV4186:JKW4186 JUR4186:JUS4186 KEN4186:KEO4186 KOJ4186:KOK4186 KYF4186:KYG4186 LIB4186:LIC4186 LRX4186:LRY4186 MBT4186:MBU4186 MLP4186:MLQ4186 MVL4186:MVM4186 NFH4186:NFI4186 NPD4186:NPE4186 NYZ4186:NZA4186 OIV4186:OIW4186 OSR4186:OSS4186 PCN4186:PCO4186 PMJ4186:PMK4186 PWF4186:PWG4186 QGB4186:QGC4186 QPX4186:QPY4186 QZT4186:QZU4186 RJP4186:RJQ4186 RTL4186:RTM4186 SDH4186:SDI4186 SND4186:SNE4186 SWZ4186:SXA4186 TGV4186:TGW4186 TQR4186:TQS4186 UAN4186:UAO4186 UKJ4186:UKK4186 UUF4186:UUG4186 VEB4186:VEC4186 VNX4186:VNY4186 VXT4186:VXU4186 WHP4186:WHQ4186 WRL4186:WRM4186 EZ4186:FA4186 H2650:I2650 AIN4342:AIO4342 WQU3789:WQV3790 WGY3789:WGZ3790 VXC3789:VXD3790 VNG3789:VNH3790 VDK3789:VDL3790 UTO3789:UTP3790 UJS3789:UJT3790 TZW3789:TZX3790 TQA3789:TQB3790 TGE3789:TGF3790 SWI3789:SWJ3790 SMM3789:SMN3790 SCQ3789:SCR3790 RSU3789:RSV3790 RIY3789:RIZ3790 QZC3789:QZD3790 QPG3789:QPH3790 QFK3789:QFL3790 PVO3789:PVP3790 PLS3789:PLT3790 PBW3789:PBX3790 OSA3789:OSB3790 OIE3789:OIF3790 NYI3789:NYJ3790 NOM3789:NON3790 NEQ3789:NER3790 MUU3789:MUV3790 MKY3789:MKZ3790 MBC3789:MBD3790 LRG3789:LRH3790 LHK3789:LHL3790 KXO3789:KXP3790 KNS3789:KNT3790 KDW3789:KDX3790 JUA3789:JUB3790 JKE3789:JKF3790 JAI3789:JAJ3790 IQM3789:IQN3790 IGQ3789:IGR3790 HWU3789:HWV3790 HMY3789:HMZ3790 HDC3789:HDD3790 GTG3789:GTH3790 GJK3789:GJL3790 FZO3789:FZP3790 FPS3789:FPT3790 FFW3789:FFX3790 EWA3789:EWB3790 EME3789:EMF3790 ECI3789:ECJ3790 DSM3789:DSN3790 DIQ3789:DIR3790 CYU3789:CYV3790 COY3789:COZ3790 CFC3789:CFD3790 BVG3789:BVH3790 BLK3789:BLL3790 BBO3789:BBP3790 ARS3789:ART3790 AHW3789:AHX3790 YA3789:YB3790 OE3789:OF3790 EI3789:EJ3790 WQU3795:WQV3795 WGY3795:WGZ3795 VXC3795:VXD3795 VNG3795:VNH3795 VDK3795:VDL3795 UTO3795:UTP3795 UJS3795:UJT3795 TZW3795:TZX3795 TQA3795:TQB3795 TGE3795:TGF3795 SWI3795:SWJ3795 SMM3795:SMN3795 SCQ3795:SCR3795 RSU3795:RSV3795 RIY3795:RIZ3795 QZC3795:QZD3795 QPG3795:QPH3795 QFK3795:QFL3795 PVO3795:PVP3795 PLS3795:PLT3795 PBW3795:PBX3795 OSA3795:OSB3795 OIE3795:OIF3795 NYI3795:NYJ3795 NOM3795:NON3795 NEQ3795:NER3795 MUU3795:MUV3795 MKY3795:MKZ3795 MBC3795:MBD3795 LRG3795:LRH3795 LHK3795:LHL3795 KXO3795:KXP3795 KNS3795:KNT3795 KDW3795:KDX3795 JUA3795:JUB3795 JKE3795:JKF3795 JAI3795:JAJ3795 IQM3795:IQN3795 IGQ3795:IGR3795 HWU3795:HWV3795 HMY3795:HMZ3795 HDC3795:HDD3795 GTG3795:GTH3795 GJK3795:GJL3795 FZO3795:FZP3795 FPS3795:FPT3795 FFW3795:FFX3795 EWA3795:EWB3795 EME3795:EMF3795 ECI3795:ECJ3795 DSM3795:DSN3795 DIQ3795:DIR3795 CYU3795:CYV3795 COY3795:COZ3795 CFC3795:CFD3795 BVG3795:BVH3795 BLK3795:BLL3795 BBO3795:BBP3795 ARS3795:ART3795 AHW3795:AHX3795 YA3795:YB3795 OE3795:OF3795 EI3795:EJ3795 WQU3798:WQV3798 WGY3798:WGZ3798 VXC3798:VXD3798 VNG3798:VNH3798 VDK3798:VDL3798 UTO3798:UTP3798 UJS3798:UJT3798 TZW3798:TZX3798 TQA3798:TQB3798 TGE3798:TGF3798 SWI3798:SWJ3798 SMM3798:SMN3798 SCQ3798:SCR3798 RSU3798:RSV3798 RIY3798:RIZ3798 QZC3798:QZD3798 QPG3798:QPH3798 QFK3798:QFL3798 PVO3798:PVP3798 PLS3798:PLT3798 PBW3798:PBX3798 OSA3798:OSB3798 OIE3798:OIF3798 NYI3798:NYJ3798 NOM3798:NON3798 NEQ3798:NER3798 MUU3798:MUV3798 MKY3798:MKZ3798 MBC3798:MBD3798 LRG3798:LRH3798 LHK3798:LHL3798 KXO3798:KXP3798 KNS3798:KNT3798 KDW3798:KDX3798 JUA3798:JUB3798 JKE3798:JKF3798 JAI3798:JAJ3798 IQM3798:IQN3798 IGQ3798:IGR3798 HWU3798:HWV3798 HMY3798:HMZ3798 HDC3798:HDD3798 GTG3798:GTH3798 GJK3798:GJL3798 FZO3798:FZP3798 FPS3798:FPT3798 FFW3798:FFX3798 EWA3798:EWB3798 EME3798:EMF3798 ECI3798:ECJ3798 DSM3798:DSN3798 DIQ3798:DIR3798 CYU3798:CYV3798 COY3798:COZ3798 CFC3798:CFD3798 BVG3798:BVH3798 BLK3798:BLL3798 BBO3798:BBP3798 ARS3798:ART3798 AHW3798:AHX3798 YA3798:YB3798 OE3798:OF3798 EI3798:EJ3798 J3874:J3877 J3867:J3871 H3839:J3839 OT1085:OU1085 YP1085:YQ1085 AIL1085:AIM1085 ASH1085:ASI1085 BCD1085:BCE1085 BLZ1085:BMA1085 BVV1085:BVW1085 CFR1085:CFS1085 CPN1085:CPO1085 CZJ1085:CZK1085 DJF1085:DJG1085 DTB1085:DTC1085 ECX1085:ECY1085 EMT1085:EMU1085 EWP1085:EWQ1085 FGL1085:FGM1085 FQH1085:FQI1085 GAD1085:GAE1085 GJZ1085:GKA1085 GTV1085:GTW1085 HDR1085:HDS1085 HNN1085:HNO1085 HXJ1085:HXK1085 IHF1085:IHG1085 IRB1085:IRC1085 JAX1085:JAY1085 JKT1085:JKU1085 JUP1085:JUQ1085 KEL1085:KEM1085 KOH1085:KOI1085 KYD1085:KYE1085 LHZ1085:LIA1085 LRV1085:LRW1085 MBR1085:MBS1085 MLN1085:MLO1085 MVJ1085:MVK1085 NFF1085:NFG1085 NPB1085:NPC1085 NYX1085:NYY1085 OIT1085:OIU1085 OSP1085:OSQ1085 PCL1085:PCM1085 PMH1085:PMI1085 PWD1085:PWE1085 QFZ1085:QGA1085 QPV1085:QPW1085 QZR1085:QZS1085 RJN1085:RJO1085 RTJ1085:RTK1085 SDF1085:SDG1085 SNB1085:SNC1085 SWX1085:SWY1085 TGT1085:TGU1085 TQP1085:TQQ1085 UAL1085:UAM1085 UKH1085:UKI1085 UUD1085:UUE1085 VDZ1085:VEA1085 VNV1085:VNW1085 VXR1085:VXS1085 WHN1085:WHO1085 ASJ4342:ASK4342 BCF4342:BCG4342 BMB4342:BMC4342 BVX4342:BVY4342 CFT4342:CFU4342 CPP4342:CPQ4342 CZL4342:CZM4342 DJH4342:DJI4342 H2764:J2765 WRJ2536:WRK2536 WHN2536:WHO2536 VXR2536:VXS2536 VNV2536:VNW2536 VDZ2536:VEA2536 UUD2536:UUE2536 UKH2536:UKI2536 UAL2536:UAM2536 TQP2536:TQQ2536 TGT2536:TGU2536 SWX2536:SWY2536 SNB2536:SNC2536 SDF2536:SDG2536 RTJ2536:RTK2536 RJN2536:RJO2536 QZR2536:QZS2536 QPV2536:QPW2536 QFZ2536:QGA2536 PWD2536:PWE2536 PMH2536:PMI2536 PCL2536:PCM2536 OSP2536:OSQ2536 OIT2536:OIU2536 NYX2536:NYY2536 NPB2536:NPC2536 NFF2536:NFG2536 MVJ2536:MVK2536 MLN2536:MLO2536 MBR2536:MBS2536 LRV2536:LRW2536 LHZ2536:LIA2536 KYD2536:KYE2536 KOH2536:KOI2536 KEL2536:KEM2536 JUP2536:JUQ2536 JKT2536:JKU2536 JAX2536:JAY2536 IRB2536:IRC2536 IHF2536:IHG2536 HXJ2536:HXK2536 HNN2536:HNO2536 HDR2536:HDS2536 GTV2536:GTW2536 GJZ2536:GKA2536 GAD2536:GAE2536 FQH2536:FQI2536 FGL2536:FGM2536 EWP2536:EWQ2536 EMT2536:EMU2536 ECX2536:ECY2536 DTB2536:DTC2536 DJF2536:DJG2536 CZJ2536:CZK2536 CPN2536:CPO2536 CFR2536:CFS2536 BVV2536:BVW2536 BLZ2536:BMA2536 BCD2536:BCE2536 ASH2536:ASI2536 AIL2536:AIM2536 YP2536:YQ2536 OT2536:OU2536 EX2536:EY2536 BBO1149:BBP1150 BLK1149:BLL1150 BVG1149:BVH1150 CFC1149:CFD1150 WQU4629:WQV4629 COY1149:COZ1150 H2664:J2664 CYU1149:CYV1150 DIQ1149:DIR1150 DSM1149:DSN1150 ECI1149:ECJ1150 EME1149:EMF1150 EWA1149:EWB1150 FFW1149:FFX1150 FPS1149:FPT1150 FZO1149:FZP1150 GJK1149:GJL1150 GTG1149:GTH1150 HDC1149:HDD1150 HMY1149:HMZ1150 HWU1149:HWV1150 IGQ1149:IGR1150 IQM1149:IQN1150 JAI1149:JAJ1150 JKE1149:JKF1150 JUA1149:JUB1150 KDW1149:KDX1150 KNS1149:KNT1150 KXO1149:KXP1150 LHK1149:LHL1150 LRG1149:LRH1150 MBC1149:MBD1150 MKY1149:MKZ1150 MUU1149:MUV1150 NEQ1149:NER1150 NOM1149:NON1150 NYI1149:NYJ1150 OIE1149:OIF1150 OSA1149:OSB1150 PBW1149:PBX1150 PLS1149:PLT1150 PVO1149:PVP1150 QFK1149:QFL1150 QPG1149:QPH1150 QZC1149:QZD1150 RIY1149:RIZ1150 RSU1149:RSV1150 SCQ1149:SCR1150 SMM1149:SMN1150 SWI1149:SWJ1150 TGE1149:TGF1150 TQA1149:TQB1150 TZW1149:TZX1150 UJS1149:UJT1150 UTO1149:UTP1150 VDK1149:VDL1150 VNG1149:VNH1150 VXC1149:VXD1150 WGY1149:WGZ1150 WQU1149:WQV1150 EI1147:EJ1147 OE1147:OF1147 YA1147:YB1147 AHW1147:AHX1147 ARS1147:ART1147 BBO1147:BBP1147 BLK1147:BLL1147 BVG1147:BVH1147 CFC1147:CFD1147 COY1147:COZ1147 CYU1147:CYV1147 DIQ1147:DIR1147 DSM1147:DSN1147 ECI1147:ECJ1147 EME1147:EMF1147 EWA1147:EWB1147 FFW1147:FFX1147 FPS1147:FPT1147 FZO1147:FZP1147 GJK1147:GJL1147 GTG1147:GTH1147 HDC1147:HDD1147 HMY1147:HMZ1147 HWU1147:HWV1147 IGQ1147:IGR1147 IQM1147:IQN1147 JAI1147:JAJ1147 JKE1147:JKF1147 JUA1147:JUB1147 KDW1147:KDX1147 KNS1147:KNT1147 KXO1147:KXP1147 LHK1147:LHL1147 LRG1147:LRH1147 MBC1147:MBD1147 MKY1147:MKZ1147 MUU1147:MUV1147 NEQ1147:NER1147 NOM1147:NON1147 NYI1147:NYJ1147 OIE1147:OIF1147 OSA1147:OSB1147 PBW1147:PBX1147 PLS1147:PLT1147 PVO1147:PVP1147 QFK1147:QFL1147 QPG1147:QPH1147 QZC1147:QZD1147 RIY1147:RIZ1147 RSU1147:RSV1147 SCQ1147:SCR1147 SMM1147:SMN1147 SWI1147:SWJ1147 TGE1147:TGF1147 TQA1147:TQB1147 TZW1147:TZX1147 UJS1147:UJT1147 UTO1147:UTP1147 VDK1147:VDL1147 VNG1147:VNH1147 VXC1147:VXD1147 WGY1147:WGZ1147 WQU1147:WQV1147 TZW1156:TZX1156 UJS1156:UJT1156 UTO1156:UTP1156 VDK1156:VDL1156 VNG1156:VNH1156 WQU1145:WQV1145 WGY1145:WGZ1145 VXC1145:VXD1145 VNG1145:VNH1145 VDK1145:VDL1145 UTO1145:UTP1145 UJS1145:UJT1145 TZW1145:TZX1145 TQA1145:TQB1145 TGE1145:TGF1145 SWI1145:SWJ1145 SMM1145:SMN1145 SCQ1145:SCR1145 RSU1145:RSV1145 RIY1145:RIZ1145 QZC1145:QZD1145 QPG1145:QPH1145 QFK1145:QFL1145 PVO1145:PVP1145 PLS1145:PLT1145 PBW1145:PBX1145 OSA1145:OSB1145 OIE1145:OIF1145 NYI1145:NYJ1145 NOM1145:NON1145 NEQ1145:NER1145 MUU1145:MUV1145 MKY1145:MKZ1145 MBC1145:MBD1145 LRG1145:LRH1145 LHK1145:LHL1145 KXO1145:KXP1145 KNS1145:KNT1145 KDW1145:KDX1145 JUA1145:JUB1145 JKE1145:JKF1145 JAI1145:JAJ1145 IQM1145:IQN1145 IGQ1145:IGR1145 HWU1145:HWV1145 HMY1145:HMZ1145 HDC1145:HDD1145 GTG1145:GTH1145 GJK1145:GJL1145 FZO1145:FZP1145 FPS1145:FPT1145 FFW1145:FFX1145 EWA1145:EWB1145 EME1145:EMF1145 ECI1145:ECJ1145 DSM1145:DSN1145 DIQ1145:DIR1145 CYU1145:CYV1145 COY1145:COZ1145 CFC1145:CFD1145 BVG1145:BVH1145 BLK1145:BLL1145 BBO1145:BBP1145 ARS1145:ART1145 AHW1145:AHX1145 YA1145:YB1145 OE1145:OF1145 DTD4342:DTE4342 ECZ4342:EDA4342 EMV4342:EMW4342 EWR4342:EWS4342 EI1145:EJ1145 VXC1156:VXD1156 WGY1156:WGZ1156 WQU1156:WQV1156 EI1156:EJ1156 OE1156:OF1156 YA1156:YB1156 AHW1156:AHX1156 ARS1156:ART1156 BBO1156:BBP1156 BLK1156:BLL1156 BVG1156:BVH1156 CFC1156:CFD1156 COY1156:COZ1156 CYU1156:CYV1156 DIQ1156:DIR1156 DSM1156:DSN1156 ECI1156:ECJ1156 EME1156:EMF1156 EWA1156:EWB1156 FFW1156:FFX1156 FPS1156:FPT1156 FZO1156:FZP1156 GJK1156:GJL1156 GTG1156:GTH1156 HDC1156:HDD1156 HMY1156:HMZ1156 HWU1156:HWV1156 IGQ1156:IGR1156 IQM1156:IQN1156 JAI1156:JAJ1156 JKE1156:JKF1156 JUA1156:JUB1156 KDW1156:KDX1156 KNS1156:KNT1156 KXO1156:KXP1156 LHK1156:LHL1156 LRG1156:LRH1156 MBC1156:MBD1156 MKY1156:MKZ1156 MUU1156:MUV1156 NEQ1156:NER1156 NOM1156:NON1156 NYI1156:NYJ1156 OIE1156:OIF1156 OSA1156:OSB1156 PBW1156:PBX1156 PLS1156:PLT1156 PVO1156:PVP1156 QFK1156:QFL1156 QPG1156:QPH1156 QZC1156:QZD1156 RIY1156:RIZ1156 RSU1156:RSV1156 SCQ1156:SCR1156 SMM1156:SMN1156 SWI1156:SWJ1156 TGE1156:TGF1156 H1150:J1150 H1129:I1129 TQA1156:TQB1156 EI1149:EJ1150 OE1149:OF1150 YA1149:YB1150 AHW1149:AHX1150 ARS1149:ART1150 H2603:I2603 H2558:I2558 WQU2612:WQV2612 TGE2608:TGF2608 SWI2608:SWJ2608 SMM2608:SMN2608 SCQ2608:SCR2608 RSU2608:RSV2608 RIY2608:RIZ2608 QZC2608:QZD2608 QPG2608:QPH2608 QFK2608:QFL2608 PVO2608:PVP2608 PLS2608:PLT2608 PBW2608:PBX2608 OSA2608:OSB2608 OIE2608:OIF2608 NYI2608:NYJ2608 NOM2608:NON2608 NEQ2608:NER2608 MUU2608:MUV2608 MKY2608:MKZ2608 MBC2608:MBD2608 LRG2608:LRH2608 LHK2608:LHL2608 KXO2608:KXP2608 KNS2608:KNT2608 KDW2608:KDX2608 JUA2608:JUB2608 JKE2608:JKF2608 JAI2608:JAJ2608 IQM2608:IQN2608 IGQ2608:IGR2608 HWU2608:HWV2608 HMY2608:HMZ2608 HDC2608:HDD2608 GTG2608:GTH2608 GJK2608:GJL2608 FZO2608:FZP2608 FPS2608:FPT2608 FFW2608:FFX2608 EWA2608:EWB2608 EME2608:EMF2608 ECI2608:ECJ2608 DSM2608:DSN2608 DIQ2608:DIR2608 CYU2608:CYV2608 COY2608:COZ2608 CFC2608:CFD2608 BVG2608:BVH2608 BLK2608:BLL2608 BBO2608:BBP2608 ARS2608:ART2608 AHW2608:AHX2608 YA2608:YB2608 OE2608:OF2608 EI2608:EJ2608 WQU2608:WQV2608 WGY2608:WGZ2608 VXC2608:VXD2608 EI2597:EJ2597 OE2597:OF2597 YA2597:YB2597 AHW2597:AHX2597 ARS2597:ART2597 BBO2597:BBP2597 BLK2597:BLL2597 BVG2597:BVH2597 CFC2597:CFD2597 COY2597:COZ2597 CYU2597:CYV2597 DIQ2597:DIR2597 DSM2597:DSN2597 ECI2597:ECJ2597 EME2597:EMF2597 EWA2597:EWB2597 FFW2597:FFX2597 FPS2597:FPT2597 FZO2597:FZP2597 GJK2597:GJL2597 GTG2597:GTH2597 HDC2597:HDD2597 HMY2597:HMZ2597 HWU2597:HWV2597 IGQ2597:IGR2597 IQM2597:IQN2597 JAI2597:JAJ2597 JKE2597:JKF2597 JUA2597:JUB2597 KDW2597:KDX2597 KNS2597:KNT2597 KXO2597:KXP2597 LHK2597:LHL2597 LRG2597:LRH2597 MBC2597:MBD2597 MKY2597:MKZ2597 MUU2597:MUV2597 NEQ2597:NER2597 NOM2597:NON2597 NYI2597:NYJ2597 OIE2597:OIF2597 OSA2597:OSB2597 PBW2597:PBX2597 PLS2597:PLT2597 PVO2597:PVP2597 QFK2597:QFL2597 QPG2597:QPH2597 QZC2597:QZD2597 RIY2597:RIZ2597 RSU2597:RSV2597 SCQ2597:SCR2597 SMM2597:SMN2597 SWI2597:SWJ2597 TGE2597:TGF2597 TQA2597:TQB2597 TZW2597:TZX2597 UJS2597:UJT2597 UTO2597:UTP2597 VDK2597:VDL2597 VNG2597:VNH2597 VXC2597:VXD2597 WGY2597:WGZ2597 WQU2597:WQV2597 VNG2608:VNH2608 VDK2608:VDL2608 YA2614:YB2615 AHW2614:AHX2615 ARS2614:ART2615 BBO2614:BBP2615 BLK2614:BLL2615 BVG2614:BVH2615 CFC2614:CFD2615 COY2614:COZ2615 CYU2614:CYV2615 DIQ2614:DIR2615 DSM2614:DSN2615 ECI2614:ECJ2615 EME2614:EMF2615 EWA2614:EWB2615 FFW2614:FFX2615 FPS2614:FPT2615 FZO2614:FZP2615 GJK2614:GJL2615 GTG2614:GTH2615 HDC2614:HDD2615 HMY2614:HMZ2615 HWU2614:HWV2615 IGQ2614:IGR2615 IQM2614:IQN2615 JAI2614:JAJ2615 JKE2614:JKF2615 JUA2614:JUB2615 KDW2614:KDX2615 KNS2614:KNT2615 KXO2614:KXP2615 LHK2614:LHL2615 LRG2614:LRH2615 MBC2614:MBD2615 MKY2614:MKZ2615 MUU2614:MUV2615 NEQ2614:NER2615 NOM2614:NON2615 NYI2614:NYJ2615 OIE2614:OIF2615 OSA2614:OSB2615 PBW2614:PBX2615 PLS2614:PLT2615 PVO2614:PVP2615 QFK2614:QFL2615 QPG2614:QPH2615 QZC2614:QZD2615 RIY2614:RIZ2615 RSU2614:RSV2615 SCQ2614:SCR2615 SMM2614:SMN2615 SWI2614:SWJ2615 TGE2614:TGF2615 TQA2614:TQB2615 TZW2614:TZX2615 UJS2614:UJT2615 UTO2614:UTP2615 VDK2614:VDL2615 VNG2614:VNH2615 VXC2614:VXD2615 WGY2614:WGZ2615 WQU2614:WQV2615 EI2614:EJ2615 WGY2625:WGZ2625 VXC2625:VXD2625 VNG2625:VNH2625 VDK2625:VDL2625 UTO2625:UTP2625 UJS2625:UJT2625 TZW2625:TZX2625 TQA2625:TQB2625 TGE2625:TGF2625 SWI2625:SWJ2625 SMM2625:SMN2625 SCQ2625:SCR2625 RSU2625:RSV2625 RIY2625:RIZ2625 QZC2625:QZD2625 QPG2625:QPH2625 QFK2625:QFL2625 PVO2625:PVP2625 PLS2625:PLT2625 PBW2625:PBX2625 OSA2625:OSB2625 OIE2625:OIF2625 NYI2625:NYJ2625 NOM2625:NON2625 NEQ2625:NER2625 MUU2625:MUV2625 MKY2625:MKZ2625 MBC2625:MBD2625 LRG2625:LRH2625 LHK2625:LHL2625 KXO2625:KXP2625 KNS2625:KNT2625 KDW2625:KDX2625 JUA2625:JUB2625 JKE2625:JKF2625 JAI2625:JAJ2625 IQM2625:IQN2625 IGQ2625:IGR2625 HWU2625:HWV2625 HMY2625:HMZ2625 HDC2625:HDD2625 GTG2625:GTH2625 GJK2625:GJL2625 FZO2625:FZP2625 FPS2625:FPT2625 FFW2625:FFX2625 EWA2625:EWB2625 EME2625:EMF2625 ECI2625:ECJ2625 DSM2625:DSN2625 DIQ2625:DIR2625 CYU2625:CYV2625 COY2625:COZ2625 CFC2625:CFD2625 BVG2625:BVH2625 BLK2625:BLL2625 BBO2625:BBP2625 ARS2625:ART2625 AHW2625:AHX2625 YA2625:YB2625 OE2625:OF2625 EI2625:EJ2625 OE2614:OF2615 UTO2608:UTP2608 WQU2630:WQV2630 WGY2630:WGZ2630 VXC2630:VXD2630 VNG2630:VNH2630 VDK2630:VDL2630 UTO2630:UTP2630 UJS2630:UJT2630 TZW2630:TZX2630 TQA2630:TQB2630 TGE2630:TGF2630 SWI2630:SWJ2630 SMM2630:SMN2630 SCQ2630:SCR2630 RSU2630:RSV2630 RIY2630:RIZ2630 QZC2630:QZD2630 QPG2630:QPH2630 QFK2630:QFL2630 PVO2630:PVP2630 PLS2630:PLT2630 PBW2630:PBX2630 OSA2630:OSB2630 OIE2630:OIF2630 NYI2630:NYJ2630 NOM2630:NON2630 NEQ2630:NER2630 MUU2630:MUV2630 MKY2630:MKZ2630 MBC2630:MBD2630 LRG2630:LRH2630 LHK2630:LHL2630 KXO2630:KXP2630 KNS2630:KNT2630 KDW2630:KDX2630 JUA2630:JUB2630 JKE2630:JKF2630 JAI2630:JAJ2630 IQM2630:IQN2630 IGQ2630:IGR2630 HWU2630:HWV2630 HMY2630:HMZ2630 HDC2630:HDD2630 GTG2630:GTH2630 GJK2630:GJL2630 FZO2630:FZP2630 FPS2630:FPT2630 FFW2630:FFX2630 EWA2630:EWB2630 EME2630:EMF2630 ECI2630:ECJ2630 DSM2630:DSN2630 DIQ2630:DIR2630 CYU2630:CYV2630 COY2630:COZ2630 CFC2630:CFD2630 BVG2630:BVH2630 BLK2630:BLL2630 BBO2630:BBP2630 ARS2630:ART2630 AHW2630:AHX2630 YA2630:YB2630 OE2630:OF2630 EI2630:EJ2630 UJS2608:UJT2608 WGY2612:WGZ2612 VXC2612:VXD2612 VNG2612:VNH2612 VDK2612:VDL2612 UTO2612:UTP2612 UJS2612:UJT2612 TZW2612:TZX2612 TQA2612:TQB2612 TGE2612:TGF2612 SWI2612:SWJ2612 SMM2612:SMN2612 SCQ2612:SCR2612 RSU2612:RSV2612 RIY2612:RIZ2612 QZC2612:QZD2612 QPG2612:QPH2612 QFK2612:QFL2612 PVO2612:PVP2612 PLS2612:PLT2612 PBW2612:PBX2612 OSA2612:OSB2612 OIE2612:OIF2612 NYI2612:NYJ2612 NOM2612:NON2612 NEQ2612:NER2612 MUU2612:MUV2612 MKY2612:MKZ2612 MBC2612:MBD2612 LRG2612:LRH2612 LHK2612:LHL2612 KXO2612:KXP2612 KNS2612:KNT2612 KDW2612:KDX2612 JUA2612:JUB2612 JKE2612:JKF2612 JAI2612:JAJ2612 IQM2612:IQN2612 IGQ2612:IGR2612 HWU2612:HWV2612 HMY2612:HMZ2612 HDC2612:HDD2612 GTG2612:GTH2612 GJK2612:GJL2612 FZO2612:FZP2612 FPS2612:FPT2612 FFW2612:FFX2612 EWA2612:EWB2612 EME2612:EMF2612 ECI2612:ECJ2612 DSM2612:DSN2612 DIQ2612:DIR2612 CYU2612:CYV2612 COY2612:COZ2612 CFC2612:CFD2612 BVG2612:BVH2612 BLK2612:BLL2612 BBO2612:BBP2612 ARS2612:ART2612 AHW2612:AHX2612 YA2612:YB2612 OE2612:OF2612 EI2612:EJ2612 WQU2625:WQV2625 TZW2608:TZX2608 WQU2599:WQV2599 WGY2599:WGZ2599 VXC2599:VXD2599 VNG2599:VNH2599 VDK2599:VDL2599 UTO2599:UTP2599 UJS2599:UJT2599 TZW2599:TZX2599 TQA2599:TQB2599 TGE2599:TGF2599 SWI2599:SWJ2599 SMM2599:SMN2599 SCQ2599:SCR2599 RSU2599:RSV2599 RIY2599:RIZ2599 QZC2599:QZD2599 QPG2599:QPH2599 QFK2599:QFL2599 PVO2599:PVP2599 PLS2599:PLT2599 PBW2599:PBX2599 OSA2599:OSB2599 OIE2599:OIF2599 NYI2599:NYJ2599 NOM2599:NON2599 NEQ2599:NER2599 MUU2599:MUV2599 MKY2599:MKZ2599 MBC2599:MBD2599 LRG2599:LRH2599 LHK2599:LHL2599 KXO2599:KXP2599 KNS2599:KNT2599 KDW2599:KDX2599 JUA2599:JUB2599 JKE2599:JKF2599 JAI2599:JAJ2599 IQM2599:IQN2599 IGQ2599:IGR2599 HWU2599:HWV2599 HMY2599:HMZ2599 HDC2599:HDD2599 GTG2599:GTH2599 GJK2599:GJL2599 FZO2599:FZP2599 FPS2599:FPT2599 FFW2599:FFX2599 EWA2599:EWB2599 EME2599:EMF2599 ECI2599:ECJ2599 DSM2599:DSN2599 DIQ2599:DIR2599 CYU2599:CYV2599 COY2599:COZ2599 CFC2599:CFD2599 BVG2599:BVH2599 BLK2599:BLL2599 BBO2599:BBP2599 ARS2599:ART2599 AHW2599:AHX2599 YA2599:YB2599 OE2599:OF2599 EI2599:EJ2599 H2593:I2593 TQA2608:TQB2608 H3933:J3933 IPP1194:IPQ1197 H1193:I1193 IFT1194:IFU1197 HVX1194:HVY1197 HMB1194:HMC1197 HCF1194:HCG1197 GSJ1194:GSK1197 GIN1194:GIO1197 FYR1194:FYS1197 FOV1194:FOW1197 FEZ1194:FFA1197 EVD1194:EVE1197 ELH1194:ELI1197 EBL1194:EBM1197 DRP1194:DRQ1197 DHT1194:DHU1197 CXX1194:CXY1197 COB1194:COC1197 CEF1194:CEG1197 BUJ1194:BUK1197 BKN1194:BKO1197 BAR1194:BAS1197 AQV1194:AQW1197 AGZ1194:AHA1197 XD1194:XE1197 NH1194:NI1197 DL1194:DM1197 WPX1194:WPY1197 WGB1194:WGC1197 VWF1194:VWG1197 VMJ1194:VMK1197 VCN1194:VCO1197 USR1194:USS1197 UIV1194:UIW1197 TYZ1194:TZA1197 TPD1194:TPE1197 TFH1194:TFI1197 SVL1194:SVM1197 SLP1194:SLQ1197 SBT1194:SBU1197 RRX1194:RRY1197 RIB1194:RIC1197 QYF1194:QYG1197 QOJ1194:QOK1197 QEN1194:QEO1197 PUR1194:PUS1197 PKV1194:PKW1197 PAZ1194:PBA1197 ORD1194:ORE1197 OHH1194:OHI1197 NXL1194:NXM1197 NNP1194:NNQ1197 NDT1194:NDU1197 MTX1194:MTY1197 MKB1194:MKC1197 MAF1194:MAG1197 LQJ1194:LQK1197 LGN1194:LGO1197 KWR1194:KWS1197 KMV1194:KMW1197 KCZ1194:KDA1197 JTD1194:JTE1197 JJH1194:JJI1197 IZL1194:IZM1197 EI1207:EJ1207 WQU1207:WQV1207 WGY1207:WGZ1207 VXC1207:VXD1207 VNG1207:VNH1207 VDK1207:VDL1207 UTO1207:UTP1207 UJS1207:UJT1207 TZW1207:TZX1207 TQA1207:TQB1207 TGE1207:TGF1207 SWI1207:SWJ1207 SMM1207:SMN1207 SCQ1207:SCR1207 RSU1207:RSV1207 RIY1207:RIZ1207 QZC1207:QZD1207 QPG1207:QPH1207 QFK1207:QFL1207 PVO1207:PVP1207 PLS1207:PLT1207 PBW1207:PBX1207 OSA1207:OSB1207 OIE1207:OIF1207 NYI1207:NYJ1207 NOM1207:NON1207 NEQ1207:NER1207 MUU1207:MUV1207 MKY1207:MKZ1207 MBC1207:MBD1207 LRG1207:LRH1207 LHK1207:LHL1207 KXO1207:KXP1207 KNS1207:KNT1207 KDW1207:KDX1207 JUA1207:JUB1207 JKE1207:JKF1207 JAI1207:JAJ1207 IQM1207:IQN1207 IGQ1207:IGR1207 HWU1207:HWV1207 HMY1207:HMZ1207 HDC1207:HDD1207 GTG1207:GTH1207 GJK1207:GJL1207 FZO1207:FZP1207 FPS1207:FPT1207 FFW1207:FFX1207 EWA1207:EWB1207 EME1207:EMF1207 ECI1207:ECJ1207 DSM1207:DSN1207 DIQ1207:DIR1207 CYU1207:CYV1207 COY1207:COZ1207 CFC1207:CFD1207 BVG1207:BVH1207 BLK1207:BLL1207 BBO1207:BBP1207 ARS1207:ART1207 AHW1207:AHX1207 YA1207:YB1207 OE1207:OF1207 WQU1163:WQV1189 EI1163:EJ1189 OE1163:OF1189 YA1163:YB1189 AHW1163:AHX1189 ARS1163:ART1189 BBO1163:BBP1189 BLK1163:BLL1189 BVG1163:BVH1189 CFC1163:CFD1189 COY1163:COZ1189 CYU1163:CYV1189 DIQ1163:DIR1189 DSM1163:DSN1189 ECI1163:ECJ1189 EME1163:EMF1189 EWA1163:EWB1189 FFW1163:FFX1189 FPS1163:FPT1189 FZO1163:FZP1189 GJK1163:GJL1189 GTG1163:GTH1189 HDC1163:HDD1189 HMY1163:HMZ1189 HWU1163:HWV1189 IGQ1163:IGR1189 IQM1163:IQN1189 JAI1163:JAJ1189 JKE1163:JKF1189 JUA1163:JUB1189 KDW1163:KDX1189 KNS1163:KNT1189 KXO1163:KXP1189 LHK1163:LHL1189 LRG1163:LRH1189 MBC1163:MBD1189 MKY1163:MKZ1189 MUU1163:MUV1189 NEQ1163:NER1189 NOM1163:NON1189 NYI1163:NYJ1189 OIE1163:OIF1189 OSA1163:OSB1189 PBW1163:PBX1189 PLS1163:PLT1189 PVO1163:PVP1189 QFK1163:QFL1189 QPG1163:QPH1189 QZC1163:QZD1189 RIY1163:RIZ1189 RSU1163:RSV1189 SCQ1163:SCR1189 SMM1163:SMN1189 SWI1163:SWJ1189 TGE1163:TGF1189 TQA1163:TQB1189 TZW1163:TZX1189 UJS1163:UJT1189 UTO1163:UTP1189 VDK1163:VDL1189 VNG1163:VNH1189 VXC1163:VXD1189 WGY1163:WGZ1189 I4021:J4021 I4027:J4028 H2566:I2566 J2584 H2595:I2600 H2720:J2720 H4627:J4627 WGY4629:WGZ4629 VXC4629:VXD4629 VNG4629:VNH4629 VDK4629:VDL4629 UTO4629:UTP4629 UJS4629:UJT4629 TZW4629:TZX4629 TQA4629:TQB4629 TGE4629:TGF4629 SWI4629:SWJ4629 SMM4629:SMN4629 SCQ4629:SCR4629 RSU4629:RSV4629 RIY4629:RIZ4629 QZC4629:QZD4629 QPG4629:QPH4629 QFK4629:QFL4629 PVO4629:PVP4629 PLS4629:PLT4629 PBW4629:PBX4629 OSA4629:OSB4629 OIE4629:OIF4629 NYI4629:NYJ4629 NOM4629:NON4629 NEQ4629:NER4629 MUU4629:MUV4629 MKY4629:MKZ4629 MBC4629:MBD4629 LRG4629:LRH4629 LHK4629:LHL4629 KXO4629:KXP4629 KNS4629:KNT4629 KDW4629:KDX4629 JUA4629:JUB4629 JKE4629:JKF4629 JAI4629:JAJ4629 IQM4629:IQN4629 IGQ4629:IGR4629 HWU4629:HWV4629 HMY4629:HMZ4629 HDC4629:HDD4629 GTG4629:GTH4629 GJK4629:GJL4629 FZO4629:FZP4629 FPS4629:FPT4629 FFW4629:FFX4629 EWA4629:EWB4629 EME4629:EMF4629 ECI4629:ECJ4629 DSM4629:DSN4629 DIQ4629:DIR4629 CYU4629:CYV4629 COY4629:COZ4629 CFC4629:CFD4629 BVG4629:BVH4629 BLK4629:BLL4629 BBO4629:BBP4629 ARS4629:ART4629 AHW4629:AHX4629 YA4629:YB4629 OE4629:OF4629 EI4629:EJ4629 H2652:I2655 H2656:J2656 H2589:J2589 H2561:J2561">
      <formula1>1</formula1>
      <formula2>0</formula2>
    </dataValidation>
    <dataValidation type="decimal" operator="greaterThan" allowBlank="1" showInputMessage="1" showErrorMessage="1" sqref="WVK2394 WVJ2367:WVJ2368 IX2364:IX2365 ST2364:ST2365 ACP2364:ACP2365 AML2364:AML2365 AWH2364:AWH2365 BGD2364:BGD2365 BPZ2364:BPZ2365 BZV2364:BZV2365 CJR2364:CJR2365 CTN2364:CTN2365 DDJ2364:DDJ2365 DNF2364:DNF2365 DXB2364:DXB2365 EGX2364:EGX2365 EQT2364:EQT2365 FAP2364:FAP2365 FKL2364:FKL2365 FUH2364:FUH2365 GED2364:GED2365 GNZ2364:GNZ2365 GXV2364:GXV2365 HHR2364:HHR2365 HRN2364:HRN2365 IBJ2364:IBJ2365 ILF2364:ILF2365 IVB2364:IVB2365 JEX2364:JEX2365 JOT2364:JOT2365 JYP2364:JYP2365 KIL2364:KIL2365 KSH2364:KSH2365 LCD2364:LCD2365 LLZ2364:LLZ2365 LVV2364:LVV2365 MFR2364:MFR2365 MPN2364:MPN2365 MZJ2364:MZJ2365 NJF2364:NJF2365 NTB2364:NTB2365 OCX2364:OCX2365 OMT2364:OMT2365 OWP2364:OWP2365 PGL2364:PGL2365 PQH2364:PQH2365 QAD2364:QAD2365 QJZ2364:QJZ2365 QTV2364:QTV2365 RDR2364:RDR2365 RNN2364:RNN2365 RXJ2364:RXJ2365 SHF2364:SHF2365 SRB2364:SRB2365 TAX2364:TAX2365 TKT2364:TKT2365 TUP2364:TUP2365 UEL2364:UEL2365 UOH2364:UOH2365 UYD2364:UYD2365 VHZ2364:VHZ2365 VRV2364:VRV2365 WBR2364:WBR2365 WLN2364:WLN2365 WVJ2364:WVJ2365 D2364:D2365 ST2378 IX2367:IX2368 ST2367:ST2368 ACP2367:ACP2368 AML2367:AML2368 AWH2367:AWH2368 BGD2367:BGD2368 BPZ2367:BPZ2368 BZV2367:BZV2368 CJR2367:CJR2368 CTN2367:CTN2368 DDJ2367:DDJ2368 DNF2367:DNF2368 DXB2367:DXB2368 EGX2367:EGX2368 EQT2367:EQT2368 FAP2367:FAP2368 FKL2367:FKL2368 FUH2367:FUH2368 GED2367:GED2368 GNZ2367:GNZ2368 GXV2367:GXV2368 HHR2367:HHR2368 HRN2367:HRN2368 IBJ2367:IBJ2368 ILF2367:ILF2368 IVB2367:IVB2368 JEX2367:JEX2368 JOT2367:JOT2368 JYP2367:JYP2368 KIL2367:KIL2368 KSH2367:KSH2368 LCD2367:LCD2368 LLZ2367:LLZ2368 LVV2367:LVV2368 MFR2367:MFR2368 MPN2367:MPN2368 MZJ2367:MZJ2368 NJF2367:NJF2368 NTB2367:NTB2368 OCX2367:OCX2368 OMT2367:OMT2368 OWP2367:OWP2368 PGL2367:PGL2368 PQH2367:PQH2368 QAD2367:QAD2368 QJZ2367:QJZ2368 QTV2367:QTV2368 RDR2367:RDR2368 RNN2367:RNN2368 RXJ2367:RXJ2368 SHF2367:SHF2368 SRB2367:SRB2368 TAX2367:TAX2368 TKT2367:TKT2368 TUP2367:TUP2368 UEL2367:UEL2368 UOH2367:UOH2368 UYD2367:UYD2368 VHZ2367:VHZ2368 VRV2367:VRV2368 WBR2367:WBR2368 WLN2367:WLN2368 WLO2394 WBS2394 VRW2394 VIA2394 UYE2394 UOI2394 UEM2394 TUQ2394 TKU2394 TAY2394 SRC2394 SHG2394 RXK2394 RNO2394 RDS2394 QTW2394 QKA2394 QAE2394 PQI2394 PGM2394 OWQ2394 OMU2394 OCY2394 NTC2394 NJG2394 MZK2394 MPO2394 MFS2394 LVW2394 LMA2394 LCE2394 KSI2394 KIM2394 JYQ2394 JOU2394 JEY2394 IVC2394 ILG2394 IBK2394 HRO2394 HHS2394 GXW2394 GOA2394 GEE2394 FUI2394 FKM2394 FAQ2394 EQU2394 EGY2394 DXC2394 DNG2394 DDK2394 CTO2394 CJS2394 BZW2394 BQA2394 BGE2394 AWI2394 AMM2394 ACQ2394 SU2394 IY2394 D2394 ST3729 WVJ3706 WLN3706 WBR3706 VRV3706 VHZ3706 UYD3706 UOH3706 UEL3706 TUP3706 TKT3706 TAX3706 SRB3706 SHF3706 RXJ3706 RNN3706 RDR3706 QTV3706 QJZ3706 QAD3706 PQH3706 PGL3706 OWP3706 OMT3706 OCX3706 NTB3706 NJF3706 MZJ3706 MPN3706 MFR3706 LVV3706 LLZ3706 LCD3706 KSH3706 KIL3706 JYP3706 JOT3706 JEX3706 IVB3706 ILF3706 IBJ3706 HRN3706 HHR3706 GXV3706 GNZ3706 GED3706 FUH3706 FKL3706 FAP3706 EQT3706 EGX3706 DXB3706 DNF3706 DDJ3706 CTN3706 CJR3706 BZV3706 BPZ3706 BGD3706 AWH3706 AML3706 ACP3706 ST3706 IX3706 E2378 WVJ3708:WVJ3711 WLN3708:WLN3711 WBR3708:WBR3711 VRV3708:VRV3711 VHZ3708:VHZ3711 UYD3708:UYD3711 UOH3708:UOH3711 UEL3708:UEL3711 TUP3708:TUP3711 TKT3708:TKT3711 TAX3708:TAX3711 SRB3708:SRB3711 SHF3708:SHF3711 RXJ3708:RXJ3711 RNN3708:RNN3711 RDR3708:RDR3711 QTV3708:QTV3711 QJZ3708:QJZ3711 QAD3708:QAD3711 PQH3708:PQH3711 PGL3708:PGL3711 OWP3708:OWP3711 OMT3708:OMT3711 OCX3708:OCX3711 NTB3708:NTB3711 NJF3708:NJF3711 MZJ3708:MZJ3711 MPN3708:MPN3711 MFR3708:MFR3711 LVV3708:LVV3711 LLZ3708:LLZ3711 LCD3708:LCD3711 KSH3708:KSH3711 KIL3708:KIL3711 JYP3708:JYP3711 JOT3708:JOT3711 JEX3708:JEX3711 IVB3708:IVB3711 ILF3708:ILF3711 IBJ3708:IBJ3711 HRN3708:HRN3711 HHR3708:HHR3711 GXV3708:GXV3711 GNZ3708:GNZ3711 GED3708:GED3711 FUH3708:FUH3711 FKL3708:FKL3711 FAP3708:FAP3711 EQT3708:EQT3711 EGX3708:EGX3711 DXB3708:DXB3711 DNF3708:DNF3711 DDJ3708:DDJ3711 CTN3708:CTN3711 CJR3708:CJR3711 BZV3708:BZV3711 BPZ3708:BPZ3711 BGD3708:BGD3711 AWH3708:AWH3711 AML3708:AML3711 ACP3708:ACP3711 ST3708:ST3711 IX3708:IX3711 ACP3729 AML3729 AWH3729 BGD3729 BPZ3729 BZV3729 CJR3729 CTN3729 DDJ3729 DNF3729 DXB3729 EGX3729 EQT3729 FAP3729 FKL3729 FUH3729 GED3729 GNZ3729 GXV3729 HHR3729 HRN3729 IBJ3729 ILF3729 IVB3729 JEX3729 JOT3729 JYP3729 KIL3729 KSH3729 LCD3729 LLZ3729 LVV3729 MFR3729 MPN3729 MZJ3729 NJF3729 NTB3729 OCX3729 OMT3729 OWP3729 PGL3729 PQH3729 QAD3729 QJZ3729 QTV3729 RDR3729 RNN3729 RXJ3729 SHF3729 SRB3729 TAX3729 TKT3729 TUP3729 UEL3729 UOH3729 UYD3729 VHZ3729 VRV3729 WBR3729 WLN3729 WVJ3729 D3729 IX3729 WVK3703 IX2378 IY3703 SU3703 ACQ3703 AMM3703 AWI3703 BGE3703 BQA3703 BZW3703 CJS3703 CTO3703 DDK3703 DNG3703 DXC3703 EGY3703 EQU3703 FAQ3703 FKM3703 FUI3703 GEE3703 GOA3703 GXW3703 HHS3703 HRO3703 IBK3703 ILG3703 IVC3703 JEY3703 JOU3703 JYQ3703 KIM3703 KSI3703 LCE3703 LMA3703 LVW3703 MFS3703 MPO3703 MZK3703 NJG3703 NTC3703 OCY3703 OMU3703 OWQ3703 PGM3703 PQI3703 QAE3703 QKA3703 QTW3703 RDS3703 RNO3703 RXK3703 SHG3703 SRC3703 TAY3703 TKU3703 TUQ3703 UEM3703 UOI3703 UYE3703 VIA3703 VRW3703 WBS3703 WLO3703 ST899 ACP899 AML899 AWH899 BGD899 BPZ899 BZV899 CJR899 CTN899 DDJ899 DNF899 DXB899 EGX899 EQT899 FAP899 FKL899 FUH899 GED899 GNZ899 GXV899 HHR899 HRN899 IBJ899 ILF899 IVB899 JEX899 JOT899 JYP899 KIL899 KSH899 LCD899 LLZ899 LVV899 MFR899 MPN899 MZJ899 NJF899 NTB899 OCX899 OMT899 OWP899 PGL899 PQH899 QAD899 QJZ899 QTV899 RDR899 RNN899 RXJ899 SHF899 SRB899 TAX899 TKT899 TUP899 UEL899 UOH899 UYD899 VHZ899 VRV899 WBR899 WLN899 WVJ899 E899 E895:E896 WVJ895:WVJ896 WLN895:WLN896 WBR895:WBR896 VRV895:VRV896 VHZ895:VHZ896 UYD895:UYD896 UOH895:UOH896 UEL895:UEL896 TUP895:TUP896 TKT895:TKT896 TAX895:TAX896 SRB895:SRB896 SHF895:SHF896 RXJ895:RXJ896 RNN895:RNN896 RDR895:RDR896 QTV895:QTV896 QJZ895:QJZ896 QAD895:QAD896 PQH895:PQH896 PGL895:PGL896 OWP895:OWP896 OMT895:OMT896 OCX895:OCX896 NTB895:NTB896 NJF895:NJF896 MZJ895:MZJ896 MPN895:MPN896 MFR895:MFR896 LVV895:LVV896 LLZ895:LLZ896 LCD895:LCD896 KSH895:KSH896 KIL895:KIL896 JYP895:JYP896 JOT895:JOT896 JEX895:JEX896 IVB895:IVB896 ILF895:ILF896 IBJ895:IBJ896 HRN895:HRN896 HHR895:HHR896 GXV895:GXV896 GNZ895:GNZ896 GED895:GED896 FUH895:FUH896 FKL895:FKL896 FAP895:FAP896 EQT895:EQT896 EGX895:EGX896 DXB895:DXB896 DNF895:DNF896 DDJ895:DDJ896 CTN895:CTN896 CJR895:CJR896 BZV895:BZV896 BPZ895:BPZ896 BGD895:BGD896 AWH895:AWH896 AML895:AML896 ACP895:ACP896 ST895:ST896 IX895:IX896 IX899 WLO902 WLO905 WBS902 WBS905 VRW902 VRW905 VIA902 VIA905 UYE902 UYE905 UOI902 UOI905 UEM902 UEM905 TUQ902 TUQ905 TKU902 TKU905 TAY902 TAY905 SRC902 SRC905 SHG902 SHG905 RXK902 RXK905 RNO902 RNO905 RDS902 RDS905 QTW902 QTW905 QKA902 QKA905 QAE902 QAE905 PQI902 PQI905 PGM902 PGM905 OWQ902 OWQ905 OMU902 OMU905 OCY902 OCY905 NTC902 NTC905 NJG902 NJG905 MZK902 MZK905 MPO902 MPO905 MFS902 MFS905 LVW902 LVW905 LMA902 LMA905 LCE902 LCE905 KSI902 KSI905 KIM902 KIM905 JYQ902 JYQ905 JOU902 JOU905 JEY902 JEY905 IVC902 IVC905 ILG902 ILG905 IBK902 IBK905 HRO902 HRO905 HHS902 HHS905 GXW902 GXW905 GOA902 GOA905 GEE902 GEE905 FUI902 FUI905 FKM902 FKM905 FAQ902 FAQ905 EQU902 EQU905 EGY902 EGY905 DXC902 DXC905 DNG902 DNG905 DDK902 DDK905 CTO902 CTO905 CJS902 CJS905 BZW902 BZW905 BQA902 BQA905 BGE902 BGE905 AWI902 AWI905 AMM902 AMM905 ACQ902 ACQ905 SU902 SU905 IY902 IY905 D902 D905:D907 WVK902 WVK905 WLO4521 WBS4521 VRW4521 VIA4521 UYE4521 UOI4521 UEM4521 TUQ4521 TKU4521 TAY4521 SRC4521 SHG4521 RXK4521 RNO4521 RDS4521 QTW4521 QKA4521 QAE4521 PQI4521 PGM4521 OWQ4521 OMU4521 OCY4521 NTC4521 NJG4521 MZK4521 MPO4521 MFS4521 LVW4521 LMA4521 LCE4521 KSI4521 KIM4521 JYQ4521 JOU4521 JEY4521 IVC4521 ILG4521 IBK4521 HRO4521 HHS4521 GXW4521 GOA4521 GEE4521 FUI4521 FKM4521 FAQ4521 EQU4521 EGY4521 DXC4521 DNG4521 DDK4521 CTO4521 CJS4521 BZW4521 BQA4521 BGE4521 AWI4521 AMM4521 ACQ4521 SU4521 IY4521 D4521 WVK4521 WVJ2378 WLN2378 WBR2378 VRV2378 VHZ2378 UYD2378 UOH2378 UEL2378 TUP2378 TKT2378 TAX2378 SRB2378 SHF2378 RXJ2378 RNN2378 RDR2378 QTV2378 QJZ2378 QAD2378 PQH2378 PGL2378 OWP2378 OMT2378 OCX2378 NTB2378 NJF2378 MZJ2378 MPN2378 MFR2378 LVV2378 LLZ2378 LCD2378 KSH2378 KIL2378 JYP2378 JOT2378 JEX2378 IVB2378 ILF2378 IBJ2378 HRN2378 HHR2378 GXV2378 GNZ2378 GED2378 FUH2378 FKL2378 FAP2378 EQT2378 EGX2378 DXB2378 DNF2378 DDJ2378 CTN2378 CJR2378 BZV2378 BPZ2378 BGD2378 AWH2378 AML2378 ACP2378 D2368">
      <formula1>0</formula1>
    </dataValidation>
    <dataValidation type="whole" operator="greaterThanOrEqual" allowBlank="1" showInputMessage="1" showErrorMessage="1" error="Введите целое положительное число." sqref="JC838:JD839 H838:I839 WVO838:WVP839 HW679 H688:I689 WUI691:WUJ691 WKM691:WKN691 WAQ691:WAR691 VQU691:VQV691 VGY691:VGZ691 UXC691:UXD691 UNG691:UNH691 UDK691:UDL691 TTO691:TTP691 TJS691:TJT691 SZW691:SZX691 SQA691:SQB691 SGE691:SGF691 RWI691:RWJ691 RMM691:RMN691 RCQ691:RCR691 QSU691:QSV691 QIY691:QIZ691 PZC691:PZD691 PPG691:PPH691 PFK691:PFL691 OVO691:OVP691 OLS691:OLT691 OBW691:OBX691 NSA691:NSB691 NIE691:NIF691 MYI691:MYJ691 MOM691:MON691 MEQ691:MER691 LUU691:LUV691 LKY691:LKZ691 LBC691:LBD691 KRG691:KRH691 KHK691:KHL691 JXO691:JXP691 JNS691:JNT691 JDW691:JDX691 IUA691:IUB691 IKE691:IKF691 IAI691:IAJ691 HQM691:HQN691 HGQ691:HGR691 GWU691:GWV691 GMY691:GMZ691 GDC691:GDD691 FTG691:FTH691 FJK691:FJL691 EZO691:EZP691 EPS691:EPT691 EFW691:EFX691 DWA691:DWB691 DME691:DMF691 DCI691:DCJ691 CSM691:CSN691 CIQ691:CIR691 BYU691:BYV691 BOY691:BOZ691 BFC691:BFD691 AVG691:AVH691 ALK691:ALL691 ABO691:ABP691 RS691:RT691 HW691:HX691 WUI679 WKM679 WAQ679 VQU679 VGY679 UXC679 UNG679 UDK679 TTO679 TJS679 SZW679 SQA679 SGE679 RWI679 RMM679 RCQ679 QSU679 QIY679 PZC679 PPG679 PFK679 OVO679 OLS679 OBW679 NSA679 NIE679 MYI679 MOM679 MEQ679 LUU679 LKY679 LBC679 KRG679 KHK679 JXO679 JNS679 JDW679 IUA679 IKE679 IAI679 HQM679 HGQ679 GWU679 GMY679 GDC679 FTG679 FJK679 EZO679 EPS679 EFW679 DWA679 DME679 DCI679 CSM679 CIQ679 BYU679 BOY679 BFC679 AVG679 ALK679 ABO679 RS679 H4190:I4192 ABO3537 ALK3537 AVG3537 BFC3537 BOY3537 BYU3537 CIQ3537 CSM3537 DCI3537 DME3537 DWA3537 EFW3537 EPS3537 EZO3537 FJK3537 FTG3537 GDC3537 GMY3537 GWU3537 HGQ3537 HQM3537 IAI3537 IKE3537 IUA3537 JDW3537 JNS3537 JXO3537 KHK3537 KRG3537 LBC3537 LKY3537 LUU3537 MEQ3537 MOM3537 MYI3537 NIE3537 NSA3537 OBW3537 OLS3537 OVO3537 PFK3537 PPG3537 PZC3537 QIY3537 QSU3537 RCQ3537 RMM3537 RWI3537 SGE3537 SQA3537 SZW3537 TJS3537 TTO3537 UDK3537 UNG3537 UXC3537 VGY3537 VQU3537 WAQ3537 WKM3537 WUI3537 H3540:I3540 H3529:I3529 HW3537 GP28:GP29 H2176:I2177 RS3288 ABO3288 ALK3288 AVG3288 BFC3288 BOY3288 BYU3288 CIQ3288 CSM3288 DCI3288 DME3288 DWA3288 EFW3288 EPS3288 EZO3288 FJK3288 FTG3288 GDC3288 GMY3288 GWU3288 HGQ3288 HQM3288 IAI3288 IKE3288 IUA3288 JDW3288 JNS3288 JXO3288 KHK3288 KRG3288 LBC3288 LKY3288 LUU3288 MEQ3288 MOM3288 MYI3288 NIE3288 NSA3288 OBW3288 OLS3288 OVO3288 PFK3288 PPG3288 PZC3288 QIY3288 QSU3288 RCQ3288 RMM3288 RWI3288 SGE3288 SQA3288 SZW3288 TJS3288 TTO3288 UDK3288 UNG3288 UXC3288 VGY3288 VQU3288 WAQ3288 WKM3288 WUI3288 H3291:I3291 H3278:I3278 H3274:I3276 HW3288 H2697:I2697 H2194:I2195 H2179:I2179 H2174:I2174 H272:J272 H260:J260 H4196:I4200 RS3537 JC825:JD825 SY825:SZ825 ACU825:ACV825 AMQ825:AMR825 AWM825:AWN825 BGI825:BGJ825 BQE825:BQF825 CAA825:CAB825 CJW825:CJX825 CTS825:CTT825 DDO825:DDP825 DNK825:DNL825 DXG825:DXH825 EHC825:EHD825 EQY825:EQZ825 FAU825:FAV825 FKQ825:FKR825 FUM825:FUN825 GEI825:GEJ825 GOE825:GOF825 GYA825:GYB825 HHW825:HHX825 HRS825:HRT825 IBO825:IBP825 ILK825:ILL825 IVG825:IVH825 JFC825:JFD825 JOY825:JOZ825 JYU825:JYV825 KIQ825:KIR825 KSM825:KSN825 LCI825:LCJ825 LME825:LMF825 LWA825:LWB825 MFW825:MFX825 MPS825:MPT825 MZO825:MZP825 NJK825:NJL825 NTG825:NTH825 ODC825:ODD825 OMY825:OMZ825 OWU825:OWV825 PGQ825:PGR825 PQM825:PQN825 QAI825:QAJ825 QKE825:QKF825 QUA825:QUB825 RDW825:RDX825 RNS825:RNT825 RXO825:RXP825 SHK825:SHL825 SRG825:SRH825 TBC825:TBD825 TKY825:TKZ825 TUU825:TUV825 UEQ825:UER825 UOM825:UON825 UYI825:UYJ825 VIE825:VIF825 VSA825:VSB825 WBW825:WBX825 WLS825:WLT825 WVO825:WVP825 H825:I825 WLS838:WLT839 H4383:I4384 H671:I671 WBW838:WBX839 VSA838:VSB839 VIE838:VIF839 UYI838:UYJ839 UOM838:UON839 UEQ838:UER839 TUU838:TUV839 TKY838:TKZ839 TBC838:TBD839 SRG838:SRH839 SHK838:SHL839 RXO838:RXP839 RNS838:RNT839 RDW838:RDX839 QUA838:QUB839 QKE838:QKF839 QAI838:QAJ839 PQM838:PQN839 PGQ838:PGR839 OWU838:OWV839 OMY838:OMZ839 ODC838:ODD839 NTG838:NTH839 NJK838:NJL839 MZO838:MZP839 MPS838:MPT839 MFW838:MFX839 LWA838:LWB839 LME838:LMF839 LCI838:LCJ839 KSM838:KSN839 KIQ838:KIR839 JYU838:JYV839 JOY838:JOZ839 JFC838:JFD839 IVG838:IVH839 ILK838:ILL839 IBO838:IBP839 HRS838:HRT839 HHW838:HHX839 GYA838:GYB839 GOE838:GOF839 GEI838:GEJ839 FUM838:FUN839 FKQ838:FKR839 FAU838:FAV839 EQY838:EQZ839 EHC838:EHD839 DXG838:DXH839 DNK838:DNL839 DDO838:DDP839 CTS838:CTT839 CJW838:CJX839 CAA838:CAB839 BQE838:BQF839 BGI838:BGJ839 AWM838:AWN839 AMQ838:AMR839 ACU838:ACV839 SY838:SZ839 H661:I668 WLS4486:WLT4486 WBW4486:WBX4486 VSA4486:VSB4486 VIE4486:VIF4486 UYI4486:UYJ4486 UOM4486:UON4486 UEQ4486:UER4486 TUU4486:TUV4486 TKY4486:TKZ4486 TBC4486:TBD4486 SRG4486:SRH4486 SHK4486:SHL4486 RXO4486:RXP4486 RNS4486:RNT4486 RDW4486:RDX4486 QUA4486:QUB4486 QKE4486:QKF4486 QAI4486:QAJ4486 PQM4486:PQN4486 PGQ4486:PGR4486 OWU4486:OWV4486 OMY4486:OMZ4486 ODC4486:ODD4486 NTG4486:NTH4486 NJK4486:NJL4486 MZO4486:MZP4486 MPS4486:MPT4486 MFW4486:MFX4486 LWA4486:LWB4486 LME4486:LMF4486 LCI4486:LCJ4486 KSM4486:KSN4486 KIQ4486:KIR4486 JYU4486:JYV4486 JOY4486:JOZ4486 JFC4486:JFD4486 IVG4486:IVH4486 ILK4486:ILL4486 IBO4486:IBP4486 HRS4486:HRT4486 HHW4486:HHX4486 GYA4486:GYB4486 GOE4486:GOF4486 GEI4486:GEJ4486 FUM4486:FUN4486 FKQ4486:FKR4486 FAU4486:FAV4486 EQY4486:EQZ4486 EHC4486:EHD4486 DXG4486:DXH4486 DNK4486:DNL4486 DDO4486:DDP4486 CTS4486:CTT4486 CJW4486:CJX4486 CAA4486:CAB4486 BQE4486:BQF4486 BGI4486:BGJ4486 AWM4486:AWN4486 AMQ4486:AMR4486 ACU4486:ACV4486 SY4486:SZ4486 JC4486:JD4486 H4486:I4486 WVO4486:WVP4486 H4379:I4381 J28:J29 ABO2188:ABO2189 H3524:I3526 ABO2128:ABO2140 ALK2128:ALK2140 AVG2128:AVG2140 BFC2128:BFC2140 BOY2128:BOY2140 BYU2128:BYU2140 CIQ2128:CIQ2140 CSM2128:CSM2140 DCI2128:DCI2140 DME2128:DME2140 DWA2128:DWA2140 EFW2128:EFW2140 EPS2128:EPS2140 EZO2128:EZO2140 FJK2128:FJK2140 FTG2128:FTG2140 GDC2128:GDC2140 GMY2128:GMY2140 GWU2128:GWU2140 HGQ2128:HGQ2140 HQM2128:HQM2140 IAI2128:IAI2140 IKE2128:IKE2140 IUA2128:IUA2140 JDW2128:JDW2140 JNS2128:JNS2140 JXO2128:JXO2140 KHK2128:KHK2140 KRG2128:KRG2140 LBC2128:LBC2140 LKY2128:LKY2140 LUU2128:LUU2140 MEQ2128:MEQ2140 MOM2128:MOM2140 MYI2128:MYI2140 NIE2128:NIE2140 NSA2128:NSA2140 OBW2128:OBW2140 OLS2128:OLS2140 OVO2128:OVO2140 PFK2128:PFK2140 PPG2128:PPG2140 PZC2128:PZC2140 QIY2128:QIY2140 QSU2128:QSU2140 RCQ2128:RCQ2140 RMM2128:RMM2140 RWI2128:RWI2140 SGE2128:SGE2140 SQA2128:SQA2140 SZW2128:SZW2140 TJS2128:TJS2140 TTO2128:TTO2140 UDK2128:UDK2140 UNG2128:UNG2140 UXC2128:UXC2140 VGY2128:VGY2140 VQU2128:VQU2140 WAQ2128:WAQ2140 WKM2128:WKM2140 WUI2128:WUI2140 HW2128:HW2140 RS2128:RS2140 RS2188:RS2189 HW2188:HW2189 WUI2188:WUI2189 WKM2188:WKM2189 WAQ2188:WAQ2189 VQU2188:VQU2189 VGY2188:VGY2189 UXC2188:UXC2189 UNG2188:UNG2189 UDK2188:UDK2189 TTO2188:TTO2189 TJS2188:TJS2189 SZW2188:SZW2189 SQA2188:SQA2189 SGE2188:SGE2189 RWI2188:RWI2189 RMM2188:RMM2189 RCQ2188:RCQ2189 QSU2188:QSU2189 QIY2188:QIY2189 PZC2188:PZC2189 PPG2188:PPG2189 PFK2188:PFK2189 OVO2188:OVO2189 OLS2188:OLS2189 OBW2188:OBW2189 NSA2188:NSA2189 NIE2188:NIE2189 MYI2188:MYI2189 MOM2188:MOM2189 MEQ2188:MEQ2189 LUU2188:LUU2189 LKY2188:LKY2189 LBC2188:LBC2189 KRG2188:KRG2189 KHK2188:KHK2189 JXO2188:JXO2189 JNS2188:JNS2189 JDW2188:JDW2189 IUA2188:IUA2189 IKE2188:IKE2189 IAI2188:IAI2189 HQM2188:HQM2189 HGQ2188:HGQ2189 GWU2188:GWU2189 GMY2188:GMY2189 GDC2188:GDC2189 FTG2188:FTG2189 FJK2188:FJK2189 EZO2188:EZO2189 EPS2188:EPS2189 EFW2188:EFW2189 DWA2188:DWA2189 DME2188:DME2189 DCI2188:DCI2189 CSM2188:CSM2189 CIQ2188:CIQ2189 BYU2188:BYU2189 BOY2188:BOY2189 BFC2188:BFC2189 AVG2188:AVG2189 ALK2188:ALK2189 H4344:I4344">
      <formula1>1</formula1>
    </dataValidation>
    <dataValidation type="date" allowBlank="1" showErrorMessage="1" error="Введите год в интервале от 1900 по 2013." sqref="WVJ544:WVJ545 WLN544:WLN545 WBR544:WBR545 VRV544:VRV545 VHZ544:VHZ545 UYD544:UYD545 UOH544:UOH545 UEL544:UEL545 TUP544:TUP545 TKT544:TKT545 TAX544:TAX545 SRB544:SRB545 SHF544:SHF545 RXJ544:RXJ545 RNN544:RNN545 RDR544:RDR545 QTV544:QTV545 QJZ544:QJZ545 QAD544:QAD545 PQH544:PQH545 PGL544:PGL545 OWP544:OWP545 OMT544:OMT545 OCX544:OCX545 NTB544:NTB545 NJF544:NJF545 MZJ544:MZJ545 MPN544:MPN545 MFR544:MFR545 LVV544:LVV545 LLZ544:LLZ545 LCD544:LCD545 KSH544:KSH545 KIL544:KIL545 JYP544:JYP545 JOT544:JOT545 JEX544:JEX545 IVB544:IVB545 ILF544:ILF545 IBJ544:IBJ545 HRN544:HRN545 HHR544:HHR545 GXV544:GXV545 GNZ544:GNZ545 GED544:GED545 FUH544:FUH545 FKL544:FKL545 FAP544:FAP545 EQT544:EQT545 EGX544:EGX545 DXB544:DXB545 DNF544:DNF545 DDJ544:DDJ545 CTN544:CTN545 CJR544:CJR545 BZV544:BZV545 BPZ544:BPZ545 BGD544:BGD545 AWH544:AWH545 AML544:AML545 ACP544:ACP545 ST544:ST545 IX544:IX545 VRV1904 VHZ1904 UYD1904 UOH1904 UEL1904 TUP1904 TKT1904 TAX1904 SRB1904 SHF1904 RXJ1904 RNN1904 RDR1904 QTV1904 QJZ1904 QAD1904 PQH1904 PGL1904 OWP1904 OMT1904 OCX1904 NTB1904 NJF1904 MZJ1904 MPN1904 MFR1904 LVV1904 LLZ1904 LCD1904 KSH1904 KIL1904 JYP1904 JOT1904 JEX1904 IVB1904 ILF1904 IBJ1904 HRN1904 HHR1904 GXV1904 GNZ1904 GED1904 FUH1904 FKL1904 FAP1904 EQT1904 EGX1904 DXB1904 DNF1904 DDJ1904 CTN1904 CJR1904 BZV1904 BPZ1904 BGD1904 AWH1904 AML1904 ACP1904 ST1904 IX1904 WVJ1904 WBR1904 WLN1904 WVJ3411 WLN3411 WBR3411 VRV3411 VHZ3411 UYD3411 UOH3411 UEL3411 TUP3411 TKT3411 TAX3411 SRB3411 SHF3411 RXJ3411 RNN3411 RDR3411 QTV3411 QJZ3411 QAD3411 PQH3411 PGL3411 OWP3411 OMT3411 OCX3411 NTB3411 NJF3411 MZJ3411 MPN3411 MFR3411 LVV3411 LLZ3411 LCD3411 KSH3411 KIL3411 JYP3411 JOT3411 JEX3411 IVB3411 ILF3411 IBJ3411 HRN3411 HHR3411 GXV3411 GNZ3411 GED3411 FUH3411 FKL3411 FAP3411 EQT3411 EGX3411 DXB3411 DNF3411 DDJ3411 CTN3411 CJR3411 BZV3411 BPZ3411 BGD3411 AWH3411 AML3411 ACP3411 ST3411 ST4284 IX3411 ACP4284 AML4284 AWH4284 BGD4284 BPZ4284 BZV4284 CJR4284 CTN4284 DDJ4284 DNF4284 DXB4284 EGX4284 EQT4284 FAP4284 FKL4284 FUH4284 GED4284 GNZ4284 GXV4284 HHR4284 HRN4284 IBJ4284 ILF4284 IVB4284 JEX4284 JOT4284 JYP4284 KIL4284 KSH4284 LCD4284 LLZ4284 LVV4284 MFR4284 MPN4284 MZJ4284 NJF4284 NTB4284 OCX4284 OMT4284 OWP4284 PGL4284 PQH4284 QAD4284 QJZ4284 QTV4284 RDR4284 RNN4284 RXJ4284 SHF4284 SRB4284 TAX4284 TKT4284 TUP4284 UEL4284 UOH4284 UYD4284 VHZ4284 VRV4284 WBR4284 WLN4284 WVJ4284 IX4284 ST4346 ACP4346 AML4346 AWH4346 BGD4346 BPZ4346 BZV4346 CJR4346 CTN4346 DDJ4346 DNF4346 DXB4346 EGX4346 EQT4346 FAP4346 FKL4346 FUH4346 GED4346 GNZ4346 GXV4346 HHR4346 HRN4346 IBJ4346 ILF4346 IVB4346 JEX4346 JOT4346 JYP4346 KIL4346 KSH4346 LCD4346 LLZ4346 LVV4346 MFR4346 MPN4346 MZJ4346 NJF4346 NTB4346 OCX4346 OMT4346 OWP4346 PGL4346 PQH4346 QAD4346 QJZ4346 QTV4346 RDR4346 RNN4346 RXJ4346 SHF4346 SRB4346 TAX4346 TKT4346 TUP4346 UEL4346 UOH4346 UYD4346 VHZ4346 VRV4346 WBR4346 WLN4346 WVJ4346 IX4346">
      <formula1>1900</formula1>
      <formula2>2013</formula2>
    </dataValidation>
    <dataValidation type="decimal" operator="greaterThan" allowBlank="1" showErrorMessage="1" error="Введите положительное число." sqref="WVT544:WVT546 J544:J545 WLS544:WLV545 WBW544:WBZ545 VSA544:VSD545 VIE544:VIH545 UYI544:UYL545 UOM544:UOP545 UEQ544:UET545 TUU544:TUX545 TKY544:TLB545 TBC544:TBF545 SRG544:SRJ545 SHK544:SHN545 RXO544:RXR545 RNS544:RNV545 RDW544:RDZ545 QUA544:QUD545 QKE544:QKH545 QAI544:QAL545 PQM544:PQP545 PGQ544:PGT545 OWU544:OWX545 OMY544:ONB545 ODC544:ODF545 NTG544:NTJ545 NJK544:NJN545 MZO544:MZR545 MPS544:MPV545 MFW544:MFZ545 LWA544:LWD545 LME544:LMH545 LCI544:LCL545 KSM544:KSP545 KIQ544:KIT545 JYU544:JYX545 JOY544:JPB545 JFC544:JFF545 IVG544:IVJ545 ILK544:ILN545 IBO544:IBR545 HRS544:HRV545 HHW544:HHZ545 GYA544:GYD545 GOE544:GOH545 GEI544:GEL545 FUM544:FUP545 FKQ544:FKT545 FAU544:FAX545 EQY544:ERB545 EHC544:EHF545 DXG544:DXJ545 DNK544:DNN545 DDO544:DDR545 CTS544:CTV545 CJW544:CJZ545 CAA544:CAD545 BQE544:BQH545 BGI544:BGL545 AWM544:AWP545 AMQ544:AMT545 ACU544:ACX545 SY544:TB545 JC544:JF545 WVO544:WVR545 WLX544:WLX546 WCB544:WCB546 VSF544:VSF546 VIJ544:VIJ546 UYN544:UYN546 UOR544:UOR546 UEV544:UEV546 TUZ544:TUZ546 TLD544:TLD546 TBH544:TBH546 SRL544:SRL546 SHP544:SHP546 RXT544:RXT546 RNX544:RNX546 REB544:REB546 QUF544:QUF546 QKJ544:QKJ546 QAN544:QAN546 PQR544:PQR546 PGV544:PGV546 OWZ544:OWZ546 OND544:OND546 ODH544:ODH546 NTL544:NTL546 NJP544:NJP546 MZT544:MZT546 MPX544:MPX546 MGB544:MGB546 LWF544:LWF546 LMJ544:LMJ546 LCN544:LCN546 KSR544:KSR546 KIV544:KIV546 JYZ544:JYZ546 JPD544:JPD546 JFH544:JFH546 IVL544:IVL546 ILP544:ILP546 IBT544:IBT546 HRX544:HRX546 HIB544:HIB546 GYF544:GYF546 GOJ544:GOJ546 GEN544:GEN546 FUR544:FUR546 FKV544:FKV546 FAZ544:FAZ546 ERD544:ERD546 EHH544:EHH546 DXL544:DXL546 DNP544:DNP546 DDT544:DDT546 CTX544:CTX546 CKB544:CKB546 CAF544:CAF546 BQJ544:BQJ546 BGN544:BGN546 AWR544:AWR546 AMV544:AMV546 ACZ544:ACZ546 TD544:TD546 JH544:JH546 VSF1904 VIJ1904 UYN1904 UOR1904 UEV1904 TUZ1904 TLD1904 TBH1904 SRL1904 SHP1904 RXT1904 RNX1904 REB1904 QUF1904 QKJ1904 QAN1904 PQR1904 PGV1904 OWZ1904 OND1904 ODH1904 NTL1904 NJP1904 MZT1904 MPX1904 MGB1904 LWF1904 LMJ1904 LCN1904 KSR1904 KIV1904 JYZ1904 JPD1904 JFH1904 IVL1904 ILP1904 IBT1904 HRX1904 HIB1904 GYF1904 GOJ1904 GEN1904 FUR1904 FKV1904 FAZ1904 ERD1904 EHH1904 DXL1904 DNP1904 DDT1904 CTX1904 CKB1904 CAF1904 BQJ1904 BGN1904 AWR1904 AMV1904 ACZ1904 TD1904 JH1904 J1904 WVO1904:WVR1904 WLS1904:WLV1904 WBW1904:WBZ1904 VSA1904:VSD1904 VIE1904:VIH1904 UYI1904:UYL1904 UOM1904:UOP1904 UEQ1904:UET1904 TUU1904:TUX1904 TKY1904:TLB1904 TBC1904:TBF1904 SRG1904:SRJ1904 SHK1904:SHN1904 RXO1904:RXR1904 RNS1904:RNV1904 RDW1904:RDZ1904 QUA1904:QUD1904 QKE1904:QKH1904 QAI1904:QAL1904 PQM1904:PQP1904 PGQ1904:PGT1904 OWU1904:OWX1904 OMY1904:ONB1904 ODC1904:ODF1904 NTG1904:NTJ1904 NJK1904:NJN1904 MZO1904:MZR1904 MPS1904:MPV1904 MFW1904:MFZ1904 LWA1904:LWD1904 LME1904:LMH1904 LCI1904:LCL1904 KSM1904:KSP1904 KIQ1904:KIT1904 JYU1904:JYX1904 JOY1904:JPB1904 JFC1904:JFF1904 IVG1904:IVJ1904 ILK1904:ILN1904 IBO1904:IBR1904 HRS1904:HRV1904 HHW1904:HHZ1904 GYA1904:GYD1904 GOE1904:GOH1904 GEI1904:GEL1904 FUM1904:FUP1904 FKQ1904:FKT1904 FAU1904:FAX1904 EQY1904:ERB1904 EHC1904:EHF1904 DXG1904:DXJ1904 DNK1904:DNN1904 DDO1904:DDR1904 CTS1904:CTV1904 CJW1904:CJZ1904 CAA1904:CAD1904 BQE1904:BQH1904 BGI1904:BGL1904 AWM1904:AWP1904 AMQ1904:AMT1904 ACU1904:ACX1904 SY1904:TB1904 JC1904:JF1904 WVT1904 WCB1904 WLX1904 WVO3411:WVR3411 WLS3411:WLV3411 WBW3411:WBZ3411 VSA3411:VSD3411 VIE3411:VIH3411 UYI3411:UYL3411 UOM3411:UOP3411 UEQ3411:UET3411 TUU3411:TUX3411 TKY3411:TLB3411 TBC3411:TBF3411 SRG3411:SRJ3411 SHK3411:SHN3411 RXO3411:RXR3411 RNS3411:RNV3411 RDW3411:RDZ3411 QUA3411:QUD3411 QKE3411:QKH3411 QAI3411:QAL3411 PQM3411:PQP3411 PGQ3411:PGT3411 OWU3411:OWX3411 OMY3411:ONB3411 ODC3411:ODF3411 NTG3411:NTJ3411 NJK3411:NJN3411 MZO3411:MZR3411 MPS3411:MPV3411 MFW3411:MFZ3411 LWA3411:LWD3411 LME3411:LMH3411 LCI3411:LCL3411 KSM3411:KSP3411 KIQ3411:KIT3411 JYU3411:JYX3411 JOY3411:JPB3411 JFC3411:JFF3411 IVG3411:IVJ3411 ILK3411:ILN3411 IBO3411:IBR3411 HRS3411:HRV3411 HHW3411:HHZ3411 GYA3411:GYD3411 GOE3411:GOH3411 GEI3411:GEL3411 FUM3411:FUP3411 FKQ3411:FKT3411 FAU3411:FAX3411 EQY3411:ERB3411 EHC3411:EHF3411 DXG3411:DXJ3411 DNK3411:DNN3411 DDO3411:DDR3411 CTS3411:CTV3411 CJW3411:CJZ3411 CAA3411:CAD3411 BQE3411:BQH3411 BGI3411:BGL3411 AWM3411:AWP3411 AMQ3411:AMT3411 ACU3411:ACX3411 SY3411:TB3411 JC3411:JF3411 J3411 WVT3411 WLX3411 WCB3411 VSF3411 VIJ3411 UYN3411 UOR3411 UEV3411 TUZ3411 TLD3411 TBH3411 SRL3411 SHP3411 RXT3411 RNX3411 REB3411 QUF3411 QKJ3411 QAN3411 PQR3411 PGV3411 OWZ3411 OND3411 ODH3411 NTL3411 NJP3411 MZT3411 MPX3411 MGB3411 LWF3411 LMJ3411 LCN3411 KSR3411 KIV3411 JYZ3411 JPD3411 JFH3411 IVL3411 ILP3411 IBT3411 HRX3411 HIB3411 GYF3411 GOJ3411 GEN3411 FUR3411 FKV3411 FAZ3411 ERD3411 EHH3411 DXL3411 DNP3411 DDT3411 CTX3411 CKB3411 CAF3411 BQJ3411 BGN3411 AWR3411 AMV3411 ACZ3411 TD3411 J1983 JH3411 ACZ4284 AMV4284 AWR4284 BGN4284 BQJ4284 CAF4284 CKB4284 CTX4284 DDT4284 DNP4284 DXL4284 EHH4284 ERD4284 FAZ4284 FKV4284 FUR4284 GEN4284 GOJ4284 GYF4284 HIB4284 HRX4284 IBT4284 ILP4284 IVL4284 JFH4284 JPD4284 JYZ4284 KIV4284 KSR4284 LCN4284 LMJ4284 LWF4284 MGB4284 MPX4284 MZT4284 NJP4284 NTL4284 ODH4284 OND4284 OWZ4284 PGV4284 PQR4284 QAN4284 QKJ4284 QUF4284 REB4284 RNX4284 RXT4284 SHP4284 SRL4284 TBH4284 TLD4284 TUZ4284 UEV4284 UOR4284 UYN4284 VIJ4284 VSF4284 WCB4284 WLX4284 WVT4284 J4284 JC4284:JF4284 SY4284:TB4284 ACU4284:ACX4284 AMQ4284:AMT4284 AWM4284:AWP4284 BGI4284:BGL4284 BQE4284:BQH4284 CAA4284:CAD4284 CJW4284:CJZ4284 CTS4284:CTV4284 DDO4284:DDR4284 DNK4284:DNN4284 DXG4284:DXJ4284 EHC4284:EHF4284 EQY4284:ERB4284 FAU4284:FAX4284 FKQ4284:FKT4284 FUM4284:FUP4284 GEI4284:GEL4284 GOE4284:GOH4284 GYA4284:GYD4284 HHW4284:HHZ4284 HRS4284:HRV4284 IBO4284:IBR4284 ILK4284:ILN4284 IVG4284:IVJ4284 JFC4284:JFF4284 JOY4284:JPB4284 JYU4284:JYX4284 KIQ4284:KIT4284 KSM4284:KSP4284 LCI4284:LCL4284 LME4284:LMH4284 LWA4284:LWD4284 MFW4284:MFZ4284 MPS4284:MPV4284 MZO4284:MZR4284 NJK4284:NJN4284 NTG4284:NTJ4284 ODC4284:ODF4284 OMY4284:ONB4284 OWU4284:OWX4284 PGQ4284:PGT4284 PQM4284:PQP4284 QAI4284:QAL4284 QKE4284:QKH4284 QUA4284:QUD4284 RDW4284:RDZ4284 RNS4284:RNV4284 RXO4284:RXR4284 SHK4284:SHN4284 SRG4284:SRJ4284 TBC4284:TBF4284 TKY4284:TLB4284 TUU4284:TUX4284 UEQ4284:UET4284 UOM4284:UOP4284 UYI4284:UYL4284 VIE4284:VIH4284 VSA4284:VSD4284 WBW4284:WBZ4284 WLS4284:WLV4284 WVO4284:WVR4284 JH4284 TD4284 TD4346 ACZ4346 AMV4346 AWR4346 BGN4346 BQJ4346 CAF4346 CKB4346 CTX4346 DDT4346 DNP4346 DXL4346 EHH4346 ERD4346 FAZ4346 FKV4346 FUR4346 GEN4346 GOJ4346 GYF4346 HIB4346 HRX4346 IBT4346 ILP4346 IVL4346 JFH4346 JPD4346 JYZ4346 KIV4346 KSR4346 LCN4346 LMJ4346 LWF4346 MGB4346 MPX4346 MZT4346 NJP4346 NTL4346 ODH4346 OND4346 OWZ4346 PGV4346 PQR4346 QAN4346 QKJ4346 QUF4346 REB4346 RNX4346 RXT4346 SHP4346 SRL4346 TBH4346 TLD4346 TUZ4346 UEV4346 UOR4346 UYN4346 VIJ4346 VSF4346 WCB4346 WLX4346 WVT4346 WVO4346:WVR4346 JC4346:JF4346 SY4346:TB4346 ACU4346:ACX4346 AMQ4346:AMT4346 AWM4346:AWP4346 BGI4346:BGL4346 BQE4346:BQH4346 CAA4346:CAD4346 CJW4346:CJZ4346 CTS4346:CTV4346 DDO4346:DDR4346 DNK4346:DNN4346 DXG4346:DXJ4346 EHC4346:EHF4346 EQY4346:ERB4346 FAU4346:FAX4346 FKQ4346:FKT4346 FUM4346:FUP4346 GEI4346:GEL4346 GOE4346:GOH4346 GYA4346:GYD4346 HHW4346:HHZ4346 HRS4346:HRV4346 IBO4346:IBR4346 ILK4346:ILN4346 IVG4346:IVJ4346 JFC4346:JFF4346 JOY4346:JPB4346 JYU4346:JYX4346 KIQ4346:KIT4346 KSM4346:KSP4346 LCI4346:LCL4346 LME4346:LMH4346 LWA4346:LWD4346 MFW4346:MFZ4346 MPS4346:MPV4346 MZO4346:MZR4346 NJK4346:NJN4346 NTG4346:NTJ4346 ODC4346:ODF4346 OMY4346:ONB4346 OWU4346:OWX4346 PGQ4346:PGT4346 PQM4346:PQP4346 QAI4346:QAL4346 QKE4346:QKH4346 QUA4346:QUD4346 RDW4346:RDZ4346 RNS4346:RNV4346 RXO4346:RXR4346 SHK4346:SHN4346 SRG4346:SRJ4346 TBC4346:TBF4346 TKY4346:TLB4346 TUU4346:TUX4346 UEQ4346:UET4346 UOM4346:UOP4346 UYI4346:UYL4346 VIE4346:VIH4346 VSA4346:VSD4346 WBW4346:WBZ4346 WLS4346:WLV4346 J4346 J592 JH4346">
      <formula1>0</formula1>
      <formula2>0</formula2>
    </dataValidation>
    <dataValidation type="whole" operator="greaterThanOrEqual" allowBlank="1" showErrorMessage="1" error="Введите целое положительное число." sqref="H678:I678 HW3289:HX3289 RS3289:RT3289 ABO3289:ABP3289 ALK3289:ALL3289 AVG3289:AVH3289 BFC3289:BFD3289 BOY3289:BOZ3289 BYU3289:BYV3289 CIQ3289:CIR3289 CSM3289:CSN3289 DCI3289:DCJ3289 DME3289:DMF3289 DWA3289:DWB3289 EFW3289:EFX3289 EPS3289:EPT3289 EZO3289:EZP3289 FJK3289:FJL3289 FTG3289:FTH3289 GDC3289:GDD3289 GMY3289:GMZ3289 GWU3289:GWV3289 HGQ3289:HGR3289 HQM3289:HQN3289 IAI3289:IAJ3289 IKE3289:IKF3289 IUA3289:IUB3289 JDW3289:JDX3289 JNS3289:JNT3289 JXO3289:JXP3289 KHK3289:KHL3289 KRG3289:KRH3289 LBC3289:LBD3289 LKY3289:LKZ3289 LUU3289:LUV3289 MEQ3289:MER3289 MOM3289:MON3289 MYI3289:MYJ3289 NIE3289:NIF3289 NSA3289:NSB3289 OBW3289:OBX3289 OLS3289:OLT3289 OVO3289:OVP3289 PFK3289:PFL3289 PPG3289:PPH3289 PZC3289:PZD3289 QIY3289:QIZ3289 QSU3289:QSV3289 RCQ3289:RCR3289 RMM3289:RMN3289 RWI3289:RWJ3289 SGE3289:SGF3289 SQA3289:SQB3289 SZW3289:SZX3289 TJS3289:TJT3289 TTO3289:TTP3289 UDK3289:UDL3289 UNG3289:UNH3289 UXC3289:UXD3289 VGY3289:VGZ3289 VQU3289:VQV3289 WAQ3289:WAR3289 WKM3289:WKN3289 WUI3289:WUJ3289 WUI3286:WUJ3286 HW3286:HX3286 RS3286:RT3286 ABO3286:ABP3286 ALK3286:ALL3286 AVG3286:AVH3286 BFC3286:BFD3286 BOY3286:BOZ3286 BYU3286:BYV3286 CIQ3286:CIR3286 CSM3286:CSN3286 DCI3286:DCJ3286 DME3286:DMF3286 DWA3286:DWB3286 EFW3286:EFX3286 EPS3286:EPT3286 EZO3286:EZP3286 FJK3286:FJL3286 FTG3286:FTH3286 GDC3286:GDD3286 GMY3286:GMZ3286 GWU3286:GWV3286 HGQ3286:HGR3286 HQM3286:HQN3286 IAI3286:IAJ3286 IKE3286:IKF3286 IUA3286:IUB3286 JDW3286:JDX3286 JNS3286:JNT3286 JXO3286:JXP3286 KHK3286:KHL3286 KRG3286:KRH3286 LBC3286:LBD3286 LKY3286:LKZ3286 LUU3286:LUV3286 MEQ3286:MER3286 MOM3286:MON3286 MYI3286:MYJ3286 NIE3286:NIF3286 NSA3286:NSB3286 OBW3286:OBX3286 OLS3286:OLT3286 OVO3286:OVP3286 PFK3286:PFL3286 PPG3286:PPH3286 PZC3286:PZD3286 QIY3286:QIZ3286 QSU3286:QSV3286 RCQ3286:RCR3286 RMM3286:RMN3286 RWI3286:RWJ3286 SGE3286:SGF3286 SQA3286:SQB3286 SZW3286:SZX3286 TJS3286:TJT3286 TTO3286:TTP3286 UDK3286:UDL3286 UNG3286:UNH3286 UXC3286:UXD3286 VGY3286:VGZ3286 VQU3286:VQV3286 WAQ3286:WAR3286 WKM3286:WKN3286 HW2190:HX2190 RS2190:RT2190 ABO2190:ABP2190 ALK2190:ALL2190 AVG2190:AVH2190 BFC2190:BFD2190 BOY2190:BOZ2190 BYU2190:BYV2190 CIQ2190:CIR2190 CSM2190:CSN2190 DCI2190:DCJ2190 DME2190:DMF2190 DWA2190:DWB2190 EFW2190:EFX2190 EPS2190:EPT2190 EZO2190:EZP2190 FJK2190:FJL2190 FTG2190:FTH2190 GDC2190:GDD2190 GMY2190:GMZ2190 GWU2190:GWV2190 HGQ2190:HGR2190 HQM2190:HQN2190 IAI2190:IAJ2190 IKE2190:IKF2190 IUA2190:IUB2190 JDW2190:JDX2190 JNS2190:JNT2190 JXO2190:JXP2190 KHK2190:KHL2190 KRG2190:KRH2190 LBC2190:LBD2190 LKY2190:LKZ2190 LUU2190:LUV2190 MEQ2190:MER2190 MOM2190:MON2190 MYI2190:MYJ2190 NIE2190:NIF2190 NSA2190:NSB2190 OBW2190:OBX2190 OLS2190:OLT2190 OVO2190:OVP2190 PFK2190:PFL2190 PPG2190:PPH2190 PZC2190:PZD2190 QIY2190:QIZ2190 QSU2190:QSV2190 RCQ2190:RCR2190 RMM2190:RMN2190 RWI2190:RWJ2190 SGE2190:SGF2190 SQA2190:SQB2190 SZW2190:SZX2190 TJS2190:TJT2190 TTO2190:TTP2190 UDK2190:UDL2190 UNG2190:UNH2190 UXC2190:UXD2190 VGY2190:VGZ2190 VQU2190:VQV2190 WAQ2190:WAR2190 WKM2190:WKN2190 WUI2190:WUJ2190 H2187:I2187 RS3538:RT3538 ABO3538:ABP3538 ALK3538:ALL3538 AVG3538:AVH3538 BFC3538:BFD3538 BOY3538:BOZ3538 BYU3538:BYV3538 CIQ3538:CIR3538 CSM3538:CSN3538 DCI3538:DCJ3538 DME3538:DMF3538 DWA3538:DWB3538 EFW3538:EFX3538 EPS3538:EPT3538 EZO3538:EZP3538 FJK3538:FJL3538 FTG3538:FTH3538 GDC3538:GDD3538 GMY3538:GMZ3538 GWU3538:GWV3538 HGQ3538:HGR3538 HQM3538:HQN3538 IAI3538:IAJ3538 IKE3538:IKF3538 IUA3538:IUB3538 JDW3538:JDX3538 JNS3538:JNT3538 JXO3538:JXP3538 KHK3538:KHL3538 KRG3538:KRH3538 LBC3538:LBD3538 LKY3538:LKZ3538 LUU3538:LUV3538 MEQ3538:MER3538 MOM3538:MON3538 MYI3538:MYJ3538 NIE3538:NIF3538 NSA3538:NSB3538 OBW3538:OBX3538 OLS3538:OLT3538 OVO3538:OVP3538 PFK3538:PFL3538 PPG3538:PPH3538 PZC3538:PZD3538 QIY3538:QIZ3538 QSU3538:QSV3538 RCQ3538:RCR3538 RMM3538:RMN3538 RWI3538:RWJ3538 SGE3538:SGF3538 SQA3538:SQB3538 SZW3538:SZX3538 TJS3538:TJT3538 TTO3538:TTP3538 UDK3538:UDL3538 UNG3538:UNH3538 UXC3538:UXD3538 VGY3538:VGZ3538 VQU3538:VQV3538 WAQ3538:WAR3538 WKM3538:WKN3538 WUI3538:WUJ3538 WUI3535:WUJ3535 HW3535:HX3535 RS3535:RT3535 ABO3535:ABP3535 ALK3535:ALL3535 AVG3535:AVH3535 BFC3535:BFD3535 BOY3535:BOZ3535 BYU3535:BYV3535 CIQ3535:CIR3535 CSM3535:CSN3535 DCI3535:DCJ3535 DME3535:DMF3535 DWA3535:DWB3535 EFW3535:EFX3535 EPS3535:EPT3535 EZO3535:EZP3535 FJK3535:FJL3535 FTG3535:FTH3535 GDC3535:GDD3535 GMY3535:GMZ3535 GWU3535:GWV3535 HGQ3535:HGR3535 HQM3535:HQN3535 IAI3535:IAJ3535 IKE3535:IKF3535 IUA3535:IUB3535 JDW3535:JDX3535 JNS3535:JNT3535 JXO3535:JXP3535 KHK3535:KHL3535 KRG3535:KRH3535 LBC3535:LBD3535 LKY3535:LKZ3535 LUU3535:LUV3535 MEQ3535:MER3535 MOM3535:MON3535 MYI3535:MYJ3535 NIE3535:NIF3535 NSA3535:NSB3535 OBW3535:OBX3535 OLS3535:OLT3535 OVO3535:OVP3535 PFK3535:PFL3535 PPG3535:PPH3535 PZC3535:PZD3535 QIY3535:QIZ3535 QSU3535:QSV3535 RCQ3535:RCR3535 RMM3535:RMN3535 RWI3535:RWJ3535 SGE3535:SGF3535 SQA3535:SQB3535 SZW3535:SZX3535 TJS3535:TJT3535 TTO3535:TTP3535 UDK3535:UDL3535 UNG3535:UNH3535 UXC3535:UXD3535 VGY3535:VGZ3535 VQU3535:VQV3535 WAQ3535:WAR3535 WKM3535:WKN3535 HW3538:HX3538 H682:I682 VQU677:VQV677 WAQ677:WAR677 VGY677:VGZ677 UXC677:UXD677 UNG677:UNH677 UDK677:UDL677 TTO677:TTP677 TJS677:TJT677 SZW677:SZX677 SQA677:SQB677 SGE677:SGF677 RWI677:RWJ677 RMM677:RMN677 RCQ677:RCR677 QSU677:QSV677 QIY677:QIZ677 PZC677:PZD677 PPG677:PPH677 PFK677:PFL677 OVO677:OVP677 OLS677:OLT677 OBW677:OBX677 NSA677:NSB677 NIE677:NIF677 MYI677:MYJ677 MOM677:MON677 MEQ677:MER677 LUU677:LUV677 LKY677:LKZ677 LBC677:LBD677 KRG677:KRH677 KHK677:KHL677 JXO677:JXP677 JNS677:JNT677 JDW677:JDX677 IUA677:IUB677 IKE677:IKF677 IAI677:IAJ677 HQM677:HQN677 HGQ677:HGR677 GWU677:GWV677 GMY677:GMZ677 GDC677:GDD677 FTG677:FTH677 FJK677:FJL677 EZO677:EZP677 EPS677:EPT677 EFW677:EFX677 DWA677:DWB677 DME677:DMF677 DCI677:DCJ677 CSM677:CSN677 CIQ677:CIR677 BYU677:BYV677 BOY677:BOZ677 BFC677:BFD677 AVG677:AVH677 ALK677:ALL677 ABO677:ABP677 RS677:RT677 HW677:HX677 WUI677:WUJ677 WUI680:WUJ680 WKM680:WKN680 WAQ680:WAR680 VQU680:VQV680 VGY680:VGZ680 UXC680:UXD680 UNG680:UNH680 UDK680:UDL680 TTO680:TTP680 TJS680:TJT680 SZW680:SZX680 SQA680:SQB680 SGE680:SGF680 RWI680:RWJ680 RMM680:RMN680 RCQ680:RCR680 QSU680:QSV680 QIY680:QIZ680 PZC680:PZD680 PPG680:PPH680 PFK680:PFL680 OVO680:OVP680 OLS680:OLT680 OBW680:OBX680 NSA680:NSB680 NIE680:NIF680 MYI680:MYJ680 MOM680:MON680 MEQ680:MER680 LUU680:LUV680 LKY680:LKZ680 LBC680:LBD680 KRG680:KRH680 KHK680:KHL680 JXO680:JXP680 JNS680:JNT680 JDW680:JDX680 IUA680:IUB680 IKE680:IKF680 IAI680:IAJ680 HQM680:HQN680 HGQ680:HGR680 GWU680:GWV680 GMY680:GMZ680 GDC680:GDD680 FTG680:FTH680 FJK680:FJL680 EZO680:EZP680 EPS680:EPT680 EFW680:EFX680 DWA680:DWB680 DME680:DMF680 DCI680:DCJ680 CSM680:CSN680 CIQ680:CIR680 BYU680:BYV680 BOY680:BOZ680 BFC680:BFD680 AVG680:AVH680 ALK680:ALL680 ABO680:ABP680 RS680:RT680 HW680:HX680 WKM677:WKN677 H4404:I4404 VQU2126:VQV2126 WAQ2126:WAR2126 WKM2126:WKN2126 WUI2126:WUJ2126 HW2126:HX2126 RS2126:RT2126 ABO2126:ABP2126 ALK2126:ALL2126 AVG2126:AVH2126 BFC2126:BFD2126 BOY2126:BOZ2126 BYU2126:BYV2126 CIQ2126:CIR2126 CSM2126:CSN2126 DCI2126:DCJ2126 DME2126:DMF2126 DWA2126:DWB2126 EFW2126:EFX2126 EPS2126:EPT2126 EZO2126:EZP2126 FJK2126:FJL2126 FTG2126:FTH2126 GDC2126:GDD2126 GMY2126:GMZ2126 GWU2126:GWV2126 HGQ2126:HGR2126 HQM2126:HQN2126 IAI2126:IAJ2126 IKE2126:IKF2126 IUA2126:IUB2126 JDW2126:JDX2126 JNS2126:JNT2126 JXO2126:JXP2126 KHK2126:KHL2126 KRG2126:KRH2126 LBC2126:LBD2126 LKY2126:LKZ2126 LUU2126:LUV2126 MEQ2126:MER2126 MOM2126:MON2126 MYI2126:MYJ2126 NIE2126:NIF2126 NSA2126:NSB2126 OBW2126:OBX2126 OLS2126:OLT2126 OVO2126:OVP2126 PFK2126:PFL2126 PPG2126:PPH2126 PZC2126:PZD2126 QIY2126:QIZ2126 QSU2126:QSV2126 RCQ2126:RCR2126 RMM2126:RMN2126 RWI2126:RWJ2126 SGE2126:SGF2126 SQA2126:SQB2126 SZW2126:SZX2126 TJS2126:TJT2126 TTO2126:TTP2126 UDK2126:UDL2126 UNG2126:UNH2126 UXC2126:UXD2126 VGY2126:VGZ2126 H2125:I2126">
      <formula1>1</formula1>
      <formula2>0</formula2>
    </dataValidation>
    <dataValidation type="decimal" operator="greaterThan" allowBlank="1" showInputMessage="1" showErrorMessage="1" error="Введите положительное число." sqref="E3867:E3871 G3839 E3874:E3877 G3874:G3877 G3867:G3871 G3933 E3839 G2764:G2765 G1271 E1271 G1150 E1150 G2664 E2664 E2764:E2765 G1325 E1325 G1223 E1223 G1269 E3933 G2720 G4627 E4627 G2656 E2656 E2589 G2589 E2561 G2561">
      <formula1>0</formula1>
      <formula2>0</formula2>
    </dataValidation>
    <dataValidation type="textLength" operator="lessThanOrEqual" allowBlank="1" showInputMessage="1" showErrorMessage="1" error="Длина текста не должна превышать 50 символов." sqref="WLL2367:WLL2368 WVI2391 WLM2391 WBQ2391 VRU2391 VHY2391 UYC2391 UOG2391 UEK2391 TUO2391 TKS2391 TAW2391 SRA2391 SHE2391 RXI2391 RNM2391 RDQ2391 QTU2391 QJY2391 QAC2391 PQG2391 PGK2391 OWO2391 OMS2391 OCW2391 NTA2391 NJE2391 MZI2391 MPM2391 MFQ2391 LVU2391 LLY2391 LCC2391 KSG2391 KIK2391 JYO2391 JOS2391 JEW2391 IVA2391 ILE2391 IBI2391 HRM2391 HHQ2391 GXU2391 GNY2391 GEC2391 FUG2391 FKK2391 FAO2391 EQS2391 EGW2391 DXA2391 DNE2391 DDI2391 CTM2391 CJQ2391 BZU2391 BPY2391 BGC2391 AWG2391 AMK2391 ACO2391 SS2391 IW2391 B2391 WLM2394 WBQ2394 VRU2394 VHY2394 UYC2394 UOG2394 UEK2394 TUO2394 TKS2394 TAW2394 SRA2394 SHE2394 RXI2394 RNM2394 RDQ2394 QTU2394 QJY2394 QAC2394 PQG2394 PGK2394 OWO2394 OMS2394 OCW2394 NTA2394 NJE2394 MZI2394 MPM2394 MFQ2394 LVU2394 LLY2394 LCC2394 KSG2394 KIK2394 JYO2394 JOS2394 JEW2394 IVA2394 ILE2394 IBI2394 HRM2394 HHQ2394 GXU2394 GNY2394 GEC2394 FUG2394 FKK2394 FAO2394 EQS2394 EGW2394 DXA2394 DNE2394 DDI2394 CTM2394 CJQ2394 BZU2394 BPY2394 BGC2394 AWG2394 AMK2394 ACO2394 SS2394 IW2394 B2394 B3729 WLL3702 WBP3702 VRT3702 VHX3702 UYB3702 UOF3702 UEJ3702 TUN3702 TKR3702 TAV3702 SQZ3702 SHD3702 RXH3702 RNL3702 RDP3702 QTT3702 QJX3702 QAB3702 PQF3702 PGJ3702 OWN3702 OMR3702 OCV3702 NSZ3702 NJD3702 MZH3702 MPL3702 MFP3702 LVT3702 LLX3702 LCB3702 KSF3702 KIJ3702 JYN3702 JOR3702 JEV3702 IUZ3702 ILD3702 IBH3702 HRL3702 HHP3702 GXT3702 GNX3702 GEB3702 FUF3702 FKJ3702 FAN3702 EQR3702 EGV3702 DWZ3702 DND3702 DDH3702 CTL3702 CJP3702 BZT3702 BPX3702 BGB3702 AWF3702 AMJ3702 ACN3702 SR3702 IV3702 B3702 WVH3709:WVH3711 WLL3709:WLL3711 WBP3709:WBP3711 VRT3709:VRT3711 VHX3709:VHX3711 UYB3709:UYB3711 UOF3709:UOF3711 UEJ3709:UEJ3711 TUN3709:TUN3711 TKR3709:TKR3711 TAV3709:TAV3711 SQZ3709:SQZ3711 SHD3709:SHD3711 RXH3709:RXH3711 RNL3709:RNL3711 RDP3709:RDP3711 QTT3709:QTT3711 QJX3709:QJX3711 QAB3709:QAB3711 PQF3709:PQF3711 PGJ3709:PGJ3711 OWN3709:OWN3711 OMR3709:OMR3711 OCV3709:OCV3711 NSZ3709:NSZ3711 NJD3709:NJD3711 MZH3709:MZH3711 MPL3709:MPL3711 MFP3709:MFP3711 LVT3709:LVT3711 LLX3709:LLX3711 LCB3709:LCB3711 KSF3709:KSF3711 KIJ3709:KIJ3711 JYN3709:JYN3711 JOR3709:JOR3711 JEV3709:JEV3711 IUZ3709:IUZ3711 ILD3709:ILD3711 IBH3709:IBH3711 HRL3709:HRL3711 HHP3709:HHP3711 GXT3709:GXT3711 GNX3709:GNX3711 GEB3709:GEB3711 FUF3709:FUF3711 FKJ3709:FKJ3711 FAN3709:FAN3711 EQR3709:EQR3711 EGV3709:EGV3711 DWZ3709:DWZ3711 DND3709:DND3711 DDH3709:DDH3711 CTL3709:CTL3711 CJP3709:CJP3711 BZT3709:BZT3711 BPX3709:BPX3711 BGB3709:BGB3711 AWF3709:AWF3711 AMJ3709:AMJ3711 ACN3709:ACN3711 SR3709:SR3711 IV3709:IV3711 B2378 IV3729 SR3729 ACN3729 AMJ3729 AWF3729 BGB3729 BPX3729 BZT3729 CJP3729 CTL3729 DDH3729 DND3729 DWZ3729 EGV3729 EQR3729 FAN3729 FKJ3729 FUF3729 GEB3729 GNX3729 GXT3729 HHP3729 HRL3729 IBH3729 ILD3729 IUZ3729 JEV3729 JOR3729 JYN3729 KIJ3729 KSF3729 LCB3729 LLX3729 LVT3729 MFP3729 MPL3729 MZH3729 NJD3729 NSZ3729 OCV3729 OMR3729 OWN3729 PGJ3729 PQF3729 QAB3729 QJX3729 QTT3729 RDP3729 RNL3729 RXH3729 SHD3729 SQZ3729 TAV3729 TKR3729 TUN3729 UEJ3729 UOF3729 UYB3729 VHX3729 VRT3729 WBP3729 WLL3729 WVH3729 WVH3702 WVI2394 WVI2396 WLM2396 WBQ2396 VRU2396 VHY2396 UYC2396 UOG2396 UEK2396 TUO2396 TKS2396 TAW2396 SRA2396 SHE2396 RXI2396 RNM2396 RDQ2396 QTU2396 QJY2396 QAC2396 PQG2396 PGK2396 OWO2396 OMS2396 OCW2396 NTA2396 NJE2396 MZI2396 MPM2396 MFQ2396 LVU2396 LLY2396 LCC2396 KSG2396 KIK2396 JYO2396 JOS2396 JEW2396 IVA2396 ILE2396 IBI2396 HRM2396 HHQ2396 GXU2396 GNY2396 GEC2396 FUG2396 FKK2396 FAO2396 EQS2396 EGW2396 DXA2396 DNE2396 DDI2396 CTM2396 CJQ2396 BZU2396 BPY2396 BGC2396 AWG2396 AMK2396 ACO2396 SS2396 IW2396 B2396 WVH2367:WVH2368 B3711 IV2367:IV2368 SR2367:SR2368 ACN2367:ACN2368 AMJ2367:AMJ2368 AWF2367:AWF2368 BGB2367:BGB2368 BPX2367:BPX2368 BZT2367:BZT2368 CJP2367:CJP2368 CTL2367:CTL2368 DDH2367:DDH2368 DND2367:DND2368 DWZ2367:DWZ2368 EGV2367:EGV2368 EQR2367:EQR2368 FAN2367:FAN2368 FKJ2367:FKJ2368 FUF2367:FUF2368 GEB2367:GEB2368 GNX2367:GNX2368 GXT2367:GXT2368 HHP2367:HHP2368 HRL2367:HRL2368 IBH2367:IBH2368 ILD2367:ILD2368 IUZ2367:IUZ2368 JEV2367:JEV2368 JOR2367:JOR2368 JYN2367:JYN2368 KIJ2367:KIJ2368 KSF2367:KSF2368 LCB2367:LCB2368 LLX2367:LLX2368 LVT2367:LVT2368 MFP2367:MFP2368 MPL2367:MPL2368 MZH2367:MZH2368 NJD2367:NJD2368 NSZ2367:NSZ2368 OCV2367:OCV2368 OMR2367:OMR2368 OWN2367:OWN2368 PGJ2367:PGJ2368 PQF2367:PQF2368 QAB2367:QAB2368 QJX2367:QJX2368 QTT2367:QTT2368 RDP2367:RDP2368 RNL2367:RNL2368 RXH2367:RXH2368 SHD2367:SHD2368 SQZ2367:SQZ2368 TAV2367:TAV2368 TKR2367:TKR2368 TUN2367:TUN2368 UEJ2367:UEJ2368 UOF2367:UOF2368 UYB2367:UYB2368 VHX2367:VHX2368 VRT2367:VRT2368 WBP2367:WBP2368 B906 WVH884 WLL884 WBP884 VRT884 VHX884 UYB884 UOF884 UEJ884 TUN884 TKR884 TAV884 SQZ884 SHD884 RXH884 RNL884 RDP884 QTT884 QJX884 QAB884 PQF884 PGJ884 OWN884 OMR884 OCV884 NSZ884 NJD884 MZH884 MPL884 MFP884 LVT884 LLX884 LCB884 KSF884 KIJ884 JYN884 JOR884 JEV884 IUZ884 ILD884 IBH884 HRL884 HHP884 GXT884 GNX884 GEB884 FUF884 FKJ884 FAN884 EQR884 EGV884 DWZ884 DND884 DDH884 CTL884 CJP884 BZT884 BPX884 BGB884 AWF884 AMJ884 ACN884 SR884 IV884 B884 WVH895 WLL895 WBP895 VRT895 VHX895 UYB895 UOF895 UEJ895 TUN895 TKR895 TAV895 SQZ895 SHD895 RXH895 RNL895 RDP895 QTT895 QJX895 QAB895 PQF895 PGJ895 OWN895 OMR895 OCV895 NSZ895 NJD895 MZH895 MPL895 MFP895 LVT895 LLX895 LCB895 KSF895 KIJ895 JYN895 JOR895 JEV895 IUZ895 ILD895 IBH895 HRL895 HHP895 GXT895 GNX895 GEB895 FUF895 FKJ895 FAN895 EQR895 EGV895 DWZ895 DND895 DDH895 CTL895 CJP895 BZT895 BPX895 BGB895 AWF895 AMJ895 ACN895 SR895 IV895 B895 SR899 ACN899 AMJ899 AWF899 BGB899 BPX899 BZT899 CJP899 CTL899 DDH899 DND899 DWZ899 EGV899 EQR899 FAN899 FKJ899 FUF899 GEB899 GNX899 GXT899 HHP899 HRL899 IBH899 ILD899 IUZ899 JEV899 JOR899 JYN899 KIJ899 KSF899 LCB899 LLX899 LVT899 MFP899 MPL899 MZH899 NJD899 NSZ899 OCV899 OMR899 OWN899 PGJ899 PQF899 QAB899 QJX899 QTT899 RDP899 RNL899 RXH899 SHD899 SQZ899 TAV899 TKR899 TUN899 UEJ899 UOF899 UYB899 VHX899 VRT899 WBP899 WLL899 WVH899 B899 IW906 WVI906 WLM906 WBQ906 VRU906 VHY906 UYC906 UOG906 UEK906 TUO906 TKS906 TAW906 SRA906 SHE906 RXI906 RNM906 RDQ906 QTU906 QJY906 QAC906 PQG906 PGK906 OWO906 OMS906 OCW906 NTA906 NJE906 MZI906 MPM906 MFQ906 LVU906 LLY906 LCC906 KSG906 KIK906 JYO906 JOS906 JEW906 IVA906 ILE906 IBI906 HRM906 HHQ906 GXU906 GNY906 GEC906 FUG906 FKK906 FAO906 EQS906 EGW906 DXA906 DNE906 DDI906 CTM906 CJQ906 BZU906 BPY906 BGC906 AWG906 AMK906 ACO906 SS906 IV899 WVH2378 WLL2378 WBP2378 VRT2378 VHX2378 UYB2378 UOF2378 UEJ2378 TUN2378 TKR2378 TAV2378 SQZ2378 SHD2378 RXH2378 RNL2378 RDP2378 QTT2378 QJX2378 QAB2378 PQF2378 PGJ2378 OWN2378 OMR2378 OCV2378 NSZ2378 NJD2378 MZH2378 MPL2378 MFP2378 LVT2378 LLX2378 LCB2378 KSF2378 KIJ2378 JYN2378 JOR2378 JEV2378 IUZ2378 ILD2378 IBH2378 HRL2378 HHP2378 GXT2378 GNX2378 GEB2378 FUF2378 FKJ2378 FAN2378 EQR2378 EGV2378 DWZ2378 DND2378 DDH2378 CTL2378 CJP2378 BZT2378 BPX2378 BGB2378 AWF2378 AMJ2378 ACN2378 SR2378 IV2378 B3709 B2368">
      <formula1>50</formula1>
    </dataValidation>
    <dataValidation type="date" allowBlank="1" showInputMessage="1" showErrorMessage="1" error="Введите год в интервале от 1900 по 2013." sqref="WVJ569 IX569 ST569 ACP569 AML569 AWH569 BGD569 BPZ569 BZV569 CJR569 CTN569 DDJ569 DNF569 DXB569 EGX569 EQT569 FAP569 FKL569 FUH569 GED569 GNZ569 GXV569 HHR569 HRN569 IBJ569 ILF569 IVB569 JEX569 JOT569 JYP569 KIL569 KSH569 LCD569 LLZ569 LVV569 MFR569 MPN569 MZJ569 NJF569 NTB569 OCX569 OMT569 OWP569 PGL569 PQH569 QAD569 QJZ569 QTV569 RDR569 RNN569 RXJ569 SHF569 SRB569 TAX569 TKT569 TUP569 UEL569 UOH569 UYD569 VHZ569 VRV569 WBR569 WLN569">
      <formula1>1900</formula1>
      <formula2>2013</formula2>
    </dataValidation>
    <dataValidation type="list" allowBlank="1" showInputMessage="1" showErrorMessage="1" error="Выберите значение из списка." sqref="C185 C31 C33 C1523 C2894 C1512:C1513 C1519 C1534:C1539 C1543">
      <formula1>"каркасные, сборнощитовые, крупноблочные,  мелкоблочные, кирпичные, монолитные, панельные, деревянные,"</formula1>
    </dataValidation>
    <dataValidation type="list" allowBlank="1" showInputMessage="1" showErrorMessage="1" error="Выберите значение из списка." sqref="C2889:C2893 C1527:C1528 C2941 C2917 C2907:C2915 C2904:C2905 C2895:C2902 C2887 C1514 C1469:C1489 C1500:C1505">
      <formula1>dvMKDG3O01LIST</formula1>
    </dataValidation>
  </dataValidations>
  <hyperlinks>
    <hyperlink ref="M4678" r:id="rId1" tooltip="ОК" display="javascript:;"/>
  </hyperlinks>
  <pageMargins left="0.23622047244094491" right="0.23622047244094491" top="0.39370078740157483" bottom="0.39370078740157483" header="0.31496062992125984" footer="0.31496062992125984"/>
  <pageSetup paperSize="9" scale="45" firstPageNumber="0" orientation="landscape" r:id="rId2"/>
  <headerFooter alignWithMargins="0"/>
  <colBreaks count="1" manualBreakCount="1">
    <brk id="18" max="1048575" man="1"/>
  </colBreaks>
  <ignoredErrors>
    <ignoredError sqref="R2740"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12</vt:i4>
      </vt:variant>
    </vt:vector>
  </HeadingPairs>
  <TitlesOfParts>
    <vt:vector size="15" baseType="lpstr">
      <vt:lpstr>1.перечень МКД</vt:lpstr>
      <vt:lpstr>2.виды ремонта</vt:lpstr>
      <vt:lpstr>.</vt:lpstr>
      <vt:lpstr>'.'!__xlnm._FilterDatabase</vt:lpstr>
      <vt:lpstr>'1.перечень МКД'!__xlnm._FilterDatabase</vt:lpstr>
      <vt:lpstr>'2.виды ремонта'!__xlnm._FilterDatabase</vt:lpstr>
      <vt:lpstr>__xlnm._FilterDatabase_1</vt:lpstr>
      <vt:lpstr>__xlnm._FilterDatabase_1_1</vt:lpstr>
      <vt:lpstr>__xlnm._FilterDatabase_4</vt:lpstr>
      <vt:lpstr>'.'!Заголовки_для_печати</vt:lpstr>
      <vt:lpstr>'1.перечень МКД'!Заголовки_для_печати</vt:lpstr>
      <vt:lpstr>'2.виды ремонта'!Заголовки_для_печати</vt:lpstr>
      <vt:lpstr>'.'!Область_печати</vt:lpstr>
      <vt:lpstr>'1.перечень МКД'!Область_печати</vt:lpstr>
      <vt:lpstr>'2.виды ремонта'!Область_печати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Makc</dc:creator>
  <cp:lastModifiedBy>Сотрудник</cp:lastModifiedBy>
  <cp:lastPrinted>2018-01-23T04:45:34Z</cp:lastPrinted>
  <dcterms:created xsi:type="dcterms:W3CDTF">2015-08-30T08:18:40Z</dcterms:created>
  <dcterms:modified xsi:type="dcterms:W3CDTF">2018-01-24T03:54:37Z</dcterms:modified>
</cp:coreProperties>
</file>